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mnfilesv\10103000総務課\02 財産係\_堀内PC\04_財産台帳関係\【新台帳（AsyzAP）】固定資産台帳関係\R5\02_ホームページへの掲載\03_公表用データ\"/>
    </mc:Choice>
  </mc:AlternateContent>
  <bookViews>
    <workbookView xWindow="0" yWindow="0" windowWidth="14040" windowHeight="8355"/>
  </bookViews>
  <sheets>
    <sheet name="事業用建物" sheetId="1" r:id="rId1"/>
  </sheets>
  <definedNames>
    <definedName name="_xlnm._FilterDatabase" localSheetId="0" hidden="1">事業用建物!$A$1:$ID$1550</definedName>
  </definedNames>
  <calcPr calcId="162913"/>
</workbook>
</file>

<file path=xl/calcChain.xml><?xml version="1.0" encoding="utf-8"?>
<calcChain xmlns="http://schemas.openxmlformats.org/spreadsheetml/2006/main">
  <c r="DE1514" i="1" l="1"/>
  <c r="M1514" i="1"/>
  <c r="L1514" i="1"/>
  <c r="CY1514" i="1"/>
  <c r="Q1514" i="1"/>
  <c r="R1514" i="1"/>
  <c r="CX1514" i="1"/>
  <c r="J1514" i="1"/>
  <c r="CW1514" i="1"/>
  <c r="BN1514" i="1"/>
  <c r="BM1514" i="1"/>
  <c r="DM2" i="1"/>
  <c r="DE2" i="1"/>
  <c r="M2" i="1"/>
  <c r="L2" i="1"/>
  <c r="CY2" i="1"/>
  <c r="R2" i="1"/>
  <c r="CX2" i="1"/>
  <c r="CW2" i="1"/>
  <c r="BN2" i="1"/>
  <c r="BM2" i="1"/>
  <c r="DE1489" i="1"/>
  <c r="M1489" i="1"/>
  <c r="L1489" i="1"/>
  <c r="CY1489" i="1"/>
  <c r="Q1489" i="1"/>
  <c r="R1489" i="1"/>
  <c r="CX1489" i="1"/>
  <c r="J1489" i="1"/>
  <c r="CW1489" i="1"/>
  <c r="BN1489" i="1"/>
  <c r="BM1489" i="1"/>
  <c r="DE1492" i="1"/>
  <c r="M1492" i="1"/>
  <c r="L1492" i="1"/>
  <c r="CY1492" i="1"/>
  <c r="Q1492" i="1"/>
  <c r="R1492" i="1"/>
  <c r="CX1492" i="1"/>
  <c r="J1492" i="1"/>
  <c r="CW1492" i="1"/>
  <c r="BN1492" i="1"/>
  <c r="BM1492" i="1"/>
  <c r="DE1491" i="1"/>
  <c r="M1491" i="1"/>
  <c r="L1491" i="1"/>
  <c r="CY1491" i="1"/>
  <c r="Q1491" i="1"/>
  <c r="R1491" i="1"/>
  <c r="CX1491" i="1"/>
  <c r="J1491" i="1"/>
  <c r="CW1491" i="1"/>
  <c r="BN1491" i="1"/>
  <c r="BM1491" i="1"/>
  <c r="DM253" i="1"/>
  <c r="DE253" i="1"/>
  <c r="M253" i="1"/>
  <c r="L253" i="1"/>
  <c r="CY253" i="1"/>
  <c r="R253" i="1"/>
  <c r="CX253" i="1"/>
  <c r="J253" i="1"/>
  <c r="CW253" i="1"/>
  <c r="BN253" i="1"/>
  <c r="BM253" i="1"/>
  <c r="DE7" i="1"/>
  <c r="M7" i="1"/>
  <c r="L7" i="1"/>
  <c r="CY7" i="1"/>
  <c r="Q7" i="1"/>
  <c r="R7" i="1"/>
  <c r="CX7" i="1"/>
  <c r="J7" i="1"/>
  <c r="CW7" i="1"/>
  <c r="BN7" i="1"/>
  <c r="BM7" i="1"/>
  <c r="DE1490" i="1"/>
  <c r="M1490" i="1"/>
  <c r="L1490" i="1"/>
  <c r="CY1490" i="1"/>
  <c r="Q1490" i="1"/>
  <c r="R1490" i="1"/>
  <c r="CX1490" i="1"/>
  <c r="J1490" i="1"/>
  <c r="CW1490" i="1"/>
  <c r="BN1490" i="1"/>
  <c r="BM1490" i="1"/>
  <c r="DM6" i="1"/>
  <c r="DE6" i="1"/>
  <c r="M6" i="1"/>
  <c r="L6" i="1"/>
  <c r="CY6" i="1"/>
  <c r="Q6" i="1"/>
  <c r="R6" i="1"/>
  <c r="CX6" i="1"/>
  <c r="J6" i="1"/>
  <c r="CW6" i="1"/>
  <c r="BN6" i="1"/>
  <c r="BM6" i="1"/>
  <c r="DE1494" i="1"/>
  <c r="M1494" i="1"/>
  <c r="L1494" i="1"/>
  <c r="CY1494" i="1"/>
  <c r="Q1494" i="1"/>
  <c r="R1494" i="1"/>
  <c r="CX1494" i="1"/>
  <c r="J1494" i="1"/>
  <c r="CW1494" i="1"/>
  <c r="BN1494" i="1"/>
  <c r="BM1494" i="1"/>
  <c r="DE1493" i="1"/>
  <c r="M1493" i="1"/>
  <c r="L1493" i="1"/>
  <c r="CY1493" i="1"/>
  <c r="Q1493" i="1"/>
  <c r="R1493" i="1"/>
  <c r="CX1493" i="1"/>
  <c r="J1493" i="1"/>
  <c r="CW1493" i="1"/>
  <c r="BN1493" i="1"/>
  <c r="BM1493" i="1"/>
  <c r="DE1484" i="1"/>
  <c r="M1484" i="1"/>
  <c r="L1484" i="1"/>
  <c r="CY1484" i="1"/>
  <c r="Q1484" i="1"/>
  <c r="R1484" i="1"/>
  <c r="CX1484" i="1"/>
  <c r="J1484" i="1"/>
  <c r="CW1484" i="1"/>
  <c r="BN1484" i="1"/>
  <c r="BM1484" i="1"/>
  <c r="DE1487" i="1"/>
  <c r="M1487" i="1"/>
  <c r="L1487" i="1"/>
  <c r="CY1487" i="1"/>
  <c r="Q1487" i="1"/>
  <c r="R1487" i="1"/>
  <c r="CX1487" i="1"/>
  <c r="J1487" i="1"/>
  <c r="CW1487" i="1"/>
  <c r="BN1487" i="1"/>
  <c r="BM1487" i="1"/>
  <c r="DE1488" i="1"/>
  <c r="M1488" i="1"/>
  <c r="L1488" i="1"/>
  <c r="CY1488" i="1"/>
  <c r="Q1488" i="1"/>
  <c r="R1488" i="1"/>
  <c r="CX1488" i="1"/>
  <c r="J1488" i="1"/>
  <c r="CW1488" i="1"/>
  <c r="BN1488" i="1"/>
  <c r="BM1488" i="1"/>
  <c r="DE1485" i="1"/>
  <c r="M1485" i="1"/>
  <c r="L1485" i="1"/>
  <c r="CY1485" i="1"/>
  <c r="Q1485" i="1"/>
  <c r="R1485" i="1"/>
  <c r="CX1485" i="1"/>
  <c r="J1485" i="1"/>
  <c r="CW1485" i="1"/>
  <c r="BN1485" i="1"/>
  <c r="BM1485" i="1"/>
  <c r="DE1486" i="1"/>
  <c r="M1486" i="1"/>
  <c r="L1486" i="1"/>
  <c r="CY1486" i="1"/>
  <c r="Q1486" i="1"/>
  <c r="R1486" i="1"/>
  <c r="CX1486" i="1"/>
  <c r="J1486" i="1"/>
  <c r="CW1486" i="1"/>
  <c r="BN1486" i="1"/>
  <c r="BM1486" i="1"/>
  <c r="DE1500" i="1"/>
  <c r="M1500" i="1"/>
  <c r="L1500" i="1"/>
  <c r="CY1500" i="1"/>
  <c r="Q1500" i="1"/>
  <c r="R1500" i="1"/>
  <c r="CX1500" i="1"/>
  <c r="J1500" i="1"/>
  <c r="CW1500" i="1"/>
  <c r="BN1500" i="1"/>
  <c r="BM1500" i="1"/>
  <c r="DE1501" i="1"/>
  <c r="M1501" i="1"/>
  <c r="L1501" i="1"/>
  <c r="CY1501" i="1"/>
  <c r="Q1501" i="1"/>
  <c r="R1501" i="1"/>
  <c r="CX1501" i="1"/>
  <c r="J1501" i="1"/>
  <c r="CW1501" i="1"/>
  <c r="BN1501" i="1"/>
  <c r="BM1501" i="1"/>
  <c r="DE1502" i="1"/>
  <c r="M1502" i="1"/>
  <c r="L1502" i="1"/>
  <c r="CY1502" i="1"/>
  <c r="Q1502" i="1"/>
  <c r="R1502" i="1"/>
  <c r="CX1502" i="1"/>
  <c r="J1502" i="1"/>
  <c r="CW1502" i="1"/>
  <c r="BN1502" i="1"/>
  <c r="BM1502" i="1"/>
  <c r="DE1503" i="1"/>
  <c r="M1503" i="1"/>
  <c r="L1503" i="1"/>
  <c r="CY1503" i="1"/>
  <c r="Q1503" i="1"/>
  <c r="R1503" i="1"/>
  <c r="CX1503" i="1"/>
  <c r="J1503" i="1"/>
  <c r="CW1503" i="1"/>
  <c r="BN1503" i="1"/>
  <c r="BM1503" i="1"/>
  <c r="DE1495" i="1"/>
  <c r="M1495" i="1"/>
  <c r="L1495" i="1"/>
  <c r="CY1495" i="1"/>
  <c r="Q1495" i="1"/>
  <c r="R1495" i="1"/>
  <c r="CX1495" i="1"/>
  <c r="J1495" i="1"/>
  <c r="CW1495" i="1"/>
  <c r="BN1495" i="1"/>
  <c r="BM1495" i="1"/>
  <c r="DE1497" i="1"/>
  <c r="M1497" i="1"/>
  <c r="L1497" i="1"/>
  <c r="CY1497" i="1"/>
  <c r="Q1497" i="1"/>
  <c r="R1497" i="1"/>
  <c r="CX1497" i="1"/>
  <c r="J1497" i="1"/>
  <c r="CW1497" i="1"/>
  <c r="BN1497" i="1"/>
  <c r="BM1497" i="1"/>
  <c r="DE1496" i="1"/>
  <c r="M1496" i="1"/>
  <c r="L1496" i="1"/>
  <c r="CY1496" i="1"/>
  <c r="Q1496" i="1"/>
  <c r="R1496" i="1"/>
  <c r="CX1496" i="1"/>
  <c r="J1496" i="1"/>
  <c r="CW1496" i="1"/>
  <c r="BN1496" i="1"/>
  <c r="BM1496" i="1"/>
  <c r="DE1499" i="1"/>
  <c r="M1499" i="1"/>
  <c r="L1499" i="1"/>
  <c r="CY1499" i="1"/>
  <c r="Q1499" i="1"/>
  <c r="R1499" i="1"/>
  <c r="CX1499" i="1"/>
  <c r="J1499" i="1"/>
  <c r="CW1499" i="1"/>
  <c r="BN1499" i="1"/>
  <c r="BM1499" i="1"/>
  <c r="DE1498" i="1"/>
  <c r="M1498" i="1"/>
  <c r="L1498" i="1"/>
  <c r="CY1498" i="1"/>
  <c r="Q1498" i="1"/>
  <c r="R1498" i="1"/>
  <c r="CX1498" i="1"/>
  <c r="J1498" i="1"/>
  <c r="CW1498" i="1"/>
  <c r="BN1498" i="1"/>
  <c r="BM1498" i="1"/>
  <c r="DM1315" i="1"/>
  <c r="M1315" i="1"/>
  <c r="L1315" i="1"/>
  <c r="CY1315" i="1"/>
  <c r="R1315" i="1"/>
  <c r="CX1315" i="1"/>
  <c r="J1315" i="1"/>
  <c r="BN1315" i="1"/>
  <c r="BM1315" i="1"/>
  <c r="DM92" i="1"/>
  <c r="DE92" i="1"/>
  <c r="M92" i="1"/>
  <c r="L92" i="1"/>
  <c r="CY92" i="1"/>
  <c r="R92" i="1"/>
  <c r="CX92" i="1"/>
  <c r="J92" i="1"/>
  <c r="CW92" i="1"/>
  <c r="BN92" i="1"/>
  <c r="BM92" i="1"/>
  <c r="DM93" i="1"/>
  <c r="DE93" i="1"/>
  <c r="M93" i="1"/>
  <c r="L93" i="1"/>
  <c r="CY93" i="1"/>
  <c r="R93" i="1"/>
  <c r="CX93" i="1"/>
  <c r="J93" i="1"/>
  <c r="CW93" i="1"/>
  <c r="BN93" i="1"/>
  <c r="BM93" i="1"/>
  <c r="DM94" i="1"/>
  <c r="DE94" i="1"/>
  <c r="M94" i="1"/>
  <c r="L94" i="1"/>
  <c r="CY94" i="1"/>
  <c r="R94" i="1"/>
  <c r="CX94" i="1"/>
  <c r="J94" i="1"/>
  <c r="CW94" i="1"/>
  <c r="BN94" i="1"/>
  <c r="BM94" i="1"/>
  <c r="DM1325" i="1"/>
  <c r="M1325" i="1"/>
  <c r="L1325" i="1"/>
  <c r="CY1325" i="1"/>
  <c r="R1325" i="1"/>
  <c r="CX1325" i="1"/>
  <c r="J1325" i="1"/>
  <c r="BN1325" i="1"/>
  <c r="BM1325" i="1"/>
  <c r="DM1323" i="1"/>
  <c r="M1323" i="1"/>
  <c r="L1323" i="1"/>
  <c r="CY1323" i="1"/>
  <c r="R1323" i="1"/>
  <c r="CX1323" i="1"/>
  <c r="J1323" i="1"/>
  <c r="BN1323" i="1"/>
  <c r="BM1323" i="1"/>
  <c r="DM95" i="1"/>
  <c r="DE95" i="1"/>
  <c r="M95" i="1"/>
  <c r="L95" i="1"/>
  <c r="CY95" i="1"/>
  <c r="R95" i="1"/>
  <c r="CX95" i="1"/>
  <c r="J95" i="1"/>
  <c r="CW95" i="1"/>
  <c r="BN95" i="1"/>
  <c r="BM95" i="1"/>
  <c r="DE1475" i="1"/>
  <c r="M1475" i="1"/>
  <c r="L1475" i="1"/>
  <c r="CY1475" i="1"/>
  <c r="Q1475" i="1"/>
  <c r="R1475" i="1"/>
  <c r="CX1475" i="1"/>
  <c r="J1475" i="1"/>
  <c r="CW1475" i="1"/>
  <c r="BN1475" i="1"/>
  <c r="BM1475" i="1"/>
  <c r="DM96" i="1"/>
  <c r="DE96" i="1"/>
  <c r="M96" i="1"/>
  <c r="L96" i="1"/>
  <c r="CY96" i="1"/>
  <c r="R96" i="1"/>
  <c r="CX96" i="1"/>
  <c r="J96" i="1"/>
  <c r="CW96" i="1"/>
  <c r="BN96" i="1"/>
  <c r="BM96" i="1"/>
  <c r="DM97" i="1"/>
  <c r="DE97" i="1"/>
  <c r="M97" i="1"/>
  <c r="L97" i="1"/>
  <c r="CY97" i="1"/>
  <c r="R97" i="1"/>
  <c r="CX97" i="1"/>
  <c r="J97" i="1"/>
  <c r="CW97" i="1"/>
  <c r="BN97" i="1"/>
  <c r="BM97" i="1"/>
  <c r="DE1471" i="1"/>
  <c r="M1471" i="1"/>
  <c r="L1471" i="1"/>
  <c r="CY1471" i="1"/>
  <c r="Q1471" i="1"/>
  <c r="R1471" i="1"/>
  <c r="CX1471" i="1"/>
  <c r="J1471" i="1"/>
  <c r="CW1471" i="1"/>
  <c r="BN1471" i="1"/>
  <c r="BM1471" i="1"/>
  <c r="DM98" i="1"/>
  <c r="DE98" i="1"/>
  <c r="M98" i="1"/>
  <c r="L98" i="1"/>
  <c r="CY98" i="1"/>
  <c r="R98" i="1"/>
  <c r="CX98" i="1"/>
  <c r="J98" i="1"/>
  <c r="CW98" i="1"/>
  <c r="BN98" i="1"/>
  <c r="BM98" i="1"/>
  <c r="DE1526" i="1"/>
  <c r="M1526" i="1"/>
  <c r="L1526" i="1"/>
  <c r="CY1526" i="1"/>
  <c r="Q1526" i="1"/>
  <c r="R1526" i="1"/>
  <c r="CX1526" i="1"/>
  <c r="J1526" i="1"/>
  <c r="CW1526" i="1"/>
  <c r="BN1526" i="1"/>
  <c r="BM1526" i="1"/>
  <c r="DM99" i="1"/>
  <c r="DE99" i="1"/>
  <c r="M99" i="1"/>
  <c r="L99" i="1"/>
  <c r="CY99" i="1"/>
  <c r="R99" i="1"/>
  <c r="CX99" i="1"/>
  <c r="J99" i="1"/>
  <c r="CW99" i="1"/>
  <c r="BN99" i="1"/>
  <c r="BM99" i="1"/>
  <c r="DM100" i="1"/>
  <c r="DE100" i="1"/>
  <c r="M100" i="1"/>
  <c r="L100" i="1"/>
  <c r="CY100" i="1"/>
  <c r="R100" i="1"/>
  <c r="CX100" i="1"/>
  <c r="J100" i="1"/>
  <c r="CW100" i="1"/>
  <c r="BN100" i="1"/>
  <c r="BM100" i="1"/>
  <c r="DM1326" i="1"/>
  <c r="M1326" i="1"/>
  <c r="L1326" i="1"/>
  <c r="CY1326" i="1"/>
  <c r="R1326" i="1"/>
  <c r="CX1326" i="1"/>
  <c r="J1326" i="1"/>
  <c r="BN1326" i="1"/>
  <c r="BM1326" i="1"/>
  <c r="DM101" i="1"/>
  <c r="DE101" i="1"/>
  <c r="M101" i="1"/>
  <c r="L101" i="1"/>
  <c r="CY101" i="1"/>
  <c r="R101" i="1"/>
  <c r="CX101" i="1"/>
  <c r="J101" i="1"/>
  <c r="CW101" i="1"/>
  <c r="BN101" i="1"/>
  <c r="BM101" i="1"/>
  <c r="DE1540" i="1"/>
  <c r="M1540" i="1"/>
  <c r="L1540" i="1"/>
  <c r="CY1540" i="1"/>
  <c r="Q1540" i="1"/>
  <c r="R1540" i="1"/>
  <c r="CX1540" i="1"/>
  <c r="J1540" i="1"/>
  <c r="CW1540" i="1"/>
  <c r="BN1540" i="1"/>
  <c r="BM1540" i="1"/>
  <c r="DM103" i="1"/>
  <c r="DE103" i="1"/>
  <c r="M103" i="1"/>
  <c r="L103" i="1"/>
  <c r="CY103" i="1"/>
  <c r="R103" i="1"/>
  <c r="CX103" i="1"/>
  <c r="J103" i="1"/>
  <c r="CW103" i="1"/>
  <c r="BN103" i="1"/>
  <c r="BM103" i="1"/>
  <c r="DE1523" i="1"/>
  <c r="M1523" i="1"/>
  <c r="L1523" i="1"/>
  <c r="CY1523" i="1"/>
  <c r="Q1523" i="1"/>
  <c r="R1523" i="1"/>
  <c r="CX1523" i="1"/>
  <c r="J1523" i="1"/>
  <c r="CW1523" i="1"/>
  <c r="BN1523" i="1"/>
  <c r="BM1523" i="1"/>
  <c r="DM104" i="1"/>
  <c r="DE104" i="1"/>
  <c r="M104" i="1"/>
  <c r="L104" i="1"/>
  <c r="CY104" i="1"/>
  <c r="R104" i="1"/>
  <c r="CX104" i="1"/>
  <c r="J104" i="1"/>
  <c r="CW104" i="1"/>
  <c r="BN104" i="1"/>
  <c r="BM104" i="1"/>
  <c r="DE1522" i="1"/>
  <c r="M1522" i="1"/>
  <c r="L1522" i="1"/>
  <c r="CY1522" i="1"/>
  <c r="Q1522" i="1"/>
  <c r="R1522" i="1"/>
  <c r="CX1522" i="1"/>
  <c r="J1522" i="1"/>
  <c r="CW1522" i="1"/>
  <c r="BN1522" i="1"/>
  <c r="BM1522" i="1"/>
  <c r="DM105" i="1"/>
  <c r="DE105" i="1"/>
  <c r="M105" i="1"/>
  <c r="L105" i="1"/>
  <c r="CY105" i="1"/>
  <c r="R105" i="1"/>
  <c r="CX105" i="1"/>
  <c r="J105" i="1"/>
  <c r="CW105" i="1"/>
  <c r="BN105" i="1"/>
  <c r="BM105" i="1"/>
  <c r="DE1515" i="1"/>
  <c r="M1515" i="1"/>
  <c r="L1515" i="1"/>
  <c r="CY1515" i="1"/>
  <c r="Q1515" i="1"/>
  <c r="R1515" i="1"/>
  <c r="CX1515" i="1"/>
  <c r="J1515" i="1"/>
  <c r="CW1515" i="1"/>
  <c r="BN1515" i="1"/>
  <c r="BM1515" i="1"/>
  <c r="DM106" i="1"/>
  <c r="DE106" i="1"/>
  <c r="M106" i="1"/>
  <c r="L106" i="1"/>
  <c r="CY106" i="1"/>
  <c r="R106" i="1"/>
  <c r="CX106" i="1"/>
  <c r="J106" i="1"/>
  <c r="CW106" i="1"/>
  <c r="BN106" i="1"/>
  <c r="BM106" i="1"/>
  <c r="DE1524" i="1"/>
  <c r="M1524" i="1"/>
  <c r="L1524" i="1"/>
  <c r="CY1524" i="1"/>
  <c r="Q1524" i="1"/>
  <c r="R1524" i="1"/>
  <c r="CX1524" i="1"/>
  <c r="J1524" i="1"/>
  <c r="CW1524" i="1"/>
  <c r="BN1524" i="1"/>
  <c r="BM1524" i="1"/>
  <c r="DE1533" i="1"/>
  <c r="M1533" i="1"/>
  <c r="L1533" i="1"/>
  <c r="CY1533" i="1"/>
  <c r="Q1533" i="1"/>
  <c r="R1533" i="1"/>
  <c r="CX1533" i="1"/>
  <c r="J1533" i="1"/>
  <c r="CW1533" i="1"/>
  <c r="BN1533" i="1"/>
  <c r="BM1533" i="1"/>
  <c r="DM107" i="1"/>
  <c r="DE107" i="1"/>
  <c r="M107" i="1"/>
  <c r="L107" i="1"/>
  <c r="CY107" i="1"/>
  <c r="R107" i="1"/>
  <c r="CX107" i="1"/>
  <c r="J107" i="1"/>
  <c r="CW107" i="1"/>
  <c r="BN107" i="1"/>
  <c r="BM107" i="1"/>
  <c r="DE1532" i="1"/>
  <c r="M1532" i="1"/>
  <c r="L1532" i="1"/>
  <c r="CY1532" i="1"/>
  <c r="Q1532" i="1"/>
  <c r="R1532" i="1"/>
  <c r="CX1532" i="1"/>
  <c r="J1532" i="1"/>
  <c r="CW1532" i="1"/>
  <c r="BN1532" i="1"/>
  <c r="BM1532" i="1"/>
  <c r="DM1020" i="1"/>
  <c r="DE1020" i="1"/>
  <c r="M1020" i="1"/>
  <c r="L1020" i="1"/>
  <c r="CY1020" i="1"/>
  <c r="R1020" i="1"/>
  <c r="CX1020" i="1"/>
  <c r="J1020" i="1"/>
  <c r="CW1020" i="1"/>
  <c r="BN1020" i="1"/>
  <c r="BM1020" i="1"/>
  <c r="DM108" i="1"/>
  <c r="DE108" i="1"/>
  <c r="M108" i="1"/>
  <c r="L108" i="1"/>
  <c r="CY108" i="1"/>
  <c r="R108" i="1"/>
  <c r="CX108" i="1"/>
  <c r="J108" i="1"/>
  <c r="CW108" i="1"/>
  <c r="BN108" i="1"/>
  <c r="BM108" i="1"/>
  <c r="DM982" i="1"/>
  <c r="DE982" i="1"/>
  <c r="M982" i="1"/>
  <c r="L982" i="1"/>
  <c r="CY982" i="1"/>
  <c r="Q982" i="1"/>
  <c r="R982" i="1"/>
  <c r="CX982" i="1"/>
  <c r="J982" i="1"/>
  <c r="CW982" i="1"/>
  <c r="BN982" i="1"/>
  <c r="BM982" i="1"/>
  <c r="DM109" i="1"/>
  <c r="DE109" i="1"/>
  <c r="M109" i="1"/>
  <c r="L109" i="1"/>
  <c r="CY109" i="1"/>
  <c r="R109" i="1"/>
  <c r="CX109" i="1"/>
  <c r="J109" i="1"/>
  <c r="CW109" i="1"/>
  <c r="BN109" i="1"/>
  <c r="BM109" i="1"/>
  <c r="DM992" i="1"/>
  <c r="DE992" i="1"/>
  <c r="M992" i="1"/>
  <c r="L992" i="1"/>
  <c r="CY992" i="1"/>
  <c r="Q992" i="1"/>
  <c r="R992" i="1"/>
  <c r="CX992" i="1"/>
  <c r="J992" i="1"/>
  <c r="CW992" i="1"/>
  <c r="BN992" i="1"/>
  <c r="BM992" i="1"/>
  <c r="DE1534" i="1"/>
  <c r="M1534" i="1"/>
  <c r="L1534" i="1"/>
  <c r="CY1534" i="1"/>
  <c r="Q1534" i="1"/>
  <c r="R1534" i="1"/>
  <c r="CX1534" i="1"/>
  <c r="J1534" i="1"/>
  <c r="CW1534" i="1"/>
  <c r="BN1534" i="1"/>
  <c r="BM1534" i="1"/>
  <c r="DE1538" i="1"/>
  <c r="M1538" i="1"/>
  <c r="L1538" i="1"/>
  <c r="CY1538" i="1"/>
  <c r="Q1538" i="1"/>
  <c r="R1538" i="1"/>
  <c r="CX1538" i="1"/>
  <c r="J1538" i="1"/>
  <c r="CW1538" i="1"/>
  <c r="BN1538" i="1"/>
  <c r="BM1538" i="1"/>
  <c r="DM111" i="1"/>
  <c r="DE111" i="1"/>
  <c r="M111" i="1"/>
  <c r="L111" i="1"/>
  <c r="CY111" i="1"/>
  <c r="R111" i="1"/>
  <c r="CX111" i="1"/>
  <c r="J111" i="1"/>
  <c r="CW111" i="1"/>
  <c r="BN111" i="1"/>
  <c r="BM111" i="1"/>
  <c r="DM1022" i="1"/>
  <c r="DE1022" i="1"/>
  <c r="M1022" i="1"/>
  <c r="L1022" i="1"/>
  <c r="CY1022" i="1"/>
  <c r="Q1022" i="1"/>
  <c r="R1022" i="1"/>
  <c r="CX1022" i="1"/>
  <c r="J1022" i="1"/>
  <c r="CW1022" i="1"/>
  <c r="BN1022" i="1"/>
  <c r="BM1022" i="1"/>
  <c r="DM1017" i="1"/>
  <c r="DE1017" i="1"/>
  <c r="M1017" i="1"/>
  <c r="L1017" i="1"/>
  <c r="CY1017" i="1"/>
  <c r="Q1017" i="1"/>
  <c r="R1017" i="1"/>
  <c r="CX1017" i="1"/>
  <c r="J1017" i="1"/>
  <c r="CW1017" i="1"/>
  <c r="BN1017" i="1"/>
  <c r="BM1017" i="1"/>
  <c r="DM1016" i="1"/>
  <c r="DE1016" i="1"/>
  <c r="M1016" i="1"/>
  <c r="L1016" i="1"/>
  <c r="CY1016" i="1"/>
  <c r="Q1016" i="1"/>
  <c r="R1016" i="1"/>
  <c r="CX1016" i="1"/>
  <c r="J1016" i="1"/>
  <c r="CW1016" i="1"/>
  <c r="BN1016" i="1"/>
  <c r="BM1016" i="1"/>
  <c r="DM1014" i="1"/>
  <c r="DE1014" i="1"/>
  <c r="M1014" i="1"/>
  <c r="L1014" i="1"/>
  <c r="CY1014" i="1"/>
  <c r="Q1014" i="1"/>
  <c r="R1014" i="1"/>
  <c r="CX1014" i="1"/>
  <c r="J1014" i="1"/>
  <c r="CW1014" i="1"/>
  <c r="BN1014" i="1"/>
  <c r="BM1014" i="1"/>
  <c r="DM1358" i="1"/>
  <c r="DE1358" i="1"/>
  <c r="M1358" i="1"/>
  <c r="L1358" i="1"/>
  <c r="CY1358" i="1"/>
  <c r="Q1358" i="1"/>
  <c r="R1358" i="1"/>
  <c r="CX1358" i="1"/>
  <c r="J1358" i="1"/>
  <c r="CW1358" i="1"/>
  <c r="BN1358" i="1"/>
  <c r="BM1358" i="1"/>
  <c r="DM112" i="1"/>
  <c r="DE112" i="1"/>
  <c r="M112" i="1"/>
  <c r="L112" i="1"/>
  <c r="CY112" i="1"/>
  <c r="R112" i="1"/>
  <c r="CX112" i="1"/>
  <c r="J112" i="1"/>
  <c r="CW112" i="1"/>
  <c r="BN112" i="1"/>
  <c r="BM112" i="1"/>
  <c r="DM983" i="1"/>
  <c r="DE983" i="1"/>
  <c r="M983" i="1"/>
  <c r="L983" i="1"/>
  <c r="CY983" i="1"/>
  <c r="Q983" i="1"/>
  <c r="R983" i="1"/>
  <c r="CX983" i="1"/>
  <c r="J983" i="1"/>
  <c r="CW983" i="1"/>
  <c r="BN983" i="1"/>
  <c r="BM983" i="1"/>
  <c r="DM1023" i="1"/>
  <c r="DE1023" i="1"/>
  <c r="M1023" i="1"/>
  <c r="L1023" i="1"/>
  <c r="CY1023" i="1"/>
  <c r="R1023" i="1"/>
  <c r="CX1023" i="1"/>
  <c r="J1023" i="1"/>
  <c r="CW1023" i="1"/>
  <c r="BN1023" i="1"/>
  <c r="BM1023" i="1"/>
  <c r="DE1528" i="1"/>
  <c r="M1528" i="1"/>
  <c r="L1528" i="1"/>
  <c r="CY1528" i="1"/>
  <c r="Q1528" i="1"/>
  <c r="R1528" i="1"/>
  <c r="CX1528" i="1"/>
  <c r="J1528" i="1"/>
  <c r="CW1528" i="1"/>
  <c r="BN1528" i="1"/>
  <c r="BM1528" i="1"/>
  <c r="DM113" i="1"/>
  <c r="DE113" i="1"/>
  <c r="M113" i="1"/>
  <c r="L113" i="1"/>
  <c r="CY113" i="1"/>
  <c r="R113" i="1"/>
  <c r="CX113" i="1"/>
  <c r="J113" i="1"/>
  <c r="CW113" i="1"/>
  <c r="BN113" i="1"/>
  <c r="BM113" i="1"/>
  <c r="DM114" i="1"/>
  <c r="DE114" i="1"/>
  <c r="M114" i="1"/>
  <c r="L114" i="1"/>
  <c r="CY114" i="1"/>
  <c r="R114" i="1"/>
  <c r="CX114" i="1"/>
  <c r="J114" i="1"/>
  <c r="CW114" i="1"/>
  <c r="BN114" i="1"/>
  <c r="BM114" i="1"/>
  <c r="DM120" i="1"/>
  <c r="DE120" i="1"/>
  <c r="M120" i="1"/>
  <c r="L120" i="1"/>
  <c r="CY120" i="1"/>
  <c r="R120" i="1"/>
  <c r="CX120" i="1"/>
  <c r="J120" i="1"/>
  <c r="CW120" i="1"/>
  <c r="BN120" i="1"/>
  <c r="BM120" i="1"/>
  <c r="DM121" i="1"/>
  <c r="DE121" i="1"/>
  <c r="M121" i="1"/>
  <c r="L121" i="1"/>
  <c r="CY121" i="1"/>
  <c r="R121" i="1"/>
  <c r="CX121" i="1"/>
  <c r="J121" i="1"/>
  <c r="CW121" i="1"/>
  <c r="BN121" i="1"/>
  <c r="BM121" i="1"/>
  <c r="DM122" i="1"/>
  <c r="DE122" i="1"/>
  <c r="M122" i="1"/>
  <c r="L122" i="1"/>
  <c r="CY122" i="1"/>
  <c r="R122" i="1"/>
  <c r="CX122" i="1"/>
  <c r="J122" i="1"/>
  <c r="CW122" i="1"/>
  <c r="BN122" i="1"/>
  <c r="BM122" i="1"/>
  <c r="DE1531" i="1"/>
  <c r="M1531" i="1"/>
  <c r="L1531" i="1"/>
  <c r="CY1531" i="1"/>
  <c r="Q1531" i="1"/>
  <c r="R1531" i="1"/>
  <c r="CX1531" i="1"/>
  <c r="J1531" i="1"/>
  <c r="CW1531" i="1"/>
  <c r="BN1531" i="1"/>
  <c r="BM1531" i="1"/>
  <c r="DE1530" i="1"/>
  <c r="M1530" i="1"/>
  <c r="L1530" i="1"/>
  <c r="CY1530" i="1"/>
  <c r="Q1530" i="1"/>
  <c r="R1530" i="1"/>
  <c r="CX1530" i="1"/>
  <c r="J1530" i="1"/>
  <c r="CW1530" i="1"/>
  <c r="BN1530" i="1"/>
  <c r="BM1530" i="1"/>
  <c r="DM123" i="1"/>
  <c r="DE123" i="1"/>
  <c r="M123" i="1"/>
  <c r="L123" i="1"/>
  <c r="CY123" i="1"/>
  <c r="R123" i="1"/>
  <c r="CX123" i="1"/>
  <c r="J123" i="1"/>
  <c r="CW123" i="1"/>
  <c r="BN123" i="1"/>
  <c r="BM123" i="1"/>
  <c r="DE1473" i="1"/>
  <c r="M1473" i="1"/>
  <c r="L1473" i="1"/>
  <c r="CY1473" i="1"/>
  <c r="Q1473" i="1"/>
  <c r="R1473" i="1"/>
  <c r="CX1473" i="1"/>
  <c r="J1473" i="1"/>
  <c r="CW1473" i="1"/>
  <c r="BN1473" i="1"/>
  <c r="BM1473" i="1"/>
  <c r="DE1472" i="1"/>
  <c r="M1472" i="1"/>
  <c r="L1472" i="1"/>
  <c r="CY1472" i="1"/>
  <c r="Q1472" i="1"/>
  <c r="R1472" i="1"/>
  <c r="CX1472" i="1"/>
  <c r="J1472" i="1"/>
  <c r="CW1472" i="1"/>
  <c r="BN1472" i="1"/>
  <c r="BM1472" i="1"/>
  <c r="DE1476" i="1"/>
  <c r="M1476" i="1"/>
  <c r="L1476" i="1"/>
  <c r="CY1476" i="1"/>
  <c r="Q1476" i="1"/>
  <c r="R1476" i="1"/>
  <c r="CX1476" i="1"/>
  <c r="J1476" i="1"/>
  <c r="CW1476" i="1"/>
  <c r="BN1476" i="1"/>
  <c r="BM1476" i="1"/>
  <c r="DM37" i="1"/>
  <c r="DE37" i="1"/>
  <c r="M37" i="1"/>
  <c r="L37" i="1"/>
  <c r="CY37" i="1"/>
  <c r="Q37" i="1"/>
  <c r="R37" i="1"/>
  <c r="CX37" i="1"/>
  <c r="J37" i="1"/>
  <c r="CW37" i="1"/>
  <c r="BN37" i="1"/>
  <c r="BM37" i="1"/>
  <c r="DM40" i="1"/>
  <c r="DE40" i="1"/>
  <c r="M40" i="1"/>
  <c r="L40" i="1"/>
  <c r="CY40" i="1"/>
  <c r="Q40" i="1"/>
  <c r="R40" i="1"/>
  <c r="CX40" i="1"/>
  <c r="J40" i="1"/>
  <c r="CW40" i="1"/>
  <c r="BN40" i="1"/>
  <c r="BM40" i="1"/>
  <c r="DE1529" i="1"/>
  <c r="M1529" i="1"/>
  <c r="L1529" i="1"/>
  <c r="CY1529" i="1"/>
  <c r="Q1529" i="1"/>
  <c r="R1529" i="1"/>
  <c r="CX1529" i="1"/>
  <c r="J1529" i="1"/>
  <c r="CW1529" i="1"/>
  <c r="BN1529" i="1"/>
  <c r="BM1529" i="1"/>
  <c r="DM43" i="1"/>
  <c r="DE43" i="1"/>
  <c r="M43" i="1"/>
  <c r="L43" i="1"/>
  <c r="CY43" i="1"/>
  <c r="R43" i="1"/>
  <c r="CX43" i="1"/>
  <c r="J43" i="1"/>
  <c r="CW43" i="1"/>
  <c r="BN43" i="1"/>
  <c r="BM43" i="1"/>
  <c r="DE1527" i="1"/>
  <c r="M1527" i="1"/>
  <c r="L1527" i="1"/>
  <c r="CY1527" i="1"/>
  <c r="Q1527" i="1"/>
  <c r="R1527" i="1"/>
  <c r="CX1527" i="1"/>
  <c r="J1527" i="1"/>
  <c r="CW1527" i="1"/>
  <c r="BN1527" i="1"/>
  <c r="BM1527" i="1"/>
  <c r="DE1535" i="1"/>
  <c r="M1535" i="1"/>
  <c r="L1535" i="1"/>
  <c r="CY1535" i="1"/>
  <c r="Q1535" i="1"/>
  <c r="R1535" i="1"/>
  <c r="CX1535" i="1"/>
  <c r="J1535" i="1"/>
  <c r="CW1535" i="1"/>
  <c r="BN1535" i="1"/>
  <c r="BM1535" i="1"/>
  <c r="DE1541" i="1"/>
  <c r="M1541" i="1"/>
  <c r="L1541" i="1"/>
  <c r="CY1541" i="1"/>
  <c r="Q1541" i="1"/>
  <c r="R1541" i="1"/>
  <c r="CX1541" i="1"/>
  <c r="J1541" i="1"/>
  <c r="CW1541" i="1"/>
  <c r="BN1541" i="1"/>
  <c r="BM1541" i="1"/>
  <c r="DM45" i="1"/>
  <c r="DE45" i="1"/>
  <c r="M45" i="1"/>
  <c r="L45" i="1"/>
  <c r="CY45" i="1"/>
  <c r="R45" i="1"/>
  <c r="CX45" i="1"/>
  <c r="J45" i="1"/>
  <c r="CW45" i="1"/>
  <c r="BN45" i="1"/>
  <c r="BM45" i="1"/>
  <c r="DM81" i="1"/>
  <c r="DE81" i="1"/>
  <c r="M81" i="1"/>
  <c r="L81" i="1"/>
  <c r="CY81" i="1"/>
  <c r="R81" i="1"/>
  <c r="CX81" i="1"/>
  <c r="J81" i="1"/>
  <c r="CW81" i="1"/>
  <c r="BN81" i="1"/>
  <c r="BM81" i="1"/>
  <c r="DM84" i="1"/>
  <c r="DE84" i="1"/>
  <c r="M84" i="1"/>
  <c r="L84" i="1"/>
  <c r="CY84" i="1"/>
  <c r="R84" i="1"/>
  <c r="CX84" i="1"/>
  <c r="J84" i="1"/>
  <c r="CW84" i="1"/>
  <c r="BN84" i="1"/>
  <c r="BM84" i="1"/>
  <c r="DM1356" i="1"/>
  <c r="M1356" i="1"/>
  <c r="L1356" i="1"/>
  <c r="CY1356" i="1"/>
  <c r="R1356" i="1"/>
  <c r="CX1356" i="1"/>
  <c r="J1356" i="1"/>
  <c r="BN1356" i="1"/>
  <c r="BM1356" i="1"/>
  <c r="DM110" i="1"/>
  <c r="DE110" i="1"/>
  <c r="M110" i="1"/>
  <c r="L110" i="1"/>
  <c r="CY110" i="1"/>
  <c r="Q110" i="1"/>
  <c r="R110" i="1"/>
  <c r="CX110" i="1"/>
  <c r="J110" i="1"/>
  <c r="CW110" i="1"/>
  <c r="BN110" i="1"/>
  <c r="BM110" i="1"/>
  <c r="DM115" i="1"/>
  <c r="DE115" i="1"/>
  <c r="M115" i="1"/>
  <c r="L115" i="1"/>
  <c r="CY115" i="1"/>
  <c r="R115" i="1"/>
  <c r="CX115" i="1"/>
  <c r="J115" i="1"/>
  <c r="CW115" i="1"/>
  <c r="BN115" i="1"/>
  <c r="BM115" i="1"/>
  <c r="DM117" i="1"/>
  <c r="DE117" i="1"/>
  <c r="M117" i="1"/>
  <c r="L117" i="1"/>
  <c r="CY117" i="1"/>
  <c r="Q117" i="1"/>
  <c r="R117" i="1"/>
  <c r="CX117" i="1"/>
  <c r="J117" i="1"/>
  <c r="CW117" i="1"/>
  <c r="BN117" i="1"/>
  <c r="BM117" i="1"/>
  <c r="DE166" i="1"/>
  <c r="M166" i="1"/>
  <c r="L166" i="1"/>
  <c r="CY166" i="1"/>
  <c r="Q166" i="1"/>
  <c r="R166" i="1"/>
  <c r="CX166" i="1"/>
  <c r="J166" i="1"/>
  <c r="CW166" i="1"/>
  <c r="BN166" i="1"/>
  <c r="BM166" i="1"/>
  <c r="DE1519" i="1"/>
  <c r="M1519" i="1"/>
  <c r="L1519" i="1"/>
  <c r="CY1519" i="1"/>
  <c r="Q1519" i="1"/>
  <c r="R1519" i="1"/>
  <c r="CX1519" i="1"/>
  <c r="J1519" i="1"/>
  <c r="CW1519" i="1"/>
  <c r="BN1519" i="1"/>
  <c r="BM1519" i="1"/>
  <c r="DM171" i="1"/>
  <c r="DE171" i="1"/>
  <c r="M171" i="1"/>
  <c r="L171" i="1"/>
  <c r="CY171" i="1"/>
  <c r="R171" i="1"/>
  <c r="CX171" i="1"/>
  <c r="J171" i="1"/>
  <c r="CW171" i="1"/>
  <c r="BN171" i="1"/>
  <c r="BM171" i="1"/>
  <c r="DM193" i="1"/>
  <c r="DE193" i="1"/>
  <c r="M193" i="1"/>
  <c r="L193" i="1"/>
  <c r="CY193" i="1"/>
  <c r="R193" i="1"/>
  <c r="CX193" i="1"/>
  <c r="J193" i="1"/>
  <c r="CW193" i="1"/>
  <c r="BN193" i="1"/>
  <c r="BM193" i="1"/>
  <c r="DM196" i="1"/>
  <c r="DE196" i="1"/>
  <c r="M196" i="1"/>
  <c r="L196" i="1"/>
  <c r="CY196" i="1"/>
  <c r="R196" i="1"/>
  <c r="CX196" i="1"/>
  <c r="J196" i="1"/>
  <c r="CW196" i="1"/>
  <c r="BN196" i="1"/>
  <c r="BM196" i="1"/>
  <c r="DM200" i="1"/>
  <c r="DE200" i="1"/>
  <c r="M200" i="1"/>
  <c r="L200" i="1"/>
  <c r="CY200" i="1"/>
  <c r="R200" i="1"/>
  <c r="CX200" i="1"/>
  <c r="J200" i="1"/>
  <c r="CW200" i="1"/>
  <c r="BN200" i="1"/>
  <c r="BM200" i="1"/>
  <c r="DM230" i="1"/>
  <c r="DE230" i="1"/>
  <c r="M230" i="1"/>
  <c r="L230" i="1"/>
  <c r="CY230" i="1"/>
  <c r="Q230" i="1"/>
  <c r="R230" i="1"/>
  <c r="CX230" i="1"/>
  <c r="J230" i="1"/>
  <c r="CW230" i="1"/>
  <c r="BN230" i="1"/>
  <c r="BM230" i="1"/>
  <c r="DM1292" i="1"/>
  <c r="DE1292" i="1"/>
  <c r="M1292" i="1"/>
  <c r="L1292" i="1"/>
  <c r="CY1292" i="1"/>
  <c r="Q1292" i="1"/>
  <c r="R1292" i="1"/>
  <c r="CX1292" i="1"/>
  <c r="J1292" i="1"/>
  <c r="CW1292" i="1"/>
  <c r="BN1292" i="1"/>
  <c r="BM1292" i="1"/>
  <c r="DM125" i="1"/>
  <c r="DE125" i="1"/>
  <c r="M125" i="1"/>
  <c r="L125" i="1"/>
  <c r="CY125" i="1"/>
  <c r="R125" i="1"/>
  <c r="CX125" i="1"/>
  <c r="J125" i="1"/>
  <c r="CW125" i="1"/>
  <c r="BN125" i="1"/>
  <c r="BM125" i="1"/>
  <c r="DM129" i="1"/>
  <c r="DE129" i="1"/>
  <c r="M129" i="1"/>
  <c r="L129" i="1"/>
  <c r="CY129" i="1"/>
  <c r="R129" i="1"/>
  <c r="CX129" i="1"/>
  <c r="J129" i="1"/>
  <c r="CW129" i="1"/>
  <c r="BN129" i="1"/>
  <c r="BM129" i="1"/>
  <c r="DM167" i="1"/>
  <c r="DE167" i="1"/>
  <c r="M167" i="1"/>
  <c r="L167" i="1"/>
  <c r="CY167" i="1"/>
  <c r="R167" i="1"/>
  <c r="CX167" i="1"/>
  <c r="J167" i="1"/>
  <c r="CW167" i="1"/>
  <c r="BN167" i="1"/>
  <c r="BM167" i="1"/>
  <c r="DE1521" i="1"/>
  <c r="CZ1521" i="1"/>
  <c r="M1521" i="1"/>
  <c r="L1521" i="1"/>
  <c r="CY1521" i="1"/>
  <c r="Q1521" i="1"/>
  <c r="R1521" i="1"/>
  <c r="CX1521" i="1"/>
  <c r="J1521" i="1"/>
  <c r="CW1521" i="1"/>
  <c r="BN1521" i="1"/>
  <c r="BM1521" i="1"/>
  <c r="DE1539" i="1"/>
  <c r="M1539" i="1"/>
  <c r="L1539" i="1"/>
  <c r="CY1539" i="1"/>
  <c r="Q1539" i="1"/>
  <c r="R1539" i="1"/>
  <c r="CX1539" i="1"/>
  <c r="J1539" i="1"/>
  <c r="CW1539" i="1"/>
  <c r="BN1539" i="1"/>
  <c r="BM1539" i="1"/>
  <c r="DE1482" i="1"/>
  <c r="M1482" i="1"/>
  <c r="L1482" i="1"/>
  <c r="CY1482" i="1"/>
  <c r="Q1482" i="1"/>
  <c r="R1482" i="1"/>
  <c r="CX1482" i="1"/>
  <c r="J1482" i="1"/>
  <c r="CW1482" i="1"/>
  <c r="BN1482" i="1"/>
  <c r="BM1482" i="1"/>
  <c r="DM38" i="1"/>
  <c r="DE38" i="1"/>
  <c r="M38" i="1"/>
  <c r="L38" i="1"/>
  <c r="CY38" i="1"/>
  <c r="R38" i="1"/>
  <c r="CX38" i="1"/>
  <c r="J38" i="1"/>
  <c r="CW38" i="1"/>
  <c r="BN38" i="1"/>
  <c r="BM38" i="1"/>
  <c r="DM1390" i="1"/>
  <c r="DE1390" i="1"/>
  <c r="M1390" i="1"/>
  <c r="L1390" i="1"/>
  <c r="CY1390" i="1"/>
  <c r="Q1390" i="1"/>
  <c r="R1390" i="1"/>
  <c r="CX1390" i="1"/>
  <c r="J1390" i="1"/>
  <c r="CW1390" i="1"/>
  <c r="BN1390" i="1"/>
  <c r="BM1390" i="1"/>
  <c r="DM130" i="1"/>
  <c r="DE130" i="1"/>
  <c r="M130" i="1"/>
  <c r="L130" i="1"/>
  <c r="CY130" i="1"/>
  <c r="R130" i="1"/>
  <c r="CX130" i="1"/>
  <c r="J130" i="1"/>
  <c r="CW130" i="1"/>
  <c r="BN130" i="1"/>
  <c r="BM130" i="1"/>
  <c r="DM132" i="1"/>
  <c r="DE132" i="1"/>
  <c r="M132" i="1"/>
  <c r="L132" i="1"/>
  <c r="CY132" i="1"/>
  <c r="R132" i="1"/>
  <c r="CX132" i="1"/>
  <c r="J132" i="1"/>
  <c r="CW132" i="1"/>
  <c r="BN132" i="1"/>
  <c r="BM132" i="1"/>
  <c r="DE1518" i="1"/>
  <c r="M1518" i="1"/>
  <c r="L1518" i="1"/>
  <c r="CY1518" i="1"/>
  <c r="Q1518" i="1"/>
  <c r="R1518" i="1"/>
  <c r="CX1518" i="1"/>
  <c r="J1518" i="1"/>
  <c r="CW1518" i="1"/>
  <c r="BN1518" i="1"/>
  <c r="BM1518" i="1"/>
  <c r="DE1517" i="1"/>
  <c r="M1517" i="1"/>
  <c r="L1517" i="1"/>
  <c r="CY1517" i="1"/>
  <c r="Q1517" i="1"/>
  <c r="R1517" i="1"/>
  <c r="CX1517" i="1"/>
  <c r="J1517" i="1"/>
  <c r="CW1517" i="1"/>
  <c r="BN1517" i="1"/>
  <c r="BM1517" i="1"/>
  <c r="DE1516" i="1"/>
  <c r="M1516" i="1"/>
  <c r="L1516" i="1"/>
  <c r="CY1516" i="1"/>
  <c r="Q1516" i="1"/>
  <c r="R1516" i="1"/>
  <c r="CX1516" i="1"/>
  <c r="J1516" i="1"/>
  <c r="CW1516" i="1"/>
  <c r="BN1516" i="1"/>
  <c r="BM1516" i="1"/>
  <c r="DE1480" i="1"/>
  <c r="M1480" i="1"/>
  <c r="L1480" i="1"/>
  <c r="CY1480" i="1"/>
  <c r="Q1480" i="1"/>
  <c r="R1480" i="1"/>
  <c r="CX1480" i="1"/>
  <c r="J1480" i="1"/>
  <c r="CW1480" i="1"/>
  <c r="BN1480" i="1"/>
  <c r="BM1480" i="1"/>
  <c r="DE1479" i="1"/>
  <c r="M1479" i="1"/>
  <c r="L1479" i="1"/>
  <c r="CY1479" i="1"/>
  <c r="Q1479" i="1"/>
  <c r="R1479" i="1"/>
  <c r="CX1479" i="1"/>
  <c r="J1479" i="1"/>
  <c r="CW1479" i="1"/>
  <c r="BN1479" i="1"/>
  <c r="BM1479" i="1"/>
  <c r="DE1478" i="1"/>
  <c r="M1478" i="1"/>
  <c r="L1478" i="1"/>
  <c r="CY1478" i="1"/>
  <c r="Q1478" i="1"/>
  <c r="R1478" i="1"/>
  <c r="CX1478" i="1"/>
  <c r="J1478" i="1"/>
  <c r="CW1478" i="1"/>
  <c r="BN1478" i="1"/>
  <c r="BM1478" i="1"/>
  <c r="DE1477" i="1"/>
  <c r="M1477" i="1"/>
  <c r="L1477" i="1"/>
  <c r="CY1477" i="1"/>
  <c r="Q1477" i="1"/>
  <c r="R1477" i="1"/>
  <c r="CX1477" i="1"/>
  <c r="J1477" i="1"/>
  <c r="CW1477" i="1"/>
  <c r="BN1477" i="1"/>
  <c r="BM1477" i="1"/>
  <c r="DE1474" i="1"/>
  <c r="M1474" i="1"/>
  <c r="L1474" i="1"/>
  <c r="CY1474" i="1"/>
  <c r="Q1474" i="1"/>
  <c r="R1474" i="1"/>
  <c r="CX1474" i="1"/>
  <c r="J1474" i="1"/>
  <c r="CW1474" i="1"/>
  <c r="BN1474" i="1"/>
  <c r="BM1474" i="1"/>
  <c r="DM1013" i="1"/>
  <c r="DE1013" i="1"/>
  <c r="M1013" i="1"/>
  <c r="L1013" i="1"/>
  <c r="CY1013" i="1"/>
  <c r="Q1013" i="1"/>
  <c r="R1013" i="1"/>
  <c r="CX1013" i="1"/>
  <c r="J1013" i="1"/>
  <c r="CW1013" i="1"/>
  <c r="BN1013" i="1"/>
  <c r="BM1013" i="1"/>
  <c r="DM134" i="1"/>
  <c r="DE134" i="1"/>
  <c r="M134" i="1"/>
  <c r="L134" i="1"/>
  <c r="CY134" i="1"/>
  <c r="R134" i="1"/>
  <c r="CX134" i="1"/>
  <c r="J134" i="1"/>
  <c r="CW134" i="1"/>
  <c r="BN134" i="1"/>
  <c r="BM134" i="1"/>
  <c r="DM136" i="1"/>
  <c r="DE136" i="1"/>
  <c r="M136" i="1"/>
  <c r="L136" i="1"/>
  <c r="CY136" i="1"/>
  <c r="R136" i="1"/>
  <c r="CX136" i="1"/>
  <c r="J136" i="1"/>
  <c r="CW136" i="1"/>
  <c r="BN136" i="1"/>
  <c r="BM136" i="1"/>
  <c r="DM137" i="1"/>
  <c r="DE137" i="1"/>
  <c r="M137" i="1"/>
  <c r="L137" i="1"/>
  <c r="CY137" i="1"/>
  <c r="R137" i="1"/>
  <c r="CX137" i="1"/>
  <c r="J137" i="1"/>
  <c r="CW137" i="1"/>
  <c r="BN137" i="1"/>
  <c r="BM137" i="1"/>
  <c r="DM138" i="1"/>
  <c r="DE138" i="1"/>
  <c r="M138" i="1"/>
  <c r="L138" i="1"/>
  <c r="CY138" i="1"/>
  <c r="R138" i="1"/>
  <c r="CX138" i="1"/>
  <c r="J138" i="1"/>
  <c r="CW138" i="1"/>
  <c r="BN138" i="1"/>
  <c r="BM138" i="1"/>
  <c r="DM139" i="1"/>
  <c r="DE139" i="1"/>
  <c r="M139" i="1"/>
  <c r="L139" i="1"/>
  <c r="CY139" i="1"/>
  <c r="R139" i="1"/>
  <c r="CX139" i="1"/>
  <c r="J139" i="1"/>
  <c r="CW139" i="1"/>
  <c r="BN139" i="1"/>
  <c r="BM139" i="1"/>
  <c r="DM140" i="1"/>
  <c r="DE140" i="1"/>
  <c r="M140" i="1"/>
  <c r="L140" i="1"/>
  <c r="CY140" i="1"/>
  <c r="R140" i="1"/>
  <c r="CX140" i="1"/>
  <c r="J140" i="1"/>
  <c r="CW140" i="1"/>
  <c r="BN140" i="1"/>
  <c r="BM140" i="1"/>
  <c r="DM141" i="1"/>
  <c r="DE141" i="1"/>
  <c r="M141" i="1"/>
  <c r="L141" i="1"/>
  <c r="CY141" i="1"/>
  <c r="R141" i="1"/>
  <c r="CX141" i="1"/>
  <c r="J141" i="1"/>
  <c r="CW141" i="1"/>
  <c r="BN141" i="1"/>
  <c r="BM141" i="1"/>
  <c r="DM1192" i="1"/>
  <c r="DE1192" i="1"/>
  <c r="M1192" i="1"/>
  <c r="L1192" i="1"/>
  <c r="CY1192" i="1"/>
  <c r="Q1192" i="1"/>
  <c r="R1192" i="1"/>
  <c r="CX1192" i="1"/>
  <c r="J1192" i="1"/>
  <c r="CW1192" i="1"/>
  <c r="BN1192" i="1"/>
  <c r="BM1192" i="1"/>
  <c r="DM142" i="1"/>
  <c r="DE142" i="1"/>
  <c r="M142" i="1"/>
  <c r="L142" i="1"/>
  <c r="CY142" i="1"/>
  <c r="R142" i="1"/>
  <c r="CX142" i="1"/>
  <c r="J142" i="1"/>
  <c r="CW142" i="1"/>
  <c r="BN142" i="1"/>
  <c r="BM142" i="1"/>
  <c r="DM143" i="1"/>
  <c r="DE143" i="1"/>
  <c r="M143" i="1"/>
  <c r="L143" i="1"/>
  <c r="CY143" i="1"/>
  <c r="R143" i="1"/>
  <c r="CX143" i="1"/>
  <c r="J143" i="1"/>
  <c r="CW143" i="1"/>
  <c r="BN143" i="1"/>
  <c r="BM143" i="1"/>
  <c r="DM145" i="1"/>
  <c r="DE145" i="1"/>
  <c r="M145" i="1"/>
  <c r="L145" i="1"/>
  <c r="CY145" i="1"/>
  <c r="R145" i="1"/>
  <c r="CX145" i="1"/>
  <c r="J145" i="1"/>
  <c r="CW145" i="1"/>
  <c r="BN145" i="1"/>
  <c r="BM145" i="1"/>
  <c r="DM146" i="1"/>
  <c r="DE146" i="1"/>
  <c r="M146" i="1"/>
  <c r="L146" i="1"/>
  <c r="CY146" i="1"/>
  <c r="R146" i="1"/>
  <c r="CX146" i="1"/>
  <c r="J146" i="1"/>
  <c r="CW146" i="1"/>
  <c r="BN146" i="1"/>
  <c r="BM146" i="1"/>
  <c r="DM51" i="1"/>
  <c r="DE51" i="1"/>
  <c r="M51" i="1"/>
  <c r="L51" i="1"/>
  <c r="CY51" i="1"/>
  <c r="R51" i="1"/>
  <c r="CX51" i="1"/>
  <c r="J51" i="1"/>
  <c r="CW51" i="1"/>
  <c r="BN51" i="1"/>
  <c r="BM51" i="1"/>
  <c r="DM52" i="1"/>
  <c r="DE52" i="1"/>
  <c r="M52" i="1"/>
  <c r="L52" i="1"/>
  <c r="CY52" i="1"/>
  <c r="R52" i="1"/>
  <c r="CX52" i="1"/>
  <c r="J52" i="1"/>
  <c r="CW52" i="1"/>
  <c r="BN52" i="1"/>
  <c r="BM52" i="1"/>
  <c r="DM53" i="1"/>
  <c r="DE53" i="1"/>
  <c r="M53" i="1"/>
  <c r="L53" i="1"/>
  <c r="CY53" i="1"/>
  <c r="R53" i="1"/>
  <c r="CX53" i="1"/>
  <c r="J53" i="1"/>
  <c r="CW53" i="1"/>
  <c r="BN53" i="1"/>
  <c r="BM53" i="1"/>
  <c r="DM54" i="1"/>
  <c r="DE54" i="1"/>
  <c r="M54" i="1"/>
  <c r="L54" i="1"/>
  <c r="CY54" i="1"/>
  <c r="R54" i="1"/>
  <c r="CX54" i="1"/>
  <c r="J54" i="1"/>
  <c r="CW54" i="1"/>
  <c r="BN54" i="1"/>
  <c r="BM54" i="1"/>
  <c r="DM55" i="1"/>
  <c r="DE55" i="1"/>
  <c r="M55" i="1"/>
  <c r="L55" i="1"/>
  <c r="CY55" i="1"/>
  <c r="R55" i="1"/>
  <c r="CX55" i="1"/>
  <c r="J55" i="1"/>
  <c r="CW55" i="1"/>
  <c r="BN55" i="1"/>
  <c r="BM55" i="1"/>
  <c r="DM1223" i="1"/>
  <c r="DE1223" i="1"/>
  <c r="M1223" i="1"/>
  <c r="L1223" i="1"/>
  <c r="CY1223" i="1"/>
  <c r="Q1223" i="1"/>
  <c r="R1223" i="1"/>
  <c r="CX1223" i="1"/>
  <c r="J1223" i="1"/>
  <c r="CW1223" i="1"/>
  <c r="BN1223" i="1"/>
  <c r="BM1223" i="1"/>
  <c r="DM58" i="1"/>
  <c r="DE58" i="1"/>
  <c r="M58" i="1"/>
  <c r="L58" i="1"/>
  <c r="CY58" i="1"/>
  <c r="R58" i="1"/>
  <c r="CX58" i="1"/>
  <c r="J58" i="1"/>
  <c r="CW58" i="1"/>
  <c r="BN58" i="1"/>
  <c r="BM58" i="1"/>
  <c r="DM61" i="1"/>
  <c r="DE61" i="1"/>
  <c r="M61" i="1"/>
  <c r="L61" i="1"/>
  <c r="CY61" i="1"/>
  <c r="R61" i="1"/>
  <c r="CX61" i="1"/>
  <c r="J61" i="1"/>
  <c r="CW61" i="1"/>
  <c r="BN61" i="1"/>
  <c r="BM61" i="1"/>
  <c r="DM62" i="1"/>
  <c r="DE62" i="1"/>
  <c r="M62" i="1"/>
  <c r="L62" i="1"/>
  <c r="CY62" i="1"/>
  <c r="R62" i="1"/>
  <c r="CX62" i="1"/>
  <c r="J62" i="1"/>
  <c r="CW62" i="1"/>
  <c r="BN62" i="1"/>
  <c r="BM62" i="1"/>
  <c r="DM63" i="1"/>
  <c r="DE63" i="1"/>
  <c r="M63" i="1"/>
  <c r="L63" i="1"/>
  <c r="CY63" i="1"/>
  <c r="R63" i="1"/>
  <c r="CX63" i="1"/>
  <c r="J63" i="1"/>
  <c r="CW63" i="1"/>
  <c r="BN63" i="1"/>
  <c r="BM63" i="1"/>
  <c r="DM64" i="1"/>
  <c r="DE64" i="1"/>
  <c r="M64" i="1"/>
  <c r="L64" i="1"/>
  <c r="CY64" i="1"/>
  <c r="R64" i="1"/>
  <c r="CX64" i="1"/>
  <c r="J64" i="1"/>
  <c r="CW64" i="1"/>
  <c r="BN64" i="1"/>
  <c r="BM64" i="1"/>
  <c r="DE1536" i="1"/>
  <c r="CZ1536" i="1"/>
  <c r="M1536" i="1"/>
  <c r="L1536" i="1"/>
  <c r="CY1536" i="1"/>
  <c r="Q1536" i="1"/>
  <c r="R1536" i="1"/>
  <c r="CX1536" i="1"/>
  <c r="J1536" i="1"/>
  <c r="CW1536" i="1"/>
  <c r="BN1536" i="1"/>
  <c r="BM1536" i="1"/>
  <c r="DM66" i="1"/>
  <c r="DE66" i="1"/>
  <c r="M66" i="1"/>
  <c r="L66" i="1"/>
  <c r="CY66" i="1"/>
  <c r="R66" i="1"/>
  <c r="CX66" i="1"/>
  <c r="J66" i="1"/>
  <c r="CW66" i="1"/>
  <c r="BN66" i="1"/>
  <c r="BM66" i="1"/>
  <c r="DM68" i="1"/>
  <c r="DE68" i="1"/>
  <c r="M68" i="1"/>
  <c r="L68" i="1"/>
  <c r="CY68" i="1"/>
  <c r="R68" i="1"/>
  <c r="CX68" i="1"/>
  <c r="J68" i="1"/>
  <c r="CW68" i="1"/>
  <c r="BN68" i="1"/>
  <c r="BM68" i="1"/>
  <c r="DM269" i="1"/>
  <c r="M269" i="1"/>
  <c r="L269" i="1"/>
  <c r="CY269" i="1"/>
  <c r="R269" i="1"/>
  <c r="CX269" i="1"/>
  <c r="J269" i="1"/>
  <c r="BN269" i="1"/>
  <c r="BM269" i="1"/>
  <c r="DM1308" i="1"/>
  <c r="DE1308" i="1"/>
  <c r="M1308" i="1"/>
  <c r="L1308" i="1"/>
  <c r="CY1308" i="1"/>
  <c r="Q1308" i="1"/>
  <c r="R1308" i="1"/>
  <c r="CX1308" i="1"/>
  <c r="J1308" i="1"/>
  <c r="CW1308" i="1"/>
  <c r="BN1308" i="1"/>
  <c r="BM1308" i="1"/>
  <c r="DM1324" i="1"/>
  <c r="DE1324" i="1"/>
  <c r="M1324" i="1"/>
  <c r="L1324" i="1"/>
  <c r="CY1324" i="1"/>
  <c r="Q1324" i="1"/>
  <c r="R1324" i="1"/>
  <c r="CX1324" i="1"/>
  <c r="J1324" i="1"/>
  <c r="CW1324" i="1"/>
  <c r="BN1324" i="1"/>
  <c r="BM1324" i="1"/>
  <c r="DM1327" i="1"/>
  <c r="DE1327" i="1"/>
  <c r="M1327" i="1"/>
  <c r="L1327" i="1"/>
  <c r="CY1327" i="1"/>
  <c r="Q1327" i="1"/>
  <c r="R1327" i="1"/>
  <c r="CX1327" i="1"/>
  <c r="J1327" i="1"/>
  <c r="CW1327" i="1"/>
  <c r="BN1327" i="1"/>
  <c r="BM1327" i="1"/>
  <c r="DM69" i="1"/>
  <c r="DE69" i="1"/>
  <c r="M69" i="1"/>
  <c r="L69" i="1"/>
  <c r="CY69" i="1"/>
  <c r="R69" i="1"/>
  <c r="CX69" i="1"/>
  <c r="J69" i="1"/>
  <c r="CW69" i="1"/>
  <c r="BN69" i="1"/>
  <c r="BM69" i="1"/>
  <c r="DM70" i="1"/>
  <c r="DE70" i="1"/>
  <c r="M70" i="1"/>
  <c r="L70" i="1"/>
  <c r="CY70" i="1"/>
  <c r="R70" i="1"/>
  <c r="CX70" i="1"/>
  <c r="J70" i="1"/>
  <c r="CW70" i="1"/>
  <c r="BN70" i="1"/>
  <c r="BM70" i="1"/>
  <c r="DM1396" i="1"/>
  <c r="DE1396" i="1"/>
  <c r="M1396" i="1"/>
  <c r="L1396" i="1"/>
  <c r="CY1396" i="1"/>
  <c r="Q1396" i="1"/>
  <c r="R1396" i="1"/>
  <c r="CX1396" i="1"/>
  <c r="J1396" i="1"/>
  <c r="CW1396" i="1"/>
  <c r="BN1396" i="1"/>
  <c r="BM1396" i="1"/>
  <c r="DE102" i="1"/>
  <c r="M102" i="1"/>
  <c r="L102" i="1"/>
  <c r="CY102" i="1"/>
  <c r="Q102" i="1"/>
  <c r="R102" i="1"/>
  <c r="CX102" i="1"/>
  <c r="J102" i="1"/>
  <c r="CW102" i="1"/>
  <c r="BN102" i="1"/>
  <c r="BM102" i="1"/>
  <c r="DM116" i="1"/>
  <c r="DE116" i="1"/>
  <c r="M116" i="1"/>
  <c r="L116" i="1"/>
  <c r="CY116" i="1"/>
  <c r="Q116" i="1"/>
  <c r="R116" i="1"/>
  <c r="CX116" i="1"/>
  <c r="J116" i="1"/>
  <c r="CW116" i="1"/>
  <c r="BN116" i="1"/>
  <c r="BM116" i="1"/>
  <c r="DM118" i="1"/>
  <c r="DE118" i="1"/>
  <c r="M118" i="1"/>
  <c r="L118" i="1"/>
  <c r="CY118" i="1"/>
  <c r="Q118" i="1"/>
  <c r="R118" i="1"/>
  <c r="CX118" i="1"/>
  <c r="J118" i="1"/>
  <c r="CW118" i="1"/>
  <c r="BN118" i="1"/>
  <c r="BM118" i="1"/>
  <c r="DE8" i="1"/>
  <c r="M8" i="1"/>
  <c r="L8" i="1"/>
  <c r="CY8" i="1"/>
  <c r="Q8" i="1"/>
  <c r="R8" i="1"/>
  <c r="CX8" i="1"/>
  <c r="J8" i="1"/>
  <c r="CW8" i="1"/>
  <c r="BN8" i="1"/>
  <c r="BM8" i="1"/>
  <c r="DE9" i="1"/>
  <c r="M9" i="1"/>
  <c r="L9" i="1"/>
  <c r="CY9" i="1"/>
  <c r="Q9" i="1"/>
  <c r="R9" i="1"/>
  <c r="CX9" i="1"/>
  <c r="J9" i="1"/>
  <c r="CW9" i="1"/>
  <c r="BN9" i="1"/>
  <c r="BM9" i="1"/>
  <c r="DM119" i="1"/>
  <c r="DE119" i="1"/>
  <c r="M119" i="1"/>
  <c r="L119" i="1"/>
  <c r="CY119" i="1"/>
  <c r="Q119" i="1"/>
  <c r="R119" i="1"/>
  <c r="CX119" i="1"/>
  <c r="J119" i="1"/>
  <c r="CW119" i="1"/>
  <c r="BN119" i="1"/>
  <c r="BM119" i="1"/>
  <c r="DM124" i="1"/>
  <c r="DE124" i="1"/>
  <c r="M124" i="1"/>
  <c r="L124" i="1"/>
  <c r="CY124" i="1"/>
  <c r="Q124" i="1"/>
  <c r="R124" i="1"/>
  <c r="CX124" i="1"/>
  <c r="J124" i="1"/>
  <c r="CW124" i="1"/>
  <c r="BN124" i="1"/>
  <c r="BM124" i="1"/>
  <c r="DM126" i="1"/>
  <c r="DE126" i="1"/>
  <c r="M126" i="1"/>
  <c r="L126" i="1"/>
  <c r="CY126" i="1"/>
  <c r="Q126" i="1"/>
  <c r="R126" i="1"/>
  <c r="CX126" i="1"/>
  <c r="J126" i="1"/>
  <c r="CW126" i="1"/>
  <c r="BN126" i="1"/>
  <c r="BM126" i="1"/>
  <c r="DM127" i="1"/>
  <c r="DE127" i="1"/>
  <c r="M127" i="1"/>
  <c r="L127" i="1"/>
  <c r="CY127" i="1"/>
  <c r="Q127" i="1"/>
  <c r="R127" i="1"/>
  <c r="CX127" i="1"/>
  <c r="J127" i="1"/>
  <c r="CW127" i="1"/>
  <c r="BN127" i="1"/>
  <c r="BM127" i="1"/>
  <c r="DM128" i="1"/>
  <c r="DE128" i="1"/>
  <c r="M128" i="1"/>
  <c r="L128" i="1"/>
  <c r="CY128" i="1"/>
  <c r="Q128" i="1"/>
  <c r="R128" i="1"/>
  <c r="CX128" i="1"/>
  <c r="J128" i="1"/>
  <c r="CW128" i="1"/>
  <c r="BN128" i="1"/>
  <c r="BM128" i="1"/>
  <c r="DM131" i="1"/>
  <c r="DE131" i="1"/>
  <c r="M131" i="1"/>
  <c r="L131" i="1"/>
  <c r="CY131" i="1"/>
  <c r="Q131" i="1"/>
  <c r="R131" i="1"/>
  <c r="CX131" i="1"/>
  <c r="J131" i="1"/>
  <c r="CW131" i="1"/>
  <c r="BN131" i="1"/>
  <c r="BM131" i="1"/>
  <c r="DM133" i="1"/>
  <c r="DE133" i="1"/>
  <c r="M133" i="1"/>
  <c r="L133" i="1"/>
  <c r="CY133" i="1"/>
  <c r="Q133" i="1"/>
  <c r="R133" i="1"/>
  <c r="CX133" i="1"/>
  <c r="J133" i="1"/>
  <c r="CW133" i="1"/>
  <c r="BN133" i="1"/>
  <c r="BM133" i="1"/>
  <c r="DE135" i="1"/>
  <c r="M135" i="1"/>
  <c r="L135" i="1"/>
  <c r="CY135" i="1"/>
  <c r="Q135" i="1"/>
  <c r="R135" i="1"/>
  <c r="CX135" i="1"/>
  <c r="J135" i="1"/>
  <c r="CW135" i="1"/>
  <c r="BN135" i="1"/>
  <c r="BM135" i="1"/>
  <c r="DE152" i="1"/>
  <c r="M152" i="1"/>
  <c r="L152" i="1"/>
  <c r="CY152" i="1"/>
  <c r="Q152" i="1"/>
  <c r="R152" i="1"/>
  <c r="CX152" i="1"/>
  <c r="J152" i="1"/>
  <c r="CW152" i="1"/>
  <c r="BN152" i="1"/>
  <c r="BM152" i="1"/>
  <c r="DM160" i="1"/>
  <c r="DE160" i="1"/>
  <c r="M160" i="1"/>
  <c r="L160" i="1"/>
  <c r="CY160" i="1"/>
  <c r="Q160" i="1"/>
  <c r="R160" i="1"/>
  <c r="CX160" i="1"/>
  <c r="J160" i="1"/>
  <c r="CW160" i="1"/>
  <c r="BN160" i="1"/>
  <c r="BM160" i="1"/>
  <c r="DM161" i="1"/>
  <c r="DE161" i="1"/>
  <c r="M161" i="1"/>
  <c r="L161" i="1"/>
  <c r="CY161" i="1"/>
  <c r="Q161" i="1"/>
  <c r="R161" i="1"/>
  <c r="CX161" i="1"/>
  <c r="J161" i="1"/>
  <c r="CW161" i="1"/>
  <c r="BN161" i="1"/>
  <c r="BM161" i="1"/>
  <c r="DM162" i="1"/>
  <c r="DE162" i="1"/>
  <c r="M162" i="1"/>
  <c r="L162" i="1"/>
  <c r="CY162" i="1"/>
  <c r="Q162" i="1"/>
  <c r="R162" i="1"/>
  <c r="CX162" i="1"/>
  <c r="J162" i="1"/>
  <c r="CW162" i="1"/>
  <c r="BN162" i="1"/>
  <c r="BM162" i="1"/>
  <c r="DM163" i="1"/>
  <c r="DE163" i="1"/>
  <c r="M163" i="1"/>
  <c r="L163" i="1"/>
  <c r="CY163" i="1"/>
  <c r="Q163" i="1"/>
  <c r="R163" i="1"/>
  <c r="CX163" i="1"/>
  <c r="J163" i="1"/>
  <c r="CW163" i="1"/>
  <c r="BN163" i="1"/>
  <c r="BM163" i="1"/>
  <c r="DM169" i="1"/>
  <c r="DE169" i="1"/>
  <c r="M169" i="1"/>
  <c r="L169" i="1"/>
  <c r="CY169" i="1"/>
  <c r="Q169" i="1"/>
  <c r="R169" i="1"/>
  <c r="CX169" i="1"/>
  <c r="J169" i="1"/>
  <c r="CW169" i="1"/>
  <c r="BN169" i="1"/>
  <c r="BM169" i="1"/>
  <c r="DM170" i="1"/>
  <c r="DE170" i="1"/>
  <c r="M170" i="1"/>
  <c r="L170" i="1"/>
  <c r="CY170" i="1"/>
  <c r="Q170" i="1"/>
  <c r="R170" i="1"/>
  <c r="CX170" i="1"/>
  <c r="J170" i="1"/>
  <c r="CW170" i="1"/>
  <c r="BN170" i="1"/>
  <c r="BM170" i="1"/>
  <c r="DM181" i="1"/>
  <c r="DE181" i="1"/>
  <c r="M181" i="1"/>
  <c r="L181" i="1"/>
  <c r="CY181" i="1"/>
  <c r="Q181" i="1"/>
  <c r="R181" i="1"/>
  <c r="CX181" i="1"/>
  <c r="J181" i="1"/>
  <c r="CW181" i="1"/>
  <c r="BN181" i="1"/>
  <c r="BM181" i="1"/>
  <c r="DE206" i="1"/>
  <c r="M206" i="1"/>
  <c r="L206" i="1"/>
  <c r="CY206" i="1"/>
  <c r="Q206" i="1"/>
  <c r="R206" i="1"/>
  <c r="CX206" i="1"/>
  <c r="J206" i="1"/>
  <c r="CW206" i="1"/>
  <c r="BN206" i="1"/>
  <c r="BM206" i="1"/>
  <c r="DM207" i="1"/>
  <c r="DE207" i="1"/>
  <c r="M207" i="1"/>
  <c r="L207" i="1"/>
  <c r="CY207" i="1"/>
  <c r="Q207" i="1"/>
  <c r="R207" i="1"/>
  <c r="CX207" i="1"/>
  <c r="J207" i="1"/>
  <c r="CW207" i="1"/>
  <c r="BN207" i="1"/>
  <c r="BM207" i="1"/>
  <c r="DM208" i="1"/>
  <c r="DE208" i="1"/>
  <c r="M208" i="1"/>
  <c r="L208" i="1"/>
  <c r="CY208" i="1"/>
  <c r="Q208" i="1"/>
  <c r="R208" i="1"/>
  <c r="CX208" i="1"/>
  <c r="J208" i="1"/>
  <c r="CW208" i="1"/>
  <c r="BN208" i="1"/>
  <c r="BM208" i="1"/>
  <c r="DM209" i="1"/>
  <c r="DE209" i="1"/>
  <c r="M209" i="1"/>
  <c r="L209" i="1"/>
  <c r="CY209" i="1"/>
  <c r="Q209" i="1"/>
  <c r="R209" i="1"/>
  <c r="CX209" i="1"/>
  <c r="J209" i="1"/>
  <c r="CW209" i="1"/>
  <c r="BN209" i="1"/>
  <c r="BM209" i="1"/>
  <c r="DM210" i="1"/>
  <c r="DE210" i="1"/>
  <c r="M210" i="1"/>
  <c r="L210" i="1"/>
  <c r="CY210" i="1"/>
  <c r="Q210" i="1"/>
  <c r="R210" i="1"/>
  <c r="CX210" i="1"/>
  <c r="J210" i="1"/>
  <c r="CW210" i="1"/>
  <c r="BN210" i="1"/>
  <c r="BM210" i="1"/>
  <c r="DM211" i="1"/>
  <c r="DE211" i="1"/>
  <c r="M211" i="1"/>
  <c r="L211" i="1"/>
  <c r="CY211" i="1"/>
  <c r="Q211" i="1"/>
  <c r="R211" i="1"/>
  <c r="CX211" i="1"/>
  <c r="J211" i="1"/>
  <c r="CW211" i="1"/>
  <c r="BN211" i="1"/>
  <c r="BM211" i="1"/>
  <c r="DM212" i="1"/>
  <c r="DE212" i="1"/>
  <c r="M212" i="1"/>
  <c r="L212" i="1"/>
  <c r="CY212" i="1"/>
  <c r="Q212" i="1"/>
  <c r="R212" i="1"/>
  <c r="CX212" i="1"/>
  <c r="J212" i="1"/>
  <c r="CW212" i="1"/>
  <c r="BN212" i="1"/>
  <c r="BM212" i="1"/>
  <c r="DM213" i="1"/>
  <c r="DE213" i="1"/>
  <c r="M213" i="1"/>
  <c r="L213" i="1"/>
  <c r="CY213" i="1"/>
  <c r="Q213" i="1"/>
  <c r="R213" i="1"/>
  <c r="CX213" i="1"/>
  <c r="J213" i="1"/>
  <c r="CW213" i="1"/>
  <c r="BN213" i="1"/>
  <c r="BM213" i="1"/>
  <c r="DM214" i="1"/>
  <c r="DE214" i="1"/>
  <c r="M214" i="1"/>
  <c r="L214" i="1"/>
  <c r="CY214" i="1"/>
  <c r="Q214" i="1"/>
  <c r="R214" i="1"/>
  <c r="CX214" i="1"/>
  <c r="J214" i="1"/>
  <c r="CW214" i="1"/>
  <c r="BN214" i="1"/>
  <c r="BM214" i="1"/>
  <c r="DM215" i="1"/>
  <c r="DE215" i="1"/>
  <c r="M215" i="1"/>
  <c r="L215" i="1"/>
  <c r="CY215" i="1"/>
  <c r="Q215" i="1"/>
  <c r="R215" i="1"/>
  <c r="CX215" i="1"/>
  <c r="J215" i="1"/>
  <c r="CW215" i="1"/>
  <c r="BN215" i="1"/>
  <c r="BM215" i="1"/>
  <c r="DM216" i="1"/>
  <c r="DE216" i="1"/>
  <c r="M216" i="1"/>
  <c r="L216" i="1"/>
  <c r="CY216" i="1"/>
  <c r="Q216" i="1"/>
  <c r="R216" i="1"/>
  <c r="CX216" i="1"/>
  <c r="J216" i="1"/>
  <c r="CW216" i="1"/>
  <c r="BN216" i="1"/>
  <c r="BM216" i="1"/>
  <c r="DM217" i="1"/>
  <c r="DE217" i="1"/>
  <c r="M217" i="1"/>
  <c r="L217" i="1"/>
  <c r="CY217" i="1"/>
  <c r="Q217" i="1"/>
  <c r="R217" i="1"/>
  <c r="CX217" i="1"/>
  <c r="J217" i="1"/>
  <c r="CW217" i="1"/>
  <c r="BN217" i="1"/>
  <c r="BM217" i="1"/>
  <c r="DM218" i="1"/>
  <c r="DE218" i="1"/>
  <c r="M218" i="1"/>
  <c r="L218" i="1"/>
  <c r="CY218" i="1"/>
  <c r="Q218" i="1"/>
  <c r="R218" i="1"/>
  <c r="CX218" i="1"/>
  <c r="J218" i="1"/>
  <c r="CW218" i="1"/>
  <c r="BN218" i="1"/>
  <c r="BM218" i="1"/>
  <c r="DM219" i="1"/>
  <c r="DE219" i="1"/>
  <c r="M219" i="1"/>
  <c r="L219" i="1"/>
  <c r="CY219" i="1"/>
  <c r="Q219" i="1"/>
  <c r="R219" i="1"/>
  <c r="CX219" i="1"/>
  <c r="J219" i="1"/>
  <c r="CW219" i="1"/>
  <c r="BN219" i="1"/>
  <c r="BM219" i="1"/>
  <c r="DM220" i="1"/>
  <c r="DE220" i="1"/>
  <c r="M220" i="1"/>
  <c r="L220" i="1"/>
  <c r="CY220" i="1"/>
  <c r="Q220" i="1"/>
  <c r="R220" i="1"/>
  <c r="CX220" i="1"/>
  <c r="J220" i="1"/>
  <c r="CW220" i="1"/>
  <c r="BN220" i="1"/>
  <c r="BM220" i="1"/>
  <c r="DM221" i="1"/>
  <c r="DE221" i="1"/>
  <c r="M221" i="1"/>
  <c r="L221" i="1"/>
  <c r="CY221" i="1"/>
  <c r="Q221" i="1"/>
  <c r="R221" i="1"/>
  <c r="CX221" i="1"/>
  <c r="J221" i="1"/>
  <c r="CW221" i="1"/>
  <c r="BN221" i="1"/>
  <c r="BM221" i="1"/>
  <c r="DM222" i="1"/>
  <c r="DE222" i="1"/>
  <c r="M222" i="1"/>
  <c r="L222" i="1"/>
  <c r="CY222" i="1"/>
  <c r="Q222" i="1"/>
  <c r="R222" i="1"/>
  <c r="CX222" i="1"/>
  <c r="J222" i="1"/>
  <c r="CW222" i="1"/>
  <c r="BN222" i="1"/>
  <c r="BM222" i="1"/>
  <c r="DM223" i="1"/>
  <c r="DE223" i="1"/>
  <c r="M223" i="1"/>
  <c r="L223" i="1"/>
  <c r="CY223" i="1"/>
  <c r="Q223" i="1"/>
  <c r="R223" i="1"/>
  <c r="CX223" i="1"/>
  <c r="J223" i="1"/>
  <c r="CW223" i="1"/>
  <c r="BN223" i="1"/>
  <c r="BM223" i="1"/>
  <c r="DM224" i="1"/>
  <c r="DE224" i="1"/>
  <c r="M224" i="1"/>
  <c r="L224" i="1"/>
  <c r="CY224" i="1"/>
  <c r="Q224" i="1"/>
  <c r="R224" i="1"/>
  <c r="CX224" i="1"/>
  <c r="J224" i="1"/>
  <c r="CW224" i="1"/>
  <c r="BN224" i="1"/>
  <c r="BM224" i="1"/>
  <c r="DM147" i="1"/>
  <c r="DE147" i="1"/>
  <c r="M147" i="1"/>
  <c r="L147" i="1"/>
  <c r="CY147" i="1"/>
  <c r="R147" i="1"/>
  <c r="CX147" i="1"/>
  <c r="J147" i="1"/>
  <c r="CW147" i="1"/>
  <c r="BN147" i="1"/>
  <c r="BM147" i="1"/>
  <c r="DM148" i="1"/>
  <c r="DE148" i="1"/>
  <c r="M148" i="1"/>
  <c r="L148" i="1"/>
  <c r="CY148" i="1"/>
  <c r="R148" i="1"/>
  <c r="CX148" i="1"/>
  <c r="J148" i="1"/>
  <c r="CW148" i="1"/>
  <c r="BN148" i="1"/>
  <c r="BM148" i="1"/>
  <c r="DM227" i="1"/>
  <c r="DE227" i="1"/>
  <c r="M227" i="1"/>
  <c r="L227" i="1"/>
  <c r="CY227" i="1"/>
  <c r="Q227" i="1"/>
  <c r="R227" i="1"/>
  <c r="CX227" i="1"/>
  <c r="J227" i="1"/>
  <c r="CW227" i="1"/>
  <c r="BN227" i="1"/>
  <c r="BM227" i="1"/>
  <c r="DM229" i="1"/>
  <c r="DE229" i="1"/>
  <c r="M229" i="1"/>
  <c r="L229" i="1"/>
  <c r="CY229" i="1"/>
  <c r="Q229" i="1"/>
  <c r="R229" i="1"/>
  <c r="CX229" i="1"/>
  <c r="J229" i="1"/>
  <c r="CW229" i="1"/>
  <c r="BN229" i="1"/>
  <c r="BM229" i="1"/>
  <c r="DM149" i="1"/>
  <c r="DE149" i="1"/>
  <c r="M149" i="1"/>
  <c r="L149" i="1"/>
  <c r="CY149" i="1"/>
  <c r="R149" i="1"/>
  <c r="CX149" i="1"/>
  <c r="J149" i="1"/>
  <c r="CW149" i="1"/>
  <c r="BN149" i="1"/>
  <c r="BM149" i="1"/>
  <c r="DM150" i="1"/>
  <c r="DE150" i="1"/>
  <c r="M150" i="1"/>
  <c r="L150" i="1"/>
  <c r="CY150" i="1"/>
  <c r="R150" i="1"/>
  <c r="CX150" i="1"/>
  <c r="J150" i="1"/>
  <c r="CW150" i="1"/>
  <c r="BN150" i="1"/>
  <c r="BM150" i="1"/>
  <c r="DM151" i="1"/>
  <c r="DE151" i="1"/>
  <c r="M151" i="1"/>
  <c r="L151" i="1"/>
  <c r="CY151" i="1"/>
  <c r="R151" i="1"/>
  <c r="CX151" i="1"/>
  <c r="J151" i="1"/>
  <c r="CW151" i="1"/>
  <c r="BN151" i="1"/>
  <c r="BM151" i="1"/>
  <c r="DM153" i="1"/>
  <c r="DE153" i="1"/>
  <c r="M153" i="1"/>
  <c r="L153" i="1"/>
  <c r="CY153" i="1"/>
  <c r="R153" i="1"/>
  <c r="CX153" i="1"/>
  <c r="J153" i="1"/>
  <c r="CW153" i="1"/>
  <c r="BN153" i="1"/>
  <c r="BM153" i="1"/>
  <c r="DM154" i="1"/>
  <c r="DE154" i="1"/>
  <c r="M154" i="1"/>
  <c r="L154" i="1"/>
  <c r="CY154" i="1"/>
  <c r="R154" i="1"/>
  <c r="CX154" i="1"/>
  <c r="J154" i="1"/>
  <c r="CW154" i="1"/>
  <c r="BN154" i="1"/>
  <c r="BM154" i="1"/>
  <c r="DM155" i="1"/>
  <c r="DE155" i="1"/>
  <c r="M155" i="1"/>
  <c r="L155" i="1"/>
  <c r="CY155" i="1"/>
  <c r="R155" i="1"/>
  <c r="CX155" i="1"/>
  <c r="J155" i="1"/>
  <c r="CW155" i="1"/>
  <c r="BN155" i="1"/>
  <c r="BM155" i="1"/>
  <c r="DM156" i="1"/>
  <c r="DE156" i="1"/>
  <c r="M156" i="1"/>
  <c r="L156" i="1"/>
  <c r="CY156" i="1"/>
  <c r="R156" i="1"/>
  <c r="CX156" i="1"/>
  <c r="J156" i="1"/>
  <c r="CW156" i="1"/>
  <c r="BN156" i="1"/>
  <c r="BM156" i="1"/>
  <c r="DM157" i="1"/>
  <c r="DE157" i="1"/>
  <c r="M157" i="1"/>
  <c r="L157" i="1"/>
  <c r="CY157" i="1"/>
  <c r="R157" i="1"/>
  <c r="CX157" i="1"/>
  <c r="J157" i="1"/>
  <c r="CW157" i="1"/>
  <c r="BN157" i="1"/>
  <c r="BM157" i="1"/>
  <c r="DM158" i="1"/>
  <c r="DE158" i="1"/>
  <c r="M158" i="1"/>
  <c r="L158" i="1"/>
  <c r="CY158" i="1"/>
  <c r="R158" i="1"/>
  <c r="CX158" i="1"/>
  <c r="J158" i="1"/>
  <c r="CW158" i="1"/>
  <c r="BN158" i="1"/>
  <c r="BM158" i="1"/>
  <c r="DM159" i="1"/>
  <c r="DE159" i="1"/>
  <c r="M159" i="1"/>
  <c r="L159" i="1"/>
  <c r="CY159" i="1"/>
  <c r="R159" i="1"/>
  <c r="CX159" i="1"/>
  <c r="J159" i="1"/>
  <c r="CW159" i="1"/>
  <c r="BN159" i="1"/>
  <c r="BM159" i="1"/>
  <c r="DM164" i="1"/>
  <c r="DE164" i="1"/>
  <c r="M164" i="1"/>
  <c r="L164" i="1"/>
  <c r="CY164" i="1"/>
  <c r="R164" i="1"/>
  <c r="CX164" i="1"/>
  <c r="J164" i="1"/>
  <c r="CW164" i="1"/>
  <c r="BN164" i="1"/>
  <c r="BM164" i="1"/>
  <c r="DM165" i="1"/>
  <c r="DE165" i="1"/>
  <c r="M165" i="1"/>
  <c r="L165" i="1"/>
  <c r="CY165" i="1"/>
  <c r="R165" i="1"/>
  <c r="CX165" i="1"/>
  <c r="J165" i="1"/>
  <c r="CW165" i="1"/>
  <c r="BN165" i="1"/>
  <c r="BM165" i="1"/>
  <c r="DM168" i="1"/>
  <c r="DE168" i="1"/>
  <c r="M168" i="1"/>
  <c r="L168" i="1"/>
  <c r="CY168" i="1"/>
  <c r="R168" i="1"/>
  <c r="CX168" i="1"/>
  <c r="J168" i="1"/>
  <c r="CW168" i="1"/>
  <c r="BN168" i="1"/>
  <c r="BM168" i="1"/>
  <c r="DM42" i="1"/>
  <c r="DE42" i="1"/>
  <c r="M42" i="1"/>
  <c r="L42" i="1"/>
  <c r="CY42" i="1"/>
  <c r="R42" i="1"/>
  <c r="CX42" i="1"/>
  <c r="J42" i="1"/>
  <c r="CW42" i="1"/>
  <c r="BN42" i="1"/>
  <c r="BM42" i="1"/>
  <c r="DM49" i="1"/>
  <c r="DE49" i="1"/>
  <c r="M49" i="1"/>
  <c r="L49" i="1"/>
  <c r="CY49" i="1"/>
  <c r="R49" i="1"/>
  <c r="CX49" i="1"/>
  <c r="J49" i="1"/>
  <c r="CW49" i="1"/>
  <c r="BN49" i="1"/>
  <c r="BM49" i="1"/>
  <c r="DM172" i="1"/>
  <c r="DE172" i="1"/>
  <c r="M172" i="1"/>
  <c r="L172" i="1"/>
  <c r="CY172" i="1"/>
  <c r="R172" i="1"/>
  <c r="CX172" i="1"/>
  <c r="J172" i="1"/>
  <c r="CW172" i="1"/>
  <c r="BN172" i="1"/>
  <c r="BM172" i="1"/>
  <c r="DM173" i="1"/>
  <c r="DE173" i="1"/>
  <c r="M173" i="1"/>
  <c r="L173" i="1"/>
  <c r="CY173" i="1"/>
  <c r="R173" i="1"/>
  <c r="CX173" i="1"/>
  <c r="J173" i="1"/>
  <c r="CW173" i="1"/>
  <c r="BN173" i="1"/>
  <c r="BM173" i="1"/>
  <c r="DM56" i="1"/>
  <c r="DE56" i="1"/>
  <c r="M56" i="1"/>
  <c r="L56" i="1"/>
  <c r="CY56" i="1"/>
  <c r="R56" i="1"/>
  <c r="CX56" i="1"/>
  <c r="J56" i="1"/>
  <c r="CW56" i="1"/>
  <c r="BN56" i="1"/>
  <c r="BM56" i="1"/>
  <c r="DM174" i="1"/>
  <c r="DE174" i="1"/>
  <c r="M174" i="1"/>
  <c r="L174" i="1"/>
  <c r="CY174" i="1"/>
  <c r="R174" i="1"/>
  <c r="CX174" i="1"/>
  <c r="J174" i="1"/>
  <c r="CW174" i="1"/>
  <c r="BN174" i="1"/>
  <c r="BM174" i="1"/>
  <c r="DM175" i="1"/>
  <c r="DE175" i="1"/>
  <c r="M175" i="1"/>
  <c r="L175" i="1"/>
  <c r="CY175" i="1"/>
  <c r="R175" i="1"/>
  <c r="CX175" i="1"/>
  <c r="J175" i="1"/>
  <c r="CW175" i="1"/>
  <c r="BN175" i="1"/>
  <c r="BM175" i="1"/>
  <c r="DM176" i="1"/>
  <c r="DE176" i="1"/>
  <c r="M176" i="1"/>
  <c r="L176" i="1"/>
  <c r="CY176" i="1"/>
  <c r="R176" i="1"/>
  <c r="CX176" i="1"/>
  <c r="J176" i="1"/>
  <c r="CW176" i="1"/>
  <c r="BN176" i="1"/>
  <c r="BM176" i="1"/>
  <c r="DM57" i="1"/>
  <c r="DE57" i="1"/>
  <c r="M57" i="1"/>
  <c r="L57" i="1"/>
  <c r="CY57" i="1"/>
  <c r="R57" i="1"/>
  <c r="CX57" i="1"/>
  <c r="J57" i="1"/>
  <c r="CW57" i="1"/>
  <c r="BN57" i="1"/>
  <c r="BM57" i="1"/>
  <c r="DM59" i="1"/>
  <c r="DE59" i="1"/>
  <c r="M59" i="1"/>
  <c r="L59" i="1"/>
  <c r="CY59" i="1"/>
  <c r="R59" i="1"/>
  <c r="CX59" i="1"/>
  <c r="J59" i="1"/>
  <c r="CW59" i="1"/>
  <c r="BN59" i="1"/>
  <c r="BM59" i="1"/>
  <c r="DM1083" i="1"/>
  <c r="DE1083" i="1"/>
  <c r="M1083" i="1"/>
  <c r="L1083" i="1"/>
  <c r="CY1083" i="1"/>
  <c r="Q1083" i="1"/>
  <c r="R1083" i="1"/>
  <c r="CX1083" i="1"/>
  <c r="J1083" i="1"/>
  <c r="CW1083" i="1"/>
  <c r="BN1083" i="1"/>
  <c r="BM1083" i="1"/>
  <c r="DM60" i="1"/>
  <c r="DE60" i="1"/>
  <c r="M60" i="1"/>
  <c r="L60" i="1"/>
  <c r="CY60" i="1"/>
  <c r="R60" i="1"/>
  <c r="CX60" i="1"/>
  <c r="J60" i="1"/>
  <c r="CW60" i="1"/>
  <c r="BN60" i="1"/>
  <c r="BM60" i="1"/>
  <c r="DM65" i="1"/>
  <c r="DE65" i="1"/>
  <c r="M65" i="1"/>
  <c r="L65" i="1"/>
  <c r="CY65" i="1"/>
  <c r="R65" i="1"/>
  <c r="CX65" i="1"/>
  <c r="J65" i="1"/>
  <c r="CW65" i="1"/>
  <c r="BN65" i="1"/>
  <c r="BM65" i="1"/>
  <c r="DM177" i="1"/>
  <c r="DE177" i="1"/>
  <c r="M177" i="1"/>
  <c r="L177" i="1"/>
  <c r="CY177" i="1"/>
  <c r="R177" i="1"/>
  <c r="CX177" i="1"/>
  <c r="J177" i="1"/>
  <c r="CW177" i="1"/>
  <c r="BN177" i="1"/>
  <c r="BM177" i="1"/>
  <c r="DM67" i="1"/>
  <c r="DE67" i="1"/>
  <c r="M67" i="1"/>
  <c r="L67" i="1"/>
  <c r="CY67" i="1"/>
  <c r="R67" i="1"/>
  <c r="CX67" i="1"/>
  <c r="J67" i="1"/>
  <c r="CW67" i="1"/>
  <c r="BN67" i="1"/>
  <c r="BM67" i="1"/>
  <c r="DM71" i="1"/>
  <c r="DE71" i="1"/>
  <c r="M71" i="1"/>
  <c r="L71" i="1"/>
  <c r="CY71" i="1"/>
  <c r="R71" i="1"/>
  <c r="CX71" i="1"/>
  <c r="J71" i="1"/>
  <c r="CW71" i="1"/>
  <c r="BN71" i="1"/>
  <c r="BM71" i="1"/>
  <c r="DM72" i="1"/>
  <c r="DE72" i="1"/>
  <c r="M72" i="1"/>
  <c r="L72" i="1"/>
  <c r="CY72" i="1"/>
  <c r="R72" i="1"/>
  <c r="CX72" i="1"/>
  <c r="J72" i="1"/>
  <c r="CW72" i="1"/>
  <c r="BN72" i="1"/>
  <c r="BM72" i="1"/>
  <c r="DM298" i="1"/>
  <c r="DE298" i="1"/>
  <c r="M298" i="1"/>
  <c r="L298" i="1"/>
  <c r="CY298" i="1"/>
  <c r="R298" i="1"/>
  <c r="CX298" i="1"/>
  <c r="J298" i="1"/>
  <c r="CW298" i="1"/>
  <c r="BN298" i="1"/>
  <c r="BM298" i="1"/>
  <c r="DM73" i="1"/>
  <c r="DE73" i="1"/>
  <c r="M73" i="1"/>
  <c r="L73" i="1"/>
  <c r="CY73" i="1"/>
  <c r="R73" i="1"/>
  <c r="CX73" i="1"/>
  <c r="J73" i="1"/>
  <c r="CW73" i="1"/>
  <c r="BN73" i="1"/>
  <c r="BM73" i="1"/>
  <c r="DM74" i="1"/>
  <c r="DE74" i="1"/>
  <c r="M74" i="1"/>
  <c r="L74" i="1"/>
  <c r="CY74" i="1"/>
  <c r="R74" i="1"/>
  <c r="CX74" i="1"/>
  <c r="J74" i="1"/>
  <c r="CW74" i="1"/>
  <c r="BN74" i="1"/>
  <c r="BM74" i="1"/>
  <c r="DM75" i="1"/>
  <c r="DE75" i="1"/>
  <c r="M75" i="1"/>
  <c r="L75" i="1"/>
  <c r="CY75" i="1"/>
  <c r="R75" i="1"/>
  <c r="CX75" i="1"/>
  <c r="J75" i="1"/>
  <c r="CW75" i="1"/>
  <c r="BN75" i="1"/>
  <c r="BM75" i="1"/>
  <c r="DM76" i="1"/>
  <c r="DE76" i="1"/>
  <c r="M76" i="1"/>
  <c r="L76" i="1"/>
  <c r="CY76" i="1"/>
  <c r="R76" i="1"/>
  <c r="CX76" i="1"/>
  <c r="J76" i="1"/>
  <c r="CW76" i="1"/>
  <c r="BN76" i="1"/>
  <c r="BM76" i="1"/>
  <c r="DM77" i="1"/>
  <c r="DE77" i="1"/>
  <c r="M77" i="1"/>
  <c r="L77" i="1"/>
  <c r="CY77" i="1"/>
  <c r="R77" i="1"/>
  <c r="CX77" i="1"/>
  <c r="J77" i="1"/>
  <c r="CW77" i="1"/>
  <c r="BN77" i="1"/>
  <c r="BM77" i="1"/>
  <c r="DM78" i="1"/>
  <c r="DE78" i="1"/>
  <c r="M78" i="1"/>
  <c r="L78" i="1"/>
  <c r="CY78" i="1"/>
  <c r="R78" i="1"/>
  <c r="CX78" i="1"/>
  <c r="J78" i="1"/>
  <c r="CW78" i="1"/>
  <c r="BN78" i="1"/>
  <c r="BM78" i="1"/>
  <c r="DM79" i="1"/>
  <c r="DE79" i="1"/>
  <c r="M79" i="1"/>
  <c r="L79" i="1"/>
  <c r="CY79" i="1"/>
  <c r="R79" i="1"/>
  <c r="CX79" i="1"/>
  <c r="J79" i="1"/>
  <c r="CW79" i="1"/>
  <c r="BN79" i="1"/>
  <c r="BM79" i="1"/>
  <c r="DM80" i="1"/>
  <c r="DE80" i="1"/>
  <c r="M80" i="1"/>
  <c r="L80" i="1"/>
  <c r="CY80" i="1"/>
  <c r="R80" i="1"/>
  <c r="CX80" i="1"/>
  <c r="J80" i="1"/>
  <c r="CW80" i="1"/>
  <c r="BN80" i="1"/>
  <c r="BM80" i="1"/>
  <c r="DM50" i="1"/>
  <c r="DE50" i="1"/>
  <c r="M50" i="1"/>
  <c r="L50" i="1"/>
  <c r="CY50" i="1"/>
  <c r="R50" i="1"/>
  <c r="CX50" i="1"/>
  <c r="J50" i="1"/>
  <c r="CW50" i="1"/>
  <c r="BN50" i="1"/>
  <c r="BM50" i="1"/>
  <c r="DM83" i="1"/>
  <c r="DE83" i="1"/>
  <c r="M83" i="1"/>
  <c r="L83" i="1"/>
  <c r="CY83" i="1"/>
  <c r="R83" i="1"/>
  <c r="CX83" i="1"/>
  <c r="J83" i="1"/>
  <c r="CW83" i="1"/>
  <c r="BN83" i="1"/>
  <c r="BM83" i="1"/>
  <c r="DM85" i="1"/>
  <c r="DE85" i="1"/>
  <c r="M85" i="1"/>
  <c r="L85" i="1"/>
  <c r="CY85" i="1"/>
  <c r="R85" i="1"/>
  <c r="CX85" i="1"/>
  <c r="J85" i="1"/>
  <c r="CW85" i="1"/>
  <c r="BN85" i="1"/>
  <c r="BM85" i="1"/>
  <c r="DM86" i="1"/>
  <c r="DE86" i="1"/>
  <c r="M86" i="1"/>
  <c r="L86" i="1"/>
  <c r="CY86" i="1"/>
  <c r="R86" i="1"/>
  <c r="CX86" i="1"/>
  <c r="J86" i="1"/>
  <c r="CW86" i="1"/>
  <c r="BN86" i="1"/>
  <c r="BM86" i="1"/>
  <c r="DE1543" i="1"/>
  <c r="M1543" i="1"/>
  <c r="L1543" i="1"/>
  <c r="CY1543" i="1"/>
  <c r="Q1543" i="1"/>
  <c r="R1543" i="1"/>
  <c r="CX1543" i="1"/>
  <c r="J1543" i="1"/>
  <c r="CW1543" i="1"/>
  <c r="BN1543" i="1"/>
  <c r="BM1543" i="1"/>
  <c r="DE1542" i="1"/>
  <c r="M1542" i="1"/>
  <c r="L1542" i="1"/>
  <c r="CY1542" i="1"/>
  <c r="Q1542" i="1"/>
  <c r="R1542" i="1"/>
  <c r="CX1542" i="1"/>
  <c r="J1542" i="1"/>
  <c r="CW1542" i="1"/>
  <c r="BN1542" i="1"/>
  <c r="BM1542" i="1"/>
  <c r="DE1537" i="1"/>
  <c r="M1537" i="1"/>
  <c r="L1537" i="1"/>
  <c r="CY1537" i="1"/>
  <c r="Q1537" i="1"/>
  <c r="R1537" i="1"/>
  <c r="CX1537" i="1"/>
  <c r="J1537" i="1"/>
  <c r="CW1537" i="1"/>
  <c r="BN1537" i="1"/>
  <c r="BM1537" i="1"/>
  <c r="DM87" i="1"/>
  <c r="DE87" i="1"/>
  <c r="M87" i="1"/>
  <c r="L87" i="1"/>
  <c r="CY87" i="1"/>
  <c r="R87" i="1"/>
  <c r="CX87" i="1"/>
  <c r="J87" i="1"/>
  <c r="CW87" i="1"/>
  <c r="BN87" i="1"/>
  <c r="BM87" i="1"/>
  <c r="DM88" i="1"/>
  <c r="DE88" i="1"/>
  <c r="M88" i="1"/>
  <c r="L88" i="1"/>
  <c r="CY88" i="1"/>
  <c r="R88" i="1"/>
  <c r="CX88" i="1"/>
  <c r="J88" i="1"/>
  <c r="CW88" i="1"/>
  <c r="BN88" i="1"/>
  <c r="BM88" i="1"/>
  <c r="DM89" i="1"/>
  <c r="DE89" i="1"/>
  <c r="M89" i="1"/>
  <c r="L89" i="1"/>
  <c r="CY89" i="1"/>
  <c r="R89" i="1"/>
  <c r="CX89" i="1"/>
  <c r="J89" i="1"/>
  <c r="CW89" i="1"/>
  <c r="BN89" i="1"/>
  <c r="BM89" i="1"/>
  <c r="DM90" i="1"/>
  <c r="DE90" i="1"/>
  <c r="M90" i="1"/>
  <c r="L90" i="1"/>
  <c r="CY90" i="1"/>
  <c r="R90" i="1"/>
  <c r="CX90" i="1"/>
  <c r="J90" i="1"/>
  <c r="CW90" i="1"/>
  <c r="BN90" i="1"/>
  <c r="BM90" i="1"/>
  <c r="DM91" i="1"/>
  <c r="DE91" i="1"/>
  <c r="M91" i="1"/>
  <c r="L91" i="1"/>
  <c r="CY91" i="1"/>
  <c r="R91" i="1"/>
  <c r="CX91" i="1"/>
  <c r="J91" i="1"/>
  <c r="CW91" i="1"/>
  <c r="BN91" i="1"/>
  <c r="BM91" i="1"/>
  <c r="DM178" i="1"/>
  <c r="DE178" i="1"/>
  <c r="M178" i="1"/>
  <c r="L178" i="1"/>
  <c r="CY178" i="1"/>
  <c r="R178" i="1"/>
  <c r="CX178" i="1"/>
  <c r="J178" i="1"/>
  <c r="CW178" i="1"/>
  <c r="BN178" i="1"/>
  <c r="BM178" i="1"/>
  <c r="DM39" i="1"/>
  <c r="DE39" i="1"/>
  <c r="M39" i="1"/>
  <c r="L39" i="1"/>
  <c r="CY39" i="1"/>
  <c r="R39" i="1"/>
  <c r="CX39" i="1"/>
  <c r="J39" i="1"/>
  <c r="CW39" i="1"/>
  <c r="BN39" i="1"/>
  <c r="BM39" i="1"/>
  <c r="DM41" i="1"/>
  <c r="DE41" i="1"/>
  <c r="M41" i="1"/>
  <c r="L41" i="1"/>
  <c r="CY41" i="1"/>
  <c r="Q41" i="1"/>
  <c r="R41" i="1"/>
  <c r="CX41" i="1"/>
  <c r="J41" i="1"/>
  <c r="CW41" i="1"/>
  <c r="BN41" i="1"/>
  <c r="BM41" i="1"/>
  <c r="DM44" i="1"/>
  <c r="DE44" i="1"/>
  <c r="M44" i="1"/>
  <c r="L44" i="1"/>
  <c r="CY44" i="1"/>
  <c r="R44" i="1"/>
  <c r="CX44" i="1"/>
  <c r="J44" i="1"/>
  <c r="CW44" i="1"/>
  <c r="BN44" i="1"/>
  <c r="BM44" i="1"/>
  <c r="DM46" i="1"/>
  <c r="DE46" i="1"/>
  <c r="M46" i="1"/>
  <c r="L46" i="1"/>
  <c r="CY46" i="1"/>
  <c r="R46" i="1"/>
  <c r="CX46" i="1"/>
  <c r="J46" i="1"/>
  <c r="CW46" i="1"/>
  <c r="BN46" i="1"/>
  <c r="BM46" i="1"/>
  <c r="DM47" i="1"/>
  <c r="DE47" i="1"/>
  <c r="M47" i="1"/>
  <c r="L47" i="1"/>
  <c r="CY47" i="1"/>
  <c r="R47" i="1"/>
  <c r="CX47" i="1"/>
  <c r="J47" i="1"/>
  <c r="CW47" i="1"/>
  <c r="BN47" i="1"/>
  <c r="BM47" i="1"/>
  <c r="DM48" i="1"/>
  <c r="DE48" i="1"/>
  <c r="M48" i="1"/>
  <c r="L48" i="1"/>
  <c r="CY48" i="1"/>
  <c r="R48" i="1"/>
  <c r="CX48" i="1"/>
  <c r="J48" i="1"/>
  <c r="CW48" i="1"/>
  <c r="BN48" i="1"/>
  <c r="BM48" i="1"/>
  <c r="DM82" i="1"/>
  <c r="DE82" i="1"/>
  <c r="M82" i="1"/>
  <c r="L82" i="1"/>
  <c r="CY82" i="1"/>
  <c r="R82" i="1"/>
  <c r="CX82" i="1"/>
  <c r="J82" i="1"/>
  <c r="CW82" i="1"/>
  <c r="BN82" i="1"/>
  <c r="BM82" i="1"/>
  <c r="DM179" i="1"/>
  <c r="DE179" i="1"/>
  <c r="M179" i="1"/>
  <c r="L179" i="1"/>
  <c r="CY179" i="1"/>
  <c r="R179" i="1"/>
  <c r="CX179" i="1"/>
  <c r="J179" i="1"/>
  <c r="CW179" i="1"/>
  <c r="BN179" i="1"/>
  <c r="BM179" i="1"/>
  <c r="DM180" i="1"/>
  <c r="DE180" i="1"/>
  <c r="M180" i="1"/>
  <c r="L180" i="1"/>
  <c r="CY180" i="1"/>
  <c r="R180" i="1"/>
  <c r="CX180" i="1"/>
  <c r="J180" i="1"/>
  <c r="CW180" i="1"/>
  <c r="BN180" i="1"/>
  <c r="BM180" i="1"/>
  <c r="DM182" i="1"/>
  <c r="DE182" i="1"/>
  <c r="M182" i="1"/>
  <c r="L182" i="1"/>
  <c r="CY182" i="1"/>
  <c r="R182" i="1"/>
  <c r="CX182" i="1"/>
  <c r="J182" i="1"/>
  <c r="CW182" i="1"/>
  <c r="BN182" i="1"/>
  <c r="BM182" i="1"/>
  <c r="DM183" i="1"/>
  <c r="DE183" i="1"/>
  <c r="M183" i="1"/>
  <c r="L183" i="1"/>
  <c r="CY183" i="1"/>
  <c r="R183" i="1"/>
  <c r="CX183" i="1"/>
  <c r="J183" i="1"/>
  <c r="CW183" i="1"/>
  <c r="BN183" i="1"/>
  <c r="BM183" i="1"/>
  <c r="DM184" i="1"/>
  <c r="DE184" i="1"/>
  <c r="M184" i="1"/>
  <c r="L184" i="1"/>
  <c r="CY184" i="1"/>
  <c r="R184" i="1"/>
  <c r="CX184" i="1"/>
  <c r="J184" i="1"/>
  <c r="CW184" i="1"/>
  <c r="BN184" i="1"/>
  <c r="BM184" i="1"/>
  <c r="DM185" i="1"/>
  <c r="DE185" i="1"/>
  <c r="M185" i="1"/>
  <c r="L185" i="1"/>
  <c r="CY185" i="1"/>
  <c r="R185" i="1"/>
  <c r="CX185" i="1"/>
  <c r="J185" i="1"/>
  <c r="CW185" i="1"/>
  <c r="BN185" i="1"/>
  <c r="BM185" i="1"/>
  <c r="DM186" i="1"/>
  <c r="DE186" i="1"/>
  <c r="M186" i="1"/>
  <c r="L186" i="1"/>
  <c r="CY186" i="1"/>
  <c r="R186" i="1"/>
  <c r="CX186" i="1"/>
  <c r="J186" i="1"/>
  <c r="CW186" i="1"/>
  <c r="BN186" i="1"/>
  <c r="BM186" i="1"/>
  <c r="DM187" i="1"/>
  <c r="DE187" i="1"/>
  <c r="M187" i="1"/>
  <c r="L187" i="1"/>
  <c r="CY187" i="1"/>
  <c r="R187" i="1"/>
  <c r="CX187" i="1"/>
  <c r="J187" i="1"/>
  <c r="CW187" i="1"/>
  <c r="BN187" i="1"/>
  <c r="BM187" i="1"/>
  <c r="DM188" i="1"/>
  <c r="DE188" i="1"/>
  <c r="M188" i="1"/>
  <c r="L188" i="1"/>
  <c r="CY188" i="1"/>
  <c r="R188" i="1"/>
  <c r="CX188" i="1"/>
  <c r="J188" i="1"/>
  <c r="CW188" i="1"/>
  <c r="BN188" i="1"/>
  <c r="BM188" i="1"/>
  <c r="DM189" i="1"/>
  <c r="DE189" i="1"/>
  <c r="M189" i="1"/>
  <c r="L189" i="1"/>
  <c r="CY189" i="1"/>
  <c r="R189" i="1"/>
  <c r="CX189" i="1"/>
  <c r="J189" i="1"/>
  <c r="CW189" i="1"/>
  <c r="BN189" i="1"/>
  <c r="BM189" i="1"/>
  <c r="DM190" i="1"/>
  <c r="DE190" i="1"/>
  <c r="M190" i="1"/>
  <c r="L190" i="1"/>
  <c r="CY190" i="1"/>
  <c r="R190" i="1"/>
  <c r="CX190" i="1"/>
  <c r="J190" i="1"/>
  <c r="CW190" i="1"/>
  <c r="BN190" i="1"/>
  <c r="BM190" i="1"/>
  <c r="DM191" i="1"/>
  <c r="DE191" i="1"/>
  <c r="M191" i="1"/>
  <c r="L191" i="1"/>
  <c r="CY191" i="1"/>
  <c r="R191" i="1"/>
  <c r="CX191" i="1"/>
  <c r="J191" i="1"/>
  <c r="CW191" i="1"/>
  <c r="BN191" i="1"/>
  <c r="BM191" i="1"/>
  <c r="DM192" i="1"/>
  <c r="DE192" i="1"/>
  <c r="M192" i="1"/>
  <c r="L192" i="1"/>
  <c r="CY192" i="1"/>
  <c r="R192" i="1"/>
  <c r="CX192" i="1"/>
  <c r="J192" i="1"/>
  <c r="CW192" i="1"/>
  <c r="BN192" i="1"/>
  <c r="BM192" i="1"/>
  <c r="DM194" i="1"/>
  <c r="DE194" i="1"/>
  <c r="M194" i="1"/>
  <c r="L194" i="1"/>
  <c r="CY194" i="1"/>
  <c r="R194" i="1"/>
  <c r="CX194" i="1"/>
  <c r="J194" i="1"/>
  <c r="CW194" i="1"/>
  <c r="BN194" i="1"/>
  <c r="BM194" i="1"/>
  <c r="DM195" i="1"/>
  <c r="DE195" i="1"/>
  <c r="M195" i="1"/>
  <c r="L195" i="1"/>
  <c r="CY195" i="1"/>
  <c r="R195" i="1"/>
  <c r="CX195" i="1"/>
  <c r="J195" i="1"/>
  <c r="CW195" i="1"/>
  <c r="BN195" i="1"/>
  <c r="BM195" i="1"/>
  <c r="DM197" i="1"/>
  <c r="DE197" i="1"/>
  <c r="M197" i="1"/>
  <c r="L197" i="1"/>
  <c r="CY197" i="1"/>
  <c r="R197" i="1"/>
  <c r="CX197" i="1"/>
  <c r="J197" i="1"/>
  <c r="CW197" i="1"/>
  <c r="BN197" i="1"/>
  <c r="BM197" i="1"/>
  <c r="DM198" i="1"/>
  <c r="DE198" i="1"/>
  <c r="M198" i="1"/>
  <c r="L198" i="1"/>
  <c r="CY198" i="1"/>
  <c r="R198" i="1"/>
  <c r="CX198" i="1"/>
  <c r="J198" i="1"/>
  <c r="CW198" i="1"/>
  <c r="BN198" i="1"/>
  <c r="BM198" i="1"/>
  <c r="DM199" i="1"/>
  <c r="DE199" i="1"/>
  <c r="M199" i="1"/>
  <c r="L199" i="1"/>
  <c r="CY199" i="1"/>
  <c r="R199" i="1"/>
  <c r="CX199" i="1"/>
  <c r="J199" i="1"/>
  <c r="CW199" i="1"/>
  <c r="BN199" i="1"/>
  <c r="BM199" i="1"/>
  <c r="DM201" i="1"/>
  <c r="DE201" i="1"/>
  <c r="M201" i="1"/>
  <c r="L201" i="1"/>
  <c r="CY201" i="1"/>
  <c r="R201" i="1"/>
  <c r="CX201" i="1"/>
  <c r="J201" i="1"/>
  <c r="CW201" i="1"/>
  <c r="BN201" i="1"/>
  <c r="BM201" i="1"/>
  <c r="DM202" i="1"/>
  <c r="DE202" i="1"/>
  <c r="M202" i="1"/>
  <c r="L202" i="1"/>
  <c r="CY202" i="1"/>
  <c r="R202" i="1"/>
  <c r="CX202" i="1"/>
  <c r="J202" i="1"/>
  <c r="CW202" i="1"/>
  <c r="BN202" i="1"/>
  <c r="BM202" i="1"/>
  <c r="DM203" i="1"/>
  <c r="DE203" i="1"/>
  <c r="M203" i="1"/>
  <c r="L203" i="1"/>
  <c r="CY203" i="1"/>
  <c r="R203" i="1"/>
  <c r="CX203" i="1"/>
  <c r="J203" i="1"/>
  <c r="CW203" i="1"/>
  <c r="BN203" i="1"/>
  <c r="BM203" i="1"/>
  <c r="DM204" i="1"/>
  <c r="DE204" i="1"/>
  <c r="M204" i="1"/>
  <c r="L204" i="1"/>
  <c r="CY204" i="1"/>
  <c r="R204" i="1"/>
  <c r="CX204" i="1"/>
  <c r="J204" i="1"/>
  <c r="CW204" i="1"/>
  <c r="BN204" i="1"/>
  <c r="BM204" i="1"/>
  <c r="DM205" i="1"/>
  <c r="DE205" i="1"/>
  <c r="M205" i="1"/>
  <c r="L205" i="1"/>
  <c r="CY205" i="1"/>
  <c r="R205" i="1"/>
  <c r="CX205" i="1"/>
  <c r="J205" i="1"/>
  <c r="CW205" i="1"/>
  <c r="BN205" i="1"/>
  <c r="BM205" i="1"/>
  <c r="DM231" i="1"/>
  <c r="DE231" i="1"/>
  <c r="M231" i="1"/>
  <c r="L231" i="1"/>
  <c r="CY231" i="1"/>
  <c r="R231" i="1"/>
  <c r="CX231" i="1"/>
  <c r="J231" i="1"/>
  <c r="CW231" i="1"/>
  <c r="BN231" i="1"/>
  <c r="BM231" i="1"/>
  <c r="DM232" i="1"/>
  <c r="DE232" i="1"/>
  <c r="M232" i="1"/>
  <c r="L232" i="1"/>
  <c r="CY232" i="1"/>
  <c r="R232" i="1"/>
  <c r="CX232" i="1"/>
  <c r="J232" i="1"/>
  <c r="CW232" i="1"/>
  <c r="BN232" i="1"/>
  <c r="BM232" i="1"/>
  <c r="DM984" i="1"/>
  <c r="DE984" i="1"/>
  <c r="M984" i="1"/>
  <c r="L984" i="1"/>
  <c r="CY984" i="1"/>
  <c r="R984" i="1"/>
  <c r="CX984" i="1"/>
  <c r="J984" i="1"/>
  <c r="CW984" i="1"/>
  <c r="BN984" i="1"/>
  <c r="BM984" i="1"/>
  <c r="DM1019" i="1"/>
  <c r="DE1019" i="1"/>
  <c r="M1019" i="1"/>
  <c r="L1019" i="1"/>
  <c r="CY1019" i="1"/>
  <c r="R1019" i="1"/>
  <c r="CX1019" i="1"/>
  <c r="J1019" i="1"/>
  <c r="CW1019" i="1"/>
  <c r="BN1019" i="1"/>
  <c r="BM1019" i="1"/>
  <c r="DE1481" i="1"/>
  <c r="M1481" i="1"/>
  <c r="L1481" i="1"/>
  <c r="CY1481" i="1"/>
  <c r="Q1481" i="1"/>
  <c r="R1481" i="1"/>
  <c r="CX1481" i="1"/>
  <c r="J1481" i="1"/>
  <c r="CW1481" i="1"/>
  <c r="BN1481" i="1"/>
  <c r="BM1481" i="1"/>
  <c r="DM1018" i="1"/>
  <c r="DE1018" i="1"/>
  <c r="M1018" i="1"/>
  <c r="L1018" i="1"/>
  <c r="CY1018" i="1"/>
  <c r="Q1018" i="1"/>
  <c r="R1018" i="1"/>
  <c r="CX1018" i="1"/>
  <c r="J1018" i="1"/>
  <c r="CW1018" i="1"/>
  <c r="BN1018" i="1"/>
  <c r="BM1018" i="1"/>
  <c r="DM1318" i="1"/>
  <c r="DE1318" i="1"/>
  <c r="M1318" i="1"/>
  <c r="L1318" i="1"/>
  <c r="CY1318" i="1"/>
  <c r="R1318" i="1"/>
  <c r="CX1318" i="1"/>
  <c r="J1318" i="1"/>
  <c r="CW1318" i="1"/>
  <c r="BN1318" i="1"/>
  <c r="BM1318" i="1"/>
  <c r="DE1483" i="1"/>
  <c r="M1483" i="1"/>
  <c r="L1483" i="1"/>
  <c r="CY1483" i="1"/>
  <c r="Q1483" i="1"/>
  <c r="R1483" i="1"/>
  <c r="CX1483" i="1"/>
  <c r="J1483" i="1"/>
  <c r="CW1483" i="1"/>
  <c r="BN1483" i="1"/>
  <c r="BM1483" i="1"/>
  <c r="DM1193" i="1"/>
  <c r="DE1193" i="1"/>
  <c r="M1193" i="1"/>
  <c r="L1193" i="1"/>
  <c r="CY1193" i="1"/>
  <c r="R1193" i="1"/>
  <c r="CX1193" i="1"/>
  <c r="J1193" i="1"/>
  <c r="CW1193" i="1"/>
  <c r="BN1193" i="1"/>
  <c r="BM1193" i="1"/>
  <c r="DM144" i="1"/>
  <c r="DE144" i="1"/>
  <c r="M144" i="1"/>
  <c r="L144" i="1"/>
  <c r="CY144" i="1"/>
  <c r="Q144" i="1"/>
  <c r="R144" i="1"/>
  <c r="CX144" i="1"/>
  <c r="J144" i="1"/>
  <c r="CW144" i="1"/>
  <c r="BN144" i="1"/>
  <c r="BM144" i="1"/>
  <c r="DM440" i="1"/>
  <c r="DE440" i="1"/>
  <c r="M440" i="1"/>
  <c r="L440" i="1"/>
  <c r="CY440" i="1"/>
  <c r="R440" i="1"/>
  <c r="CX440" i="1"/>
  <c r="J440" i="1"/>
  <c r="CW440" i="1"/>
  <c r="BN440" i="1"/>
  <c r="BM440" i="1"/>
  <c r="DM11" i="1"/>
  <c r="M11" i="1"/>
  <c r="L11" i="1"/>
  <c r="CY11" i="1"/>
  <c r="R11" i="1"/>
  <c r="CX11" i="1"/>
  <c r="J11" i="1"/>
  <c r="BN11" i="1"/>
  <c r="BM11" i="1"/>
  <c r="DE1525" i="1"/>
  <c r="M1525" i="1"/>
  <c r="L1525" i="1"/>
  <c r="CY1525" i="1"/>
  <c r="Q1525" i="1"/>
  <c r="R1525" i="1"/>
  <c r="CX1525" i="1"/>
  <c r="J1525" i="1"/>
  <c r="CW1525" i="1"/>
  <c r="BN1525" i="1"/>
  <c r="BM1525" i="1"/>
  <c r="DM1316" i="1"/>
  <c r="M1316" i="1"/>
  <c r="L1316" i="1"/>
  <c r="CY1316" i="1"/>
  <c r="R1316" i="1"/>
  <c r="CX1316" i="1"/>
  <c r="J1316" i="1"/>
  <c r="BN1316" i="1"/>
  <c r="BM1316" i="1"/>
  <c r="DM21" i="1"/>
  <c r="DE21" i="1"/>
  <c r="M21" i="1"/>
  <c r="L21" i="1"/>
  <c r="CY21" i="1"/>
  <c r="R21" i="1"/>
  <c r="CX21" i="1"/>
  <c r="J21" i="1"/>
  <c r="CW21" i="1"/>
  <c r="BN21" i="1"/>
  <c r="BM21" i="1"/>
  <c r="DM1520" i="1"/>
  <c r="DE1520" i="1"/>
  <c r="M1520" i="1"/>
  <c r="L1520" i="1"/>
  <c r="CY1520" i="1"/>
  <c r="Q1520" i="1"/>
  <c r="R1520" i="1"/>
  <c r="CX1520" i="1"/>
  <c r="J1520" i="1"/>
  <c r="CW1520" i="1"/>
  <c r="BN1520" i="1"/>
  <c r="BM1520" i="1"/>
  <c r="DM228" i="1"/>
  <c r="DE228" i="1"/>
  <c r="M228" i="1"/>
  <c r="L228" i="1"/>
  <c r="CY228" i="1"/>
  <c r="Q228" i="1"/>
  <c r="R228" i="1"/>
  <c r="CX228" i="1"/>
  <c r="J228" i="1"/>
  <c r="CW228" i="1"/>
  <c r="BN228" i="1"/>
  <c r="BM228" i="1"/>
  <c r="DE1506" i="1"/>
  <c r="M1506" i="1"/>
  <c r="L1506" i="1"/>
  <c r="CY1506" i="1"/>
  <c r="Q1506" i="1"/>
  <c r="R1506" i="1"/>
  <c r="CX1506" i="1"/>
  <c r="J1506" i="1"/>
  <c r="CW1506" i="1"/>
  <c r="BN1506" i="1"/>
  <c r="BM1506" i="1"/>
  <c r="DE1505" i="1"/>
  <c r="M1505" i="1"/>
  <c r="L1505" i="1"/>
  <c r="CY1505" i="1"/>
  <c r="Q1505" i="1"/>
  <c r="R1505" i="1"/>
  <c r="CX1505" i="1"/>
  <c r="J1505" i="1"/>
  <c r="CW1505" i="1"/>
  <c r="BN1505" i="1"/>
  <c r="BM1505" i="1"/>
  <c r="DE1504" i="1"/>
  <c r="M1504" i="1"/>
  <c r="L1504" i="1"/>
  <c r="CY1504" i="1"/>
  <c r="Q1504" i="1"/>
  <c r="R1504" i="1"/>
  <c r="CX1504" i="1"/>
  <c r="J1504" i="1"/>
  <c r="CW1504" i="1"/>
  <c r="BN1504" i="1"/>
  <c r="BM1504" i="1"/>
  <c r="DE1507" i="1"/>
  <c r="M1507" i="1"/>
  <c r="L1507" i="1"/>
  <c r="CY1507" i="1"/>
  <c r="Q1507" i="1"/>
  <c r="R1507" i="1"/>
  <c r="CX1507" i="1"/>
  <c r="J1507" i="1"/>
  <c r="CW1507" i="1"/>
  <c r="BN1507" i="1"/>
  <c r="BM1507" i="1"/>
  <c r="DE1512" i="1"/>
  <c r="M1512" i="1"/>
  <c r="L1512" i="1"/>
  <c r="CY1512" i="1"/>
  <c r="Q1512" i="1"/>
  <c r="R1512" i="1"/>
  <c r="CX1512" i="1"/>
  <c r="J1512" i="1"/>
  <c r="CW1512" i="1"/>
  <c r="BN1512" i="1"/>
  <c r="BM1512" i="1"/>
  <c r="DE1508" i="1"/>
  <c r="M1508" i="1"/>
  <c r="L1508" i="1"/>
  <c r="CY1508" i="1"/>
  <c r="Q1508" i="1"/>
  <c r="R1508" i="1"/>
  <c r="CX1508" i="1"/>
  <c r="J1508" i="1"/>
  <c r="CW1508" i="1"/>
  <c r="BN1508" i="1"/>
  <c r="BM1508" i="1"/>
  <c r="DE1509" i="1"/>
  <c r="M1509" i="1"/>
  <c r="L1509" i="1"/>
  <c r="CY1509" i="1"/>
  <c r="Q1509" i="1"/>
  <c r="R1509" i="1"/>
  <c r="CX1509" i="1"/>
  <c r="J1509" i="1"/>
  <c r="CW1509" i="1"/>
  <c r="BN1509" i="1"/>
  <c r="BM1509" i="1"/>
  <c r="DE1510" i="1"/>
  <c r="M1510" i="1"/>
  <c r="L1510" i="1"/>
  <c r="CY1510" i="1"/>
  <c r="Q1510" i="1"/>
  <c r="R1510" i="1"/>
  <c r="CX1510" i="1"/>
  <c r="J1510" i="1"/>
  <c r="CW1510" i="1"/>
  <c r="BN1510" i="1"/>
  <c r="BM1510" i="1"/>
  <c r="DE1511" i="1"/>
  <c r="M1511" i="1"/>
  <c r="L1511" i="1"/>
  <c r="CY1511" i="1"/>
  <c r="Q1511" i="1"/>
  <c r="R1511" i="1"/>
  <c r="CX1511" i="1"/>
  <c r="J1511" i="1"/>
  <c r="CW1511" i="1"/>
  <c r="BN1511" i="1"/>
  <c r="BM1511" i="1"/>
  <c r="DM1079" i="1"/>
  <c r="DE1079" i="1"/>
  <c r="M1079" i="1"/>
  <c r="L1079" i="1"/>
  <c r="CY1079" i="1"/>
  <c r="Q1079" i="1"/>
  <c r="R1079" i="1"/>
  <c r="CX1079" i="1"/>
  <c r="J1079" i="1"/>
  <c r="CW1079" i="1"/>
  <c r="BN1079" i="1"/>
  <c r="BM1079" i="1"/>
  <c r="DE1513" i="1"/>
  <c r="M1513" i="1"/>
  <c r="L1513" i="1"/>
  <c r="CY1513" i="1"/>
  <c r="Q1513" i="1"/>
  <c r="R1513" i="1"/>
  <c r="CX1513" i="1"/>
  <c r="J1513" i="1"/>
  <c r="CW1513" i="1"/>
  <c r="BN1513" i="1"/>
  <c r="BM1513" i="1"/>
  <c r="DE482" i="1"/>
  <c r="M482" i="1"/>
  <c r="L482" i="1"/>
  <c r="CY482" i="1"/>
  <c r="Q482" i="1"/>
  <c r="R482" i="1"/>
  <c r="CX482" i="1"/>
  <c r="J482" i="1"/>
  <c r="CW482" i="1"/>
  <c r="BN482" i="1"/>
  <c r="BM482" i="1"/>
  <c r="DE493" i="1"/>
  <c r="M493" i="1"/>
  <c r="L493" i="1"/>
  <c r="CY493" i="1"/>
  <c r="Q493" i="1"/>
  <c r="R493" i="1"/>
  <c r="CX493" i="1"/>
  <c r="J493" i="1"/>
  <c r="CW493" i="1"/>
  <c r="BN493" i="1"/>
  <c r="BM493" i="1"/>
  <c r="DE494" i="1"/>
  <c r="M494" i="1"/>
  <c r="L494" i="1"/>
  <c r="CY494" i="1"/>
  <c r="Q494" i="1"/>
  <c r="R494" i="1"/>
  <c r="CX494" i="1"/>
  <c r="J494" i="1"/>
  <c r="CW494" i="1"/>
  <c r="BN494" i="1"/>
  <c r="BM494" i="1"/>
  <c r="DE499" i="1"/>
  <c r="M499" i="1"/>
  <c r="L499" i="1"/>
  <c r="CY499" i="1"/>
  <c r="Q499" i="1"/>
  <c r="R499" i="1"/>
  <c r="CX499" i="1"/>
  <c r="J499" i="1"/>
  <c r="CW499" i="1"/>
  <c r="BN499" i="1"/>
  <c r="BM499" i="1"/>
  <c r="DE500" i="1"/>
  <c r="M500" i="1"/>
  <c r="L500" i="1"/>
  <c r="CY500" i="1"/>
  <c r="Q500" i="1"/>
  <c r="R500" i="1"/>
  <c r="CX500" i="1"/>
  <c r="J500" i="1"/>
  <c r="CW500" i="1"/>
  <c r="BN500" i="1"/>
  <c r="BM500" i="1"/>
  <c r="DE501" i="1"/>
  <c r="M501" i="1"/>
  <c r="L501" i="1"/>
  <c r="CY501" i="1"/>
  <c r="Q501" i="1"/>
  <c r="R501" i="1"/>
  <c r="CX501" i="1"/>
  <c r="J501" i="1"/>
  <c r="CW501" i="1"/>
  <c r="BN501" i="1"/>
  <c r="BM501" i="1"/>
  <c r="DE508" i="1"/>
  <c r="M508" i="1"/>
  <c r="L508" i="1"/>
  <c r="CY508" i="1"/>
  <c r="Q508" i="1"/>
  <c r="R508" i="1"/>
  <c r="CX508" i="1"/>
  <c r="J508" i="1"/>
  <c r="CW508" i="1"/>
  <c r="BN508" i="1"/>
  <c r="BM508" i="1"/>
  <c r="DE509" i="1"/>
  <c r="M509" i="1"/>
  <c r="L509" i="1"/>
  <c r="CY509" i="1"/>
  <c r="Q509" i="1"/>
  <c r="R509" i="1"/>
  <c r="CX509" i="1"/>
  <c r="J509" i="1"/>
  <c r="CW509" i="1"/>
  <c r="BN509" i="1"/>
  <c r="BM509" i="1"/>
  <c r="DE510" i="1"/>
  <c r="M510" i="1"/>
  <c r="L510" i="1"/>
  <c r="CY510" i="1"/>
  <c r="Q510" i="1"/>
  <c r="R510" i="1"/>
  <c r="CX510" i="1"/>
  <c r="J510" i="1"/>
  <c r="CW510" i="1"/>
  <c r="BN510" i="1"/>
  <c r="BM510" i="1"/>
  <c r="DM520" i="1"/>
  <c r="DE520" i="1"/>
  <c r="M520" i="1"/>
  <c r="L520" i="1"/>
  <c r="CY520" i="1"/>
  <c r="Q520" i="1"/>
  <c r="R520" i="1"/>
  <c r="CX520" i="1"/>
  <c r="J520" i="1"/>
  <c r="CW520" i="1"/>
  <c r="BN520" i="1"/>
  <c r="BM520" i="1"/>
  <c r="DM523" i="1"/>
  <c r="DE523" i="1"/>
  <c r="M523" i="1"/>
  <c r="L523" i="1"/>
  <c r="CY523" i="1"/>
  <c r="Q523" i="1"/>
  <c r="R523" i="1"/>
  <c r="CX523" i="1"/>
  <c r="J523" i="1"/>
  <c r="CW523" i="1"/>
  <c r="BN523" i="1"/>
  <c r="BM523" i="1"/>
  <c r="DE524" i="1"/>
  <c r="M524" i="1"/>
  <c r="L524" i="1"/>
  <c r="CY524" i="1"/>
  <c r="Q524" i="1"/>
  <c r="R524" i="1"/>
  <c r="CX524" i="1"/>
  <c r="J524" i="1"/>
  <c r="CW524" i="1"/>
  <c r="BN524" i="1"/>
  <c r="BM524" i="1"/>
  <c r="DE525" i="1"/>
  <c r="M525" i="1"/>
  <c r="L525" i="1"/>
  <c r="CY525" i="1"/>
  <c r="Q525" i="1"/>
  <c r="R525" i="1"/>
  <c r="CX525" i="1"/>
  <c r="J525" i="1"/>
  <c r="CW525" i="1"/>
  <c r="BN525" i="1"/>
  <c r="BM525" i="1"/>
  <c r="DE534" i="1"/>
  <c r="M534" i="1"/>
  <c r="L534" i="1"/>
  <c r="CY534" i="1"/>
  <c r="Q534" i="1"/>
  <c r="R534" i="1"/>
  <c r="CX534" i="1"/>
  <c r="J534" i="1"/>
  <c r="CW534" i="1"/>
  <c r="BN534" i="1"/>
  <c r="BM534" i="1"/>
  <c r="DE535" i="1"/>
  <c r="M535" i="1"/>
  <c r="L535" i="1"/>
  <c r="CY535" i="1"/>
  <c r="Q535" i="1"/>
  <c r="R535" i="1"/>
  <c r="CX535" i="1"/>
  <c r="J535" i="1"/>
  <c r="CW535" i="1"/>
  <c r="BN535" i="1"/>
  <c r="BM535" i="1"/>
  <c r="DE542" i="1"/>
  <c r="M542" i="1"/>
  <c r="L542" i="1"/>
  <c r="CY542" i="1"/>
  <c r="Q542" i="1"/>
  <c r="R542" i="1"/>
  <c r="CX542" i="1"/>
  <c r="J542" i="1"/>
  <c r="CW542" i="1"/>
  <c r="BN542" i="1"/>
  <c r="BM542" i="1"/>
  <c r="DE543" i="1"/>
  <c r="M543" i="1"/>
  <c r="L543" i="1"/>
  <c r="CY543" i="1"/>
  <c r="Q543" i="1"/>
  <c r="R543" i="1"/>
  <c r="CX543" i="1"/>
  <c r="J543" i="1"/>
  <c r="CW543" i="1"/>
  <c r="BN543" i="1"/>
  <c r="BM543" i="1"/>
  <c r="DE544" i="1"/>
  <c r="M544" i="1"/>
  <c r="L544" i="1"/>
  <c r="CY544" i="1"/>
  <c r="Q544" i="1"/>
  <c r="R544" i="1"/>
  <c r="CX544" i="1"/>
  <c r="J544" i="1"/>
  <c r="CW544" i="1"/>
  <c r="BN544" i="1"/>
  <c r="BM544" i="1"/>
  <c r="DE545" i="1"/>
  <c r="M545" i="1"/>
  <c r="L545" i="1"/>
  <c r="CY545" i="1"/>
  <c r="Q545" i="1"/>
  <c r="R545" i="1"/>
  <c r="CX545" i="1"/>
  <c r="J545" i="1"/>
  <c r="CW545" i="1"/>
  <c r="BN545" i="1"/>
  <c r="BM545" i="1"/>
  <c r="DE552" i="1"/>
  <c r="M552" i="1"/>
  <c r="L552" i="1"/>
  <c r="CY552" i="1"/>
  <c r="Q552" i="1"/>
  <c r="R552" i="1"/>
  <c r="CX552" i="1"/>
  <c r="J552" i="1"/>
  <c r="CW552" i="1"/>
  <c r="BN552" i="1"/>
  <c r="BM552" i="1"/>
  <c r="DE553" i="1"/>
  <c r="M553" i="1"/>
  <c r="L553" i="1"/>
  <c r="CY553" i="1"/>
  <c r="Q553" i="1"/>
  <c r="R553" i="1"/>
  <c r="CX553" i="1"/>
  <c r="J553" i="1"/>
  <c r="CW553" i="1"/>
  <c r="BN553" i="1"/>
  <c r="BM553" i="1"/>
  <c r="DE554" i="1"/>
  <c r="M554" i="1"/>
  <c r="L554" i="1"/>
  <c r="CY554" i="1"/>
  <c r="Q554" i="1"/>
  <c r="R554" i="1"/>
  <c r="CX554" i="1"/>
  <c r="J554" i="1"/>
  <c r="CW554" i="1"/>
  <c r="BN554" i="1"/>
  <c r="BM554" i="1"/>
  <c r="DE555" i="1"/>
  <c r="M555" i="1"/>
  <c r="L555" i="1"/>
  <c r="CY555" i="1"/>
  <c r="Q555" i="1"/>
  <c r="R555" i="1"/>
  <c r="CX555" i="1"/>
  <c r="J555" i="1"/>
  <c r="CW555" i="1"/>
  <c r="BN555" i="1"/>
  <c r="BM555" i="1"/>
  <c r="DE565" i="1"/>
  <c r="M565" i="1"/>
  <c r="L565" i="1"/>
  <c r="CY565" i="1"/>
  <c r="Q565" i="1"/>
  <c r="R565" i="1"/>
  <c r="CX565" i="1"/>
  <c r="J565" i="1"/>
  <c r="CW565" i="1"/>
  <c r="BN565" i="1"/>
  <c r="BM565" i="1"/>
  <c r="DE573" i="1"/>
  <c r="M573" i="1"/>
  <c r="L573" i="1"/>
  <c r="CY573" i="1"/>
  <c r="Q573" i="1"/>
  <c r="R573" i="1"/>
  <c r="CX573" i="1"/>
  <c r="J573" i="1"/>
  <c r="CW573" i="1"/>
  <c r="BN573" i="1"/>
  <c r="BM573" i="1"/>
  <c r="DE575" i="1"/>
  <c r="M575" i="1"/>
  <c r="L575" i="1"/>
  <c r="CY575" i="1"/>
  <c r="Q575" i="1"/>
  <c r="R575" i="1"/>
  <c r="CX575" i="1"/>
  <c r="J575" i="1"/>
  <c r="CW575" i="1"/>
  <c r="BN575" i="1"/>
  <c r="BM575" i="1"/>
  <c r="DE580" i="1"/>
  <c r="M580" i="1"/>
  <c r="L580" i="1"/>
  <c r="CY580" i="1"/>
  <c r="Q580" i="1"/>
  <c r="R580" i="1"/>
  <c r="CX580" i="1"/>
  <c r="J580" i="1"/>
  <c r="CW580" i="1"/>
  <c r="BN580" i="1"/>
  <c r="BM580" i="1"/>
  <c r="DE587" i="1"/>
  <c r="M587" i="1"/>
  <c r="L587" i="1"/>
  <c r="CY587" i="1"/>
  <c r="Q587" i="1"/>
  <c r="R587" i="1"/>
  <c r="CX587" i="1"/>
  <c r="J587" i="1"/>
  <c r="CW587" i="1"/>
  <c r="BN587" i="1"/>
  <c r="BM587" i="1"/>
  <c r="DE588" i="1"/>
  <c r="M588" i="1"/>
  <c r="L588" i="1"/>
  <c r="CY588" i="1"/>
  <c r="Q588" i="1"/>
  <c r="R588" i="1"/>
  <c r="CX588" i="1"/>
  <c r="J588" i="1"/>
  <c r="CW588" i="1"/>
  <c r="BN588" i="1"/>
  <c r="BM588" i="1"/>
  <c r="DE592" i="1"/>
  <c r="M592" i="1"/>
  <c r="L592" i="1"/>
  <c r="CY592" i="1"/>
  <c r="Q592" i="1"/>
  <c r="R592" i="1"/>
  <c r="CX592" i="1"/>
  <c r="J592" i="1"/>
  <c r="CW592" i="1"/>
  <c r="BN592" i="1"/>
  <c r="BM592" i="1"/>
  <c r="DE593" i="1"/>
  <c r="M593" i="1"/>
  <c r="L593" i="1"/>
  <c r="CY593" i="1"/>
  <c r="Q593" i="1"/>
  <c r="R593" i="1"/>
  <c r="CX593" i="1"/>
  <c r="J593" i="1"/>
  <c r="CW593" i="1"/>
  <c r="BN593" i="1"/>
  <c r="BM593" i="1"/>
  <c r="DE594" i="1"/>
  <c r="M594" i="1"/>
  <c r="L594" i="1"/>
  <c r="CY594" i="1"/>
  <c r="Q594" i="1"/>
  <c r="R594" i="1"/>
  <c r="CX594" i="1"/>
  <c r="J594" i="1"/>
  <c r="CW594" i="1"/>
  <c r="BN594" i="1"/>
  <c r="BM594" i="1"/>
  <c r="DE595" i="1"/>
  <c r="M595" i="1"/>
  <c r="L595" i="1"/>
  <c r="CY595" i="1"/>
  <c r="Q595" i="1"/>
  <c r="R595" i="1"/>
  <c r="CX595" i="1"/>
  <c r="J595" i="1"/>
  <c r="CW595" i="1"/>
  <c r="BN595" i="1"/>
  <c r="BM595" i="1"/>
  <c r="DM310" i="1"/>
  <c r="M310" i="1"/>
  <c r="L310" i="1"/>
  <c r="CY310" i="1"/>
  <c r="R310" i="1"/>
  <c r="CX310" i="1"/>
  <c r="J310" i="1"/>
  <c r="BN310" i="1"/>
  <c r="BM310" i="1"/>
  <c r="DE732" i="1"/>
  <c r="M732" i="1"/>
  <c r="L732" i="1"/>
  <c r="CY732" i="1"/>
  <c r="Q732" i="1"/>
  <c r="R732" i="1"/>
  <c r="CX732" i="1"/>
  <c r="J732" i="1"/>
  <c r="CW732" i="1"/>
  <c r="BN732" i="1"/>
  <c r="BM732" i="1"/>
  <c r="DM353" i="1"/>
  <c r="M353" i="1"/>
  <c r="L353" i="1"/>
  <c r="CY353" i="1"/>
  <c r="R353" i="1"/>
  <c r="CX353" i="1"/>
  <c r="J353" i="1"/>
  <c r="BN353" i="1"/>
  <c r="BM353" i="1"/>
  <c r="DM361" i="1"/>
  <c r="M361" i="1"/>
  <c r="L361" i="1"/>
  <c r="CY361" i="1"/>
  <c r="R361" i="1"/>
  <c r="CX361" i="1"/>
  <c r="J361" i="1"/>
  <c r="BN361" i="1"/>
  <c r="BM361" i="1"/>
  <c r="DM370" i="1"/>
  <c r="M370" i="1"/>
  <c r="L370" i="1"/>
  <c r="CY370" i="1"/>
  <c r="R370" i="1"/>
  <c r="CX370" i="1"/>
  <c r="J370" i="1"/>
  <c r="BN370" i="1"/>
  <c r="BM370" i="1"/>
  <c r="DM389" i="1"/>
  <c r="M389" i="1"/>
  <c r="L389" i="1"/>
  <c r="CY389" i="1"/>
  <c r="R389" i="1"/>
  <c r="CX389" i="1"/>
  <c r="J389" i="1"/>
  <c r="BN389" i="1"/>
  <c r="BM389" i="1"/>
  <c r="DM399" i="1"/>
  <c r="M399" i="1"/>
  <c r="L399" i="1"/>
  <c r="CY399" i="1"/>
  <c r="R399" i="1"/>
  <c r="CX399" i="1"/>
  <c r="J399" i="1"/>
  <c r="BN399" i="1"/>
  <c r="BM399" i="1"/>
  <c r="DM406" i="1"/>
  <c r="M406" i="1"/>
  <c r="L406" i="1"/>
  <c r="CY406" i="1"/>
  <c r="R406" i="1"/>
  <c r="CX406" i="1"/>
  <c r="J406" i="1"/>
  <c r="BN406" i="1"/>
  <c r="BM406" i="1"/>
  <c r="DM415" i="1"/>
  <c r="M415" i="1"/>
  <c r="L415" i="1"/>
  <c r="CY415" i="1"/>
  <c r="R415" i="1"/>
  <c r="CX415" i="1"/>
  <c r="J415" i="1"/>
  <c r="BN415" i="1"/>
  <c r="BM415" i="1"/>
  <c r="DM425" i="1"/>
  <c r="M425" i="1"/>
  <c r="L425" i="1"/>
  <c r="CY425" i="1"/>
  <c r="R425" i="1"/>
  <c r="CX425" i="1"/>
  <c r="J425" i="1"/>
  <c r="BN425" i="1"/>
  <c r="BM425" i="1"/>
  <c r="DM433" i="1"/>
  <c r="M433" i="1"/>
  <c r="L433" i="1"/>
  <c r="CY433" i="1"/>
  <c r="R433" i="1"/>
  <c r="CX433" i="1"/>
  <c r="J433" i="1"/>
  <c r="BN433" i="1"/>
  <c r="BM433" i="1"/>
  <c r="DM456" i="1"/>
  <c r="M456" i="1"/>
  <c r="L456" i="1"/>
  <c r="CY456" i="1"/>
  <c r="R456" i="1"/>
  <c r="CX456" i="1"/>
  <c r="J456" i="1"/>
  <c r="BN456" i="1"/>
  <c r="BM456" i="1"/>
  <c r="DM458" i="1"/>
  <c r="M458" i="1"/>
  <c r="L458" i="1"/>
  <c r="CY458" i="1"/>
  <c r="R458" i="1"/>
  <c r="CX458" i="1"/>
  <c r="J458" i="1"/>
  <c r="BN458" i="1"/>
  <c r="BM458" i="1"/>
  <c r="DM476" i="1"/>
  <c r="M476" i="1"/>
  <c r="L476" i="1"/>
  <c r="CY476" i="1"/>
  <c r="R476" i="1"/>
  <c r="CX476" i="1"/>
  <c r="J476" i="1"/>
  <c r="BN476" i="1"/>
  <c r="BM476" i="1"/>
  <c r="DM498" i="1"/>
  <c r="M498" i="1"/>
  <c r="L498" i="1"/>
  <c r="CY498" i="1"/>
  <c r="R498" i="1"/>
  <c r="CX498" i="1"/>
  <c r="J498" i="1"/>
  <c r="BN498" i="1"/>
  <c r="BM498" i="1"/>
  <c r="DM505" i="1"/>
  <c r="M505" i="1"/>
  <c r="L505" i="1"/>
  <c r="CY505" i="1"/>
  <c r="R505" i="1"/>
  <c r="CX505" i="1"/>
  <c r="J505" i="1"/>
  <c r="BN505" i="1"/>
  <c r="BM505" i="1"/>
  <c r="DE886" i="1"/>
  <c r="M886" i="1"/>
  <c r="L886" i="1"/>
  <c r="CY886" i="1"/>
  <c r="Q886" i="1"/>
  <c r="R886" i="1"/>
  <c r="CX886" i="1"/>
  <c r="J886" i="1"/>
  <c r="CW886" i="1"/>
  <c r="BN886" i="1"/>
  <c r="BM886" i="1"/>
  <c r="DM538" i="1"/>
  <c r="M538" i="1"/>
  <c r="L538" i="1"/>
  <c r="CY538" i="1"/>
  <c r="R538" i="1"/>
  <c r="CX538" i="1"/>
  <c r="J538" i="1"/>
  <c r="BN538" i="1"/>
  <c r="BM538" i="1"/>
  <c r="DM540" i="1"/>
  <c r="M540" i="1"/>
  <c r="L540" i="1"/>
  <c r="CY540" i="1"/>
  <c r="R540" i="1"/>
  <c r="CX540" i="1"/>
  <c r="J540" i="1"/>
  <c r="BN540" i="1"/>
  <c r="BM540" i="1"/>
  <c r="DE893" i="1"/>
  <c r="M893" i="1"/>
  <c r="L893" i="1"/>
  <c r="CY893" i="1"/>
  <c r="Q893" i="1"/>
  <c r="R893" i="1"/>
  <c r="CX893" i="1"/>
  <c r="J893" i="1"/>
  <c r="CW893" i="1"/>
  <c r="BN893" i="1"/>
  <c r="BM893" i="1"/>
  <c r="DE902" i="1"/>
  <c r="M902" i="1"/>
  <c r="L902" i="1"/>
  <c r="CY902" i="1"/>
  <c r="Q902" i="1"/>
  <c r="R902" i="1"/>
  <c r="CX902" i="1"/>
  <c r="J902" i="1"/>
  <c r="CW902" i="1"/>
  <c r="BN902" i="1"/>
  <c r="BM902" i="1"/>
  <c r="DM563" i="1"/>
  <c r="M563" i="1"/>
  <c r="L563" i="1"/>
  <c r="CY563" i="1"/>
  <c r="R563" i="1"/>
  <c r="CX563" i="1"/>
  <c r="J563" i="1"/>
  <c r="BN563" i="1"/>
  <c r="BM563" i="1"/>
  <c r="DM566" i="1"/>
  <c r="M566" i="1"/>
  <c r="L566" i="1"/>
  <c r="CY566" i="1"/>
  <c r="R566" i="1"/>
  <c r="CX566" i="1"/>
  <c r="J566" i="1"/>
  <c r="BN566" i="1"/>
  <c r="BM566" i="1"/>
  <c r="DM591" i="1"/>
  <c r="M591" i="1"/>
  <c r="L591" i="1"/>
  <c r="CY591" i="1"/>
  <c r="R591" i="1"/>
  <c r="CX591" i="1"/>
  <c r="J591" i="1"/>
  <c r="BN591" i="1"/>
  <c r="BM591" i="1"/>
  <c r="DM907" i="1"/>
  <c r="M907" i="1"/>
  <c r="L907" i="1"/>
  <c r="CY907" i="1"/>
  <c r="R907" i="1"/>
  <c r="CX907" i="1"/>
  <c r="J907" i="1"/>
  <c r="BN907" i="1"/>
  <c r="BM907" i="1"/>
  <c r="DM914" i="1"/>
  <c r="M914" i="1"/>
  <c r="L914" i="1"/>
  <c r="CY914" i="1"/>
  <c r="R914" i="1"/>
  <c r="CX914" i="1"/>
  <c r="J914" i="1"/>
  <c r="BN914" i="1"/>
  <c r="BM914" i="1"/>
  <c r="DM1061" i="1"/>
  <c r="M1061" i="1"/>
  <c r="L1061" i="1"/>
  <c r="CY1061" i="1"/>
  <c r="R1061" i="1"/>
  <c r="CX1061" i="1"/>
  <c r="J1061" i="1"/>
  <c r="BN1061" i="1"/>
  <c r="BM1061" i="1"/>
  <c r="DM1173" i="1"/>
  <c r="M1173" i="1"/>
  <c r="L1173" i="1"/>
  <c r="CY1173" i="1"/>
  <c r="R1173" i="1"/>
  <c r="CX1173" i="1"/>
  <c r="J1173" i="1"/>
  <c r="BN1173" i="1"/>
  <c r="BM1173" i="1"/>
  <c r="DM1184" i="1"/>
  <c r="M1184" i="1"/>
  <c r="L1184" i="1"/>
  <c r="CY1184" i="1"/>
  <c r="R1184" i="1"/>
  <c r="CX1184" i="1"/>
  <c r="J1184" i="1"/>
  <c r="BN1184" i="1"/>
  <c r="BM1184" i="1"/>
  <c r="DM1237" i="1"/>
  <c r="M1237" i="1"/>
  <c r="L1237" i="1"/>
  <c r="CY1237" i="1"/>
  <c r="R1237" i="1"/>
  <c r="CX1237" i="1"/>
  <c r="J1237" i="1"/>
  <c r="BN1237" i="1"/>
  <c r="BM1237" i="1"/>
  <c r="DM1353" i="1"/>
  <c r="M1353" i="1"/>
  <c r="L1353" i="1"/>
  <c r="CY1353" i="1"/>
  <c r="R1353" i="1"/>
  <c r="CX1353" i="1"/>
  <c r="J1353" i="1"/>
  <c r="BN1353" i="1"/>
  <c r="BM1353" i="1"/>
  <c r="DM1352" i="1"/>
  <c r="M1352" i="1"/>
  <c r="L1352" i="1"/>
  <c r="CY1352" i="1"/>
  <c r="R1352" i="1"/>
  <c r="CX1352" i="1"/>
  <c r="J1352" i="1"/>
  <c r="BN1352" i="1"/>
  <c r="BM1352" i="1"/>
  <c r="DM1317" i="1"/>
  <c r="M1317" i="1"/>
  <c r="L1317" i="1"/>
  <c r="CY1317" i="1"/>
  <c r="R1317" i="1"/>
  <c r="CX1317" i="1"/>
  <c r="J1317" i="1"/>
  <c r="BN1317" i="1"/>
  <c r="BM1317" i="1"/>
  <c r="DM572" i="1"/>
  <c r="M572" i="1"/>
  <c r="L572" i="1"/>
  <c r="CY572" i="1"/>
  <c r="R572" i="1"/>
  <c r="CX572" i="1"/>
  <c r="J572" i="1"/>
  <c r="BN572" i="1"/>
  <c r="BM572" i="1"/>
  <c r="DM1409" i="1"/>
  <c r="M1409" i="1"/>
  <c r="L1409" i="1"/>
  <c r="CY1409" i="1"/>
  <c r="R1409" i="1"/>
  <c r="CX1409" i="1"/>
  <c r="J1409" i="1"/>
  <c r="BN1409" i="1"/>
  <c r="BM1409" i="1"/>
  <c r="DM1416" i="1"/>
  <c r="M1416" i="1"/>
  <c r="L1416" i="1"/>
  <c r="CY1416" i="1"/>
  <c r="R1416" i="1"/>
  <c r="CX1416" i="1"/>
  <c r="J1416" i="1"/>
  <c r="BN1416" i="1"/>
  <c r="BM1416" i="1"/>
  <c r="DM492" i="1"/>
  <c r="M492" i="1"/>
  <c r="L492" i="1"/>
  <c r="CY492" i="1"/>
  <c r="R492" i="1"/>
  <c r="CX492" i="1"/>
  <c r="J492" i="1"/>
  <c r="BN492" i="1"/>
  <c r="BM492" i="1"/>
  <c r="DM1437" i="1"/>
  <c r="M1437" i="1"/>
  <c r="L1437" i="1"/>
  <c r="CY1437" i="1"/>
  <c r="R1437" i="1"/>
  <c r="CX1437" i="1"/>
  <c r="J1437" i="1"/>
  <c r="BN1437" i="1"/>
  <c r="BM1437" i="1"/>
  <c r="DM451" i="1"/>
  <c r="M451" i="1"/>
  <c r="L451" i="1"/>
  <c r="CY451" i="1"/>
  <c r="R451" i="1"/>
  <c r="CX451" i="1"/>
  <c r="J451" i="1"/>
  <c r="BN451" i="1"/>
  <c r="BM451" i="1"/>
  <c r="DM12" i="1"/>
  <c r="M12" i="1"/>
  <c r="L12" i="1"/>
  <c r="CY12" i="1"/>
  <c r="R12" i="1"/>
  <c r="CX12" i="1"/>
  <c r="J12" i="1"/>
  <c r="BN12" i="1"/>
  <c r="BM12" i="1"/>
  <c r="DM577" i="1"/>
  <c r="DE577" i="1"/>
  <c r="M577" i="1"/>
  <c r="L577" i="1"/>
  <c r="CY577" i="1"/>
  <c r="Q577" i="1"/>
  <c r="R577" i="1"/>
  <c r="CX577" i="1"/>
  <c r="J577" i="1"/>
  <c r="CW577" i="1"/>
  <c r="BN577" i="1"/>
  <c r="BM577" i="1"/>
  <c r="DM423" i="1"/>
  <c r="DE423" i="1"/>
  <c r="M423" i="1"/>
  <c r="L423" i="1"/>
  <c r="CY423" i="1"/>
  <c r="Q423" i="1"/>
  <c r="R423" i="1"/>
  <c r="CX423" i="1"/>
  <c r="J423" i="1"/>
  <c r="CW423" i="1"/>
  <c r="BN423" i="1"/>
  <c r="BM423" i="1"/>
  <c r="DM336" i="1"/>
  <c r="M336" i="1"/>
  <c r="L336" i="1"/>
  <c r="CY336" i="1"/>
  <c r="R336" i="1"/>
  <c r="CX336" i="1"/>
  <c r="J336" i="1"/>
  <c r="BN336" i="1"/>
  <c r="BM336" i="1"/>
  <c r="DE1467" i="1"/>
  <c r="M1467" i="1"/>
  <c r="L1467" i="1"/>
  <c r="CY1467" i="1"/>
  <c r="Q1467" i="1"/>
  <c r="R1467" i="1"/>
  <c r="CX1467" i="1"/>
  <c r="J1467" i="1"/>
  <c r="CW1467" i="1"/>
  <c r="BN1467" i="1"/>
  <c r="BM1467" i="1"/>
  <c r="DE1458" i="1"/>
  <c r="M1458" i="1"/>
  <c r="L1458" i="1"/>
  <c r="CY1458" i="1"/>
  <c r="Q1458" i="1"/>
  <c r="R1458" i="1"/>
  <c r="CX1458" i="1"/>
  <c r="J1458" i="1"/>
  <c r="CW1458" i="1"/>
  <c r="BN1458" i="1"/>
  <c r="BM1458" i="1"/>
  <c r="DM381" i="1"/>
  <c r="M381" i="1"/>
  <c r="L381" i="1"/>
  <c r="CY381" i="1"/>
  <c r="R381" i="1"/>
  <c r="CX381" i="1"/>
  <c r="J381" i="1"/>
  <c r="BN381" i="1"/>
  <c r="BM381" i="1"/>
  <c r="DM395" i="1"/>
  <c r="M395" i="1"/>
  <c r="L395" i="1"/>
  <c r="CY395" i="1"/>
  <c r="R395" i="1"/>
  <c r="CX395" i="1"/>
  <c r="J395" i="1"/>
  <c r="BN395" i="1"/>
  <c r="BM395" i="1"/>
  <c r="DM467" i="1"/>
  <c r="M467" i="1"/>
  <c r="L467" i="1"/>
  <c r="CY467" i="1"/>
  <c r="R467" i="1"/>
  <c r="CX467" i="1"/>
  <c r="J467" i="1"/>
  <c r="BN467" i="1"/>
  <c r="BM467" i="1"/>
  <c r="DM487" i="1"/>
  <c r="M487" i="1"/>
  <c r="L487" i="1"/>
  <c r="CY487" i="1"/>
  <c r="R487" i="1"/>
  <c r="CX487" i="1"/>
  <c r="J487" i="1"/>
  <c r="BN487" i="1"/>
  <c r="BM487" i="1"/>
  <c r="DM530" i="1"/>
  <c r="M530" i="1"/>
  <c r="L530" i="1"/>
  <c r="CY530" i="1"/>
  <c r="R530" i="1"/>
  <c r="CX530" i="1"/>
  <c r="J530" i="1"/>
  <c r="BN530" i="1"/>
  <c r="BM530" i="1"/>
  <c r="DM550" i="1"/>
  <c r="M550" i="1"/>
  <c r="L550" i="1"/>
  <c r="CY550" i="1"/>
  <c r="R550" i="1"/>
  <c r="CX550" i="1"/>
  <c r="J550" i="1"/>
  <c r="BN550" i="1"/>
  <c r="BM550" i="1"/>
  <c r="DE1402" i="1"/>
  <c r="M1402" i="1"/>
  <c r="L1402" i="1"/>
  <c r="CY1402" i="1"/>
  <c r="Q1402" i="1"/>
  <c r="R1402" i="1"/>
  <c r="CX1402" i="1"/>
  <c r="J1402" i="1"/>
  <c r="CW1402" i="1"/>
  <c r="BN1402" i="1"/>
  <c r="BM1402" i="1"/>
  <c r="DE1401" i="1"/>
  <c r="M1401" i="1"/>
  <c r="L1401" i="1"/>
  <c r="CY1401" i="1"/>
  <c r="Q1401" i="1"/>
  <c r="R1401" i="1"/>
  <c r="CX1401" i="1"/>
  <c r="J1401" i="1"/>
  <c r="CW1401" i="1"/>
  <c r="BN1401" i="1"/>
  <c r="BM1401" i="1"/>
  <c r="DM584" i="1"/>
  <c r="M584" i="1"/>
  <c r="L584" i="1"/>
  <c r="CY584" i="1"/>
  <c r="R584" i="1"/>
  <c r="CX584" i="1"/>
  <c r="J584" i="1"/>
  <c r="BN584" i="1"/>
  <c r="BM584" i="1"/>
  <c r="DE1361" i="1"/>
  <c r="M1361" i="1"/>
  <c r="L1361" i="1"/>
  <c r="CY1361" i="1"/>
  <c r="Q1361" i="1"/>
  <c r="R1361" i="1"/>
  <c r="CX1361" i="1"/>
  <c r="J1361" i="1"/>
  <c r="CW1361" i="1"/>
  <c r="BN1361" i="1"/>
  <c r="BM1361" i="1"/>
  <c r="DE1360" i="1"/>
  <c r="M1360" i="1"/>
  <c r="L1360" i="1"/>
  <c r="CY1360" i="1"/>
  <c r="Q1360" i="1"/>
  <c r="R1360" i="1"/>
  <c r="CX1360" i="1"/>
  <c r="J1360" i="1"/>
  <c r="CW1360" i="1"/>
  <c r="BN1360" i="1"/>
  <c r="BM1360" i="1"/>
  <c r="DE1359" i="1"/>
  <c r="M1359" i="1"/>
  <c r="L1359" i="1"/>
  <c r="CY1359" i="1"/>
  <c r="Q1359" i="1"/>
  <c r="R1359" i="1"/>
  <c r="CX1359" i="1"/>
  <c r="J1359" i="1"/>
  <c r="CW1359" i="1"/>
  <c r="BN1359" i="1"/>
  <c r="BM1359" i="1"/>
  <c r="DM1182" i="1"/>
  <c r="M1182" i="1"/>
  <c r="L1182" i="1"/>
  <c r="CY1182" i="1"/>
  <c r="R1182" i="1"/>
  <c r="CX1182" i="1"/>
  <c r="J1182" i="1"/>
  <c r="BN1182" i="1"/>
  <c r="BM1182" i="1"/>
  <c r="DM1355" i="1"/>
  <c r="DE1355" i="1"/>
  <c r="M1355" i="1"/>
  <c r="L1355" i="1"/>
  <c r="CY1355" i="1"/>
  <c r="Q1355" i="1"/>
  <c r="R1355" i="1"/>
  <c r="CX1355" i="1"/>
  <c r="J1355" i="1"/>
  <c r="CW1355" i="1"/>
  <c r="BN1355" i="1"/>
  <c r="BM1355" i="1"/>
  <c r="DM1354" i="1"/>
  <c r="DE1354" i="1"/>
  <c r="M1354" i="1"/>
  <c r="L1354" i="1"/>
  <c r="CY1354" i="1"/>
  <c r="Q1354" i="1"/>
  <c r="R1354" i="1"/>
  <c r="CX1354" i="1"/>
  <c r="J1354" i="1"/>
  <c r="CW1354" i="1"/>
  <c r="BN1354" i="1"/>
  <c r="BM1354" i="1"/>
  <c r="DE1349" i="1"/>
  <c r="M1349" i="1"/>
  <c r="L1349" i="1"/>
  <c r="CY1349" i="1"/>
  <c r="Q1349" i="1"/>
  <c r="R1349" i="1"/>
  <c r="CX1349" i="1"/>
  <c r="J1349" i="1"/>
  <c r="CW1349" i="1"/>
  <c r="BN1349" i="1"/>
  <c r="BM1349" i="1"/>
  <c r="DE1322" i="1"/>
  <c r="M1322" i="1"/>
  <c r="L1322" i="1"/>
  <c r="CY1322" i="1"/>
  <c r="Q1322" i="1"/>
  <c r="R1322" i="1"/>
  <c r="CX1322" i="1"/>
  <c r="J1322" i="1"/>
  <c r="CW1322" i="1"/>
  <c r="BN1322" i="1"/>
  <c r="BM1322" i="1"/>
  <c r="DE1310" i="1"/>
  <c r="M1310" i="1"/>
  <c r="L1310" i="1"/>
  <c r="CY1310" i="1"/>
  <c r="Q1310" i="1"/>
  <c r="R1310" i="1"/>
  <c r="CX1310" i="1"/>
  <c r="J1310" i="1"/>
  <c r="CW1310" i="1"/>
  <c r="BN1310" i="1"/>
  <c r="BM1310" i="1"/>
  <c r="DE1309" i="1"/>
  <c r="M1309" i="1"/>
  <c r="L1309" i="1"/>
  <c r="CY1309" i="1"/>
  <c r="Q1309" i="1"/>
  <c r="R1309" i="1"/>
  <c r="CX1309" i="1"/>
  <c r="J1309" i="1"/>
  <c r="CW1309" i="1"/>
  <c r="BN1309" i="1"/>
  <c r="BM1309" i="1"/>
  <c r="DM1421" i="1"/>
  <c r="M1421" i="1"/>
  <c r="L1421" i="1"/>
  <c r="CY1421" i="1"/>
  <c r="R1421" i="1"/>
  <c r="CX1421" i="1"/>
  <c r="J1421" i="1"/>
  <c r="BN1421" i="1"/>
  <c r="BM1421" i="1"/>
  <c r="DM1422" i="1"/>
  <c r="M1422" i="1"/>
  <c r="L1422" i="1"/>
  <c r="CY1422" i="1"/>
  <c r="R1422" i="1"/>
  <c r="CX1422" i="1"/>
  <c r="J1422" i="1"/>
  <c r="BN1422" i="1"/>
  <c r="BM1422" i="1"/>
  <c r="DM1297" i="1"/>
  <c r="DE1297" i="1"/>
  <c r="M1297" i="1"/>
  <c r="L1297" i="1"/>
  <c r="CY1297" i="1"/>
  <c r="Q1297" i="1"/>
  <c r="R1297" i="1"/>
  <c r="CX1297" i="1"/>
  <c r="J1297" i="1"/>
  <c r="CW1297" i="1"/>
  <c r="BN1297" i="1"/>
  <c r="BM1297" i="1"/>
  <c r="DM1296" i="1"/>
  <c r="DE1296" i="1"/>
  <c r="M1296" i="1"/>
  <c r="L1296" i="1"/>
  <c r="CY1296" i="1"/>
  <c r="Q1296" i="1"/>
  <c r="R1296" i="1"/>
  <c r="CX1296" i="1"/>
  <c r="J1296" i="1"/>
  <c r="CW1296" i="1"/>
  <c r="BN1296" i="1"/>
  <c r="BM1296" i="1"/>
  <c r="DM1295" i="1"/>
  <c r="DE1295" i="1"/>
  <c r="M1295" i="1"/>
  <c r="L1295" i="1"/>
  <c r="CY1295" i="1"/>
  <c r="Q1295" i="1"/>
  <c r="R1295" i="1"/>
  <c r="CX1295" i="1"/>
  <c r="J1295" i="1"/>
  <c r="CW1295" i="1"/>
  <c r="BN1295" i="1"/>
  <c r="BM1295" i="1"/>
  <c r="DM1294" i="1"/>
  <c r="DE1294" i="1"/>
  <c r="M1294" i="1"/>
  <c r="L1294" i="1"/>
  <c r="CY1294" i="1"/>
  <c r="Q1294" i="1"/>
  <c r="R1294" i="1"/>
  <c r="CX1294" i="1"/>
  <c r="J1294" i="1"/>
  <c r="CW1294" i="1"/>
  <c r="BN1294" i="1"/>
  <c r="BM1294" i="1"/>
  <c r="DE1270" i="1"/>
  <c r="M1270" i="1"/>
  <c r="L1270" i="1"/>
  <c r="CY1270" i="1"/>
  <c r="Q1270" i="1"/>
  <c r="R1270" i="1"/>
  <c r="CX1270" i="1"/>
  <c r="J1270" i="1"/>
  <c r="CW1270" i="1"/>
  <c r="BN1270" i="1"/>
  <c r="BM1270" i="1"/>
  <c r="DE1261" i="1"/>
  <c r="M1261" i="1"/>
  <c r="L1261" i="1"/>
  <c r="CY1261" i="1"/>
  <c r="Q1261" i="1"/>
  <c r="R1261" i="1"/>
  <c r="CX1261" i="1"/>
  <c r="J1261" i="1"/>
  <c r="CW1261" i="1"/>
  <c r="BN1261" i="1"/>
  <c r="BM1261" i="1"/>
  <c r="DE1259" i="1"/>
  <c r="M1259" i="1"/>
  <c r="L1259" i="1"/>
  <c r="CY1259" i="1"/>
  <c r="Q1259" i="1"/>
  <c r="R1259" i="1"/>
  <c r="CX1259" i="1"/>
  <c r="J1259" i="1"/>
  <c r="CW1259" i="1"/>
  <c r="BN1259" i="1"/>
  <c r="BM1259" i="1"/>
  <c r="DE1254" i="1"/>
  <c r="M1254" i="1"/>
  <c r="L1254" i="1"/>
  <c r="CY1254" i="1"/>
  <c r="Q1254" i="1"/>
  <c r="R1254" i="1"/>
  <c r="CX1254" i="1"/>
  <c r="J1254" i="1"/>
  <c r="CW1254" i="1"/>
  <c r="BN1254" i="1"/>
  <c r="BM1254" i="1"/>
  <c r="DE1253" i="1"/>
  <c r="M1253" i="1"/>
  <c r="L1253" i="1"/>
  <c r="CY1253" i="1"/>
  <c r="Q1253" i="1"/>
  <c r="R1253" i="1"/>
  <c r="CX1253" i="1"/>
  <c r="J1253" i="1"/>
  <c r="CW1253" i="1"/>
  <c r="BN1253" i="1"/>
  <c r="BM1253" i="1"/>
  <c r="DE1252" i="1"/>
  <c r="M1252" i="1"/>
  <c r="L1252" i="1"/>
  <c r="CY1252" i="1"/>
  <c r="Q1252" i="1"/>
  <c r="R1252" i="1"/>
  <c r="CX1252" i="1"/>
  <c r="J1252" i="1"/>
  <c r="CW1252" i="1"/>
  <c r="BN1252" i="1"/>
  <c r="BM1252" i="1"/>
  <c r="DE1251" i="1"/>
  <c r="M1251" i="1"/>
  <c r="L1251" i="1"/>
  <c r="CY1251" i="1"/>
  <c r="Q1251" i="1"/>
  <c r="R1251" i="1"/>
  <c r="CX1251" i="1"/>
  <c r="J1251" i="1"/>
  <c r="CW1251" i="1"/>
  <c r="BN1251" i="1"/>
  <c r="BM1251" i="1"/>
  <c r="DE1250" i="1"/>
  <c r="M1250" i="1"/>
  <c r="L1250" i="1"/>
  <c r="CY1250" i="1"/>
  <c r="Q1250" i="1"/>
  <c r="R1250" i="1"/>
  <c r="CX1250" i="1"/>
  <c r="J1250" i="1"/>
  <c r="CW1250" i="1"/>
  <c r="BN1250" i="1"/>
  <c r="BM1250" i="1"/>
  <c r="DE1247" i="1"/>
  <c r="M1247" i="1"/>
  <c r="L1247" i="1"/>
  <c r="CY1247" i="1"/>
  <c r="Q1247" i="1"/>
  <c r="R1247" i="1"/>
  <c r="CX1247" i="1"/>
  <c r="J1247" i="1"/>
  <c r="CW1247" i="1"/>
  <c r="BN1247" i="1"/>
  <c r="BM1247" i="1"/>
  <c r="DE1239" i="1"/>
  <c r="M1239" i="1"/>
  <c r="L1239" i="1"/>
  <c r="CY1239" i="1"/>
  <c r="Q1239" i="1"/>
  <c r="R1239" i="1"/>
  <c r="CX1239" i="1"/>
  <c r="J1239" i="1"/>
  <c r="CW1239" i="1"/>
  <c r="BN1239" i="1"/>
  <c r="BM1239" i="1"/>
  <c r="DE1220" i="1"/>
  <c r="M1220" i="1"/>
  <c r="L1220" i="1"/>
  <c r="CY1220" i="1"/>
  <c r="Q1220" i="1"/>
  <c r="R1220" i="1"/>
  <c r="CX1220" i="1"/>
  <c r="J1220" i="1"/>
  <c r="CW1220" i="1"/>
  <c r="BN1220" i="1"/>
  <c r="BM1220" i="1"/>
  <c r="DE1217" i="1"/>
  <c r="M1217" i="1"/>
  <c r="L1217" i="1"/>
  <c r="CY1217" i="1"/>
  <c r="Q1217" i="1"/>
  <c r="R1217" i="1"/>
  <c r="CX1217" i="1"/>
  <c r="J1217" i="1"/>
  <c r="CW1217" i="1"/>
  <c r="BN1217" i="1"/>
  <c r="BM1217" i="1"/>
  <c r="DE14" i="1"/>
  <c r="M14" i="1"/>
  <c r="L14" i="1"/>
  <c r="CY14" i="1"/>
  <c r="Q14" i="1"/>
  <c r="R14" i="1"/>
  <c r="CX14" i="1"/>
  <c r="J14" i="1"/>
  <c r="CW14" i="1"/>
  <c r="BN14" i="1"/>
  <c r="BM14" i="1"/>
  <c r="DE15" i="1"/>
  <c r="M15" i="1"/>
  <c r="L15" i="1"/>
  <c r="CY15" i="1"/>
  <c r="Q15" i="1"/>
  <c r="R15" i="1"/>
  <c r="CX15" i="1"/>
  <c r="J15" i="1"/>
  <c r="CW15" i="1"/>
  <c r="BN15" i="1"/>
  <c r="BM15" i="1"/>
  <c r="DE16" i="1"/>
  <c r="M16" i="1"/>
  <c r="L16" i="1"/>
  <c r="CY16" i="1"/>
  <c r="Q16" i="1"/>
  <c r="R16" i="1"/>
  <c r="CX16" i="1"/>
  <c r="J16" i="1"/>
  <c r="CW16" i="1"/>
  <c r="BN16" i="1"/>
  <c r="BM16" i="1"/>
  <c r="DE17" i="1"/>
  <c r="M17" i="1"/>
  <c r="L17" i="1"/>
  <c r="CY17" i="1"/>
  <c r="Q17" i="1"/>
  <c r="R17" i="1"/>
  <c r="CX17" i="1"/>
  <c r="J17" i="1"/>
  <c r="CW17" i="1"/>
  <c r="BN17" i="1"/>
  <c r="BM17" i="1"/>
  <c r="DE18" i="1"/>
  <c r="M18" i="1"/>
  <c r="L18" i="1"/>
  <c r="CY18" i="1"/>
  <c r="Q18" i="1"/>
  <c r="R18" i="1"/>
  <c r="CX18" i="1"/>
  <c r="J18" i="1"/>
  <c r="CW18" i="1"/>
  <c r="BN18" i="1"/>
  <c r="BM18" i="1"/>
  <c r="DE1189" i="1"/>
  <c r="M1189" i="1"/>
  <c r="L1189" i="1"/>
  <c r="CY1189" i="1"/>
  <c r="Q1189" i="1"/>
  <c r="R1189" i="1"/>
  <c r="CX1189" i="1"/>
  <c r="J1189" i="1"/>
  <c r="CW1189" i="1"/>
  <c r="BN1189" i="1"/>
  <c r="BM1189" i="1"/>
  <c r="DE1188" i="1"/>
  <c r="M1188" i="1"/>
  <c r="L1188" i="1"/>
  <c r="CY1188" i="1"/>
  <c r="Q1188" i="1"/>
  <c r="R1188" i="1"/>
  <c r="CX1188" i="1"/>
  <c r="J1188" i="1"/>
  <c r="CW1188" i="1"/>
  <c r="BN1188" i="1"/>
  <c r="BM1188" i="1"/>
  <c r="DE1187" i="1"/>
  <c r="M1187" i="1"/>
  <c r="L1187" i="1"/>
  <c r="CY1187" i="1"/>
  <c r="Q1187" i="1"/>
  <c r="R1187" i="1"/>
  <c r="CX1187" i="1"/>
  <c r="J1187" i="1"/>
  <c r="CW1187" i="1"/>
  <c r="BN1187" i="1"/>
  <c r="BM1187" i="1"/>
  <c r="DE1172" i="1"/>
  <c r="M1172" i="1"/>
  <c r="L1172" i="1"/>
  <c r="CY1172" i="1"/>
  <c r="Q1172" i="1"/>
  <c r="R1172" i="1"/>
  <c r="CX1172" i="1"/>
  <c r="J1172" i="1"/>
  <c r="CW1172" i="1"/>
  <c r="BN1172" i="1"/>
  <c r="BM1172" i="1"/>
  <c r="DE1168" i="1"/>
  <c r="M1168" i="1"/>
  <c r="L1168" i="1"/>
  <c r="CY1168" i="1"/>
  <c r="Q1168" i="1"/>
  <c r="R1168" i="1"/>
  <c r="CX1168" i="1"/>
  <c r="J1168" i="1"/>
  <c r="CW1168" i="1"/>
  <c r="BN1168" i="1"/>
  <c r="BM1168" i="1"/>
  <c r="DE35" i="1"/>
  <c r="M35" i="1"/>
  <c r="L35" i="1"/>
  <c r="CY35" i="1"/>
  <c r="Q35" i="1"/>
  <c r="R35" i="1"/>
  <c r="CX35" i="1"/>
  <c r="J35" i="1"/>
  <c r="CW35" i="1"/>
  <c r="BN35" i="1"/>
  <c r="BM35" i="1"/>
  <c r="DE36" i="1"/>
  <c r="M36" i="1"/>
  <c r="L36" i="1"/>
  <c r="CY36" i="1"/>
  <c r="Q36" i="1"/>
  <c r="R36" i="1"/>
  <c r="CX36" i="1"/>
  <c r="J36" i="1"/>
  <c r="CW36" i="1"/>
  <c r="BN36" i="1"/>
  <c r="BM36" i="1"/>
  <c r="DE1163" i="1"/>
  <c r="M1163" i="1"/>
  <c r="L1163" i="1"/>
  <c r="CY1163" i="1"/>
  <c r="Q1163" i="1"/>
  <c r="R1163" i="1"/>
  <c r="CX1163" i="1"/>
  <c r="J1163" i="1"/>
  <c r="CW1163" i="1"/>
  <c r="BN1163" i="1"/>
  <c r="BM1163" i="1"/>
  <c r="DE234" i="1"/>
  <c r="M234" i="1"/>
  <c r="L234" i="1"/>
  <c r="CY234" i="1"/>
  <c r="Q234" i="1"/>
  <c r="R234" i="1"/>
  <c r="CX234" i="1"/>
  <c r="J234" i="1"/>
  <c r="CW234" i="1"/>
  <c r="BN234" i="1"/>
  <c r="BM234" i="1"/>
  <c r="DE1137" i="1"/>
  <c r="M1137" i="1"/>
  <c r="L1137" i="1"/>
  <c r="CY1137" i="1"/>
  <c r="Q1137" i="1"/>
  <c r="R1137" i="1"/>
  <c r="CX1137" i="1"/>
  <c r="J1137" i="1"/>
  <c r="CW1137" i="1"/>
  <c r="BN1137" i="1"/>
  <c r="BM1137" i="1"/>
  <c r="DE1123" i="1"/>
  <c r="M1123" i="1"/>
  <c r="L1123" i="1"/>
  <c r="CY1123" i="1"/>
  <c r="Q1123" i="1"/>
  <c r="R1123" i="1"/>
  <c r="CX1123" i="1"/>
  <c r="J1123" i="1"/>
  <c r="CW1123" i="1"/>
  <c r="BN1123" i="1"/>
  <c r="BM1123" i="1"/>
  <c r="DE263" i="1"/>
  <c r="M263" i="1"/>
  <c r="L263" i="1"/>
  <c r="CY263" i="1"/>
  <c r="Q263" i="1"/>
  <c r="R263" i="1"/>
  <c r="CX263" i="1"/>
  <c r="J263" i="1"/>
  <c r="CW263" i="1"/>
  <c r="BN263" i="1"/>
  <c r="BM263" i="1"/>
  <c r="DE264" i="1"/>
  <c r="M264" i="1"/>
  <c r="L264" i="1"/>
  <c r="CY264" i="1"/>
  <c r="Q264" i="1"/>
  <c r="R264" i="1"/>
  <c r="CX264" i="1"/>
  <c r="J264" i="1"/>
  <c r="CW264" i="1"/>
  <c r="BN264" i="1"/>
  <c r="BM264" i="1"/>
  <c r="DE1117" i="1"/>
  <c r="M1117" i="1"/>
  <c r="L1117" i="1"/>
  <c r="CY1117" i="1"/>
  <c r="Q1117" i="1"/>
  <c r="R1117" i="1"/>
  <c r="CX1117" i="1"/>
  <c r="J1117" i="1"/>
  <c r="CW1117" i="1"/>
  <c r="BN1117" i="1"/>
  <c r="BM1117" i="1"/>
  <c r="DE1111" i="1"/>
  <c r="M1111" i="1"/>
  <c r="L1111" i="1"/>
  <c r="CY1111" i="1"/>
  <c r="Q1111" i="1"/>
  <c r="R1111" i="1"/>
  <c r="CX1111" i="1"/>
  <c r="J1111" i="1"/>
  <c r="CW1111" i="1"/>
  <c r="BN1111" i="1"/>
  <c r="BM1111" i="1"/>
  <c r="DE270" i="1"/>
  <c r="M270" i="1"/>
  <c r="L270" i="1"/>
  <c r="CY270" i="1"/>
  <c r="Q270" i="1"/>
  <c r="R270" i="1"/>
  <c r="CX270" i="1"/>
  <c r="J270" i="1"/>
  <c r="CW270" i="1"/>
  <c r="BN270" i="1"/>
  <c r="BM270" i="1"/>
  <c r="DE1109" i="1"/>
  <c r="M1109" i="1"/>
  <c r="L1109" i="1"/>
  <c r="CY1109" i="1"/>
  <c r="Q1109" i="1"/>
  <c r="R1109" i="1"/>
  <c r="CX1109" i="1"/>
  <c r="J1109" i="1"/>
  <c r="CW1109" i="1"/>
  <c r="BN1109" i="1"/>
  <c r="BM1109" i="1"/>
  <c r="DE278" i="1"/>
  <c r="M278" i="1"/>
  <c r="L278" i="1"/>
  <c r="CY278" i="1"/>
  <c r="Q278" i="1"/>
  <c r="R278" i="1"/>
  <c r="CX278" i="1"/>
  <c r="J278" i="1"/>
  <c r="CW278" i="1"/>
  <c r="BN278" i="1"/>
  <c r="BM278" i="1"/>
  <c r="DE286" i="1"/>
  <c r="M286" i="1"/>
  <c r="L286" i="1"/>
  <c r="CY286" i="1"/>
  <c r="Q286" i="1"/>
  <c r="R286" i="1"/>
  <c r="CX286" i="1"/>
  <c r="J286" i="1"/>
  <c r="CW286" i="1"/>
  <c r="BN286" i="1"/>
  <c r="BM286" i="1"/>
  <c r="DE287" i="1"/>
  <c r="M287" i="1"/>
  <c r="L287" i="1"/>
  <c r="CY287" i="1"/>
  <c r="Q287" i="1"/>
  <c r="R287" i="1"/>
  <c r="CX287" i="1"/>
  <c r="J287" i="1"/>
  <c r="CW287" i="1"/>
  <c r="BN287" i="1"/>
  <c r="BM287" i="1"/>
  <c r="DE288" i="1"/>
  <c r="M288" i="1"/>
  <c r="L288" i="1"/>
  <c r="CY288" i="1"/>
  <c r="Q288" i="1"/>
  <c r="R288" i="1"/>
  <c r="CX288" i="1"/>
  <c r="J288" i="1"/>
  <c r="CW288" i="1"/>
  <c r="BN288" i="1"/>
  <c r="BM288" i="1"/>
  <c r="DE289" i="1"/>
  <c r="M289" i="1"/>
  <c r="L289" i="1"/>
  <c r="CY289" i="1"/>
  <c r="Q289" i="1"/>
  <c r="R289" i="1"/>
  <c r="CX289" i="1"/>
  <c r="J289" i="1"/>
  <c r="CW289" i="1"/>
  <c r="BN289" i="1"/>
  <c r="BM289" i="1"/>
  <c r="DE293" i="1"/>
  <c r="M293" i="1"/>
  <c r="L293" i="1"/>
  <c r="CY293" i="1"/>
  <c r="Q293" i="1"/>
  <c r="R293" i="1"/>
  <c r="CX293" i="1"/>
  <c r="J293" i="1"/>
  <c r="CW293" i="1"/>
  <c r="BN293" i="1"/>
  <c r="BM293" i="1"/>
  <c r="DE294" i="1"/>
  <c r="M294" i="1"/>
  <c r="L294" i="1"/>
  <c r="CY294" i="1"/>
  <c r="Q294" i="1"/>
  <c r="R294" i="1"/>
  <c r="CX294" i="1"/>
  <c r="J294" i="1"/>
  <c r="CW294" i="1"/>
  <c r="BN294" i="1"/>
  <c r="BM294" i="1"/>
  <c r="DE1093" i="1"/>
  <c r="M1093" i="1"/>
  <c r="L1093" i="1"/>
  <c r="CY1093" i="1"/>
  <c r="Q1093" i="1"/>
  <c r="R1093" i="1"/>
  <c r="CX1093" i="1"/>
  <c r="J1093" i="1"/>
  <c r="CW1093" i="1"/>
  <c r="BN1093" i="1"/>
  <c r="BM1093" i="1"/>
  <c r="DE302" i="1"/>
  <c r="M302" i="1"/>
  <c r="L302" i="1"/>
  <c r="CY302" i="1"/>
  <c r="Q302" i="1"/>
  <c r="R302" i="1"/>
  <c r="CX302" i="1"/>
  <c r="J302" i="1"/>
  <c r="CW302" i="1"/>
  <c r="BN302" i="1"/>
  <c r="BM302" i="1"/>
  <c r="DE306" i="1"/>
  <c r="M306" i="1"/>
  <c r="L306" i="1"/>
  <c r="CY306" i="1"/>
  <c r="Q306" i="1"/>
  <c r="R306" i="1"/>
  <c r="CX306" i="1"/>
  <c r="J306" i="1"/>
  <c r="CW306" i="1"/>
  <c r="BN306" i="1"/>
  <c r="BM306" i="1"/>
  <c r="DM596" i="1"/>
  <c r="M596" i="1"/>
  <c r="L596" i="1"/>
  <c r="CY596" i="1"/>
  <c r="R596" i="1"/>
  <c r="CX596" i="1"/>
  <c r="J596" i="1"/>
  <c r="BN596" i="1"/>
  <c r="BM596" i="1"/>
  <c r="DM597" i="1"/>
  <c r="M597" i="1"/>
  <c r="L597" i="1"/>
  <c r="CY597" i="1"/>
  <c r="R597" i="1"/>
  <c r="CX597" i="1"/>
  <c r="J597" i="1"/>
  <c r="BN597" i="1"/>
  <c r="BM597" i="1"/>
  <c r="DM638" i="1"/>
  <c r="M638" i="1"/>
  <c r="L638" i="1"/>
  <c r="CY638" i="1"/>
  <c r="R638" i="1"/>
  <c r="CX638" i="1"/>
  <c r="J638" i="1"/>
  <c r="BN638" i="1"/>
  <c r="BM638" i="1"/>
  <c r="DM639" i="1"/>
  <c r="M639" i="1"/>
  <c r="L639" i="1"/>
  <c r="CY639" i="1"/>
  <c r="R639" i="1"/>
  <c r="CX639" i="1"/>
  <c r="J639" i="1"/>
  <c r="BN639" i="1"/>
  <c r="BM639" i="1"/>
  <c r="DM640" i="1"/>
  <c r="M640" i="1"/>
  <c r="L640" i="1"/>
  <c r="CY640" i="1"/>
  <c r="R640" i="1"/>
  <c r="CX640" i="1"/>
  <c r="J640" i="1"/>
  <c r="BN640" i="1"/>
  <c r="BM640" i="1"/>
  <c r="DM641" i="1"/>
  <c r="M641" i="1"/>
  <c r="L641" i="1"/>
  <c r="CY641" i="1"/>
  <c r="R641" i="1"/>
  <c r="CX641" i="1"/>
  <c r="J641" i="1"/>
  <c r="BN641" i="1"/>
  <c r="BM641" i="1"/>
  <c r="DM642" i="1"/>
  <c r="M642" i="1"/>
  <c r="L642" i="1"/>
  <c r="CY642" i="1"/>
  <c r="R642" i="1"/>
  <c r="CX642" i="1"/>
  <c r="J642" i="1"/>
  <c r="BN642" i="1"/>
  <c r="BM642" i="1"/>
  <c r="DM643" i="1"/>
  <c r="M643" i="1"/>
  <c r="L643" i="1"/>
  <c r="CY643" i="1"/>
  <c r="R643" i="1"/>
  <c r="CX643" i="1"/>
  <c r="J643" i="1"/>
  <c r="BN643" i="1"/>
  <c r="BM643" i="1"/>
  <c r="DM644" i="1"/>
  <c r="M644" i="1"/>
  <c r="L644" i="1"/>
  <c r="CY644" i="1"/>
  <c r="R644" i="1"/>
  <c r="CX644" i="1"/>
  <c r="J644" i="1"/>
  <c r="BN644" i="1"/>
  <c r="BM644" i="1"/>
  <c r="DM645" i="1"/>
  <c r="M645" i="1"/>
  <c r="L645" i="1"/>
  <c r="CY645" i="1"/>
  <c r="R645" i="1"/>
  <c r="CX645" i="1"/>
  <c r="J645" i="1"/>
  <c r="BN645" i="1"/>
  <c r="BM645" i="1"/>
  <c r="DM646" i="1"/>
  <c r="M646" i="1"/>
  <c r="L646" i="1"/>
  <c r="CY646" i="1"/>
  <c r="R646" i="1"/>
  <c r="CX646" i="1"/>
  <c r="J646" i="1"/>
  <c r="BN646" i="1"/>
  <c r="BM646" i="1"/>
  <c r="DM647" i="1"/>
  <c r="M647" i="1"/>
  <c r="L647" i="1"/>
  <c r="CY647" i="1"/>
  <c r="R647" i="1"/>
  <c r="CX647" i="1"/>
  <c r="J647" i="1"/>
  <c r="BN647" i="1"/>
  <c r="BM647" i="1"/>
  <c r="DM648" i="1"/>
  <c r="M648" i="1"/>
  <c r="L648" i="1"/>
  <c r="CY648" i="1"/>
  <c r="R648" i="1"/>
  <c r="CX648" i="1"/>
  <c r="J648" i="1"/>
  <c r="BN648" i="1"/>
  <c r="BM648" i="1"/>
  <c r="DM649" i="1"/>
  <c r="M649" i="1"/>
  <c r="L649" i="1"/>
  <c r="CY649" i="1"/>
  <c r="R649" i="1"/>
  <c r="CX649" i="1"/>
  <c r="J649" i="1"/>
  <c r="BN649" i="1"/>
  <c r="BM649" i="1"/>
  <c r="DM655" i="1"/>
  <c r="M655" i="1"/>
  <c r="L655" i="1"/>
  <c r="CY655" i="1"/>
  <c r="R655" i="1"/>
  <c r="CX655" i="1"/>
  <c r="J655" i="1"/>
  <c r="BN655" i="1"/>
  <c r="BM655" i="1"/>
  <c r="DM656" i="1"/>
  <c r="M656" i="1"/>
  <c r="L656" i="1"/>
  <c r="CY656" i="1"/>
  <c r="R656" i="1"/>
  <c r="CX656" i="1"/>
  <c r="J656" i="1"/>
  <c r="BN656" i="1"/>
  <c r="BM656" i="1"/>
  <c r="DM657" i="1"/>
  <c r="M657" i="1"/>
  <c r="L657" i="1"/>
  <c r="CY657" i="1"/>
  <c r="R657" i="1"/>
  <c r="CX657" i="1"/>
  <c r="J657" i="1"/>
  <c r="BN657" i="1"/>
  <c r="BM657" i="1"/>
  <c r="DM658" i="1"/>
  <c r="M658" i="1"/>
  <c r="L658" i="1"/>
  <c r="CY658" i="1"/>
  <c r="R658" i="1"/>
  <c r="CX658" i="1"/>
  <c r="J658" i="1"/>
  <c r="BN658" i="1"/>
  <c r="BM658" i="1"/>
  <c r="DM659" i="1"/>
  <c r="M659" i="1"/>
  <c r="L659" i="1"/>
  <c r="CY659" i="1"/>
  <c r="R659" i="1"/>
  <c r="CX659" i="1"/>
  <c r="J659" i="1"/>
  <c r="BN659" i="1"/>
  <c r="BM659" i="1"/>
  <c r="DM610" i="1"/>
  <c r="M610" i="1"/>
  <c r="L610" i="1"/>
  <c r="CY610" i="1"/>
  <c r="R610" i="1"/>
  <c r="CX610" i="1"/>
  <c r="J610" i="1"/>
  <c r="BN610" i="1"/>
  <c r="BM610" i="1"/>
  <c r="DM613" i="1"/>
  <c r="M613" i="1"/>
  <c r="L613" i="1"/>
  <c r="CY613" i="1"/>
  <c r="R613" i="1"/>
  <c r="CX613" i="1"/>
  <c r="J613" i="1"/>
  <c r="BN613" i="1"/>
  <c r="BM613" i="1"/>
  <c r="DM614" i="1"/>
  <c r="M614" i="1"/>
  <c r="L614" i="1"/>
  <c r="CY614" i="1"/>
  <c r="R614" i="1"/>
  <c r="CX614" i="1"/>
  <c r="J614" i="1"/>
  <c r="BN614" i="1"/>
  <c r="BM614" i="1"/>
  <c r="DM618" i="1"/>
  <c r="M618" i="1"/>
  <c r="L618" i="1"/>
  <c r="CY618" i="1"/>
  <c r="R618" i="1"/>
  <c r="CX618" i="1"/>
  <c r="J618" i="1"/>
  <c r="BN618" i="1"/>
  <c r="BM618" i="1"/>
  <c r="DM619" i="1"/>
  <c r="M619" i="1"/>
  <c r="L619" i="1"/>
  <c r="CY619" i="1"/>
  <c r="R619" i="1"/>
  <c r="CX619" i="1"/>
  <c r="J619" i="1"/>
  <c r="BN619" i="1"/>
  <c r="BM619" i="1"/>
  <c r="DM620" i="1"/>
  <c r="M620" i="1"/>
  <c r="L620" i="1"/>
  <c r="CY620" i="1"/>
  <c r="R620" i="1"/>
  <c r="CX620" i="1"/>
  <c r="J620" i="1"/>
  <c r="BN620" i="1"/>
  <c r="BM620" i="1"/>
  <c r="DM621" i="1"/>
  <c r="M621" i="1"/>
  <c r="L621" i="1"/>
  <c r="CY621" i="1"/>
  <c r="R621" i="1"/>
  <c r="CX621" i="1"/>
  <c r="J621" i="1"/>
  <c r="BN621" i="1"/>
  <c r="BM621" i="1"/>
  <c r="DM622" i="1"/>
  <c r="M622" i="1"/>
  <c r="L622" i="1"/>
  <c r="CY622" i="1"/>
  <c r="R622" i="1"/>
  <c r="CX622" i="1"/>
  <c r="J622" i="1"/>
  <c r="BN622" i="1"/>
  <c r="BM622" i="1"/>
  <c r="DM623" i="1"/>
  <c r="M623" i="1"/>
  <c r="L623" i="1"/>
  <c r="CY623" i="1"/>
  <c r="R623" i="1"/>
  <c r="CX623" i="1"/>
  <c r="J623" i="1"/>
  <c r="BN623" i="1"/>
  <c r="BM623" i="1"/>
  <c r="DM624" i="1"/>
  <c r="M624" i="1"/>
  <c r="L624" i="1"/>
  <c r="CY624" i="1"/>
  <c r="R624" i="1"/>
  <c r="CX624" i="1"/>
  <c r="J624" i="1"/>
  <c r="BN624" i="1"/>
  <c r="BM624" i="1"/>
  <c r="DM625" i="1"/>
  <c r="M625" i="1"/>
  <c r="L625" i="1"/>
  <c r="CY625" i="1"/>
  <c r="R625" i="1"/>
  <c r="CX625" i="1"/>
  <c r="J625" i="1"/>
  <c r="BN625" i="1"/>
  <c r="BM625" i="1"/>
  <c r="DM626" i="1"/>
  <c r="M626" i="1"/>
  <c r="L626" i="1"/>
  <c r="CY626" i="1"/>
  <c r="R626" i="1"/>
  <c r="CX626" i="1"/>
  <c r="J626" i="1"/>
  <c r="BN626" i="1"/>
  <c r="BM626" i="1"/>
  <c r="DM627" i="1"/>
  <c r="M627" i="1"/>
  <c r="L627" i="1"/>
  <c r="CY627" i="1"/>
  <c r="R627" i="1"/>
  <c r="CX627" i="1"/>
  <c r="J627" i="1"/>
  <c r="BN627" i="1"/>
  <c r="BM627" i="1"/>
  <c r="DM628" i="1"/>
  <c r="M628" i="1"/>
  <c r="L628" i="1"/>
  <c r="CY628" i="1"/>
  <c r="R628" i="1"/>
  <c r="CX628" i="1"/>
  <c r="J628" i="1"/>
  <c r="BN628" i="1"/>
  <c r="BM628" i="1"/>
  <c r="DM629" i="1"/>
  <c r="M629" i="1"/>
  <c r="L629" i="1"/>
  <c r="CY629" i="1"/>
  <c r="R629" i="1"/>
  <c r="CX629" i="1"/>
  <c r="J629" i="1"/>
  <c r="BN629" i="1"/>
  <c r="BM629" i="1"/>
  <c r="DM635" i="1"/>
  <c r="M635" i="1"/>
  <c r="L635" i="1"/>
  <c r="CY635" i="1"/>
  <c r="R635" i="1"/>
  <c r="CX635" i="1"/>
  <c r="J635" i="1"/>
  <c r="BN635" i="1"/>
  <c r="BM635" i="1"/>
  <c r="DM636" i="1"/>
  <c r="M636" i="1"/>
  <c r="L636" i="1"/>
  <c r="CY636" i="1"/>
  <c r="R636" i="1"/>
  <c r="CX636" i="1"/>
  <c r="J636" i="1"/>
  <c r="BN636" i="1"/>
  <c r="BM636" i="1"/>
  <c r="DM637" i="1"/>
  <c r="M637" i="1"/>
  <c r="L637" i="1"/>
  <c r="CY637" i="1"/>
  <c r="R637" i="1"/>
  <c r="CX637" i="1"/>
  <c r="J637" i="1"/>
  <c r="BN637" i="1"/>
  <c r="BM637" i="1"/>
  <c r="DM667" i="1"/>
  <c r="M667" i="1"/>
  <c r="L667" i="1"/>
  <c r="CY667" i="1"/>
  <c r="R667" i="1"/>
  <c r="CX667" i="1"/>
  <c r="J667" i="1"/>
  <c r="BN667" i="1"/>
  <c r="BM667" i="1"/>
  <c r="DM668" i="1"/>
  <c r="M668" i="1"/>
  <c r="L668" i="1"/>
  <c r="CY668" i="1"/>
  <c r="R668" i="1"/>
  <c r="CX668" i="1"/>
  <c r="J668" i="1"/>
  <c r="BN668" i="1"/>
  <c r="BM668" i="1"/>
  <c r="DM669" i="1"/>
  <c r="M669" i="1"/>
  <c r="L669" i="1"/>
  <c r="CY669" i="1"/>
  <c r="R669" i="1"/>
  <c r="CX669" i="1"/>
  <c r="J669" i="1"/>
  <c r="BN669" i="1"/>
  <c r="BM669" i="1"/>
  <c r="DM670" i="1"/>
  <c r="M670" i="1"/>
  <c r="L670" i="1"/>
  <c r="CY670" i="1"/>
  <c r="R670" i="1"/>
  <c r="CX670" i="1"/>
  <c r="J670" i="1"/>
  <c r="BN670" i="1"/>
  <c r="BM670" i="1"/>
  <c r="DM671" i="1"/>
  <c r="M671" i="1"/>
  <c r="L671" i="1"/>
  <c r="CY671" i="1"/>
  <c r="R671" i="1"/>
  <c r="CX671" i="1"/>
  <c r="J671" i="1"/>
  <c r="BN671" i="1"/>
  <c r="BM671" i="1"/>
  <c r="DM672" i="1"/>
  <c r="M672" i="1"/>
  <c r="L672" i="1"/>
  <c r="CY672" i="1"/>
  <c r="R672" i="1"/>
  <c r="CX672" i="1"/>
  <c r="J672" i="1"/>
  <c r="BN672" i="1"/>
  <c r="BM672" i="1"/>
  <c r="DM673" i="1"/>
  <c r="M673" i="1"/>
  <c r="L673" i="1"/>
  <c r="CY673" i="1"/>
  <c r="R673" i="1"/>
  <c r="CX673" i="1"/>
  <c r="J673" i="1"/>
  <c r="BN673" i="1"/>
  <c r="BM673" i="1"/>
  <c r="DM674" i="1"/>
  <c r="M674" i="1"/>
  <c r="L674" i="1"/>
  <c r="CY674" i="1"/>
  <c r="R674" i="1"/>
  <c r="CX674" i="1"/>
  <c r="J674" i="1"/>
  <c r="BN674" i="1"/>
  <c r="BM674" i="1"/>
  <c r="DM675" i="1"/>
  <c r="M675" i="1"/>
  <c r="L675" i="1"/>
  <c r="CY675" i="1"/>
  <c r="R675" i="1"/>
  <c r="CX675" i="1"/>
  <c r="J675" i="1"/>
  <c r="BN675" i="1"/>
  <c r="BM675" i="1"/>
  <c r="DM676" i="1"/>
  <c r="M676" i="1"/>
  <c r="L676" i="1"/>
  <c r="CY676" i="1"/>
  <c r="R676" i="1"/>
  <c r="CX676" i="1"/>
  <c r="J676" i="1"/>
  <c r="BN676" i="1"/>
  <c r="BM676" i="1"/>
  <c r="DM677" i="1"/>
  <c r="M677" i="1"/>
  <c r="L677" i="1"/>
  <c r="CY677" i="1"/>
  <c r="R677" i="1"/>
  <c r="CX677" i="1"/>
  <c r="J677" i="1"/>
  <c r="BN677" i="1"/>
  <c r="BM677" i="1"/>
  <c r="DM678" i="1"/>
  <c r="M678" i="1"/>
  <c r="L678" i="1"/>
  <c r="CY678" i="1"/>
  <c r="R678" i="1"/>
  <c r="CX678" i="1"/>
  <c r="J678" i="1"/>
  <c r="BN678" i="1"/>
  <c r="BM678" i="1"/>
  <c r="DM679" i="1"/>
  <c r="M679" i="1"/>
  <c r="L679" i="1"/>
  <c r="CY679" i="1"/>
  <c r="R679" i="1"/>
  <c r="CX679" i="1"/>
  <c r="J679" i="1"/>
  <c r="BN679" i="1"/>
  <c r="BM679" i="1"/>
  <c r="DM683" i="1"/>
  <c r="M683" i="1"/>
  <c r="L683" i="1"/>
  <c r="CY683" i="1"/>
  <c r="R683" i="1"/>
  <c r="CX683" i="1"/>
  <c r="J683" i="1"/>
  <c r="BN683" i="1"/>
  <c r="BM683" i="1"/>
  <c r="DM684" i="1"/>
  <c r="M684" i="1"/>
  <c r="L684" i="1"/>
  <c r="CY684" i="1"/>
  <c r="R684" i="1"/>
  <c r="CX684" i="1"/>
  <c r="J684" i="1"/>
  <c r="BN684" i="1"/>
  <c r="BM684" i="1"/>
  <c r="DM685" i="1"/>
  <c r="M685" i="1"/>
  <c r="L685" i="1"/>
  <c r="CY685" i="1"/>
  <c r="R685" i="1"/>
  <c r="CX685" i="1"/>
  <c r="J685" i="1"/>
  <c r="BN685" i="1"/>
  <c r="BM685" i="1"/>
  <c r="DM686" i="1"/>
  <c r="M686" i="1"/>
  <c r="L686" i="1"/>
  <c r="CY686" i="1"/>
  <c r="R686" i="1"/>
  <c r="CX686" i="1"/>
  <c r="J686" i="1"/>
  <c r="BN686" i="1"/>
  <c r="BM686" i="1"/>
  <c r="DM687" i="1"/>
  <c r="M687" i="1"/>
  <c r="L687" i="1"/>
  <c r="CY687" i="1"/>
  <c r="R687" i="1"/>
  <c r="CX687" i="1"/>
  <c r="J687" i="1"/>
  <c r="BN687" i="1"/>
  <c r="BM687" i="1"/>
  <c r="DM688" i="1"/>
  <c r="M688" i="1"/>
  <c r="L688" i="1"/>
  <c r="CY688" i="1"/>
  <c r="R688" i="1"/>
  <c r="CX688" i="1"/>
  <c r="J688" i="1"/>
  <c r="BN688" i="1"/>
  <c r="BM688" i="1"/>
  <c r="DM689" i="1"/>
  <c r="M689" i="1"/>
  <c r="L689" i="1"/>
  <c r="CY689" i="1"/>
  <c r="R689" i="1"/>
  <c r="CX689" i="1"/>
  <c r="J689" i="1"/>
  <c r="BN689" i="1"/>
  <c r="BM689" i="1"/>
  <c r="DM690" i="1"/>
  <c r="M690" i="1"/>
  <c r="L690" i="1"/>
  <c r="CY690" i="1"/>
  <c r="R690" i="1"/>
  <c r="CX690" i="1"/>
  <c r="J690" i="1"/>
  <c r="BN690" i="1"/>
  <c r="BM690" i="1"/>
  <c r="DM691" i="1"/>
  <c r="M691" i="1"/>
  <c r="L691" i="1"/>
  <c r="CY691" i="1"/>
  <c r="R691" i="1"/>
  <c r="CX691" i="1"/>
  <c r="J691" i="1"/>
  <c r="BN691" i="1"/>
  <c r="BM691" i="1"/>
  <c r="DM692" i="1"/>
  <c r="M692" i="1"/>
  <c r="L692" i="1"/>
  <c r="CY692" i="1"/>
  <c r="R692" i="1"/>
  <c r="CX692" i="1"/>
  <c r="J692" i="1"/>
  <c r="BN692" i="1"/>
  <c r="BM692" i="1"/>
  <c r="DM693" i="1"/>
  <c r="M693" i="1"/>
  <c r="L693" i="1"/>
  <c r="CY693" i="1"/>
  <c r="R693" i="1"/>
  <c r="CX693" i="1"/>
  <c r="J693" i="1"/>
  <c r="BN693" i="1"/>
  <c r="BM693" i="1"/>
  <c r="DM694" i="1"/>
  <c r="M694" i="1"/>
  <c r="L694" i="1"/>
  <c r="CY694" i="1"/>
  <c r="R694" i="1"/>
  <c r="CX694" i="1"/>
  <c r="J694" i="1"/>
  <c r="BN694" i="1"/>
  <c r="BM694" i="1"/>
  <c r="DM695" i="1"/>
  <c r="M695" i="1"/>
  <c r="L695" i="1"/>
  <c r="CY695" i="1"/>
  <c r="R695" i="1"/>
  <c r="CX695" i="1"/>
  <c r="J695" i="1"/>
  <c r="BN695" i="1"/>
  <c r="BM695" i="1"/>
  <c r="DM696" i="1"/>
  <c r="M696" i="1"/>
  <c r="L696" i="1"/>
  <c r="CY696" i="1"/>
  <c r="R696" i="1"/>
  <c r="CX696" i="1"/>
  <c r="J696" i="1"/>
  <c r="BN696" i="1"/>
  <c r="BM696" i="1"/>
  <c r="DM697" i="1"/>
  <c r="M697" i="1"/>
  <c r="L697" i="1"/>
  <c r="CY697" i="1"/>
  <c r="R697" i="1"/>
  <c r="CX697" i="1"/>
  <c r="J697" i="1"/>
  <c r="BN697" i="1"/>
  <c r="BM697" i="1"/>
  <c r="DM698" i="1"/>
  <c r="M698" i="1"/>
  <c r="L698" i="1"/>
  <c r="CY698" i="1"/>
  <c r="R698" i="1"/>
  <c r="CX698" i="1"/>
  <c r="J698" i="1"/>
  <c r="BN698" i="1"/>
  <c r="BM698" i="1"/>
  <c r="DM699" i="1"/>
  <c r="M699" i="1"/>
  <c r="L699" i="1"/>
  <c r="CY699" i="1"/>
  <c r="R699" i="1"/>
  <c r="CX699" i="1"/>
  <c r="J699" i="1"/>
  <c r="BN699" i="1"/>
  <c r="BM699" i="1"/>
  <c r="DM700" i="1"/>
  <c r="M700" i="1"/>
  <c r="L700" i="1"/>
  <c r="CY700" i="1"/>
  <c r="R700" i="1"/>
  <c r="CX700" i="1"/>
  <c r="J700" i="1"/>
  <c r="BN700" i="1"/>
  <c r="BM700" i="1"/>
  <c r="DM701" i="1"/>
  <c r="M701" i="1"/>
  <c r="L701" i="1"/>
  <c r="CY701" i="1"/>
  <c r="R701" i="1"/>
  <c r="CX701" i="1"/>
  <c r="J701" i="1"/>
  <c r="BN701" i="1"/>
  <c r="BM701" i="1"/>
  <c r="DM702" i="1"/>
  <c r="M702" i="1"/>
  <c r="L702" i="1"/>
  <c r="CY702" i="1"/>
  <c r="R702" i="1"/>
  <c r="CX702" i="1"/>
  <c r="J702" i="1"/>
  <c r="BN702" i="1"/>
  <c r="BM702" i="1"/>
  <c r="DM704" i="1"/>
  <c r="M704" i="1"/>
  <c r="L704" i="1"/>
  <c r="CY704" i="1"/>
  <c r="R704" i="1"/>
  <c r="CX704" i="1"/>
  <c r="J704" i="1"/>
  <c r="BN704" i="1"/>
  <c r="BM704" i="1"/>
  <c r="DM705" i="1"/>
  <c r="M705" i="1"/>
  <c r="L705" i="1"/>
  <c r="CY705" i="1"/>
  <c r="R705" i="1"/>
  <c r="CX705" i="1"/>
  <c r="J705" i="1"/>
  <c r="BN705" i="1"/>
  <c r="BM705" i="1"/>
  <c r="DM724" i="1"/>
  <c r="M724" i="1"/>
  <c r="L724" i="1"/>
  <c r="CY724" i="1"/>
  <c r="R724" i="1"/>
  <c r="CX724" i="1"/>
  <c r="J724" i="1"/>
  <c r="BN724" i="1"/>
  <c r="BM724" i="1"/>
  <c r="DM725" i="1"/>
  <c r="M725" i="1"/>
  <c r="L725" i="1"/>
  <c r="CY725" i="1"/>
  <c r="R725" i="1"/>
  <c r="CX725" i="1"/>
  <c r="J725" i="1"/>
  <c r="BN725" i="1"/>
  <c r="BM725" i="1"/>
  <c r="DM726" i="1"/>
  <c r="M726" i="1"/>
  <c r="L726" i="1"/>
  <c r="CY726" i="1"/>
  <c r="R726" i="1"/>
  <c r="CX726" i="1"/>
  <c r="J726" i="1"/>
  <c r="BN726" i="1"/>
  <c r="BM726" i="1"/>
  <c r="DM727" i="1"/>
  <c r="M727" i="1"/>
  <c r="L727" i="1"/>
  <c r="CY727" i="1"/>
  <c r="R727" i="1"/>
  <c r="CX727" i="1"/>
  <c r="J727" i="1"/>
  <c r="BN727" i="1"/>
  <c r="BM727" i="1"/>
  <c r="DM728" i="1"/>
  <c r="M728" i="1"/>
  <c r="L728" i="1"/>
  <c r="CY728" i="1"/>
  <c r="R728" i="1"/>
  <c r="CX728" i="1"/>
  <c r="J728" i="1"/>
  <c r="BN728" i="1"/>
  <c r="BM728" i="1"/>
  <c r="DM729" i="1"/>
  <c r="M729" i="1"/>
  <c r="L729" i="1"/>
  <c r="CY729" i="1"/>
  <c r="R729" i="1"/>
  <c r="CX729" i="1"/>
  <c r="J729" i="1"/>
  <c r="BN729" i="1"/>
  <c r="BM729" i="1"/>
  <c r="DM730" i="1"/>
  <c r="M730" i="1"/>
  <c r="L730" i="1"/>
  <c r="CY730" i="1"/>
  <c r="R730" i="1"/>
  <c r="CX730" i="1"/>
  <c r="J730" i="1"/>
  <c r="BN730" i="1"/>
  <c r="BM730" i="1"/>
  <c r="DM731" i="1"/>
  <c r="M731" i="1"/>
  <c r="L731" i="1"/>
  <c r="CY731" i="1"/>
  <c r="R731" i="1"/>
  <c r="CX731" i="1"/>
  <c r="J731" i="1"/>
  <c r="BN731" i="1"/>
  <c r="BM731" i="1"/>
  <c r="DM759" i="1"/>
  <c r="M759" i="1"/>
  <c r="L759" i="1"/>
  <c r="CY759" i="1"/>
  <c r="R759" i="1"/>
  <c r="CX759" i="1"/>
  <c r="J759" i="1"/>
  <c r="BN759" i="1"/>
  <c r="BM759" i="1"/>
  <c r="DM760" i="1"/>
  <c r="M760" i="1"/>
  <c r="L760" i="1"/>
  <c r="CY760" i="1"/>
  <c r="R760" i="1"/>
  <c r="CX760" i="1"/>
  <c r="J760" i="1"/>
  <c r="BN760" i="1"/>
  <c r="BM760" i="1"/>
  <c r="DM761" i="1"/>
  <c r="M761" i="1"/>
  <c r="L761" i="1"/>
  <c r="CY761" i="1"/>
  <c r="R761" i="1"/>
  <c r="CX761" i="1"/>
  <c r="J761" i="1"/>
  <c r="BN761" i="1"/>
  <c r="BM761" i="1"/>
  <c r="DM762" i="1"/>
  <c r="M762" i="1"/>
  <c r="L762" i="1"/>
  <c r="CY762" i="1"/>
  <c r="R762" i="1"/>
  <c r="CX762" i="1"/>
  <c r="J762" i="1"/>
  <c r="BN762" i="1"/>
  <c r="BM762" i="1"/>
  <c r="DM763" i="1"/>
  <c r="M763" i="1"/>
  <c r="L763" i="1"/>
  <c r="CY763" i="1"/>
  <c r="R763" i="1"/>
  <c r="CX763" i="1"/>
  <c r="J763" i="1"/>
  <c r="BN763" i="1"/>
  <c r="BM763" i="1"/>
  <c r="DM766" i="1"/>
  <c r="M766" i="1"/>
  <c r="L766" i="1"/>
  <c r="CY766" i="1"/>
  <c r="R766" i="1"/>
  <c r="CX766" i="1"/>
  <c r="J766" i="1"/>
  <c r="BN766" i="1"/>
  <c r="BM766" i="1"/>
  <c r="DM767" i="1"/>
  <c r="M767" i="1"/>
  <c r="L767" i="1"/>
  <c r="CY767" i="1"/>
  <c r="R767" i="1"/>
  <c r="CX767" i="1"/>
  <c r="J767" i="1"/>
  <c r="BN767" i="1"/>
  <c r="BM767" i="1"/>
  <c r="DM768" i="1"/>
  <c r="M768" i="1"/>
  <c r="L768" i="1"/>
  <c r="CY768" i="1"/>
  <c r="R768" i="1"/>
  <c r="CX768" i="1"/>
  <c r="J768" i="1"/>
  <c r="BN768" i="1"/>
  <c r="BM768" i="1"/>
  <c r="DM769" i="1"/>
  <c r="M769" i="1"/>
  <c r="L769" i="1"/>
  <c r="CY769" i="1"/>
  <c r="R769" i="1"/>
  <c r="CX769" i="1"/>
  <c r="J769" i="1"/>
  <c r="BN769" i="1"/>
  <c r="BM769" i="1"/>
  <c r="DM770" i="1"/>
  <c r="M770" i="1"/>
  <c r="L770" i="1"/>
  <c r="CY770" i="1"/>
  <c r="R770" i="1"/>
  <c r="CX770" i="1"/>
  <c r="J770" i="1"/>
  <c r="BN770" i="1"/>
  <c r="BM770" i="1"/>
  <c r="DM771" i="1"/>
  <c r="M771" i="1"/>
  <c r="L771" i="1"/>
  <c r="CY771" i="1"/>
  <c r="R771" i="1"/>
  <c r="CX771" i="1"/>
  <c r="J771" i="1"/>
  <c r="BN771" i="1"/>
  <c r="BM771" i="1"/>
  <c r="DM772" i="1"/>
  <c r="M772" i="1"/>
  <c r="L772" i="1"/>
  <c r="CY772" i="1"/>
  <c r="R772" i="1"/>
  <c r="CX772" i="1"/>
  <c r="J772" i="1"/>
  <c r="BN772" i="1"/>
  <c r="BM772" i="1"/>
  <c r="DM775" i="1"/>
  <c r="M775" i="1"/>
  <c r="L775" i="1"/>
  <c r="CY775" i="1"/>
  <c r="R775" i="1"/>
  <c r="CX775" i="1"/>
  <c r="J775" i="1"/>
  <c r="BN775" i="1"/>
  <c r="BM775" i="1"/>
  <c r="DM777" i="1"/>
  <c r="M777" i="1"/>
  <c r="L777" i="1"/>
  <c r="CY777" i="1"/>
  <c r="R777" i="1"/>
  <c r="CX777" i="1"/>
  <c r="J777" i="1"/>
  <c r="BN777" i="1"/>
  <c r="BM777" i="1"/>
  <c r="DM778" i="1"/>
  <c r="M778" i="1"/>
  <c r="L778" i="1"/>
  <c r="CY778" i="1"/>
  <c r="R778" i="1"/>
  <c r="CX778" i="1"/>
  <c r="J778" i="1"/>
  <c r="BN778" i="1"/>
  <c r="BM778" i="1"/>
  <c r="DM779" i="1"/>
  <c r="M779" i="1"/>
  <c r="L779" i="1"/>
  <c r="CY779" i="1"/>
  <c r="R779" i="1"/>
  <c r="CX779" i="1"/>
  <c r="J779" i="1"/>
  <c r="BN779" i="1"/>
  <c r="BM779" i="1"/>
  <c r="DM780" i="1"/>
  <c r="M780" i="1"/>
  <c r="L780" i="1"/>
  <c r="CY780" i="1"/>
  <c r="R780" i="1"/>
  <c r="CX780" i="1"/>
  <c r="J780" i="1"/>
  <c r="BN780" i="1"/>
  <c r="BM780" i="1"/>
  <c r="DM781" i="1"/>
  <c r="M781" i="1"/>
  <c r="L781" i="1"/>
  <c r="CY781" i="1"/>
  <c r="R781" i="1"/>
  <c r="CX781" i="1"/>
  <c r="J781" i="1"/>
  <c r="BN781" i="1"/>
  <c r="BM781" i="1"/>
  <c r="DM782" i="1"/>
  <c r="M782" i="1"/>
  <c r="L782" i="1"/>
  <c r="CY782" i="1"/>
  <c r="R782" i="1"/>
  <c r="CX782" i="1"/>
  <c r="J782" i="1"/>
  <c r="BN782" i="1"/>
  <c r="BM782" i="1"/>
  <c r="DM783" i="1"/>
  <c r="M783" i="1"/>
  <c r="L783" i="1"/>
  <c r="CY783" i="1"/>
  <c r="R783" i="1"/>
  <c r="CX783" i="1"/>
  <c r="J783" i="1"/>
  <c r="BN783" i="1"/>
  <c r="BM783" i="1"/>
  <c r="DM784" i="1"/>
  <c r="M784" i="1"/>
  <c r="L784" i="1"/>
  <c r="CY784" i="1"/>
  <c r="R784" i="1"/>
  <c r="CX784" i="1"/>
  <c r="J784" i="1"/>
  <c r="BN784" i="1"/>
  <c r="BM784" i="1"/>
  <c r="DM785" i="1"/>
  <c r="M785" i="1"/>
  <c r="L785" i="1"/>
  <c r="CY785" i="1"/>
  <c r="R785" i="1"/>
  <c r="CX785" i="1"/>
  <c r="J785" i="1"/>
  <c r="BN785" i="1"/>
  <c r="BM785" i="1"/>
  <c r="DM786" i="1"/>
  <c r="M786" i="1"/>
  <c r="L786" i="1"/>
  <c r="CY786" i="1"/>
  <c r="R786" i="1"/>
  <c r="CX786" i="1"/>
  <c r="J786" i="1"/>
  <c r="BN786" i="1"/>
  <c r="BM786" i="1"/>
  <c r="DM787" i="1"/>
  <c r="M787" i="1"/>
  <c r="L787" i="1"/>
  <c r="CY787" i="1"/>
  <c r="R787" i="1"/>
  <c r="CX787" i="1"/>
  <c r="J787" i="1"/>
  <c r="BN787" i="1"/>
  <c r="BM787" i="1"/>
  <c r="DM794" i="1"/>
  <c r="M794" i="1"/>
  <c r="L794" i="1"/>
  <c r="CY794" i="1"/>
  <c r="R794" i="1"/>
  <c r="CX794" i="1"/>
  <c r="J794" i="1"/>
  <c r="BN794" i="1"/>
  <c r="BM794" i="1"/>
  <c r="DM795" i="1"/>
  <c r="M795" i="1"/>
  <c r="L795" i="1"/>
  <c r="CY795" i="1"/>
  <c r="R795" i="1"/>
  <c r="CX795" i="1"/>
  <c r="J795" i="1"/>
  <c r="BN795" i="1"/>
  <c r="BM795" i="1"/>
  <c r="DM796" i="1"/>
  <c r="M796" i="1"/>
  <c r="L796" i="1"/>
  <c r="CY796" i="1"/>
  <c r="R796" i="1"/>
  <c r="CX796" i="1"/>
  <c r="J796" i="1"/>
  <c r="BN796" i="1"/>
  <c r="BM796" i="1"/>
  <c r="DM797" i="1"/>
  <c r="M797" i="1"/>
  <c r="L797" i="1"/>
  <c r="CY797" i="1"/>
  <c r="R797" i="1"/>
  <c r="CX797" i="1"/>
  <c r="J797" i="1"/>
  <c r="BN797" i="1"/>
  <c r="BM797" i="1"/>
  <c r="DM798" i="1"/>
  <c r="M798" i="1"/>
  <c r="L798" i="1"/>
  <c r="CY798" i="1"/>
  <c r="R798" i="1"/>
  <c r="CX798" i="1"/>
  <c r="J798" i="1"/>
  <c r="BN798" i="1"/>
  <c r="BM798" i="1"/>
  <c r="DM799" i="1"/>
  <c r="M799" i="1"/>
  <c r="L799" i="1"/>
  <c r="CY799" i="1"/>
  <c r="R799" i="1"/>
  <c r="CX799" i="1"/>
  <c r="J799" i="1"/>
  <c r="BN799" i="1"/>
  <c r="BM799" i="1"/>
  <c r="DM800" i="1"/>
  <c r="M800" i="1"/>
  <c r="L800" i="1"/>
  <c r="CY800" i="1"/>
  <c r="R800" i="1"/>
  <c r="CX800" i="1"/>
  <c r="J800" i="1"/>
  <c r="BN800" i="1"/>
  <c r="BM800" i="1"/>
  <c r="DM801" i="1"/>
  <c r="M801" i="1"/>
  <c r="L801" i="1"/>
  <c r="CY801" i="1"/>
  <c r="R801" i="1"/>
  <c r="CX801" i="1"/>
  <c r="J801" i="1"/>
  <c r="BN801" i="1"/>
  <c r="BM801" i="1"/>
  <c r="DM802" i="1"/>
  <c r="M802" i="1"/>
  <c r="L802" i="1"/>
  <c r="CY802" i="1"/>
  <c r="R802" i="1"/>
  <c r="CX802" i="1"/>
  <c r="J802" i="1"/>
  <c r="BN802" i="1"/>
  <c r="BM802" i="1"/>
  <c r="DM803" i="1"/>
  <c r="M803" i="1"/>
  <c r="L803" i="1"/>
  <c r="CY803" i="1"/>
  <c r="R803" i="1"/>
  <c r="CX803" i="1"/>
  <c r="J803" i="1"/>
  <c r="BN803" i="1"/>
  <c r="BM803" i="1"/>
  <c r="DM804" i="1"/>
  <c r="M804" i="1"/>
  <c r="L804" i="1"/>
  <c r="CY804" i="1"/>
  <c r="R804" i="1"/>
  <c r="CX804" i="1"/>
  <c r="J804" i="1"/>
  <c r="BN804" i="1"/>
  <c r="BM804" i="1"/>
  <c r="DM817" i="1"/>
  <c r="M817" i="1"/>
  <c r="L817" i="1"/>
  <c r="CY817" i="1"/>
  <c r="R817" i="1"/>
  <c r="CX817" i="1"/>
  <c r="J817" i="1"/>
  <c r="BN817" i="1"/>
  <c r="BM817" i="1"/>
  <c r="DM818" i="1"/>
  <c r="M818" i="1"/>
  <c r="L818" i="1"/>
  <c r="CY818" i="1"/>
  <c r="R818" i="1"/>
  <c r="CX818" i="1"/>
  <c r="J818" i="1"/>
  <c r="BN818" i="1"/>
  <c r="BM818" i="1"/>
  <c r="DM819" i="1"/>
  <c r="M819" i="1"/>
  <c r="L819" i="1"/>
  <c r="CY819" i="1"/>
  <c r="R819" i="1"/>
  <c r="CX819" i="1"/>
  <c r="J819" i="1"/>
  <c r="BN819" i="1"/>
  <c r="BM819" i="1"/>
  <c r="DM820" i="1"/>
  <c r="M820" i="1"/>
  <c r="L820" i="1"/>
  <c r="CY820" i="1"/>
  <c r="R820" i="1"/>
  <c r="CX820" i="1"/>
  <c r="J820" i="1"/>
  <c r="BN820" i="1"/>
  <c r="BM820" i="1"/>
  <c r="DM821" i="1"/>
  <c r="M821" i="1"/>
  <c r="L821" i="1"/>
  <c r="CY821" i="1"/>
  <c r="R821" i="1"/>
  <c r="CX821" i="1"/>
  <c r="J821" i="1"/>
  <c r="BN821" i="1"/>
  <c r="BM821" i="1"/>
  <c r="DM822" i="1"/>
  <c r="M822" i="1"/>
  <c r="L822" i="1"/>
  <c r="CY822" i="1"/>
  <c r="R822" i="1"/>
  <c r="CX822" i="1"/>
  <c r="J822" i="1"/>
  <c r="BN822" i="1"/>
  <c r="BM822" i="1"/>
  <c r="DM824" i="1"/>
  <c r="M824" i="1"/>
  <c r="L824" i="1"/>
  <c r="CY824" i="1"/>
  <c r="R824" i="1"/>
  <c r="CX824" i="1"/>
  <c r="J824" i="1"/>
  <c r="BN824" i="1"/>
  <c r="BM824" i="1"/>
  <c r="DM825" i="1"/>
  <c r="M825" i="1"/>
  <c r="L825" i="1"/>
  <c r="CY825" i="1"/>
  <c r="R825" i="1"/>
  <c r="CX825" i="1"/>
  <c r="J825" i="1"/>
  <c r="BN825" i="1"/>
  <c r="BM825" i="1"/>
  <c r="DM826" i="1"/>
  <c r="M826" i="1"/>
  <c r="L826" i="1"/>
  <c r="CY826" i="1"/>
  <c r="R826" i="1"/>
  <c r="CX826" i="1"/>
  <c r="J826" i="1"/>
  <c r="BN826" i="1"/>
  <c r="BM826" i="1"/>
  <c r="DM827" i="1"/>
  <c r="M827" i="1"/>
  <c r="L827" i="1"/>
  <c r="CY827" i="1"/>
  <c r="R827" i="1"/>
  <c r="CX827" i="1"/>
  <c r="J827" i="1"/>
  <c r="BN827" i="1"/>
  <c r="BM827" i="1"/>
  <c r="DM828" i="1"/>
  <c r="M828" i="1"/>
  <c r="L828" i="1"/>
  <c r="CY828" i="1"/>
  <c r="R828" i="1"/>
  <c r="CX828" i="1"/>
  <c r="J828" i="1"/>
  <c r="BN828" i="1"/>
  <c r="BM828" i="1"/>
  <c r="DM829" i="1"/>
  <c r="M829" i="1"/>
  <c r="L829" i="1"/>
  <c r="CY829" i="1"/>
  <c r="R829" i="1"/>
  <c r="CX829" i="1"/>
  <c r="J829" i="1"/>
  <c r="BN829" i="1"/>
  <c r="BM829" i="1"/>
  <c r="DM830" i="1"/>
  <c r="M830" i="1"/>
  <c r="L830" i="1"/>
  <c r="CY830" i="1"/>
  <c r="R830" i="1"/>
  <c r="CX830" i="1"/>
  <c r="J830" i="1"/>
  <c r="BN830" i="1"/>
  <c r="BM830" i="1"/>
  <c r="DM831" i="1"/>
  <c r="M831" i="1"/>
  <c r="L831" i="1"/>
  <c r="CY831" i="1"/>
  <c r="R831" i="1"/>
  <c r="CX831" i="1"/>
  <c r="J831" i="1"/>
  <c r="BN831" i="1"/>
  <c r="BM831" i="1"/>
  <c r="DM832" i="1"/>
  <c r="M832" i="1"/>
  <c r="L832" i="1"/>
  <c r="CY832" i="1"/>
  <c r="R832" i="1"/>
  <c r="CX832" i="1"/>
  <c r="J832" i="1"/>
  <c r="BN832" i="1"/>
  <c r="BM832" i="1"/>
  <c r="DM833" i="1"/>
  <c r="M833" i="1"/>
  <c r="L833" i="1"/>
  <c r="CY833" i="1"/>
  <c r="R833" i="1"/>
  <c r="CX833" i="1"/>
  <c r="J833" i="1"/>
  <c r="BN833" i="1"/>
  <c r="BM833" i="1"/>
  <c r="DM834" i="1"/>
  <c r="M834" i="1"/>
  <c r="L834" i="1"/>
  <c r="CY834" i="1"/>
  <c r="R834" i="1"/>
  <c r="CX834" i="1"/>
  <c r="J834" i="1"/>
  <c r="BN834" i="1"/>
  <c r="BM834" i="1"/>
  <c r="DM835" i="1"/>
  <c r="M835" i="1"/>
  <c r="L835" i="1"/>
  <c r="CY835" i="1"/>
  <c r="R835" i="1"/>
  <c r="CX835" i="1"/>
  <c r="J835" i="1"/>
  <c r="BN835" i="1"/>
  <c r="BM835" i="1"/>
  <c r="DM836" i="1"/>
  <c r="M836" i="1"/>
  <c r="L836" i="1"/>
  <c r="CY836" i="1"/>
  <c r="R836" i="1"/>
  <c r="CX836" i="1"/>
  <c r="J836" i="1"/>
  <c r="BN836" i="1"/>
  <c r="BM836" i="1"/>
  <c r="DM837" i="1"/>
  <c r="M837" i="1"/>
  <c r="L837" i="1"/>
  <c r="CY837" i="1"/>
  <c r="R837" i="1"/>
  <c r="CX837" i="1"/>
  <c r="J837" i="1"/>
  <c r="BN837" i="1"/>
  <c r="BM837" i="1"/>
  <c r="DM838" i="1"/>
  <c r="M838" i="1"/>
  <c r="L838" i="1"/>
  <c r="CY838" i="1"/>
  <c r="R838" i="1"/>
  <c r="CX838" i="1"/>
  <c r="J838" i="1"/>
  <c r="BN838" i="1"/>
  <c r="BM838" i="1"/>
  <c r="DM846" i="1"/>
  <c r="M846" i="1"/>
  <c r="L846" i="1"/>
  <c r="CY846" i="1"/>
  <c r="R846" i="1"/>
  <c r="CX846" i="1"/>
  <c r="J846" i="1"/>
  <c r="BN846" i="1"/>
  <c r="BM846" i="1"/>
  <c r="DM847" i="1"/>
  <c r="M847" i="1"/>
  <c r="L847" i="1"/>
  <c r="CY847" i="1"/>
  <c r="R847" i="1"/>
  <c r="CX847" i="1"/>
  <c r="J847" i="1"/>
  <c r="BN847" i="1"/>
  <c r="BM847" i="1"/>
  <c r="DM848" i="1"/>
  <c r="M848" i="1"/>
  <c r="L848" i="1"/>
  <c r="CY848" i="1"/>
  <c r="R848" i="1"/>
  <c r="CX848" i="1"/>
  <c r="J848" i="1"/>
  <c r="BN848" i="1"/>
  <c r="BM848" i="1"/>
  <c r="DM849" i="1"/>
  <c r="M849" i="1"/>
  <c r="L849" i="1"/>
  <c r="CY849" i="1"/>
  <c r="R849" i="1"/>
  <c r="CX849" i="1"/>
  <c r="J849" i="1"/>
  <c r="BN849" i="1"/>
  <c r="BM849" i="1"/>
  <c r="DM850" i="1"/>
  <c r="M850" i="1"/>
  <c r="L850" i="1"/>
  <c r="CY850" i="1"/>
  <c r="R850" i="1"/>
  <c r="CX850" i="1"/>
  <c r="J850" i="1"/>
  <c r="BN850" i="1"/>
  <c r="BM850" i="1"/>
  <c r="DM851" i="1"/>
  <c r="M851" i="1"/>
  <c r="L851" i="1"/>
  <c r="CY851" i="1"/>
  <c r="R851" i="1"/>
  <c r="CX851" i="1"/>
  <c r="J851" i="1"/>
  <c r="BN851" i="1"/>
  <c r="BM851" i="1"/>
  <c r="DM852" i="1"/>
  <c r="M852" i="1"/>
  <c r="L852" i="1"/>
  <c r="CY852" i="1"/>
  <c r="R852" i="1"/>
  <c r="CX852" i="1"/>
  <c r="J852" i="1"/>
  <c r="BN852" i="1"/>
  <c r="BM852" i="1"/>
  <c r="DM855" i="1"/>
  <c r="M855" i="1"/>
  <c r="L855" i="1"/>
  <c r="CY855" i="1"/>
  <c r="R855" i="1"/>
  <c r="CX855" i="1"/>
  <c r="J855" i="1"/>
  <c r="BN855" i="1"/>
  <c r="BM855" i="1"/>
  <c r="DM856" i="1"/>
  <c r="M856" i="1"/>
  <c r="L856" i="1"/>
  <c r="CY856" i="1"/>
  <c r="R856" i="1"/>
  <c r="CX856" i="1"/>
  <c r="J856" i="1"/>
  <c r="BN856" i="1"/>
  <c r="BM856" i="1"/>
  <c r="DM857" i="1"/>
  <c r="M857" i="1"/>
  <c r="L857" i="1"/>
  <c r="CY857" i="1"/>
  <c r="R857" i="1"/>
  <c r="CX857" i="1"/>
  <c r="J857" i="1"/>
  <c r="BN857" i="1"/>
  <c r="BM857" i="1"/>
  <c r="DM860" i="1"/>
  <c r="M860" i="1"/>
  <c r="L860" i="1"/>
  <c r="CY860" i="1"/>
  <c r="R860" i="1"/>
  <c r="CX860" i="1"/>
  <c r="J860" i="1"/>
  <c r="BN860" i="1"/>
  <c r="BM860" i="1"/>
  <c r="DM861" i="1"/>
  <c r="M861" i="1"/>
  <c r="L861" i="1"/>
  <c r="CY861" i="1"/>
  <c r="R861" i="1"/>
  <c r="CX861" i="1"/>
  <c r="J861" i="1"/>
  <c r="BN861" i="1"/>
  <c r="BM861" i="1"/>
  <c r="DM862" i="1"/>
  <c r="M862" i="1"/>
  <c r="L862" i="1"/>
  <c r="CY862" i="1"/>
  <c r="R862" i="1"/>
  <c r="CX862" i="1"/>
  <c r="J862" i="1"/>
  <c r="BN862" i="1"/>
  <c r="BM862" i="1"/>
  <c r="DM870" i="1"/>
  <c r="M870" i="1"/>
  <c r="L870" i="1"/>
  <c r="CY870" i="1"/>
  <c r="R870" i="1"/>
  <c r="CX870" i="1"/>
  <c r="J870" i="1"/>
  <c r="BN870" i="1"/>
  <c r="BM870" i="1"/>
  <c r="DM871" i="1"/>
  <c r="M871" i="1"/>
  <c r="L871" i="1"/>
  <c r="CY871" i="1"/>
  <c r="R871" i="1"/>
  <c r="CX871" i="1"/>
  <c r="J871" i="1"/>
  <c r="BN871" i="1"/>
  <c r="BM871" i="1"/>
  <c r="DM872" i="1"/>
  <c r="M872" i="1"/>
  <c r="L872" i="1"/>
  <c r="CY872" i="1"/>
  <c r="R872" i="1"/>
  <c r="CX872" i="1"/>
  <c r="J872" i="1"/>
  <c r="BN872" i="1"/>
  <c r="BM872" i="1"/>
  <c r="DM1375" i="1"/>
  <c r="M1375" i="1"/>
  <c r="L1375" i="1"/>
  <c r="CY1375" i="1"/>
  <c r="R1375" i="1"/>
  <c r="CX1375" i="1"/>
  <c r="J1375" i="1"/>
  <c r="BN1375" i="1"/>
  <c r="BM1375" i="1"/>
  <c r="DM1392" i="1"/>
  <c r="M1392" i="1"/>
  <c r="L1392" i="1"/>
  <c r="CY1392" i="1"/>
  <c r="R1392" i="1"/>
  <c r="CX1392" i="1"/>
  <c r="J1392" i="1"/>
  <c r="BN1392" i="1"/>
  <c r="BM1392" i="1"/>
  <c r="DM599" i="1"/>
  <c r="M599" i="1"/>
  <c r="L599" i="1"/>
  <c r="CY599" i="1"/>
  <c r="R599" i="1"/>
  <c r="CX599" i="1"/>
  <c r="J599" i="1"/>
  <c r="BN599" i="1"/>
  <c r="BM599" i="1"/>
  <c r="DM600" i="1"/>
  <c r="M600" i="1"/>
  <c r="L600" i="1"/>
  <c r="CY600" i="1"/>
  <c r="R600" i="1"/>
  <c r="CX600" i="1"/>
  <c r="J600" i="1"/>
  <c r="BN600" i="1"/>
  <c r="BM600" i="1"/>
  <c r="DM601" i="1"/>
  <c r="M601" i="1"/>
  <c r="L601" i="1"/>
  <c r="CY601" i="1"/>
  <c r="R601" i="1"/>
  <c r="CX601" i="1"/>
  <c r="J601" i="1"/>
  <c r="BN601" i="1"/>
  <c r="BM601" i="1"/>
  <c r="DM602" i="1"/>
  <c r="M602" i="1"/>
  <c r="L602" i="1"/>
  <c r="CY602" i="1"/>
  <c r="R602" i="1"/>
  <c r="CX602" i="1"/>
  <c r="J602" i="1"/>
  <c r="BN602" i="1"/>
  <c r="BM602" i="1"/>
  <c r="DM603" i="1"/>
  <c r="M603" i="1"/>
  <c r="L603" i="1"/>
  <c r="CY603" i="1"/>
  <c r="R603" i="1"/>
  <c r="CX603" i="1"/>
  <c r="J603" i="1"/>
  <c r="BN603" i="1"/>
  <c r="BM603" i="1"/>
  <c r="DM604" i="1"/>
  <c r="M604" i="1"/>
  <c r="L604" i="1"/>
  <c r="CY604" i="1"/>
  <c r="R604" i="1"/>
  <c r="CX604" i="1"/>
  <c r="J604" i="1"/>
  <c r="BN604" i="1"/>
  <c r="BM604" i="1"/>
  <c r="DM605" i="1"/>
  <c r="M605" i="1"/>
  <c r="L605" i="1"/>
  <c r="CY605" i="1"/>
  <c r="R605" i="1"/>
  <c r="CX605" i="1"/>
  <c r="J605" i="1"/>
  <c r="BN605" i="1"/>
  <c r="BM605" i="1"/>
  <c r="DM606" i="1"/>
  <c r="M606" i="1"/>
  <c r="L606" i="1"/>
  <c r="CY606" i="1"/>
  <c r="R606" i="1"/>
  <c r="CX606" i="1"/>
  <c r="J606" i="1"/>
  <c r="BN606" i="1"/>
  <c r="BM606" i="1"/>
  <c r="DM607" i="1"/>
  <c r="M607" i="1"/>
  <c r="L607" i="1"/>
  <c r="CY607" i="1"/>
  <c r="R607" i="1"/>
  <c r="CX607" i="1"/>
  <c r="J607" i="1"/>
  <c r="BN607" i="1"/>
  <c r="BM607" i="1"/>
  <c r="DM608" i="1"/>
  <c r="M608" i="1"/>
  <c r="L608" i="1"/>
  <c r="CY608" i="1"/>
  <c r="R608" i="1"/>
  <c r="CX608" i="1"/>
  <c r="J608" i="1"/>
  <c r="BN608" i="1"/>
  <c r="BM608" i="1"/>
  <c r="DM609" i="1"/>
  <c r="M609" i="1"/>
  <c r="L609" i="1"/>
  <c r="CY609" i="1"/>
  <c r="R609" i="1"/>
  <c r="CX609" i="1"/>
  <c r="J609" i="1"/>
  <c r="BN609" i="1"/>
  <c r="BM609" i="1"/>
  <c r="DM611" i="1"/>
  <c r="M611" i="1"/>
  <c r="L611" i="1"/>
  <c r="CY611" i="1"/>
  <c r="R611" i="1"/>
  <c r="CX611" i="1"/>
  <c r="J611" i="1"/>
  <c r="BN611" i="1"/>
  <c r="BM611" i="1"/>
  <c r="DM612" i="1"/>
  <c r="M612" i="1"/>
  <c r="L612" i="1"/>
  <c r="CY612" i="1"/>
  <c r="R612" i="1"/>
  <c r="CX612" i="1"/>
  <c r="J612" i="1"/>
  <c r="BN612" i="1"/>
  <c r="BM612" i="1"/>
  <c r="DM630" i="1"/>
  <c r="M630" i="1"/>
  <c r="L630" i="1"/>
  <c r="CY630" i="1"/>
  <c r="R630" i="1"/>
  <c r="CX630" i="1"/>
  <c r="J630" i="1"/>
  <c r="BN630" i="1"/>
  <c r="BM630" i="1"/>
  <c r="DM631" i="1"/>
  <c r="M631" i="1"/>
  <c r="L631" i="1"/>
  <c r="CY631" i="1"/>
  <c r="R631" i="1"/>
  <c r="CX631" i="1"/>
  <c r="J631" i="1"/>
  <c r="BN631" i="1"/>
  <c r="BM631" i="1"/>
  <c r="DM632" i="1"/>
  <c r="M632" i="1"/>
  <c r="L632" i="1"/>
  <c r="CY632" i="1"/>
  <c r="R632" i="1"/>
  <c r="CX632" i="1"/>
  <c r="J632" i="1"/>
  <c r="BN632" i="1"/>
  <c r="BM632" i="1"/>
  <c r="DM633" i="1"/>
  <c r="M633" i="1"/>
  <c r="L633" i="1"/>
  <c r="CY633" i="1"/>
  <c r="R633" i="1"/>
  <c r="CX633" i="1"/>
  <c r="J633" i="1"/>
  <c r="BN633" i="1"/>
  <c r="BM633" i="1"/>
  <c r="DM634" i="1"/>
  <c r="M634" i="1"/>
  <c r="L634" i="1"/>
  <c r="CY634" i="1"/>
  <c r="R634" i="1"/>
  <c r="CX634" i="1"/>
  <c r="J634" i="1"/>
  <c r="BN634" i="1"/>
  <c r="BM634" i="1"/>
  <c r="DM650" i="1"/>
  <c r="M650" i="1"/>
  <c r="L650" i="1"/>
  <c r="CY650" i="1"/>
  <c r="R650" i="1"/>
  <c r="CX650" i="1"/>
  <c r="J650" i="1"/>
  <c r="BN650" i="1"/>
  <c r="BM650" i="1"/>
  <c r="DM651" i="1"/>
  <c r="M651" i="1"/>
  <c r="L651" i="1"/>
  <c r="CY651" i="1"/>
  <c r="R651" i="1"/>
  <c r="CX651" i="1"/>
  <c r="J651" i="1"/>
  <c r="BN651" i="1"/>
  <c r="BM651" i="1"/>
  <c r="DM652" i="1"/>
  <c r="M652" i="1"/>
  <c r="L652" i="1"/>
  <c r="CY652" i="1"/>
  <c r="R652" i="1"/>
  <c r="CX652" i="1"/>
  <c r="J652" i="1"/>
  <c r="BN652" i="1"/>
  <c r="BM652" i="1"/>
  <c r="DM653" i="1"/>
  <c r="M653" i="1"/>
  <c r="L653" i="1"/>
  <c r="CY653" i="1"/>
  <c r="R653" i="1"/>
  <c r="CX653" i="1"/>
  <c r="J653" i="1"/>
  <c r="BN653" i="1"/>
  <c r="BM653" i="1"/>
  <c r="DM654" i="1"/>
  <c r="M654" i="1"/>
  <c r="L654" i="1"/>
  <c r="CY654" i="1"/>
  <c r="R654" i="1"/>
  <c r="CX654" i="1"/>
  <c r="J654" i="1"/>
  <c r="BN654" i="1"/>
  <c r="BM654" i="1"/>
  <c r="DM665" i="1"/>
  <c r="M665" i="1"/>
  <c r="L665" i="1"/>
  <c r="CY665" i="1"/>
  <c r="R665" i="1"/>
  <c r="CX665" i="1"/>
  <c r="J665" i="1"/>
  <c r="BN665" i="1"/>
  <c r="BM665" i="1"/>
  <c r="DM666" i="1"/>
  <c r="M666" i="1"/>
  <c r="L666" i="1"/>
  <c r="CY666" i="1"/>
  <c r="R666" i="1"/>
  <c r="CX666" i="1"/>
  <c r="J666" i="1"/>
  <c r="BN666" i="1"/>
  <c r="BM666" i="1"/>
  <c r="DM823" i="1"/>
  <c r="M823" i="1"/>
  <c r="L823" i="1"/>
  <c r="CY823" i="1"/>
  <c r="R823" i="1"/>
  <c r="CX823" i="1"/>
  <c r="J823" i="1"/>
  <c r="BN823" i="1"/>
  <c r="BM823" i="1"/>
  <c r="DM703" i="1"/>
  <c r="M703" i="1"/>
  <c r="L703" i="1"/>
  <c r="CY703" i="1"/>
  <c r="R703" i="1"/>
  <c r="CX703" i="1"/>
  <c r="J703" i="1"/>
  <c r="BN703" i="1"/>
  <c r="BM703" i="1"/>
  <c r="DM776" i="1"/>
  <c r="M776" i="1"/>
  <c r="L776" i="1"/>
  <c r="CY776" i="1"/>
  <c r="R776" i="1"/>
  <c r="CX776" i="1"/>
  <c r="J776" i="1"/>
  <c r="BN776" i="1"/>
  <c r="BM776" i="1"/>
  <c r="DM1082" i="1"/>
  <c r="M1082" i="1"/>
  <c r="L1082" i="1"/>
  <c r="CY1082" i="1"/>
  <c r="R1082" i="1"/>
  <c r="CX1082" i="1"/>
  <c r="J1082" i="1"/>
  <c r="BN1082" i="1"/>
  <c r="BM1082" i="1"/>
  <c r="DM598" i="1"/>
  <c r="M598" i="1"/>
  <c r="L598" i="1"/>
  <c r="CY598" i="1"/>
  <c r="R598" i="1"/>
  <c r="CX598" i="1"/>
  <c r="J598" i="1"/>
  <c r="BN598" i="1"/>
  <c r="BM598" i="1"/>
  <c r="DM615" i="1"/>
  <c r="DE615" i="1"/>
  <c r="M615" i="1"/>
  <c r="L615" i="1"/>
  <c r="CY615" i="1"/>
  <c r="Q615" i="1"/>
  <c r="R615" i="1"/>
  <c r="CX615" i="1"/>
  <c r="J615" i="1"/>
  <c r="CW615" i="1"/>
  <c r="BN615" i="1"/>
  <c r="BM615" i="1"/>
  <c r="DM616" i="1"/>
  <c r="DE616" i="1"/>
  <c r="M616" i="1"/>
  <c r="L616" i="1"/>
  <c r="CY616" i="1"/>
  <c r="Q616" i="1"/>
  <c r="R616" i="1"/>
  <c r="CX616" i="1"/>
  <c r="J616" i="1"/>
  <c r="CW616" i="1"/>
  <c r="BN616" i="1"/>
  <c r="BM616" i="1"/>
  <c r="DM617" i="1"/>
  <c r="DE617" i="1"/>
  <c r="M617" i="1"/>
  <c r="L617" i="1"/>
  <c r="CY617" i="1"/>
  <c r="Q617" i="1"/>
  <c r="R617" i="1"/>
  <c r="CX617" i="1"/>
  <c r="J617" i="1"/>
  <c r="CW617" i="1"/>
  <c r="BN617" i="1"/>
  <c r="BM617" i="1"/>
  <c r="DM741" i="1"/>
  <c r="DE741" i="1"/>
  <c r="M741" i="1"/>
  <c r="L741" i="1"/>
  <c r="CY741" i="1"/>
  <c r="Q741" i="1"/>
  <c r="R741" i="1"/>
  <c r="CX741" i="1"/>
  <c r="J741" i="1"/>
  <c r="CW741" i="1"/>
  <c r="BN741" i="1"/>
  <c r="BM741" i="1"/>
  <c r="DM742" i="1"/>
  <c r="DE742" i="1"/>
  <c r="M742" i="1"/>
  <c r="L742" i="1"/>
  <c r="CY742" i="1"/>
  <c r="Q742" i="1"/>
  <c r="R742" i="1"/>
  <c r="CX742" i="1"/>
  <c r="J742" i="1"/>
  <c r="CW742" i="1"/>
  <c r="BN742" i="1"/>
  <c r="BM742" i="1"/>
  <c r="DM743" i="1"/>
  <c r="DE743" i="1"/>
  <c r="M743" i="1"/>
  <c r="L743" i="1"/>
  <c r="CY743" i="1"/>
  <c r="Q743" i="1"/>
  <c r="R743" i="1"/>
  <c r="CX743" i="1"/>
  <c r="J743" i="1"/>
  <c r="CW743" i="1"/>
  <c r="BN743" i="1"/>
  <c r="BM743" i="1"/>
  <c r="DM744" i="1"/>
  <c r="DE744" i="1"/>
  <c r="M744" i="1"/>
  <c r="L744" i="1"/>
  <c r="CY744" i="1"/>
  <c r="Q744" i="1"/>
  <c r="R744" i="1"/>
  <c r="CX744" i="1"/>
  <c r="J744" i="1"/>
  <c r="CW744" i="1"/>
  <c r="BN744" i="1"/>
  <c r="BM744" i="1"/>
  <c r="DM745" i="1"/>
  <c r="DE745" i="1"/>
  <c r="M745" i="1"/>
  <c r="L745" i="1"/>
  <c r="CY745" i="1"/>
  <c r="Q745" i="1"/>
  <c r="R745" i="1"/>
  <c r="CX745" i="1"/>
  <c r="J745" i="1"/>
  <c r="CW745" i="1"/>
  <c r="BN745" i="1"/>
  <c r="BM745" i="1"/>
  <c r="DM746" i="1"/>
  <c r="DE746" i="1"/>
  <c r="M746" i="1"/>
  <c r="L746" i="1"/>
  <c r="CY746" i="1"/>
  <c r="Q746" i="1"/>
  <c r="R746" i="1"/>
  <c r="CX746" i="1"/>
  <c r="J746" i="1"/>
  <c r="CW746" i="1"/>
  <c r="BN746" i="1"/>
  <c r="BM746" i="1"/>
  <c r="DM747" i="1"/>
  <c r="DE747" i="1"/>
  <c r="M747" i="1"/>
  <c r="L747" i="1"/>
  <c r="CY747" i="1"/>
  <c r="Q747" i="1"/>
  <c r="R747" i="1"/>
  <c r="CX747" i="1"/>
  <c r="J747" i="1"/>
  <c r="CW747" i="1"/>
  <c r="BN747" i="1"/>
  <c r="BM747" i="1"/>
  <c r="DM748" i="1"/>
  <c r="DE748" i="1"/>
  <c r="M748" i="1"/>
  <c r="L748" i="1"/>
  <c r="CY748" i="1"/>
  <c r="Q748" i="1"/>
  <c r="R748" i="1"/>
  <c r="CX748" i="1"/>
  <c r="J748" i="1"/>
  <c r="CW748" i="1"/>
  <c r="BN748" i="1"/>
  <c r="BM748" i="1"/>
  <c r="DM749" i="1"/>
  <c r="DE749" i="1"/>
  <c r="M749" i="1"/>
  <c r="L749" i="1"/>
  <c r="CY749" i="1"/>
  <c r="Q749" i="1"/>
  <c r="R749" i="1"/>
  <c r="CX749" i="1"/>
  <c r="J749" i="1"/>
  <c r="CW749" i="1"/>
  <c r="BN749" i="1"/>
  <c r="BM749" i="1"/>
  <c r="DM750" i="1"/>
  <c r="DE750" i="1"/>
  <c r="M750" i="1"/>
  <c r="L750" i="1"/>
  <c r="CY750" i="1"/>
  <c r="Q750" i="1"/>
  <c r="R750" i="1"/>
  <c r="CX750" i="1"/>
  <c r="J750" i="1"/>
  <c r="CW750" i="1"/>
  <c r="BN750" i="1"/>
  <c r="BM750" i="1"/>
  <c r="DM751" i="1"/>
  <c r="DE751" i="1"/>
  <c r="M751" i="1"/>
  <c r="L751" i="1"/>
  <c r="CY751" i="1"/>
  <c r="Q751" i="1"/>
  <c r="R751" i="1"/>
  <c r="CX751" i="1"/>
  <c r="J751" i="1"/>
  <c r="CW751" i="1"/>
  <c r="BN751" i="1"/>
  <c r="BM751" i="1"/>
  <c r="DM752" i="1"/>
  <c r="DE752" i="1"/>
  <c r="M752" i="1"/>
  <c r="L752" i="1"/>
  <c r="CY752" i="1"/>
  <c r="Q752" i="1"/>
  <c r="R752" i="1"/>
  <c r="CX752" i="1"/>
  <c r="J752" i="1"/>
  <c r="CW752" i="1"/>
  <c r="BN752" i="1"/>
  <c r="BM752" i="1"/>
  <c r="DM753" i="1"/>
  <c r="DE753" i="1"/>
  <c r="M753" i="1"/>
  <c r="L753" i="1"/>
  <c r="CY753" i="1"/>
  <c r="Q753" i="1"/>
  <c r="R753" i="1"/>
  <c r="CX753" i="1"/>
  <c r="J753" i="1"/>
  <c r="CW753" i="1"/>
  <c r="BN753" i="1"/>
  <c r="BM753" i="1"/>
  <c r="DM754" i="1"/>
  <c r="DE754" i="1"/>
  <c r="M754" i="1"/>
  <c r="L754" i="1"/>
  <c r="CY754" i="1"/>
  <c r="Q754" i="1"/>
  <c r="R754" i="1"/>
  <c r="CX754" i="1"/>
  <c r="J754" i="1"/>
  <c r="CW754" i="1"/>
  <c r="BN754" i="1"/>
  <c r="BM754" i="1"/>
  <c r="DM755" i="1"/>
  <c r="DE755" i="1"/>
  <c r="M755" i="1"/>
  <c r="L755" i="1"/>
  <c r="CY755" i="1"/>
  <c r="Q755" i="1"/>
  <c r="R755" i="1"/>
  <c r="CX755" i="1"/>
  <c r="J755" i="1"/>
  <c r="CW755" i="1"/>
  <c r="BN755" i="1"/>
  <c r="BM755" i="1"/>
  <c r="DM756" i="1"/>
  <c r="DE756" i="1"/>
  <c r="M756" i="1"/>
  <c r="L756" i="1"/>
  <c r="CY756" i="1"/>
  <c r="Q756" i="1"/>
  <c r="R756" i="1"/>
  <c r="CX756" i="1"/>
  <c r="J756" i="1"/>
  <c r="CW756" i="1"/>
  <c r="BN756" i="1"/>
  <c r="BM756" i="1"/>
  <c r="DM757" i="1"/>
  <c r="DE757" i="1"/>
  <c r="M757" i="1"/>
  <c r="L757" i="1"/>
  <c r="CY757" i="1"/>
  <c r="Q757" i="1"/>
  <c r="R757" i="1"/>
  <c r="CX757" i="1"/>
  <c r="J757" i="1"/>
  <c r="CW757" i="1"/>
  <c r="BN757" i="1"/>
  <c r="BM757" i="1"/>
  <c r="DM758" i="1"/>
  <c r="DE758" i="1"/>
  <c r="M758" i="1"/>
  <c r="L758" i="1"/>
  <c r="CY758" i="1"/>
  <c r="Q758" i="1"/>
  <c r="R758" i="1"/>
  <c r="CX758" i="1"/>
  <c r="J758" i="1"/>
  <c r="CW758" i="1"/>
  <c r="BN758" i="1"/>
  <c r="BM758" i="1"/>
  <c r="DM764" i="1"/>
  <c r="DE764" i="1"/>
  <c r="M764" i="1"/>
  <c r="L764" i="1"/>
  <c r="CY764" i="1"/>
  <c r="Q764" i="1"/>
  <c r="R764" i="1"/>
  <c r="CX764" i="1"/>
  <c r="J764" i="1"/>
  <c r="CW764" i="1"/>
  <c r="BN764" i="1"/>
  <c r="BM764" i="1"/>
  <c r="DM765" i="1"/>
  <c r="DE765" i="1"/>
  <c r="M765" i="1"/>
  <c r="L765" i="1"/>
  <c r="CY765" i="1"/>
  <c r="Q765" i="1"/>
  <c r="R765" i="1"/>
  <c r="CX765" i="1"/>
  <c r="J765" i="1"/>
  <c r="CW765" i="1"/>
  <c r="BN765" i="1"/>
  <c r="BM765" i="1"/>
  <c r="DM788" i="1"/>
  <c r="DE788" i="1"/>
  <c r="M788" i="1"/>
  <c r="L788" i="1"/>
  <c r="CY788" i="1"/>
  <c r="Q788" i="1"/>
  <c r="R788" i="1"/>
  <c r="CX788" i="1"/>
  <c r="J788" i="1"/>
  <c r="CW788" i="1"/>
  <c r="BN788" i="1"/>
  <c r="BM788" i="1"/>
  <c r="DM789" i="1"/>
  <c r="DE789" i="1"/>
  <c r="M789" i="1"/>
  <c r="L789" i="1"/>
  <c r="CY789" i="1"/>
  <c r="Q789" i="1"/>
  <c r="R789" i="1"/>
  <c r="CX789" i="1"/>
  <c r="J789" i="1"/>
  <c r="CW789" i="1"/>
  <c r="BN789" i="1"/>
  <c r="BM789" i="1"/>
  <c r="DM790" i="1"/>
  <c r="DE790" i="1"/>
  <c r="M790" i="1"/>
  <c r="L790" i="1"/>
  <c r="CY790" i="1"/>
  <c r="Q790" i="1"/>
  <c r="R790" i="1"/>
  <c r="CX790" i="1"/>
  <c r="J790" i="1"/>
  <c r="CW790" i="1"/>
  <c r="BN790" i="1"/>
  <c r="BM790" i="1"/>
  <c r="DM791" i="1"/>
  <c r="DE791" i="1"/>
  <c r="M791" i="1"/>
  <c r="L791" i="1"/>
  <c r="CY791" i="1"/>
  <c r="Q791" i="1"/>
  <c r="R791" i="1"/>
  <c r="CX791" i="1"/>
  <c r="J791" i="1"/>
  <c r="CW791" i="1"/>
  <c r="BN791" i="1"/>
  <c r="BM791" i="1"/>
  <c r="DM792" i="1"/>
  <c r="DE792" i="1"/>
  <c r="M792" i="1"/>
  <c r="L792" i="1"/>
  <c r="CY792" i="1"/>
  <c r="Q792" i="1"/>
  <c r="R792" i="1"/>
  <c r="CX792" i="1"/>
  <c r="J792" i="1"/>
  <c r="CW792" i="1"/>
  <c r="BN792" i="1"/>
  <c r="BM792" i="1"/>
  <c r="DM793" i="1"/>
  <c r="DE793" i="1"/>
  <c r="M793" i="1"/>
  <c r="L793" i="1"/>
  <c r="CY793" i="1"/>
  <c r="Q793" i="1"/>
  <c r="R793" i="1"/>
  <c r="CX793" i="1"/>
  <c r="J793" i="1"/>
  <c r="CW793" i="1"/>
  <c r="BN793" i="1"/>
  <c r="BM793" i="1"/>
  <c r="DM814" i="1"/>
  <c r="DE814" i="1"/>
  <c r="M814" i="1"/>
  <c r="L814" i="1"/>
  <c r="CY814" i="1"/>
  <c r="Q814" i="1"/>
  <c r="R814" i="1"/>
  <c r="CX814" i="1"/>
  <c r="J814" i="1"/>
  <c r="CW814" i="1"/>
  <c r="BN814" i="1"/>
  <c r="BM814" i="1"/>
  <c r="DM815" i="1"/>
  <c r="DE815" i="1"/>
  <c r="M815" i="1"/>
  <c r="L815" i="1"/>
  <c r="CY815" i="1"/>
  <c r="Q815" i="1"/>
  <c r="R815" i="1"/>
  <c r="CX815" i="1"/>
  <c r="J815" i="1"/>
  <c r="CW815" i="1"/>
  <c r="BN815" i="1"/>
  <c r="BM815" i="1"/>
  <c r="DM816" i="1"/>
  <c r="DE816" i="1"/>
  <c r="M816" i="1"/>
  <c r="L816" i="1"/>
  <c r="CY816" i="1"/>
  <c r="Q816" i="1"/>
  <c r="R816" i="1"/>
  <c r="CX816" i="1"/>
  <c r="J816" i="1"/>
  <c r="CW816" i="1"/>
  <c r="BN816" i="1"/>
  <c r="BM816" i="1"/>
  <c r="DM839" i="1"/>
  <c r="DE839" i="1"/>
  <c r="M839" i="1"/>
  <c r="L839" i="1"/>
  <c r="CY839" i="1"/>
  <c r="Q839" i="1"/>
  <c r="R839" i="1"/>
  <c r="CX839" i="1"/>
  <c r="J839" i="1"/>
  <c r="CW839" i="1"/>
  <c r="BN839" i="1"/>
  <c r="BM839" i="1"/>
  <c r="DM840" i="1"/>
  <c r="DE840" i="1"/>
  <c r="M840" i="1"/>
  <c r="L840" i="1"/>
  <c r="CY840" i="1"/>
  <c r="Q840" i="1"/>
  <c r="R840" i="1"/>
  <c r="CX840" i="1"/>
  <c r="J840" i="1"/>
  <c r="CW840" i="1"/>
  <c r="BN840" i="1"/>
  <c r="BM840" i="1"/>
  <c r="DM841" i="1"/>
  <c r="DE841" i="1"/>
  <c r="M841" i="1"/>
  <c r="L841" i="1"/>
  <c r="CY841" i="1"/>
  <c r="Q841" i="1"/>
  <c r="R841" i="1"/>
  <c r="CX841" i="1"/>
  <c r="J841" i="1"/>
  <c r="CW841" i="1"/>
  <c r="BN841" i="1"/>
  <c r="BM841" i="1"/>
  <c r="DM842" i="1"/>
  <c r="DE842" i="1"/>
  <c r="M842" i="1"/>
  <c r="L842" i="1"/>
  <c r="CY842" i="1"/>
  <c r="Q842" i="1"/>
  <c r="R842" i="1"/>
  <c r="CX842" i="1"/>
  <c r="J842" i="1"/>
  <c r="CW842" i="1"/>
  <c r="BN842" i="1"/>
  <c r="BM842" i="1"/>
  <c r="DM843" i="1"/>
  <c r="DE843" i="1"/>
  <c r="M843" i="1"/>
  <c r="L843" i="1"/>
  <c r="CY843" i="1"/>
  <c r="Q843" i="1"/>
  <c r="R843" i="1"/>
  <c r="CX843" i="1"/>
  <c r="J843" i="1"/>
  <c r="CW843" i="1"/>
  <c r="BN843" i="1"/>
  <c r="BM843" i="1"/>
  <c r="DM844" i="1"/>
  <c r="DE844" i="1"/>
  <c r="M844" i="1"/>
  <c r="L844" i="1"/>
  <c r="CY844" i="1"/>
  <c r="Q844" i="1"/>
  <c r="R844" i="1"/>
  <c r="CX844" i="1"/>
  <c r="J844" i="1"/>
  <c r="CW844" i="1"/>
  <c r="BN844" i="1"/>
  <c r="BM844" i="1"/>
  <c r="DM845" i="1"/>
  <c r="DE845" i="1"/>
  <c r="M845" i="1"/>
  <c r="L845" i="1"/>
  <c r="CY845" i="1"/>
  <c r="Q845" i="1"/>
  <c r="R845" i="1"/>
  <c r="CX845" i="1"/>
  <c r="J845" i="1"/>
  <c r="CW845" i="1"/>
  <c r="BN845" i="1"/>
  <c r="BM845" i="1"/>
  <c r="DM858" i="1"/>
  <c r="DE858" i="1"/>
  <c r="M858" i="1"/>
  <c r="L858" i="1"/>
  <c r="CY858" i="1"/>
  <c r="Q858" i="1"/>
  <c r="R858" i="1"/>
  <c r="CX858" i="1"/>
  <c r="J858" i="1"/>
  <c r="CW858" i="1"/>
  <c r="BN858" i="1"/>
  <c r="BM858" i="1"/>
  <c r="DM859" i="1"/>
  <c r="DE859" i="1"/>
  <c r="M859" i="1"/>
  <c r="L859" i="1"/>
  <c r="CY859" i="1"/>
  <c r="Q859" i="1"/>
  <c r="R859" i="1"/>
  <c r="CX859" i="1"/>
  <c r="J859" i="1"/>
  <c r="CW859" i="1"/>
  <c r="BN859" i="1"/>
  <c r="BM859" i="1"/>
  <c r="DM863" i="1"/>
  <c r="DE863" i="1"/>
  <c r="M863" i="1"/>
  <c r="L863" i="1"/>
  <c r="CY863" i="1"/>
  <c r="Q863" i="1"/>
  <c r="R863" i="1"/>
  <c r="CX863" i="1"/>
  <c r="J863" i="1"/>
  <c r="CW863" i="1"/>
  <c r="BN863" i="1"/>
  <c r="BM863" i="1"/>
  <c r="DM864" i="1"/>
  <c r="DE864" i="1"/>
  <c r="M864" i="1"/>
  <c r="L864" i="1"/>
  <c r="CY864" i="1"/>
  <c r="Q864" i="1"/>
  <c r="R864" i="1"/>
  <c r="CX864" i="1"/>
  <c r="J864" i="1"/>
  <c r="CW864" i="1"/>
  <c r="BN864" i="1"/>
  <c r="BM864" i="1"/>
  <c r="DM865" i="1"/>
  <c r="DE865" i="1"/>
  <c r="M865" i="1"/>
  <c r="L865" i="1"/>
  <c r="CY865" i="1"/>
  <c r="Q865" i="1"/>
  <c r="R865" i="1"/>
  <c r="CX865" i="1"/>
  <c r="J865" i="1"/>
  <c r="CW865" i="1"/>
  <c r="BN865" i="1"/>
  <c r="BM865" i="1"/>
  <c r="DM866" i="1"/>
  <c r="DE866" i="1"/>
  <c r="M866" i="1"/>
  <c r="L866" i="1"/>
  <c r="CY866" i="1"/>
  <c r="Q866" i="1"/>
  <c r="R866" i="1"/>
  <c r="CX866" i="1"/>
  <c r="J866" i="1"/>
  <c r="CW866" i="1"/>
  <c r="BN866" i="1"/>
  <c r="BM866" i="1"/>
  <c r="DM867" i="1"/>
  <c r="DE867" i="1"/>
  <c r="M867" i="1"/>
  <c r="L867" i="1"/>
  <c r="CY867" i="1"/>
  <c r="Q867" i="1"/>
  <c r="R867" i="1"/>
  <c r="CX867" i="1"/>
  <c r="J867" i="1"/>
  <c r="CW867" i="1"/>
  <c r="BN867" i="1"/>
  <c r="BM867" i="1"/>
  <c r="DM868" i="1"/>
  <c r="DE868" i="1"/>
  <c r="M868" i="1"/>
  <c r="L868" i="1"/>
  <c r="CY868" i="1"/>
  <c r="Q868" i="1"/>
  <c r="R868" i="1"/>
  <c r="CX868" i="1"/>
  <c r="J868" i="1"/>
  <c r="CW868" i="1"/>
  <c r="BN868" i="1"/>
  <c r="BM868" i="1"/>
  <c r="DM869" i="1"/>
  <c r="DE869" i="1"/>
  <c r="M869" i="1"/>
  <c r="L869" i="1"/>
  <c r="CY869" i="1"/>
  <c r="Q869" i="1"/>
  <c r="R869" i="1"/>
  <c r="CX869" i="1"/>
  <c r="J869" i="1"/>
  <c r="CW869" i="1"/>
  <c r="BN869" i="1"/>
  <c r="BM869" i="1"/>
  <c r="DM881" i="1"/>
  <c r="DE881" i="1"/>
  <c r="M881" i="1"/>
  <c r="L881" i="1"/>
  <c r="CY881" i="1"/>
  <c r="Q881" i="1"/>
  <c r="R881" i="1"/>
  <c r="CX881" i="1"/>
  <c r="J881" i="1"/>
  <c r="CW881" i="1"/>
  <c r="BN881" i="1"/>
  <c r="BM881" i="1"/>
  <c r="DM882" i="1"/>
  <c r="DE882" i="1"/>
  <c r="M882" i="1"/>
  <c r="L882" i="1"/>
  <c r="CY882" i="1"/>
  <c r="Q882" i="1"/>
  <c r="R882" i="1"/>
  <c r="CX882" i="1"/>
  <c r="J882" i="1"/>
  <c r="CW882" i="1"/>
  <c r="BN882" i="1"/>
  <c r="BM882" i="1"/>
  <c r="DM885" i="1"/>
  <c r="DE885" i="1"/>
  <c r="M885" i="1"/>
  <c r="L885" i="1"/>
  <c r="CY885" i="1"/>
  <c r="Q885" i="1"/>
  <c r="R885" i="1"/>
  <c r="CX885" i="1"/>
  <c r="J885" i="1"/>
  <c r="CW885" i="1"/>
  <c r="BN885" i="1"/>
  <c r="BM885" i="1"/>
  <c r="DE887" i="1"/>
  <c r="M887" i="1"/>
  <c r="L887" i="1"/>
  <c r="CY887" i="1"/>
  <c r="Q887" i="1"/>
  <c r="R887" i="1"/>
  <c r="CX887" i="1"/>
  <c r="J887" i="1"/>
  <c r="CW887" i="1"/>
  <c r="BN887" i="1"/>
  <c r="BM887" i="1"/>
  <c r="DE888" i="1"/>
  <c r="M888" i="1"/>
  <c r="L888" i="1"/>
  <c r="CY888" i="1"/>
  <c r="Q888" i="1"/>
  <c r="R888" i="1"/>
  <c r="CX888" i="1"/>
  <c r="J888" i="1"/>
  <c r="CW888" i="1"/>
  <c r="BN888" i="1"/>
  <c r="BM888" i="1"/>
  <c r="DM889" i="1"/>
  <c r="DE889" i="1"/>
  <c r="M889" i="1"/>
  <c r="L889" i="1"/>
  <c r="CY889" i="1"/>
  <c r="Q889" i="1"/>
  <c r="R889" i="1"/>
  <c r="CX889" i="1"/>
  <c r="J889" i="1"/>
  <c r="CW889" i="1"/>
  <c r="BN889" i="1"/>
  <c r="BM889" i="1"/>
  <c r="DM892" i="1"/>
  <c r="DE892" i="1"/>
  <c r="M892" i="1"/>
  <c r="L892" i="1"/>
  <c r="CY892" i="1"/>
  <c r="Q892" i="1"/>
  <c r="R892" i="1"/>
  <c r="CX892" i="1"/>
  <c r="J892" i="1"/>
  <c r="CW892" i="1"/>
  <c r="BN892" i="1"/>
  <c r="BM892" i="1"/>
  <c r="DM894" i="1"/>
  <c r="DE894" i="1"/>
  <c r="M894" i="1"/>
  <c r="L894" i="1"/>
  <c r="CY894" i="1"/>
  <c r="Q894" i="1"/>
  <c r="R894" i="1"/>
  <c r="CX894" i="1"/>
  <c r="J894" i="1"/>
  <c r="CW894" i="1"/>
  <c r="BN894" i="1"/>
  <c r="BM894" i="1"/>
  <c r="DM897" i="1"/>
  <c r="DE897" i="1"/>
  <c r="M897" i="1"/>
  <c r="L897" i="1"/>
  <c r="CY897" i="1"/>
  <c r="Q897" i="1"/>
  <c r="R897" i="1"/>
  <c r="CX897" i="1"/>
  <c r="J897" i="1"/>
  <c r="CW897" i="1"/>
  <c r="BN897" i="1"/>
  <c r="BM897" i="1"/>
  <c r="DM903" i="1"/>
  <c r="DE903" i="1"/>
  <c r="M903" i="1"/>
  <c r="L903" i="1"/>
  <c r="CY903" i="1"/>
  <c r="Q903" i="1"/>
  <c r="R903" i="1"/>
  <c r="CX903" i="1"/>
  <c r="J903" i="1"/>
  <c r="CW903" i="1"/>
  <c r="BN903" i="1"/>
  <c r="BM903" i="1"/>
  <c r="DM904" i="1"/>
  <c r="DE904" i="1"/>
  <c r="M904" i="1"/>
  <c r="L904" i="1"/>
  <c r="CY904" i="1"/>
  <c r="Q904" i="1"/>
  <c r="R904" i="1"/>
  <c r="CX904" i="1"/>
  <c r="J904" i="1"/>
  <c r="CW904" i="1"/>
  <c r="BN904" i="1"/>
  <c r="BM904" i="1"/>
  <c r="DM911" i="1"/>
  <c r="DE911" i="1"/>
  <c r="M911" i="1"/>
  <c r="L911" i="1"/>
  <c r="CY911" i="1"/>
  <c r="Q911" i="1"/>
  <c r="R911" i="1"/>
  <c r="CX911" i="1"/>
  <c r="J911" i="1"/>
  <c r="CW911" i="1"/>
  <c r="BN911" i="1"/>
  <c r="BM911" i="1"/>
  <c r="DM912" i="1"/>
  <c r="DE912" i="1"/>
  <c r="M912" i="1"/>
  <c r="L912" i="1"/>
  <c r="CY912" i="1"/>
  <c r="Q912" i="1"/>
  <c r="R912" i="1"/>
  <c r="CX912" i="1"/>
  <c r="J912" i="1"/>
  <c r="CW912" i="1"/>
  <c r="BN912" i="1"/>
  <c r="BM912" i="1"/>
  <c r="DM919" i="1"/>
  <c r="DE919" i="1"/>
  <c r="M919" i="1"/>
  <c r="L919" i="1"/>
  <c r="CY919" i="1"/>
  <c r="Q919" i="1"/>
  <c r="R919" i="1"/>
  <c r="CX919" i="1"/>
  <c r="J919" i="1"/>
  <c r="CW919" i="1"/>
  <c r="BN919" i="1"/>
  <c r="BM919" i="1"/>
  <c r="DM920" i="1"/>
  <c r="DE920" i="1"/>
  <c r="M920" i="1"/>
  <c r="L920" i="1"/>
  <c r="CY920" i="1"/>
  <c r="Q920" i="1"/>
  <c r="R920" i="1"/>
  <c r="CX920" i="1"/>
  <c r="J920" i="1"/>
  <c r="CW920" i="1"/>
  <c r="BN920" i="1"/>
  <c r="BM920" i="1"/>
  <c r="DM921" i="1"/>
  <c r="DE921" i="1"/>
  <c r="M921" i="1"/>
  <c r="L921" i="1"/>
  <c r="CY921" i="1"/>
  <c r="Q921" i="1"/>
  <c r="R921" i="1"/>
  <c r="CX921" i="1"/>
  <c r="J921" i="1"/>
  <c r="CW921" i="1"/>
  <c r="BN921" i="1"/>
  <c r="BM921" i="1"/>
  <c r="DM922" i="1"/>
  <c r="DE922" i="1"/>
  <c r="M922" i="1"/>
  <c r="L922" i="1"/>
  <c r="CY922" i="1"/>
  <c r="Q922" i="1"/>
  <c r="R922" i="1"/>
  <c r="CX922" i="1"/>
  <c r="J922" i="1"/>
  <c r="CW922" i="1"/>
  <c r="BN922" i="1"/>
  <c r="BM922" i="1"/>
  <c r="DM923" i="1"/>
  <c r="DE923" i="1"/>
  <c r="M923" i="1"/>
  <c r="L923" i="1"/>
  <c r="CY923" i="1"/>
  <c r="Q923" i="1"/>
  <c r="R923" i="1"/>
  <c r="CX923" i="1"/>
  <c r="J923" i="1"/>
  <c r="CW923" i="1"/>
  <c r="BN923" i="1"/>
  <c r="BM923" i="1"/>
  <c r="DM925" i="1"/>
  <c r="DE925" i="1"/>
  <c r="M925" i="1"/>
  <c r="L925" i="1"/>
  <c r="CY925" i="1"/>
  <c r="Q925" i="1"/>
  <c r="R925" i="1"/>
  <c r="CX925" i="1"/>
  <c r="J925" i="1"/>
  <c r="CW925" i="1"/>
  <c r="BN925" i="1"/>
  <c r="BM925" i="1"/>
  <c r="DM926" i="1"/>
  <c r="DE926" i="1"/>
  <c r="M926" i="1"/>
  <c r="L926" i="1"/>
  <c r="CY926" i="1"/>
  <c r="Q926" i="1"/>
  <c r="R926" i="1"/>
  <c r="CX926" i="1"/>
  <c r="J926" i="1"/>
  <c r="CW926" i="1"/>
  <c r="BN926" i="1"/>
  <c r="BM926" i="1"/>
  <c r="DM927" i="1"/>
  <c r="DE927" i="1"/>
  <c r="M927" i="1"/>
  <c r="L927" i="1"/>
  <c r="CY927" i="1"/>
  <c r="Q927" i="1"/>
  <c r="R927" i="1"/>
  <c r="CX927" i="1"/>
  <c r="J927" i="1"/>
  <c r="CW927" i="1"/>
  <c r="BN927" i="1"/>
  <c r="BM927" i="1"/>
  <c r="DM928" i="1"/>
  <c r="DE928" i="1"/>
  <c r="M928" i="1"/>
  <c r="L928" i="1"/>
  <c r="CY928" i="1"/>
  <c r="Q928" i="1"/>
  <c r="R928" i="1"/>
  <c r="CX928" i="1"/>
  <c r="J928" i="1"/>
  <c r="CW928" i="1"/>
  <c r="BN928" i="1"/>
  <c r="BM928" i="1"/>
  <c r="DM929" i="1"/>
  <c r="DE929" i="1"/>
  <c r="M929" i="1"/>
  <c r="L929" i="1"/>
  <c r="CY929" i="1"/>
  <c r="Q929" i="1"/>
  <c r="R929" i="1"/>
  <c r="CX929" i="1"/>
  <c r="J929" i="1"/>
  <c r="CW929" i="1"/>
  <c r="BN929" i="1"/>
  <c r="BM929" i="1"/>
  <c r="DM930" i="1"/>
  <c r="DE930" i="1"/>
  <c r="M930" i="1"/>
  <c r="L930" i="1"/>
  <c r="CY930" i="1"/>
  <c r="Q930" i="1"/>
  <c r="R930" i="1"/>
  <c r="CX930" i="1"/>
  <c r="J930" i="1"/>
  <c r="CW930" i="1"/>
  <c r="BN930" i="1"/>
  <c r="BM930" i="1"/>
  <c r="DM931" i="1"/>
  <c r="DE931" i="1"/>
  <c r="M931" i="1"/>
  <c r="L931" i="1"/>
  <c r="CY931" i="1"/>
  <c r="Q931" i="1"/>
  <c r="R931" i="1"/>
  <c r="CX931" i="1"/>
  <c r="J931" i="1"/>
  <c r="CW931" i="1"/>
  <c r="BN931" i="1"/>
  <c r="BM931" i="1"/>
  <c r="DM932" i="1"/>
  <c r="DE932" i="1"/>
  <c r="M932" i="1"/>
  <c r="L932" i="1"/>
  <c r="CY932" i="1"/>
  <c r="Q932" i="1"/>
  <c r="R932" i="1"/>
  <c r="CX932" i="1"/>
  <c r="J932" i="1"/>
  <c r="CW932" i="1"/>
  <c r="BN932" i="1"/>
  <c r="BM932" i="1"/>
  <c r="DM933" i="1"/>
  <c r="DE933" i="1"/>
  <c r="M933" i="1"/>
  <c r="L933" i="1"/>
  <c r="CY933" i="1"/>
  <c r="Q933" i="1"/>
  <c r="R933" i="1"/>
  <c r="CX933" i="1"/>
  <c r="J933" i="1"/>
  <c r="CW933" i="1"/>
  <c r="BN933" i="1"/>
  <c r="BM933" i="1"/>
  <c r="DM934" i="1"/>
  <c r="DE934" i="1"/>
  <c r="M934" i="1"/>
  <c r="L934" i="1"/>
  <c r="CY934" i="1"/>
  <c r="Q934" i="1"/>
  <c r="R934" i="1"/>
  <c r="CX934" i="1"/>
  <c r="J934" i="1"/>
  <c r="CW934" i="1"/>
  <c r="BN934" i="1"/>
  <c r="BM934" i="1"/>
  <c r="DM935" i="1"/>
  <c r="DE935" i="1"/>
  <c r="M935" i="1"/>
  <c r="L935" i="1"/>
  <c r="CY935" i="1"/>
  <c r="Q935" i="1"/>
  <c r="R935" i="1"/>
  <c r="CX935" i="1"/>
  <c r="J935" i="1"/>
  <c r="CW935" i="1"/>
  <c r="BN935" i="1"/>
  <c r="BM935" i="1"/>
  <c r="DM936" i="1"/>
  <c r="DE936" i="1"/>
  <c r="M936" i="1"/>
  <c r="L936" i="1"/>
  <c r="CY936" i="1"/>
  <c r="Q936" i="1"/>
  <c r="R936" i="1"/>
  <c r="CX936" i="1"/>
  <c r="J936" i="1"/>
  <c r="CW936" i="1"/>
  <c r="BN936" i="1"/>
  <c r="BM936" i="1"/>
  <c r="DM937" i="1"/>
  <c r="DE937" i="1"/>
  <c r="M937" i="1"/>
  <c r="L937" i="1"/>
  <c r="CY937" i="1"/>
  <c r="Q937" i="1"/>
  <c r="R937" i="1"/>
  <c r="CX937" i="1"/>
  <c r="J937" i="1"/>
  <c r="CW937" i="1"/>
  <c r="BN937" i="1"/>
  <c r="BM937" i="1"/>
  <c r="DM938" i="1"/>
  <c r="DE938" i="1"/>
  <c r="M938" i="1"/>
  <c r="L938" i="1"/>
  <c r="CY938" i="1"/>
  <c r="Q938" i="1"/>
  <c r="R938" i="1"/>
  <c r="CX938" i="1"/>
  <c r="J938" i="1"/>
  <c r="CW938" i="1"/>
  <c r="BN938" i="1"/>
  <c r="BM938" i="1"/>
  <c r="DM939" i="1"/>
  <c r="DE939" i="1"/>
  <c r="M939" i="1"/>
  <c r="L939" i="1"/>
  <c r="CY939" i="1"/>
  <c r="Q939" i="1"/>
  <c r="R939" i="1"/>
  <c r="CX939" i="1"/>
  <c r="J939" i="1"/>
  <c r="CW939" i="1"/>
  <c r="BN939" i="1"/>
  <c r="BM939" i="1"/>
  <c r="DM940" i="1"/>
  <c r="DE940" i="1"/>
  <c r="M940" i="1"/>
  <c r="L940" i="1"/>
  <c r="CY940" i="1"/>
  <c r="Q940" i="1"/>
  <c r="R940" i="1"/>
  <c r="CX940" i="1"/>
  <c r="J940" i="1"/>
  <c r="CW940" i="1"/>
  <c r="BN940" i="1"/>
  <c r="BM940" i="1"/>
  <c r="DM941" i="1"/>
  <c r="DE941" i="1"/>
  <c r="M941" i="1"/>
  <c r="L941" i="1"/>
  <c r="CY941" i="1"/>
  <c r="Q941" i="1"/>
  <c r="R941" i="1"/>
  <c r="CX941" i="1"/>
  <c r="J941" i="1"/>
  <c r="CW941" i="1"/>
  <c r="BN941" i="1"/>
  <c r="BM941" i="1"/>
  <c r="DM942" i="1"/>
  <c r="DE942" i="1"/>
  <c r="M942" i="1"/>
  <c r="L942" i="1"/>
  <c r="CY942" i="1"/>
  <c r="Q942" i="1"/>
  <c r="R942" i="1"/>
  <c r="CX942" i="1"/>
  <c r="J942" i="1"/>
  <c r="CW942" i="1"/>
  <c r="BN942" i="1"/>
  <c r="BM942" i="1"/>
  <c r="DM943" i="1"/>
  <c r="DE943" i="1"/>
  <c r="M943" i="1"/>
  <c r="L943" i="1"/>
  <c r="CY943" i="1"/>
  <c r="Q943" i="1"/>
  <c r="R943" i="1"/>
  <c r="CX943" i="1"/>
  <c r="J943" i="1"/>
  <c r="CW943" i="1"/>
  <c r="BN943" i="1"/>
  <c r="BM943" i="1"/>
  <c r="DM944" i="1"/>
  <c r="DE944" i="1"/>
  <c r="M944" i="1"/>
  <c r="L944" i="1"/>
  <c r="CY944" i="1"/>
  <c r="Q944" i="1"/>
  <c r="R944" i="1"/>
  <c r="CX944" i="1"/>
  <c r="J944" i="1"/>
  <c r="CW944" i="1"/>
  <c r="BN944" i="1"/>
  <c r="BM944" i="1"/>
  <c r="DM945" i="1"/>
  <c r="DE945" i="1"/>
  <c r="M945" i="1"/>
  <c r="L945" i="1"/>
  <c r="CY945" i="1"/>
  <c r="Q945" i="1"/>
  <c r="R945" i="1"/>
  <c r="CX945" i="1"/>
  <c r="J945" i="1"/>
  <c r="CW945" i="1"/>
  <c r="BN945" i="1"/>
  <c r="BM945" i="1"/>
  <c r="DM946" i="1"/>
  <c r="DE946" i="1"/>
  <c r="M946" i="1"/>
  <c r="L946" i="1"/>
  <c r="CY946" i="1"/>
  <c r="Q946" i="1"/>
  <c r="R946" i="1"/>
  <c r="CX946" i="1"/>
  <c r="J946" i="1"/>
  <c r="CW946" i="1"/>
  <c r="BN946" i="1"/>
  <c r="BM946" i="1"/>
  <c r="DM947" i="1"/>
  <c r="DE947" i="1"/>
  <c r="M947" i="1"/>
  <c r="L947" i="1"/>
  <c r="CY947" i="1"/>
  <c r="Q947" i="1"/>
  <c r="R947" i="1"/>
  <c r="CX947" i="1"/>
  <c r="J947" i="1"/>
  <c r="CW947" i="1"/>
  <c r="BN947" i="1"/>
  <c r="BM947" i="1"/>
  <c r="DM948" i="1"/>
  <c r="DE948" i="1"/>
  <c r="M948" i="1"/>
  <c r="L948" i="1"/>
  <c r="CY948" i="1"/>
  <c r="Q948" i="1"/>
  <c r="R948" i="1"/>
  <c r="CX948" i="1"/>
  <c r="J948" i="1"/>
  <c r="CW948" i="1"/>
  <c r="BN948" i="1"/>
  <c r="BM948" i="1"/>
  <c r="DM949" i="1"/>
  <c r="DE949" i="1"/>
  <c r="M949" i="1"/>
  <c r="L949" i="1"/>
  <c r="CY949" i="1"/>
  <c r="Q949" i="1"/>
  <c r="R949" i="1"/>
  <c r="CX949" i="1"/>
  <c r="J949" i="1"/>
  <c r="CW949" i="1"/>
  <c r="BN949" i="1"/>
  <c r="BM949" i="1"/>
  <c r="DM950" i="1"/>
  <c r="DE950" i="1"/>
  <c r="M950" i="1"/>
  <c r="L950" i="1"/>
  <c r="CY950" i="1"/>
  <c r="Q950" i="1"/>
  <c r="R950" i="1"/>
  <c r="CX950" i="1"/>
  <c r="J950" i="1"/>
  <c r="CW950" i="1"/>
  <c r="BN950" i="1"/>
  <c r="BM950" i="1"/>
  <c r="DM951" i="1"/>
  <c r="DE951" i="1"/>
  <c r="M951" i="1"/>
  <c r="L951" i="1"/>
  <c r="CY951" i="1"/>
  <c r="Q951" i="1"/>
  <c r="R951" i="1"/>
  <c r="CX951" i="1"/>
  <c r="J951" i="1"/>
  <c r="CW951" i="1"/>
  <c r="BN951" i="1"/>
  <c r="BM951" i="1"/>
  <c r="DM952" i="1"/>
  <c r="DE952" i="1"/>
  <c r="M952" i="1"/>
  <c r="L952" i="1"/>
  <c r="CY952" i="1"/>
  <c r="Q952" i="1"/>
  <c r="R952" i="1"/>
  <c r="CX952" i="1"/>
  <c r="J952" i="1"/>
  <c r="CW952" i="1"/>
  <c r="BN952" i="1"/>
  <c r="BM952" i="1"/>
  <c r="DM953" i="1"/>
  <c r="DE953" i="1"/>
  <c r="M953" i="1"/>
  <c r="L953" i="1"/>
  <c r="CY953" i="1"/>
  <c r="Q953" i="1"/>
  <c r="R953" i="1"/>
  <c r="CX953" i="1"/>
  <c r="J953" i="1"/>
  <c r="CW953" i="1"/>
  <c r="BN953" i="1"/>
  <c r="BM953" i="1"/>
  <c r="DM954" i="1"/>
  <c r="DE954" i="1"/>
  <c r="M954" i="1"/>
  <c r="L954" i="1"/>
  <c r="CY954" i="1"/>
  <c r="Q954" i="1"/>
  <c r="R954" i="1"/>
  <c r="CX954" i="1"/>
  <c r="J954" i="1"/>
  <c r="CW954" i="1"/>
  <c r="BN954" i="1"/>
  <c r="BM954" i="1"/>
  <c r="DM955" i="1"/>
  <c r="DE955" i="1"/>
  <c r="M955" i="1"/>
  <c r="L955" i="1"/>
  <c r="CY955" i="1"/>
  <c r="Q955" i="1"/>
  <c r="R955" i="1"/>
  <c r="CX955" i="1"/>
  <c r="J955" i="1"/>
  <c r="CW955" i="1"/>
  <c r="BN955" i="1"/>
  <c r="BM955" i="1"/>
  <c r="DM956" i="1"/>
  <c r="DE956" i="1"/>
  <c r="M956" i="1"/>
  <c r="L956" i="1"/>
  <c r="CY956" i="1"/>
  <c r="Q956" i="1"/>
  <c r="R956" i="1"/>
  <c r="CX956" i="1"/>
  <c r="J956" i="1"/>
  <c r="CW956" i="1"/>
  <c r="BN956" i="1"/>
  <c r="BM956" i="1"/>
  <c r="DM957" i="1"/>
  <c r="DE957" i="1"/>
  <c r="M957" i="1"/>
  <c r="L957" i="1"/>
  <c r="CY957" i="1"/>
  <c r="Q957" i="1"/>
  <c r="R957" i="1"/>
  <c r="CX957" i="1"/>
  <c r="J957" i="1"/>
  <c r="CW957" i="1"/>
  <c r="BN957" i="1"/>
  <c r="BM957" i="1"/>
  <c r="DM958" i="1"/>
  <c r="DE958" i="1"/>
  <c r="M958" i="1"/>
  <c r="L958" i="1"/>
  <c r="CY958" i="1"/>
  <c r="Q958" i="1"/>
  <c r="R958" i="1"/>
  <c r="CX958" i="1"/>
  <c r="J958" i="1"/>
  <c r="CW958" i="1"/>
  <c r="BN958" i="1"/>
  <c r="BM958" i="1"/>
  <c r="DM959" i="1"/>
  <c r="DE959" i="1"/>
  <c r="M959" i="1"/>
  <c r="L959" i="1"/>
  <c r="CY959" i="1"/>
  <c r="Q959" i="1"/>
  <c r="R959" i="1"/>
  <c r="CX959" i="1"/>
  <c r="J959" i="1"/>
  <c r="CW959" i="1"/>
  <c r="BN959" i="1"/>
  <c r="BM959" i="1"/>
  <c r="DM960" i="1"/>
  <c r="DE960" i="1"/>
  <c r="M960" i="1"/>
  <c r="L960" i="1"/>
  <c r="CY960" i="1"/>
  <c r="Q960" i="1"/>
  <c r="R960" i="1"/>
  <c r="CX960" i="1"/>
  <c r="J960" i="1"/>
  <c r="CW960" i="1"/>
  <c r="BN960" i="1"/>
  <c r="BM960" i="1"/>
  <c r="DM961" i="1"/>
  <c r="DE961" i="1"/>
  <c r="M961" i="1"/>
  <c r="L961" i="1"/>
  <c r="CY961" i="1"/>
  <c r="Q961" i="1"/>
  <c r="R961" i="1"/>
  <c r="CX961" i="1"/>
  <c r="J961" i="1"/>
  <c r="CW961" i="1"/>
  <c r="BN961" i="1"/>
  <c r="BM961" i="1"/>
  <c r="DM962" i="1"/>
  <c r="DE962" i="1"/>
  <c r="M962" i="1"/>
  <c r="L962" i="1"/>
  <c r="CY962" i="1"/>
  <c r="Q962" i="1"/>
  <c r="R962" i="1"/>
  <c r="CX962" i="1"/>
  <c r="J962" i="1"/>
  <c r="CW962" i="1"/>
  <c r="BN962" i="1"/>
  <c r="BM962" i="1"/>
  <c r="DM963" i="1"/>
  <c r="DE963" i="1"/>
  <c r="M963" i="1"/>
  <c r="L963" i="1"/>
  <c r="CY963" i="1"/>
  <c r="Q963" i="1"/>
  <c r="R963" i="1"/>
  <c r="CX963" i="1"/>
  <c r="J963" i="1"/>
  <c r="CW963" i="1"/>
  <c r="BN963" i="1"/>
  <c r="BM963" i="1"/>
  <c r="DM964" i="1"/>
  <c r="DE964" i="1"/>
  <c r="M964" i="1"/>
  <c r="L964" i="1"/>
  <c r="CY964" i="1"/>
  <c r="Q964" i="1"/>
  <c r="R964" i="1"/>
  <c r="CX964" i="1"/>
  <c r="J964" i="1"/>
  <c r="CW964" i="1"/>
  <c r="BN964" i="1"/>
  <c r="BM964" i="1"/>
  <c r="DM965" i="1"/>
  <c r="DE965" i="1"/>
  <c r="M965" i="1"/>
  <c r="L965" i="1"/>
  <c r="CY965" i="1"/>
  <c r="Q965" i="1"/>
  <c r="R965" i="1"/>
  <c r="CX965" i="1"/>
  <c r="J965" i="1"/>
  <c r="CW965" i="1"/>
  <c r="BN965" i="1"/>
  <c r="BM965" i="1"/>
  <c r="DM966" i="1"/>
  <c r="DE966" i="1"/>
  <c r="M966" i="1"/>
  <c r="L966" i="1"/>
  <c r="CY966" i="1"/>
  <c r="Q966" i="1"/>
  <c r="R966" i="1"/>
  <c r="CX966" i="1"/>
  <c r="J966" i="1"/>
  <c r="CW966" i="1"/>
  <c r="BN966" i="1"/>
  <c r="BM966" i="1"/>
  <c r="DM967" i="1"/>
  <c r="DE967" i="1"/>
  <c r="M967" i="1"/>
  <c r="L967" i="1"/>
  <c r="CY967" i="1"/>
  <c r="Q967" i="1"/>
  <c r="R967" i="1"/>
  <c r="CX967" i="1"/>
  <c r="J967" i="1"/>
  <c r="CW967" i="1"/>
  <c r="BN967" i="1"/>
  <c r="BM967" i="1"/>
  <c r="DM968" i="1"/>
  <c r="DE968" i="1"/>
  <c r="M968" i="1"/>
  <c r="L968" i="1"/>
  <c r="CY968" i="1"/>
  <c r="Q968" i="1"/>
  <c r="R968" i="1"/>
  <c r="CX968" i="1"/>
  <c r="J968" i="1"/>
  <c r="CW968" i="1"/>
  <c r="BN968" i="1"/>
  <c r="BM968" i="1"/>
  <c r="DM969" i="1"/>
  <c r="DE969" i="1"/>
  <c r="M969" i="1"/>
  <c r="L969" i="1"/>
  <c r="CY969" i="1"/>
  <c r="Q969" i="1"/>
  <c r="R969" i="1"/>
  <c r="CX969" i="1"/>
  <c r="J969" i="1"/>
  <c r="CW969" i="1"/>
  <c r="BN969" i="1"/>
  <c r="BM969" i="1"/>
  <c r="DM970" i="1"/>
  <c r="DE970" i="1"/>
  <c r="M970" i="1"/>
  <c r="L970" i="1"/>
  <c r="CY970" i="1"/>
  <c r="Q970" i="1"/>
  <c r="R970" i="1"/>
  <c r="CX970" i="1"/>
  <c r="J970" i="1"/>
  <c r="CW970" i="1"/>
  <c r="BN970" i="1"/>
  <c r="BM970" i="1"/>
  <c r="DM971" i="1"/>
  <c r="DE971" i="1"/>
  <c r="M971" i="1"/>
  <c r="L971" i="1"/>
  <c r="CY971" i="1"/>
  <c r="Q971" i="1"/>
  <c r="R971" i="1"/>
  <c r="CX971" i="1"/>
  <c r="J971" i="1"/>
  <c r="CW971" i="1"/>
  <c r="BN971" i="1"/>
  <c r="BM971" i="1"/>
  <c r="DM972" i="1"/>
  <c r="DE972" i="1"/>
  <c r="M972" i="1"/>
  <c r="L972" i="1"/>
  <c r="CY972" i="1"/>
  <c r="Q972" i="1"/>
  <c r="R972" i="1"/>
  <c r="CX972" i="1"/>
  <c r="J972" i="1"/>
  <c r="CW972" i="1"/>
  <c r="BN972" i="1"/>
  <c r="BM972" i="1"/>
  <c r="DM973" i="1"/>
  <c r="DE973" i="1"/>
  <c r="M973" i="1"/>
  <c r="L973" i="1"/>
  <c r="CY973" i="1"/>
  <c r="Q973" i="1"/>
  <c r="R973" i="1"/>
  <c r="CX973" i="1"/>
  <c r="J973" i="1"/>
  <c r="CW973" i="1"/>
  <c r="BN973" i="1"/>
  <c r="BM973" i="1"/>
  <c r="DM974" i="1"/>
  <c r="DE974" i="1"/>
  <c r="M974" i="1"/>
  <c r="L974" i="1"/>
  <c r="CY974" i="1"/>
  <c r="Q974" i="1"/>
  <c r="R974" i="1"/>
  <c r="CX974" i="1"/>
  <c r="J974" i="1"/>
  <c r="CW974" i="1"/>
  <c r="BN974" i="1"/>
  <c r="BM974" i="1"/>
  <c r="DM975" i="1"/>
  <c r="DE975" i="1"/>
  <c r="M975" i="1"/>
  <c r="L975" i="1"/>
  <c r="CY975" i="1"/>
  <c r="Q975" i="1"/>
  <c r="R975" i="1"/>
  <c r="CX975" i="1"/>
  <c r="J975" i="1"/>
  <c r="CW975" i="1"/>
  <c r="BN975" i="1"/>
  <c r="BM975" i="1"/>
  <c r="DM976" i="1"/>
  <c r="DE976" i="1"/>
  <c r="M976" i="1"/>
  <c r="L976" i="1"/>
  <c r="CY976" i="1"/>
  <c r="Q976" i="1"/>
  <c r="R976" i="1"/>
  <c r="CX976" i="1"/>
  <c r="J976" i="1"/>
  <c r="CW976" i="1"/>
  <c r="BN976" i="1"/>
  <c r="BM976" i="1"/>
  <c r="DM977" i="1"/>
  <c r="DE977" i="1"/>
  <c r="M977" i="1"/>
  <c r="L977" i="1"/>
  <c r="CY977" i="1"/>
  <c r="Q977" i="1"/>
  <c r="R977" i="1"/>
  <c r="CX977" i="1"/>
  <c r="J977" i="1"/>
  <c r="CW977" i="1"/>
  <c r="BN977" i="1"/>
  <c r="BM977" i="1"/>
  <c r="DM978" i="1"/>
  <c r="DE978" i="1"/>
  <c r="M978" i="1"/>
  <c r="L978" i="1"/>
  <c r="CY978" i="1"/>
  <c r="Q978" i="1"/>
  <c r="R978" i="1"/>
  <c r="CX978" i="1"/>
  <c r="J978" i="1"/>
  <c r="CW978" i="1"/>
  <c r="BN978" i="1"/>
  <c r="BM978" i="1"/>
  <c r="DM979" i="1"/>
  <c r="DE979" i="1"/>
  <c r="M979" i="1"/>
  <c r="L979" i="1"/>
  <c r="CY979" i="1"/>
  <c r="Q979" i="1"/>
  <c r="R979" i="1"/>
  <c r="CX979" i="1"/>
  <c r="J979" i="1"/>
  <c r="CW979" i="1"/>
  <c r="BN979" i="1"/>
  <c r="BM979" i="1"/>
  <c r="DM660" i="1"/>
  <c r="DE660" i="1"/>
  <c r="M660" i="1"/>
  <c r="L660" i="1"/>
  <c r="CY660" i="1"/>
  <c r="Q660" i="1"/>
  <c r="R660" i="1"/>
  <c r="CX660" i="1"/>
  <c r="J660" i="1"/>
  <c r="CW660" i="1"/>
  <c r="BN660" i="1"/>
  <c r="BM660" i="1"/>
  <c r="DM661" i="1"/>
  <c r="DE661" i="1"/>
  <c r="M661" i="1"/>
  <c r="L661" i="1"/>
  <c r="CY661" i="1"/>
  <c r="Q661" i="1"/>
  <c r="R661" i="1"/>
  <c r="CX661" i="1"/>
  <c r="J661" i="1"/>
  <c r="CW661" i="1"/>
  <c r="BN661" i="1"/>
  <c r="BM661" i="1"/>
  <c r="DM662" i="1"/>
  <c r="DE662" i="1"/>
  <c r="M662" i="1"/>
  <c r="L662" i="1"/>
  <c r="CY662" i="1"/>
  <c r="Q662" i="1"/>
  <c r="R662" i="1"/>
  <c r="CX662" i="1"/>
  <c r="J662" i="1"/>
  <c r="CW662" i="1"/>
  <c r="BN662" i="1"/>
  <c r="BM662" i="1"/>
  <c r="DM663" i="1"/>
  <c r="DE663" i="1"/>
  <c r="M663" i="1"/>
  <c r="L663" i="1"/>
  <c r="CY663" i="1"/>
  <c r="Q663" i="1"/>
  <c r="R663" i="1"/>
  <c r="CX663" i="1"/>
  <c r="J663" i="1"/>
  <c r="CW663" i="1"/>
  <c r="BN663" i="1"/>
  <c r="BM663" i="1"/>
  <c r="DM664" i="1"/>
  <c r="DE664" i="1"/>
  <c r="M664" i="1"/>
  <c r="L664" i="1"/>
  <c r="CY664" i="1"/>
  <c r="Q664" i="1"/>
  <c r="R664" i="1"/>
  <c r="CX664" i="1"/>
  <c r="J664" i="1"/>
  <c r="CW664" i="1"/>
  <c r="BN664" i="1"/>
  <c r="BM664" i="1"/>
  <c r="DM873" i="1"/>
  <c r="DE873" i="1"/>
  <c r="M873" i="1"/>
  <c r="L873" i="1"/>
  <c r="CY873" i="1"/>
  <c r="Q873" i="1"/>
  <c r="R873" i="1"/>
  <c r="CX873" i="1"/>
  <c r="J873" i="1"/>
  <c r="CW873" i="1"/>
  <c r="BN873" i="1"/>
  <c r="BM873" i="1"/>
  <c r="DM874" i="1"/>
  <c r="DE874" i="1"/>
  <c r="M874" i="1"/>
  <c r="L874" i="1"/>
  <c r="CY874" i="1"/>
  <c r="Q874" i="1"/>
  <c r="R874" i="1"/>
  <c r="CX874" i="1"/>
  <c r="J874" i="1"/>
  <c r="CW874" i="1"/>
  <c r="BN874" i="1"/>
  <c r="BM874" i="1"/>
  <c r="DM875" i="1"/>
  <c r="DE875" i="1"/>
  <c r="M875" i="1"/>
  <c r="L875" i="1"/>
  <c r="CY875" i="1"/>
  <c r="Q875" i="1"/>
  <c r="R875" i="1"/>
  <c r="CX875" i="1"/>
  <c r="J875" i="1"/>
  <c r="CW875" i="1"/>
  <c r="BN875" i="1"/>
  <c r="BM875" i="1"/>
  <c r="DM707" i="1"/>
  <c r="M707" i="1"/>
  <c r="L707" i="1"/>
  <c r="CY707" i="1"/>
  <c r="R707" i="1"/>
  <c r="CX707" i="1"/>
  <c r="J707" i="1"/>
  <c r="BN707" i="1"/>
  <c r="BM707" i="1"/>
  <c r="DM708" i="1"/>
  <c r="M708" i="1"/>
  <c r="L708" i="1"/>
  <c r="CY708" i="1"/>
  <c r="R708" i="1"/>
  <c r="CX708" i="1"/>
  <c r="J708" i="1"/>
  <c r="BN708" i="1"/>
  <c r="BM708" i="1"/>
  <c r="DM709" i="1"/>
  <c r="M709" i="1"/>
  <c r="L709" i="1"/>
  <c r="CY709" i="1"/>
  <c r="R709" i="1"/>
  <c r="CX709" i="1"/>
  <c r="J709" i="1"/>
  <c r="BN709" i="1"/>
  <c r="BM709" i="1"/>
  <c r="DM710" i="1"/>
  <c r="M710" i="1"/>
  <c r="L710" i="1"/>
  <c r="CY710" i="1"/>
  <c r="R710" i="1"/>
  <c r="CX710" i="1"/>
  <c r="J710" i="1"/>
  <c r="BN710" i="1"/>
  <c r="BM710" i="1"/>
  <c r="DM736" i="1"/>
  <c r="M736" i="1"/>
  <c r="L736" i="1"/>
  <c r="CY736" i="1"/>
  <c r="R736" i="1"/>
  <c r="CX736" i="1"/>
  <c r="J736" i="1"/>
  <c r="BN736" i="1"/>
  <c r="BM736" i="1"/>
  <c r="DM680" i="1"/>
  <c r="M680" i="1"/>
  <c r="L680" i="1"/>
  <c r="CY680" i="1"/>
  <c r="R680" i="1"/>
  <c r="CX680" i="1"/>
  <c r="J680" i="1"/>
  <c r="BN680" i="1"/>
  <c r="BM680" i="1"/>
  <c r="DM681" i="1"/>
  <c r="M681" i="1"/>
  <c r="L681" i="1"/>
  <c r="CY681" i="1"/>
  <c r="R681" i="1"/>
  <c r="CX681" i="1"/>
  <c r="J681" i="1"/>
  <c r="BN681" i="1"/>
  <c r="BM681" i="1"/>
  <c r="DM682" i="1"/>
  <c r="M682" i="1"/>
  <c r="L682" i="1"/>
  <c r="CY682" i="1"/>
  <c r="R682" i="1"/>
  <c r="CX682" i="1"/>
  <c r="J682" i="1"/>
  <c r="BN682" i="1"/>
  <c r="BM682" i="1"/>
  <c r="DM706" i="1"/>
  <c r="M706" i="1"/>
  <c r="L706" i="1"/>
  <c r="CY706" i="1"/>
  <c r="R706" i="1"/>
  <c r="CX706" i="1"/>
  <c r="J706" i="1"/>
  <c r="BN706" i="1"/>
  <c r="BM706" i="1"/>
  <c r="DM713" i="1"/>
  <c r="M713" i="1"/>
  <c r="L713" i="1"/>
  <c r="CY713" i="1"/>
  <c r="R713" i="1"/>
  <c r="CX713" i="1"/>
  <c r="J713" i="1"/>
  <c r="BN713" i="1"/>
  <c r="BM713" i="1"/>
  <c r="DM714" i="1"/>
  <c r="M714" i="1"/>
  <c r="L714" i="1"/>
  <c r="CY714" i="1"/>
  <c r="R714" i="1"/>
  <c r="CX714" i="1"/>
  <c r="J714" i="1"/>
  <c r="BN714" i="1"/>
  <c r="BM714" i="1"/>
  <c r="DM715" i="1"/>
  <c r="M715" i="1"/>
  <c r="L715" i="1"/>
  <c r="CY715" i="1"/>
  <c r="R715" i="1"/>
  <c r="CX715" i="1"/>
  <c r="J715" i="1"/>
  <c r="BN715" i="1"/>
  <c r="BM715" i="1"/>
  <c r="DM716" i="1"/>
  <c r="M716" i="1"/>
  <c r="L716" i="1"/>
  <c r="CY716" i="1"/>
  <c r="R716" i="1"/>
  <c r="CX716" i="1"/>
  <c r="J716" i="1"/>
  <c r="BN716" i="1"/>
  <c r="BM716" i="1"/>
  <c r="DM717" i="1"/>
  <c r="M717" i="1"/>
  <c r="L717" i="1"/>
  <c r="CY717" i="1"/>
  <c r="R717" i="1"/>
  <c r="CX717" i="1"/>
  <c r="J717" i="1"/>
  <c r="BN717" i="1"/>
  <c r="BM717" i="1"/>
  <c r="DM718" i="1"/>
  <c r="M718" i="1"/>
  <c r="L718" i="1"/>
  <c r="CY718" i="1"/>
  <c r="R718" i="1"/>
  <c r="CX718" i="1"/>
  <c r="J718" i="1"/>
  <c r="BN718" i="1"/>
  <c r="BM718" i="1"/>
  <c r="DM719" i="1"/>
  <c r="M719" i="1"/>
  <c r="L719" i="1"/>
  <c r="CY719" i="1"/>
  <c r="R719" i="1"/>
  <c r="CX719" i="1"/>
  <c r="J719" i="1"/>
  <c r="BN719" i="1"/>
  <c r="BM719" i="1"/>
  <c r="DM720" i="1"/>
  <c r="M720" i="1"/>
  <c r="L720" i="1"/>
  <c r="CY720" i="1"/>
  <c r="R720" i="1"/>
  <c r="CX720" i="1"/>
  <c r="J720" i="1"/>
  <c r="BN720" i="1"/>
  <c r="BM720" i="1"/>
  <c r="DM721" i="1"/>
  <c r="M721" i="1"/>
  <c r="L721" i="1"/>
  <c r="CY721" i="1"/>
  <c r="R721" i="1"/>
  <c r="CX721" i="1"/>
  <c r="J721" i="1"/>
  <c r="BN721" i="1"/>
  <c r="BM721" i="1"/>
  <c r="DM722" i="1"/>
  <c r="M722" i="1"/>
  <c r="L722" i="1"/>
  <c r="CY722" i="1"/>
  <c r="R722" i="1"/>
  <c r="CX722" i="1"/>
  <c r="J722" i="1"/>
  <c r="BN722" i="1"/>
  <c r="BM722" i="1"/>
  <c r="DM723" i="1"/>
  <c r="M723" i="1"/>
  <c r="L723" i="1"/>
  <c r="CY723" i="1"/>
  <c r="R723" i="1"/>
  <c r="CX723" i="1"/>
  <c r="J723" i="1"/>
  <c r="BN723" i="1"/>
  <c r="BM723" i="1"/>
  <c r="DM733" i="1"/>
  <c r="M733" i="1"/>
  <c r="L733" i="1"/>
  <c r="CY733" i="1"/>
  <c r="R733" i="1"/>
  <c r="CX733" i="1"/>
  <c r="J733" i="1"/>
  <c r="BN733" i="1"/>
  <c r="BM733" i="1"/>
  <c r="DM734" i="1"/>
  <c r="M734" i="1"/>
  <c r="L734" i="1"/>
  <c r="CY734" i="1"/>
  <c r="R734" i="1"/>
  <c r="CX734" i="1"/>
  <c r="J734" i="1"/>
  <c r="BN734" i="1"/>
  <c r="BM734" i="1"/>
  <c r="DM735" i="1"/>
  <c r="M735" i="1"/>
  <c r="L735" i="1"/>
  <c r="CY735" i="1"/>
  <c r="R735" i="1"/>
  <c r="CX735" i="1"/>
  <c r="J735" i="1"/>
  <c r="BN735" i="1"/>
  <c r="BM735" i="1"/>
  <c r="DM737" i="1"/>
  <c r="M737" i="1"/>
  <c r="L737" i="1"/>
  <c r="CY737" i="1"/>
  <c r="R737" i="1"/>
  <c r="CX737" i="1"/>
  <c r="J737" i="1"/>
  <c r="BN737" i="1"/>
  <c r="BM737" i="1"/>
  <c r="DM738" i="1"/>
  <c r="M738" i="1"/>
  <c r="L738" i="1"/>
  <c r="CY738" i="1"/>
  <c r="R738" i="1"/>
  <c r="CX738" i="1"/>
  <c r="J738" i="1"/>
  <c r="BN738" i="1"/>
  <c r="BM738" i="1"/>
  <c r="DM739" i="1"/>
  <c r="M739" i="1"/>
  <c r="L739" i="1"/>
  <c r="CY739" i="1"/>
  <c r="R739" i="1"/>
  <c r="CX739" i="1"/>
  <c r="J739" i="1"/>
  <c r="BN739" i="1"/>
  <c r="BM739" i="1"/>
  <c r="DM740" i="1"/>
  <c r="M740" i="1"/>
  <c r="L740" i="1"/>
  <c r="CY740" i="1"/>
  <c r="R740" i="1"/>
  <c r="CX740" i="1"/>
  <c r="J740" i="1"/>
  <c r="BN740" i="1"/>
  <c r="BM740" i="1"/>
  <c r="DM773" i="1"/>
  <c r="M773" i="1"/>
  <c r="L773" i="1"/>
  <c r="CY773" i="1"/>
  <c r="R773" i="1"/>
  <c r="CX773" i="1"/>
  <c r="J773" i="1"/>
  <c r="BN773" i="1"/>
  <c r="BM773" i="1"/>
  <c r="DM774" i="1"/>
  <c r="M774" i="1"/>
  <c r="L774" i="1"/>
  <c r="CY774" i="1"/>
  <c r="R774" i="1"/>
  <c r="CX774" i="1"/>
  <c r="J774" i="1"/>
  <c r="BN774" i="1"/>
  <c r="BM774" i="1"/>
  <c r="DM805" i="1"/>
  <c r="M805" i="1"/>
  <c r="L805" i="1"/>
  <c r="CY805" i="1"/>
  <c r="R805" i="1"/>
  <c r="CX805" i="1"/>
  <c r="J805" i="1"/>
  <c r="BN805" i="1"/>
  <c r="BM805" i="1"/>
  <c r="DM806" i="1"/>
  <c r="M806" i="1"/>
  <c r="L806" i="1"/>
  <c r="CY806" i="1"/>
  <c r="R806" i="1"/>
  <c r="CX806" i="1"/>
  <c r="J806" i="1"/>
  <c r="BN806" i="1"/>
  <c r="BM806" i="1"/>
  <c r="DM807" i="1"/>
  <c r="M807" i="1"/>
  <c r="L807" i="1"/>
  <c r="CY807" i="1"/>
  <c r="R807" i="1"/>
  <c r="CX807" i="1"/>
  <c r="J807" i="1"/>
  <c r="BN807" i="1"/>
  <c r="BM807" i="1"/>
  <c r="DM808" i="1"/>
  <c r="M808" i="1"/>
  <c r="L808" i="1"/>
  <c r="CY808" i="1"/>
  <c r="R808" i="1"/>
  <c r="CX808" i="1"/>
  <c r="J808" i="1"/>
  <c r="BN808" i="1"/>
  <c r="BM808" i="1"/>
  <c r="DM809" i="1"/>
  <c r="M809" i="1"/>
  <c r="L809" i="1"/>
  <c r="CY809" i="1"/>
  <c r="R809" i="1"/>
  <c r="CX809" i="1"/>
  <c r="J809" i="1"/>
  <c r="BN809" i="1"/>
  <c r="BM809" i="1"/>
  <c r="DM810" i="1"/>
  <c r="M810" i="1"/>
  <c r="L810" i="1"/>
  <c r="CY810" i="1"/>
  <c r="R810" i="1"/>
  <c r="CX810" i="1"/>
  <c r="J810" i="1"/>
  <c r="BN810" i="1"/>
  <c r="BM810" i="1"/>
  <c r="DM811" i="1"/>
  <c r="M811" i="1"/>
  <c r="L811" i="1"/>
  <c r="CY811" i="1"/>
  <c r="R811" i="1"/>
  <c r="CX811" i="1"/>
  <c r="J811" i="1"/>
  <c r="BN811" i="1"/>
  <c r="BM811" i="1"/>
  <c r="DM812" i="1"/>
  <c r="M812" i="1"/>
  <c r="L812" i="1"/>
  <c r="CY812" i="1"/>
  <c r="R812" i="1"/>
  <c r="CX812" i="1"/>
  <c r="J812" i="1"/>
  <c r="BN812" i="1"/>
  <c r="BM812" i="1"/>
  <c r="DM813" i="1"/>
  <c r="M813" i="1"/>
  <c r="L813" i="1"/>
  <c r="CY813" i="1"/>
  <c r="R813" i="1"/>
  <c r="CX813" i="1"/>
  <c r="J813" i="1"/>
  <c r="BN813" i="1"/>
  <c r="BM813" i="1"/>
  <c r="DM853" i="1"/>
  <c r="M853" i="1"/>
  <c r="L853" i="1"/>
  <c r="CY853" i="1"/>
  <c r="R853" i="1"/>
  <c r="CX853" i="1"/>
  <c r="J853" i="1"/>
  <c r="BN853" i="1"/>
  <c r="BM853" i="1"/>
  <c r="DM854" i="1"/>
  <c r="M854" i="1"/>
  <c r="L854" i="1"/>
  <c r="CY854" i="1"/>
  <c r="R854" i="1"/>
  <c r="CX854" i="1"/>
  <c r="J854" i="1"/>
  <c r="BN854" i="1"/>
  <c r="BM854" i="1"/>
  <c r="DM876" i="1"/>
  <c r="M876" i="1"/>
  <c r="L876" i="1"/>
  <c r="CY876" i="1"/>
  <c r="R876" i="1"/>
  <c r="CX876" i="1"/>
  <c r="J876" i="1"/>
  <c r="BN876" i="1"/>
  <c r="BM876" i="1"/>
  <c r="DM877" i="1"/>
  <c r="M877" i="1"/>
  <c r="L877" i="1"/>
  <c r="CY877" i="1"/>
  <c r="R877" i="1"/>
  <c r="CX877" i="1"/>
  <c r="J877" i="1"/>
  <c r="BN877" i="1"/>
  <c r="BM877" i="1"/>
  <c r="DM878" i="1"/>
  <c r="M878" i="1"/>
  <c r="L878" i="1"/>
  <c r="CY878" i="1"/>
  <c r="R878" i="1"/>
  <c r="CX878" i="1"/>
  <c r="J878" i="1"/>
  <c r="BN878" i="1"/>
  <c r="BM878" i="1"/>
  <c r="DM711" i="1"/>
  <c r="M711" i="1"/>
  <c r="L711" i="1"/>
  <c r="CY711" i="1"/>
  <c r="R711" i="1"/>
  <c r="CX711" i="1"/>
  <c r="J711" i="1"/>
  <c r="BN711" i="1"/>
  <c r="BM711" i="1"/>
  <c r="DM712" i="1"/>
  <c r="M712" i="1"/>
  <c r="L712" i="1"/>
  <c r="CY712" i="1"/>
  <c r="R712" i="1"/>
  <c r="CX712" i="1"/>
  <c r="J712" i="1"/>
  <c r="BN712" i="1"/>
  <c r="BM712" i="1"/>
  <c r="DM879" i="1"/>
  <c r="M879" i="1"/>
  <c r="L879" i="1"/>
  <c r="CY879" i="1"/>
  <c r="R879" i="1"/>
  <c r="CX879" i="1"/>
  <c r="J879" i="1"/>
  <c r="BN879" i="1"/>
  <c r="BM879" i="1"/>
  <c r="DM880" i="1"/>
  <c r="M880" i="1"/>
  <c r="L880" i="1"/>
  <c r="CY880" i="1"/>
  <c r="R880" i="1"/>
  <c r="CX880" i="1"/>
  <c r="J880" i="1"/>
  <c r="BN880" i="1"/>
  <c r="BM880" i="1"/>
  <c r="DM924" i="1"/>
  <c r="DE924" i="1"/>
  <c r="M924" i="1"/>
  <c r="L924" i="1"/>
  <c r="CY924" i="1"/>
  <c r="Q924" i="1"/>
  <c r="R924" i="1"/>
  <c r="CX924" i="1"/>
  <c r="J924" i="1"/>
  <c r="CW924" i="1"/>
  <c r="BN924" i="1"/>
  <c r="BM924" i="1"/>
  <c r="DM1283" i="1"/>
  <c r="M1283" i="1"/>
  <c r="L1283" i="1"/>
  <c r="CY1283" i="1"/>
  <c r="R1283" i="1"/>
  <c r="CX1283" i="1"/>
  <c r="J1283" i="1"/>
  <c r="BN1283" i="1"/>
  <c r="BM1283" i="1"/>
  <c r="DM1282" i="1"/>
  <c r="M1282" i="1"/>
  <c r="L1282" i="1"/>
  <c r="CY1282" i="1"/>
  <c r="R1282" i="1"/>
  <c r="CX1282" i="1"/>
  <c r="J1282" i="1"/>
  <c r="BN1282" i="1"/>
  <c r="BM1282" i="1"/>
  <c r="DM1331" i="1"/>
  <c r="M1331" i="1"/>
  <c r="L1331" i="1"/>
  <c r="CY1331" i="1"/>
  <c r="R1331" i="1"/>
  <c r="CX1331" i="1"/>
  <c r="J1331" i="1"/>
  <c r="BN1331" i="1"/>
  <c r="BM1331" i="1"/>
  <c r="DM1289" i="1"/>
  <c r="M1289" i="1"/>
  <c r="L1289" i="1"/>
  <c r="CY1289" i="1"/>
  <c r="R1289" i="1"/>
  <c r="CX1289" i="1"/>
  <c r="J1289" i="1"/>
  <c r="BN1289" i="1"/>
  <c r="BM1289" i="1"/>
  <c r="DM1288" i="1"/>
  <c r="M1288" i="1"/>
  <c r="L1288" i="1"/>
  <c r="CY1288" i="1"/>
  <c r="R1288" i="1"/>
  <c r="CX1288" i="1"/>
  <c r="J1288" i="1"/>
  <c r="BN1288" i="1"/>
  <c r="BM1288" i="1"/>
  <c r="DM1281" i="1"/>
  <c r="M1281" i="1"/>
  <c r="L1281" i="1"/>
  <c r="CY1281" i="1"/>
  <c r="R1281" i="1"/>
  <c r="CX1281" i="1"/>
  <c r="J1281" i="1"/>
  <c r="BN1281" i="1"/>
  <c r="BM1281" i="1"/>
  <c r="DM1279" i="1"/>
  <c r="M1279" i="1"/>
  <c r="L1279" i="1"/>
  <c r="CY1279" i="1"/>
  <c r="R1279" i="1"/>
  <c r="CX1279" i="1"/>
  <c r="J1279" i="1"/>
  <c r="BN1279" i="1"/>
  <c r="BM1279" i="1"/>
  <c r="DM899" i="1"/>
  <c r="DE899" i="1"/>
  <c r="M899" i="1"/>
  <c r="L899" i="1"/>
  <c r="CY899" i="1"/>
  <c r="Q899" i="1"/>
  <c r="R899" i="1"/>
  <c r="CX899" i="1"/>
  <c r="J899" i="1"/>
  <c r="CW899" i="1"/>
  <c r="BN899" i="1"/>
  <c r="BM899" i="1"/>
  <c r="DM491" i="1"/>
  <c r="M491" i="1"/>
  <c r="L491" i="1"/>
  <c r="CY491" i="1"/>
  <c r="R491" i="1"/>
  <c r="CX491" i="1"/>
  <c r="J491" i="1"/>
  <c r="BN491" i="1"/>
  <c r="BM491" i="1"/>
  <c r="DM347" i="1"/>
  <c r="DE347" i="1"/>
  <c r="M347" i="1"/>
  <c r="L347" i="1"/>
  <c r="CY347" i="1"/>
  <c r="Q347" i="1"/>
  <c r="R347" i="1"/>
  <c r="CX347" i="1"/>
  <c r="J347" i="1"/>
  <c r="CW347" i="1"/>
  <c r="BN347" i="1"/>
  <c r="BM347" i="1"/>
  <c r="DM1391" i="1"/>
  <c r="M1391" i="1"/>
  <c r="L1391" i="1"/>
  <c r="CY1391" i="1"/>
  <c r="R1391" i="1"/>
  <c r="CX1391" i="1"/>
  <c r="J1391" i="1"/>
  <c r="BN1391" i="1"/>
  <c r="BM1391" i="1"/>
  <c r="DM284" i="1"/>
  <c r="DE284" i="1"/>
  <c r="M284" i="1"/>
  <c r="L284" i="1"/>
  <c r="CY284" i="1"/>
  <c r="Q284" i="1"/>
  <c r="R284" i="1"/>
  <c r="CX284" i="1"/>
  <c r="J284" i="1"/>
  <c r="CW284" i="1"/>
  <c r="BN284" i="1"/>
  <c r="BM284" i="1"/>
  <c r="DM1415" i="1"/>
  <c r="M1415" i="1"/>
  <c r="L1415" i="1"/>
  <c r="CY1415" i="1"/>
  <c r="R1415" i="1"/>
  <c r="CX1415" i="1"/>
  <c r="J1415" i="1"/>
  <c r="BN1415" i="1"/>
  <c r="BM1415" i="1"/>
  <c r="DM883" i="1"/>
  <c r="M883" i="1"/>
  <c r="L883" i="1"/>
  <c r="CY883" i="1"/>
  <c r="R883" i="1"/>
  <c r="CX883" i="1"/>
  <c r="J883" i="1"/>
  <c r="BN883" i="1"/>
  <c r="BM883" i="1"/>
  <c r="DM371" i="1"/>
  <c r="M371" i="1"/>
  <c r="L371" i="1"/>
  <c r="CY371" i="1"/>
  <c r="R371" i="1"/>
  <c r="CX371" i="1"/>
  <c r="J371" i="1"/>
  <c r="BN371" i="1"/>
  <c r="BM371" i="1"/>
  <c r="DM1285" i="1"/>
  <c r="DE1285" i="1"/>
  <c r="M1285" i="1"/>
  <c r="L1285" i="1"/>
  <c r="CY1285" i="1"/>
  <c r="Q1285" i="1"/>
  <c r="R1285" i="1"/>
  <c r="CX1285" i="1"/>
  <c r="J1285" i="1"/>
  <c r="CW1285" i="1"/>
  <c r="BN1285" i="1"/>
  <c r="BM1285" i="1"/>
  <c r="DM1280" i="1"/>
  <c r="DE1280" i="1"/>
  <c r="M1280" i="1"/>
  <c r="L1280" i="1"/>
  <c r="CY1280" i="1"/>
  <c r="Q1280" i="1"/>
  <c r="R1280" i="1"/>
  <c r="CX1280" i="1"/>
  <c r="J1280" i="1"/>
  <c r="CW1280" i="1"/>
  <c r="BN1280" i="1"/>
  <c r="BM1280" i="1"/>
  <c r="DM1276" i="1"/>
  <c r="DE1276" i="1"/>
  <c r="M1276" i="1"/>
  <c r="L1276" i="1"/>
  <c r="CY1276" i="1"/>
  <c r="Q1276" i="1"/>
  <c r="R1276" i="1"/>
  <c r="CX1276" i="1"/>
  <c r="J1276" i="1"/>
  <c r="CW1276" i="1"/>
  <c r="BN1276" i="1"/>
  <c r="BM1276" i="1"/>
  <c r="DM362" i="1"/>
  <c r="M362" i="1"/>
  <c r="L362" i="1"/>
  <c r="CY362" i="1"/>
  <c r="R362" i="1"/>
  <c r="CX362" i="1"/>
  <c r="J362" i="1"/>
  <c r="BN362" i="1"/>
  <c r="BM362" i="1"/>
  <c r="DM1291" i="1"/>
  <c r="DE1291" i="1"/>
  <c r="M1291" i="1"/>
  <c r="L1291" i="1"/>
  <c r="CY1291" i="1"/>
  <c r="Q1291" i="1"/>
  <c r="R1291" i="1"/>
  <c r="CX1291" i="1"/>
  <c r="J1291" i="1"/>
  <c r="CW1291" i="1"/>
  <c r="BN1291" i="1"/>
  <c r="BM1291" i="1"/>
  <c r="DM1290" i="1"/>
  <c r="DE1290" i="1"/>
  <c r="M1290" i="1"/>
  <c r="L1290" i="1"/>
  <c r="CY1290" i="1"/>
  <c r="Q1290" i="1"/>
  <c r="R1290" i="1"/>
  <c r="CX1290" i="1"/>
  <c r="J1290" i="1"/>
  <c r="CW1290" i="1"/>
  <c r="BN1290" i="1"/>
  <c r="BM1290" i="1"/>
  <c r="DM1287" i="1"/>
  <c r="DE1287" i="1"/>
  <c r="M1287" i="1"/>
  <c r="L1287" i="1"/>
  <c r="CY1287" i="1"/>
  <c r="Q1287" i="1"/>
  <c r="R1287" i="1"/>
  <c r="CX1287" i="1"/>
  <c r="J1287" i="1"/>
  <c r="CW1287" i="1"/>
  <c r="BN1287" i="1"/>
  <c r="BM1287" i="1"/>
  <c r="DM1286" i="1"/>
  <c r="DE1286" i="1"/>
  <c r="M1286" i="1"/>
  <c r="L1286" i="1"/>
  <c r="CY1286" i="1"/>
  <c r="Q1286" i="1"/>
  <c r="R1286" i="1"/>
  <c r="CX1286" i="1"/>
  <c r="J1286" i="1"/>
  <c r="CW1286" i="1"/>
  <c r="BN1286" i="1"/>
  <c r="BM1286" i="1"/>
  <c r="DM1284" i="1"/>
  <c r="DE1284" i="1"/>
  <c r="M1284" i="1"/>
  <c r="L1284" i="1"/>
  <c r="CY1284" i="1"/>
  <c r="Q1284" i="1"/>
  <c r="R1284" i="1"/>
  <c r="CX1284" i="1"/>
  <c r="J1284" i="1"/>
  <c r="CW1284" i="1"/>
  <c r="BN1284" i="1"/>
  <c r="BM1284" i="1"/>
  <c r="DM1278" i="1"/>
  <c r="DE1278" i="1"/>
  <c r="M1278" i="1"/>
  <c r="L1278" i="1"/>
  <c r="CY1278" i="1"/>
  <c r="Q1278" i="1"/>
  <c r="R1278" i="1"/>
  <c r="CX1278" i="1"/>
  <c r="J1278" i="1"/>
  <c r="CW1278" i="1"/>
  <c r="BN1278" i="1"/>
  <c r="BM1278" i="1"/>
  <c r="DM1277" i="1"/>
  <c r="DE1277" i="1"/>
  <c r="M1277" i="1"/>
  <c r="L1277" i="1"/>
  <c r="CY1277" i="1"/>
  <c r="Q1277" i="1"/>
  <c r="R1277" i="1"/>
  <c r="CX1277" i="1"/>
  <c r="J1277" i="1"/>
  <c r="CW1277" i="1"/>
  <c r="BN1277" i="1"/>
  <c r="BM1277" i="1"/>
  <c r="DM1275" i="1"/>
  <c r="DE1275" i="1"/>
  <c r="M1275" i="1"/>
  <c r="L1275" i="1"/>
  <c r="CY1275" i="1"/>
  <c r="Q1275" i="1"/>
  <c r="R1275" i="1"/>
  <c r="CX1275" i="1"/>
  <c r="J1275" i="1"/>
  <c r="CW1275" i="1"/>
  <c r="BN1275" i="1"/>
  <c r="BM1275" i="1"/>
  <c r="DM1274" i="1"/>
  <c r="DE1274" i="1"/>
  <c r="M1274" i="1"/>
  <c r="L1274" i="1"/>
  <c r="CY1274" i="1"/>
  <c r="Q1274" i="1"/>
  <c r="R1274" i="1"/>
  <c r="CX1274" i="1"/>
  <c r="J1274" i="1"/>
  <c r="CW1274" i="1"/>
  <c r="BN1274" i="1"/>
  <c r="BM1274" i="1"/>
  <c r="DM1273" i="1"/>
  <c r="DE1273" i="1"/>
  <c r="M1273" i="1"/>
  <c r="L1273" i="1"/>
  <c r="CY1273" i="1"/>
  <c r="Q1273" i="1"/>
  <c r="R1273" i="1"/>
  <c r="CX1273" i="1"/>
  <c r="J1273" i="1"/>
  <c r="CW1273" i="1"/>
  <c r="BN1273" i="1"/>
  <c r="BM1273" i="1"/>
  <c r="DM1272" i="1"/>
  <c r="DE1272" i="1"/>
  <c r="M1272" i="1"/>
  <c r="L1272" i="1"/>
  <c r="CY1272" i="1"/>
  <c r="Q1272" i="1"/>
  <c r="R1272" i="1"/>
  <c r="CX1272" i="1"/>
  <c r="J1272" i="1"/>
  <c r="CW1272" i="1"/>
  <c r="BN1272" i="1"/>
  <c r="BM1272" i="1"/>
  <c r="DM1183" i="1"/>
  <c r="DE1183" i="1"/>
  <c r="M1183" i="1"/>
  <c r="L1183" i="1"/>
  <c r="CY1183" i="1"/>
  <c r="Q1183" i="1"/>
  <c r="R1183" i="1"/>
  <c r="CX1183" i="1"/>
  <c r="J1183" i="1"/>
  <c r="CW1183" i="1"/>
  <c r="BN1183" i="1"/>
  <c r="BM1183" i="1"/>
  <c r="DM891" i="1"/>
  <c r="M891" i="1"/>
  <c r="L891" i="1"/>
  <c r="CY891" i="1"/>
  <c r="R891" i="1"/>
  <c r="CX891" i="1"/>
  <c r="J891" i="1"/>
  <c r="BN891" i="1"/>
  <c r="BM891" i="1"/>
  <c r="DM1306" i="1"/>
  <c r="M1306" i="1"/>
  <c r="L1306" i="1"/>
  <c r="CY1306" i="1"/>
  <c r="R1306" i="1"/>
  <c r="CX1306" i="1"/>
  <c r="J1306" i="1"/>
  <c r="BN1306" i="1"/>
  <c r="BM1306" i="1"/>
  <c r="DM1211" i="1"/>
  <c r="DE1211" i="1"/>
  <c r="M1211" i="1"/>
  <c r="L1211" i="1"/>
  <c r="CY1211" i="1"/>
  <c r="Q1211" i="1"/>
  <c r="R1211" i="1"/>
  <c r="CX1211" i="1"/>
  <c r="J1211" i="1"/>
  <c r="CW1211" i="1"/>
  <c r="BN1211" i="1"/>
  <c r="BM1211" i="1"/>
  <c r="DM233" i="1"/>
  <c r="DE233" i="1"/>
  <c r="M233" i="1"/>
  <c r="L233" i="1"/>
  <c r="CY233" i="1"/>
  <c r="Q233" i="1"/>
  <c r="R233" i="1"/>
  <c r="CX233" i="1"/>
  <c r="J233" i="1"/>
  <c r="CW233" i="1"/>
  <c r="BN233" i="1"/>
  <c r="BM233" i="1"/>
  <c r="DM1319" i="1"/>
  <c r="M1319" i="1"/>
  <c r="L1319" i="1"/>
  <c r="CY1319" i="1"/>
  <c r="R1319" i="1"/>
  <c r="CX1319" i="1"/>
  <c r="J1319" i="1"/>
  <c r="BN1319" i="1"/>
  <c r="BM1319" i="1"/>
  <c r="DM1305" i="1"/>
  <c r="M1305" i="1"/>
  <c r="L1305" i="1"/>
  <c r="CY1305" i="1"/>
  <c r="R1305" i="1"/>
  <c r="CX1305" i="1"/>
  <c r="J1305" i="1"/>
  <c r="BN1305" i="1"/>
  <c r="BM1305" i="1"/>
  <c r="DM1198" i="1"/>
  <c r="M1198" i="1"/>
  <c r="L1198" i="1"/>
  <c r="CY1198" i="1"/>
  <c r="R1198" i="1"/>
  <c r="CX1198" i="1"/>
  <c r="J1198" i="1"/>
  <c r="BN1198" i="1"/>
  <c r="BM1198" i="1"/>
  <c r="DM1207" i="1"/>
  <c r="M1207" i="1"/>
  <c r="L1207" i="1"/>
  <c r="CY1207" i="1"/>
  <c r="R1207" i="1"/>
  <c r="CX1207" i="1"/>
  <c r="J1207" i="1"/>
  <c r="BN1207" i="1"/>
  <c r="BM1207" i="1"/>
  <c r="DM1209" i="1"/>
  <c r="M1209" i="1"/>
  <c r="L1209" i="1"/>
  <c r="CY1209" i="1"/>
  <c r="R1209" i="1"/>
  <c r="CX1209" i="1"/>
  <c r="J1209" i="1"/>
  <c r="BN1209" i="1"/>
  <c r="BM1209" i="1"/>
  <c r="DM1232" i="1"/>
  <c r="DE1232" i="1"/>
  <c r="M1232" i="1"/>
  <c r="L1232" i="1"/>
  <c r="CY1232" i="1"/>
  <c r="Q1232" i="1"/>
  <c r="R1232" i="1"/>
  <c r="CX1232" i="1"/>
  <c r="J1232" i="1"/>
  <c r="CW1232" i="1"/>
  <c r="BN1232" i="1"/>
  <c r="BM1232" i="1"/>
  <c r="DM1214" i="1"/>
  <c r="DE1214" i="1"/>
  <c r="M1214" i="1"/>
  <c r="L1214" i="1"/>
  <c r="CY1214" i="1"/>
  <c r="Q1214" i="1"/>
  <c r="R1214" i="1"/>
  <c r="CX1214" i="1"/>
  <c r="J1214" i="1"/>
  <c r="CW1214" i="1"/>
  <c r="BN1214" i="1"/>
  <c r="BM1214" i="1"/>
  <c r="DM1212" i="1"/>
  <c r="DE1212" i="1"/>
  <c r="M1212" i="1"/>
  <c r="L1212" i="1"/>
  <c r="CY1212" i="1"/>
  <c r="Q1212" i="1"/>
  <c r="R1212" i="1"/>
  <c r="CX1212" i="1"/>
  <c r="J1212" i="1"/>
  <c r="CW1212" i="1"/>
  <c r="BN1212" i="1"/>
  <c r="BM1212" i="1"/>
  <c r="DM1466" i="1"/>
  <c r="DE1466" i="1"/>
  <c r="M1466" i="1"/>
  <c r="L1466" i="1"/>
  <c r="CY1466" i="1"/>
  <c r="Q1466" i="1"/>
  <c r="R1466" i="1"/>
  <c r="CX1466" i="1"/>
  <c r="J1466" i="1"/>
  <c r="CW1466" i="1"/>
  <c r="BN1466" i="1"/>
  <c r="BM1466" i="1"/>
  <c r="DM1464" i="1"/>
  <c r="DE1464" i="1"/>
  <c r="M1464" i="1"/>
  <c r="L1464" i="1"/>
  <c r="CY1464" i="1"/>
  <c r="Q1464" i="1"/>
  <c r="R1464" i="1"/>
  <c r="CX1464" i="1"/>
  <c r="J1464" i="1"/>
  <c r="CW1464" i="1"/>
  <c r="BN1464" i="1"/>
  <c r="BM1464" i="1"/>
  <c r="DM1463" i="1"/>
  <c r="DE1463" i="1"/>
  <c r="M1463" i="1"/>
  <c r="L1463" i="1"/>
  <c r="CY1463" i="1"/>
  <c r="Q1463" i="1"/>
  <c r="R1463" i="1"/>
  <c r="CX1463" i="1"/>
  <c r="J1463" i="1"/>
  <c r="CW1463" i="1"/>
  <c r="BN1463" i="1"/>
  <c r="BM1463" i="1"/>
  <c r="DM1199" i="1"/>
  <c r="DE1199" i="1"/>
  <c r="M1199" i="1"/>
  <c r="L1199" i="1"/>
  <c r="CY1199" i="1"/>
  <c r="Q1199" i="1"/>
  <c r="R1199" i="1"/>
  <c r="CX1199" i="1"/>
  <c r="J1199" i="1"/>
  <c r="CW1199" i="1"/>
  <c r="BN1199" i="1"/>
  <c r="BM1199" i="1"/>
  <c r="DM1206" i="1"/>
  <c r="M1206" i="1"/>
  <c r="L1206" i="1"/>
  <c r="CY1206" i="1"/>
  <c r="R1206" i="1"/>
  <c r="CX1206" i="1"/>
  <c r="J1206" i="1"/>
  <c r="BN1206" i="1"/>
  <c r="BM1206" i="1"/>
  <c r="DM1203" i="1"/>
  <c r="DE1203" i="1"/>
  <c r="M1203" i="1"/>
  <c r="L1203" i="1"/>
  <c r="CY1203" i="1"/>
  <c r="Q1203" i="1"/>
  <c r="R1203" i="1"/>
  <c r="CX1203" i="1"/>
  <c r="J1203" i="1"/>
  <c r="CW1203" i="1"/>
  <c r="BN1203" i="1"/>
  <c r="BM1203" i="1"/>
  <c r="DM1303" i="1"/>
  <c r="M1303" i="1"/>
  <c r="L1303" i="1"/>
  <c r="CY1303" i="1"/>
  <c r="R1303" i="1"/>
  <c r="CX1303" i="1"/>
  <c r="J1303" i="1"/>
  <c r="BN1303" i="1"/>
  <c r="BM1303" i="1"/>
  <c r="DM1304" i="1"/>
  <c r="M1304" i="1"/>
  <c r="L1304" i="1"/>
  <c r="CY1304" i="1"/>
  <c r="R1304" i="1"/>
  <c r="CX1304" i="1"/>
  <c r="J1304" i="1"/>
  <c r="BN1304" i="1"/>
  <c r="BM1304" i="1"/>
  <c r="DM235" i="1"/>
  <c r="DE235" i="1"/>
  <c r="M235" i="1"/>
  <c r="L235" i="1"/>
  <c r="CY235" i="1"/>
  <c r="Q235" i="1"/>
  <c r="R235" i="1"/>
  <c r="CX235" i="1"/>
  <c r="J235" i="1"/>
  <c r="CW235" i="1"/>
  <c r="BN235" i="1"/>
  <c r="BM235" i="1"/>
  <c r="DM240" i="1"/>
  <c r="DE240" i="1"/>
  <c r="M240" i="1"/>
  <c r="L240" i="1"/>
  <c r="CY240" i="1"/>
  <c r="Q240" i="1"/>
  <c r="R240" i="1"/>
  <c r="CX240" i="1"/>
  <c r="J240" i="1"/>
  <c r="CW240" i="1"/>
  <c r="BN240" i="1"/>
  <c r="BM240" i="1"/>
  <c r="DM1226" i="1"/>
  <c r="M1226" i="1"/>
  <c r="L1226" i="1"/>
  <c r="CY1226" i="1"/>
  <c r="R1226" i="1"/>
  <c r="CX1226" i="1"/>
  <c r="J1226" i="1"/>
  <c r="BN1226" i="1"/>
  <c r="BM1226" i="1"/>
  <c r="DM1205" i="1"/>
  <c r="DE1205" i="1"/>
  <c r="M1205" i="1"/>
  <c r="L1205" i="1"/>
  <c r="CY1205" i="1"/>
  <c r="Q1205" i="1"/>
  <c r="R1205" i="1"/>
  <c r="CX1205" i="1"/>
  <c r="J1205" i="1"/>
  <c r="CW1205" i="1"/>
  <c r="BN1205" i="1"/>
  <c r="BM1205" i="1"/>
  <c r="DM1238" i="1"/>
  <c r="M1238" i="1"/>
  <c r="L1238" i="1"/>
  <c r="CY1238" i="1"/>
  <c r="R1238" i="1"/>
  <c r="CX1238" i="1"/>
  <c r="J1238" i="1"/>
  <c r="BN1238" i="1"/>
  <c r="BM1238" i="1"/>
  <c r="DM1208" i="1"/>
  <c r="DE1208" i="1"/>
  <c r="M1208" i="1"/>
  <c r="L1208" i="1"/>
  <c r="CY1208" i="1"/>
  <c r="Q1208" i="1"/>
  <c r="R1208" i="1"/>
  <c r="CX1208" i="1"/>
  <c r="J1208" i="1"/>
  <c r="CW1208" i="1"/>
  <c r="BN1208" i="1"/>
  <c r="BM1208" i="1"/>
  <c r="DM241" i="1"/>
  <c r="DE241" i="1"/>
  <c r="M241" i="1"/>
  <c r="L241" i="1"/>
  <c r="CY241" i="1"/>
  <c r="Q241" i="1"/>
  <c r="R241" i="1"/>
  <c r="CX241" i="1"/>
  <c r="J241" i="1"/>
  <c r="CW241" i="1"/>
  <c r="BN241" i="1"/>
  <c r="BM241" i="1"/>
  <c r="DM237" i="1"/>
  <c r="DE237" i="1"/>
  <c r="M237" i="1"/>
  <c r="L237" i="1"/>
  <c r="CY237" i="1"/>
  <c r="Q237" i="1"/>
  <c r="R237" i="1"/>
  <c r="CX237" i="1"/>
  <c r="J237" i="1"/>
  <c r="CW237" i="1"/>
  <c r="BN237" i="1"/>
  <c r="BM237" i="1"/>
  <c r="DM236" i="1"/>
  <c r="DE236" i="1"/>
  <c r="M236" i="1"/>
  <c r="L236" i="1"/>
  <c r="CY236" i="1"/>
  <c r="Q236" i="1"/>
  <c r="R236" i="1"/>
  <c r="CX236" i="1"/>
  <c r="J236" i="1"/>
  <c r="CW236" i="1"/>
  <c r="BN236" i="1"/>
  <c r="BM236" i="1"/>
  <c r="DM238" i="1"/>
  <c r="DE238" i="1"/>
  <c r="M238" i="1"/>
  <c r="L238" i="1"/>
  <c r="CY238" i="1"/>
  <c r="Q238" i="1"/>
  <c r="R238" i="1"/>
  <c r="CX238" i="1"/>
  <c r="J238" i="1"/>
  <c r="CW238" i="1"/>
  <c r="BN238" i="1"/>
  <c r="BM238" i="1"/>
  <c r="DM1178" i="1"/>
  <c r="DE1178" i="1"/>
  <c r="M1178" i="1"/>
  <c r="L1178" i="1"/>
  <c r="CY1178" i="1"/>
  <c r="Q1178" i="1"/>
  <c r="R1178" i="1"/>
  <c r="CX1178" i="1"/>
  <c r="J1178" i="1"/>
  <c r="CW1178" i="1"/>
  <c r="BN1178" i="1"/>
  <c r="BM1178" i="1"/>
  <c r="DM443" i="1"/>
  <c r="M443" i="1"/>
  <c r="L443" i="1"/>
  <c r="CY443" i="1"/>
  <c r="R443" i="1"/>
  <c r="CX443" i="1"/>
  <c r="J443" i="1"/>
  <c r="BN443" i="1"/>
  <c r="BM443" i="1"/>
  <c r="DM1233" i="1"/>
  <c r="M1233" i="1"/>
  <c r="L1233" i="1"/>
  <c r="CY1233" i="1"/>
  <c r="R1233" i="1"/>
  <c r="CX1233" i="1"/>
  <c r="J1233" i="1"/>
  <c r="BN1233" i="1"/>
  <c r="BM1233" i="1"/>
  <c r="DM1195" i="1"/>
  <c r="M1195" i="1"/>
  <c r="L1195" i="1"/>
  <c r="CY1195" i="1"/>
  <c r="R1195" i="1"/>
  <c r="CX1195" i="1"/>
  <c r="J1195" i="1"/>
  <c r="BN1195" i="1"/>
  <c r="BM1195" i="1"/>
  <c r="DM1194" i="1"/>
  <c r="M1194" i="1"/>
  <c r="L1194" i="1"/>
  <c r="CY1194" i="1"/>
  <c r="R1194" i="1"/>
  <c r="CX1194" i="1"/>
  <c r="J1194" i="1"/>
  <c r="BN1194" i="1"/>
  <c r="BM1194" i="1"/>
  <c r="DM1269" i="1"/>
  <c r="M1269" i="1"/>
  <c r="L1269" i="1"/>
  <c r="CY1269" i="1"/>
  <c r="R1269" i="1"/>
  <c r="CX1269" i="1"/>
  <c r="J1269" i="1"/>
  <c r="BN1269" i="1"/>
  <c r="BM1269" i="1"/>
  <c r="DM1241" i="1"/>
  <c r="DE1241" i="1"/>
  <c r="M1241" i="1"/>
  <c r="L1241" i="1"/>
  <c r="CY1241" i="1"/>
  <c r="Q1241" i="1"/>
  <c r="R1241" i="1"/>
  <c r="CX1241" i="1"/>
  <c r="J1241" i="1"/>
  <c r="CW1241" i="1"/>
  <c r="BN1241" i="1"/>
  <c r="BM1241" i="1"/>
  <c r="DM1158" i="1"/>
  <c r="DE1158" i="1"/>
  <c r="M1158" i="1"/>
  <c r="L1158" i="1"/>
  <c r="CY1158" i="1"/>
  <c r="Q1158" i="1"/>
  <c r="R1158" i="1"/>
  <c r="CX1158" i="1"/>
  <c r="J1158" i="1"/>
  <c r="CW1158" i="1"/>
  <c r="BN1158" i="1"/>
  <c r="BM1158" i="1"/>
  <c r="DM1436" i="1"/>
  <c r="M1436" i="1"/>
  <c r="L1436" i="1"/>
  <c r="CY1436" i="1"/>
  <c r="R1436" i="1"/>
  <c r="CX1436" i="1"/>
  <c r="J1436" i="1"/>
  <c r="BN1436" i="1"/>
  <c r="BM1436" i="1"/>
  <c r="DM1264" i="1"/>
  <c r="M1264" i="1"/>
  <c r="L1264" i="1"/>
  <c r="CY1264" i="1"/>
  <c r="R1264" i="1"/>
  <c r="CX1264" i="1"/>
  <c r="J1264" i="1"/>
  <c r="BN1264" i="1"/>
  <c r="BM1264" i="1"/>
  <c r="DM1350" i="1"/>
  <c r="M1350" i="1"/>
  <c r="L1350" i="1"/>
  <c r="CY1350" i="1"/>
  <c r="R1350" i="1"/>
  <c r="CX1350" i="1"/>
  <c r="J1350" i="1"/>
  <c r="BN1350" i="1"/>
  <c r="BM1350" i="1"/>
  <c r="DM1138" i="1"/>
  <c r="M1138" i="1"/>
  <c r="L1138" i="1"/>
  <c r="CY1138" i="1"/>
  <c r="R1138" i="1"/>
  <c r="CX1138" i="1"/>
  <c r="J1138" i="1"/>
  <c r="BN1138" i="1"/>
  <c r="BM1138" i="1"/>
  <c r="DM1191" i="1"/>
  <c r="M1191" i="1"/>
  <c r="L1191" i="1"/>
  <c r="CY1191" i="1"/>
  <c r="R1191" i="1"/>
  <c r="CX1191" i="1"/>
  <c r="J1191" i="1"/>
  <c r="BN1191" i="1"/>
  <c r="BM1191" i="1"/>
  <c r="DM1000" i="1"/>
  <c r="M1000" i="1"/>
  <c r="L1000" i="1"/>
  <c r="CY1000" i="1"/>
  <c r="R1000" i="1"/>
  <c r="CX1000" i="1"/>
  <c r="J1000" i="1"/>
  <c r="BN1000" i="1"/>
  <c r="BM1000" i="1"/>
  <c r="DM1010" i="1"/>
  <c r="M1010" i="1"/>
  <c r="L1010" i="1"/>
  <c r="CY1010" i="1"/>
  <c r="R1010" i="1"/>
  <c r="CX1010" i="1"/>
  <c r="J1010" i="1"/>
  <c r="BN1010" i="1"/>
  <c r="BM1010" i="1"/>
  <c r="DM1159" i="1"/>
  <c r="DE1159" i="1"/>
  <c r="M1159" i="1"/>
  <c r="L1159" i="1"/>
  <c r="CY1159" i="1"/>
  <c r="Q1159" i="1"/>
  <c r="R1159" i="1"/>
  <c r="CX1159" i="1"/>
  <c r="J1159" i="1"/>
  <c r="CW1159" i="1"/>
  <c r="BN1159" i="1"/>
  <c r="BM1159" i="1"/>
  <c r="DM1265" i="1"/>
  <c r="M1265" i="1"/>
  <c r="L1265" i="1"/>
  <c r="CY1265" i="1"/>
  <c r="R1265" i="1"/>
  <c r="CX1265" i="1"/>
  <c r="J1265" i="1"/>
  <c r="BN1265" i="1"/>
  <c r="BM1265" i="1"/>
  <c r="DM1266" i="1"/>
  <c r="M1266" i="1"/>
  <c r="L1266" i="1"/>
  <c r="CY1266" i="1"/>
  <c r="R1266" i="1"/>
  <c r="CX1266" i="1"/>
  <c r="J1266" i="1"/>
  <c r="BN1266" i="1"/>
  <c r="BM1266" i="1"/>
  <c r="DE1021" i="1"/>
  <c r="M1021" i="1"/>
  <c r="L1021" i="1"/>
  <c r="CY1021" i="1"/>
  <c r="Q1021" i="1"/>
  <c r="R1021" i="1"/>
  <c r="CX1021" i="1"/>
  <c r="J1021" i="1"/>
  <c r="CW1021" i="1"/>
  <c r="BN1021" i="1"/>
  <c r="BM1021" i="1"/>
  <c r="DE1024" i="1"/>
  <c r="M1024" i="1"/>
  <c r="L1024" i="1"/>
  <c r="CY1024" i="1"/>
  <c r="Q1024" i="1"/>
  <c r="R1024" i="1"/>
  <c r="CX1024" i="1"/>
  <c r="J1024" i="1"/>
  <c r="CW1024" i="1"/>
  <c r="BN1024" i="1"/>
  <c r="BM1024" i="1"/>
  <c r="DM1038" i="1"/>
  <c r="DE1038" i="1"/>
  <c r="M1038" i="1"/>
  <c r="L1038" i="1"/>
  <c r="CY1038" i="1"/>
  <c r="Q1038" i="1"/>
  <c r="R1038" i="1"/>
  <c r="CX1038" i="1"/>
  <c r="J1038" i="1"/>
  <c r="CW1038" i="1"/>
  <c r="BN1038" i="1"/>
  <c r="BM1038" i="1"/>
  <c r="DM1071" i="1"/>
  <c r="DE1071" i="1"/>
  <c r="M1071" i="1"/>
  <c r="L1071" i="1"/>
  <c r="CY1071" i="1"/>
  <c r="Q1071" i="1"/>
  <c r="R1071" i="1"/>
  <c r="CX1071" i="1"/>
  <c r="J1071" i="1"/>
  <c r="CW1071" i="1"/>
  <c r="BN1071" i="1"/>
  <c r="BM1071" i="1"/>
  <c r="DE1120" i="1"/>
  <c r="M1120" i="1"/>
  <c r="L1120" i="1"/>
  <c r="CY1120" i="1"/>
  <c r="Q1120" i="1"/>
  <c r="R1120" i="1"/>
  <c r="CX1120" i="1"/>
  <c r="J1120" i="1"/>
  <c r="CW1120" i="1"/>
  <c r="BN1120" i="1"/>
  <c r="BM1120" i="1"/>
  <c r="DM1122" i="1"/>
  <c r="DE1122" i="1"/>
  <c r="M1122" i="1"/>
  <c r="L1122" i="1"/>
  <c r="CY1122" i="1"/>
  <c r="Q1122" i="1"/>
  <c r="R1122" i="1"/>
  <c r="CX1122" i="1"/>
  <c r="J1122" i="1"/>
  <c r="CW1122" i="1"/>
  <c r="BN1122" i="1"/>
  <c r="BM1122" i="1"/>
  <c r="DM242" i="1"/>
  <c r="DE242" i="1"/>
  <c r="M242" i="1"/>
  <c r="L242" i="1"/>
  <c r="CY242" i="1"/>
  <c r="Q242" i="1"/>
  <c r="R242" i="1"/>
  <c r="CX242" i="1"/>
  <c r="J242" i="1"/>
  <c r="CW242" i="1"/>
  <c r="BN242" i="1"/>
  <c r="BM242" i="1"/>
  <c r="DM1139" i="1"/>
  <c r="DE1139" i="1"/>
  <c r="M1139" i="1"/>
  <c r="L1139" i="1"/>
  <c r="CY1139" i="1"/>
  <c r="Q1139" i="1"/>
  <c r="R1139" i="1"/>
  <c r="CX1139" i="1"/>
  <c r="J1139" i="1"/>
  <c r="CW1139" i="1"/>
  <c r="BN1139" i="1"/>
  <c r="BM1139" i="1"/>
  <c r="DM1140" i="1"/>
  <c r="DE1140" i="1"/>
  <c r="M1140" i="1"/>
  <c r="L1140" i="1"/>
  <c r="CY1140" i="1"/>
  <c r="Q1140" i="1"/>
  <c r="R1140" i="1"/>
  <c r="CX1140" i="1"/>
  <c r="J1140" i="1"/>
  <c r="CW1140" i="1"/>
  <c r="BN1140" i="1"/>
  <c r="BM1140" i="1"/>
  <c r="DM1141" i="1"/>
  <c r="DE1141" i="1"/>
  <c r="M1141" i="1"/>
  <c r="L1141" i="1"/>
  <c r="CY1141" i="1"/>
  <c r="Q1141" i="1"/>
  <c r="R1141" i="1"/>
  <c r="CX1141" i="1"/>
  <c r="J1141" i="1"/>
  <c r="CW1141" i="1"/>
  <c r="BN1141" i="1"/>
  <c r="BM1141" i="1"/>
  <c r="DM1142" i="1"/>
  <c r="DE1142" i="1"/>
  <c r="M1142" i="1"/>
  <c r="L1142" i="1"/>
  <c r="CY1142" i="1"/>
  <c r="Q1142" i="1"/>
  <c r="R1142" i="1"/>
  <c r="CX1142" i="1"/>
  <c r="J1142" i="1"/>
  <c r="CW1142" i="1"/>
  <c r="BN1142" i="1"/>
  <c r="BM1142" i="1"/>
  <c r="DM1179" i="1"/>
  <c r="DE1179" i="1"/>
  <c r="M1179" i="1"/>
  <c r="L1179" i="1"/>
  <c r="CY1179" i="1"/>
  <c r="Q1179" i="1"/>
  <c r="R1179" i="1"/>
  <c r="CX1179" i="1"/>
  <c r="J1179" i="1"/>
  <c r="CW1179" i="1"/>
  <c r="BN1179" i="1"/>
  <c r="BM1179" i="1"/>
  <c r="DM23" i="1"/>
  <c r="DE23" i="1"/>
  <c r="M23" i="1"/>
  <c r="L23" i="1"/>
  <c r="CY23" i="1"/>
  <c r="Q23" i="1"/>
  <c r="R23" i="1"/>
  <c r="CX23" i="1"/>
  <c r="J23" i="1"/>
  <c r="CW23" i="1"/>
  <c r="BN23" i="1"/>
  <c r="BM23" i="1"/>
  <c r="DM1339" i="1"/>
  <c r="M1339" i="1"/>
  <c r="L1339" i="1"/>
  <c r="CY1339" i="1"/>
  <c r="R1339" i="1"/>
  <c r="CX1339" i="1"/>
  <c r="J1339" i="1"/>
  <c r="BN1339" i="1"/>
  <c r="BM1339" i="1"/>
  <c r="DM1351" i="1"/>
  <c r="M1351" i="1"/>
  <c r="L1351" i="1"/>
  <c r="CY1351" i="1"/>
  <c r="R1351" i="1"/>
  <c r="CX1351" i="1"/>
  <c r="J1351" i="1"/>
  <c r="BN1351" i="1"/>
  <c r="BM1351" i="1"/>
  <c r="DM1345" i="1"/>
  <c r="M1345" i="1"/>
  <c r="L1345" i="1"/>
  <c r="CY1345" i="1"/>
  <c r="R1345" i="1"/>
  <c r="CX1345" i="1"/>
  <c r="J1345" i="1"/>
  <c r="BN1345" i="1"/>
  <c r="BM1345" i="1"/>
  <c r="DM1336" i="1"/>
  <c r="M1336" i="1"/>
  <c r="L1336" i="1"/>
  <c r="CY1336" i="1"/>
  <c r="R1336" i="1"/>
  <c r="CX1336" i="1"/>
  <c r="J1336" i="1"/>
  <c r="BN1336" i="1"/>
  <c r="BM1336" i="1"/>
  <c r="DM1244" i="1"/>
  <c r="M1244" i="1"/>
  <c r="L1244" i="1"/>
  <c r="CY1244" i="1"/>
  <c r="R1244" i="1"/>
  <c r="CX1244" i="1"/>
  <c r="J1244" i="1"/>
  <c r="BN1244" i="1"/>
  <c r="BM1244" i="1"/>
  <c r="DM1328" i="1"/>
  <c r="DE1328" i="1"/>
  <c r="M1328" i="1"/>
  <c r="L1328" i="1"/>
  <c r="CY1328" i="1"/>
  <c r="Q1328" i="1"/>
  <c r="R1328" i="1"/>
  <c r="CX1328" i="1"/>
  <c r="J1328" i="1"/>
  <c r="CW1328" i="1"/>
  <c r="BN1328" i="1"/>
  <c r="BM1328" i="1"/>
  <c r="DE1348" i="1"/>
  <c r="M1348" i="1"/>
  <c r="L1348" i="1"/>
  <c r="CY1348" i="1"/>
  <c r="Q1348" i="1"/>
  <c r="R1348" i="1"/>
  <c r="CX1348" i="1"/>
  <c r="J1348" i="1"/>
  <c r="CW1348" i="1"/>
  <c r="BN1348" i="1"/>
  <c r="BM1348" i="1"/>
  <c r="DM1242" i="1"/>
  <c r="M1242" i="1"/>
  <c r="L1242" i="1"/>
  <c r="CY1242" i="1"/>
  <c r="R1242" i="1"/>
  <c r="CX1242" i="1"/>
  <c r="J1242" i="1"/>
  <c r="BN1242" i="1"/>
  <c r="BM1242" i="1"/>
  <c r="DM1077" i="1"/>
  <c r="M1077" i="1"/>
  <c r="L1077" i="1"/>
  <c r="CY1077" i="1"/>
  <c r="R1077" i="1"/>
  <c r="CX1077" i="1"/>
  <c r="J1077" i="1"/>
  <c r="BN1077" i="1"/>
  <c r="BM1077" i="1"/>
  <c r="DM470" i="1"/>
  <c r="M470" i="1"/>
  <c r="L470" i="1"/>
  <c r="CY470" i="1"/>
  <c r="R470" i="1"/>
  <c r="CX470" i="1"/>
  <c r="J470" i="1"/>
  <c r="BN470" i="1"/>
  <c r="BM470" i="1"/>
  <c r="DM363" i="1"/>
  <c r="M363" i="1"/>
  <c r="L363" i="1"/>
  <c r="CY363" i="1"/>
  <c r="R363" i="1"/>
  <c r="CX363" i="1"/>
  <c r="J363" i="1"/>
  <c r="BN363" i="1"/>
  <c r="BM363" i="1"/>
  <c r="DM401" i="1"/>
  <c r="M401" i="1"/>
  <c r="L401" i="1"/>
  <c r="CY401" i="1"/>
  <c r="R401" i="1"/>
  <c r="CX401" i="1"/>
  <c r="J401" i="1"/>
  <c r="BN401" i="1"/>
  <c r="BM401" i="1"/>
  <c r="DM388" i="1"/>
  <c r="M388" i="1"/>
  <c r="L388" i="1"/>
  <c r="CY388" i="1"/>
  <c r="R388" i="1"/>
  <c r="CX388" i="1"/>
  <c r="J388" i="1"/>
  <c r="BN388" i="1"/>
  <c r="BM388" i="1"/>
  <c r="DM1027" i="1"/>
  <c r="DE1027" i="1"/>
  <c r="M1027" i="1"/>
  <c r="L1027" i="1"/>
  <c r="CY1027" i="1"/>
  <c r="Q1027" i="1"/>
  <c r="R1027" i="1"/>
  <c r="CX1027" i="1"/>
  <c r="J1027" i="1"/>
  <c r="CW1027" i="1"/>
  <c r="BN1027" i="1"/>
  <c r="BM1027" i="1"/>
  <c r="DM1440" i="1"/>
  <c r="M1440" i="1"/>
  <c r="L1440" i="1"/>
  <c r="CY1440" i="1"/>
  <c r="R1440" i="1"/>
  <c r="CX1440" i="1"/>
  <c r="J1440" i="1"/>
  <c r="BN1440" i="1"/>
  <c r="BM1440" i="1"/>
  <c r="DM374" i="1"/>
  <c r="M374" i="1"/>
  <c r="L374" i="1"/>
  <c r="CY374" i="1"/>
  <c r="R374" i="1"/>
  <c r="CX374" i="1"/>
  <c r="J374" i="1"/>
  <c r="BN374" i="1"/>
  <c r="BM374" i="1"/>
  <c r="DM533" i="1"/>
  <c r="M533" i="1"/>
  <c r="L533" i="1"/>
  <c r="CY533" i="1"/>
  <c r="R533" i="1"/>
  <c r="CX533" i="1"/>
  <c r="J533" i="1"/>
  <c r="BN533" i="1"/>
  <c r="BM533" i="1"/>
  <c r="DM994" i="1"/>
  <c r="DE994" i="1"/>
  <c r="M994" i="1"/>
  <c r="L994" i="1"/>
  <c r="CY994" i="1"/>
  <c r="Q994" i="1"/>
  <c r="R994" i="1"/>
  <c r="CX994" i="1"/>
  <c r="J994" i="1"/>
  <c r="CW994" i="1"/>
  <c r="BN994" i="1"/>
  <c r="BM994" i="1"/>
  <c r="DM428" i="1"/>
  <c r="M428" i="1"/>
  <c r="L428" i="1"/>
  <c r="CY428" i="1"/>
  <c r="R428" i="1"/>
  <c r="CX428" i="1"/>
  <c r="J428" i="1"/>
  <c r="BN428" i="1"/>
  <c r="BM428" i="1"/>
  <c r="DM1408" i="1"/>
  <c r="M1408" i="1"/>
  <c r="L1408" i="1"/>
  <c r="CY1408" i="1"/>
  <c r="R1408" i="1"/>
  <c r="CX1408" i="1"/>
  <c r="J1408" i="1"/>
  <c r="BN1408" i="1"/>
  <c r="BM1408" i="1"/>
  <c r="DM1330" i="1"/>
  <c r="M1330" i="1"/>
  <c r="L1330" i="1"/>
  <c r="CY1330" i="1"/>
  <c r="R1330" i="1"/>
  <c r="CX1330" i="1"/>
  <c r="J1330" i="1"/>
  <c r="BN1330" i="1"/>
  <c r="BM1330" i="1"/>
  <c r="DM1329" i="1"/>
  <c r="M1329" i="1"/>
  <c r="L1329" i="1"/>
  <c r="CY1329" i="1"/>
  <c r="R1329" i="1"/>
  <c r="CX1329" i="1"/>
  <c r="J1329" i="1"/>
  <c r="BN1329" i="1"/>
  <c r="BM1329" i="1"/>
  <c r="DM1249" i="1"/>
  <c r="M1249" i="1"/>
  <c r="L1249" i="1"/>
  <c r="CY1249" i="1"/>
  <c r="R1249" i="1"/>
  <c r="CX1249" i="1"/>
  <c r="J1249" i="1"/>
  <c r="BN1249" i="1"/>
  <c r="BM1249" i="1"/>
  <c r="DM1312" i="1"/>
  <c r="M1312" i="1"/>
  <c r="L1312" i="1"/>
  <c r="CY1312" i="1"/>
  <c r="R1312" i="1"/>
  <c r="CX1312" i="1"/>
  <c r="J1312" i="1"/>
  <c r="BN1312" i="1"/>
  <c r="BM1312" i="1"/>
  <c r="DM1417" i="1"/>
  <c r="M1417" i="1"/>
  <c r="L1417" i="1"/>
  <c r="CY1417" i="1"/>
  <c r="R1417" i="1"/>
  <c r="CX1417" i="1"/>
  <c r="J1417" i="1"/>
  <c r="BN1417" i="1"/>
  <c r="BM1417" i="1"/>
  <c r="DM1127" i="1"/>
  <c r="M1127" i="1"/>
  <c r="L1127" i="1"/>
  <c r="CY1127" i="1"/>
  <c r="R1127" i="1"/>
  <c r="CX1127" i="1"/>
  <c r="J1127" i="1"/>
  <c r="BN1127" i="1"/>
  <c r="BM1127" i="1"/>
  <c r="DM1245" i="1"/>
  <c r="M1245" i="1"/>
  <c r="L1245" i="1"/>
  <c r="CY1245" i="1"/>
  <c r="R1245" i="1"/>
  <c r="CX1245" i="1"/>
  <c r="J1245" i="1"/>
  <c r="BN1245" i="1"/>
  <c r="BM1245" i="1"/>
  <c r="DM1160" i="1"/>
  <c r="M1160" i="1"/>
  <c r="L1160" i="1"/>
  <c r="CY1160" i="1"/>
  <c r="R1160" i="1"/>
  <c r="CX1160" i="1"/>
  <c r="J1160" i="1"/>
  <c r="BN1160" i="1"/>
  <c r="BM1160" i="1"/>
  <c r="DM1135" i="1"/>
  <c r="M1135" i="1"/>
  <c r="L1135" i="1"/>
  <c r="CY1135" i="1"/>
  <c r="R1135" i="1"/>
  <c r="CX1135" i="1"/>
  <c r="J1135" i="1"/>
  <c r="BN1135" i="1"/>
  <c r="BM1135" i="1"/>
  <c r="DM1125" i="1"/>
  <c r="M1125" i="1"/>
  <c r="L1125" i="1"/>
  <c r="CY1125" i="1"/>
  <c r="R1125" i="1"/>
  <c r="CX1125" i="1"/>
  <c r="J1125" i="1"/>
  <c r="BN1125" i="1"/>
  <c r="BM1125" i="1"/>
  <c r="DM1119" i="1"/>
  <c r="M1119" i="1"/>
  <c r="L1119" i="1"/>
  <c r="CY1119" i="1"/>
  <c r="R1119" i="1"/>
  <c r="CX1119" i="1"/>
  <c r="J1119" i="1"/>
  <c r="BN1119" i="1"/>
  <c r="BM1119" i="1"/>
  <c r="DM1067" i="1"/>
  <c r="M1067" i="1"/>
  <c r="L1067" i="1"/>
  <c r="CY1067" i="1"/>
  <c r="R1067" i="1"/>
  <c r="CX1067" i="1"/>
  <c r="J1067" i="1"/>
  <c r="BN1067" i="1"/>
  <c r="BM1067" i="1"/>
  <c r="DM1065" i="1"/>
  <c r="M1065" i="1"/>
  <c r="L1065" i="1"/>
  <c r="CY1065" i="1"/>
  <c r="R1065" i="1"/>
  <c r="CX1065" i="1"/>
  <c r="J1065" i="1"/>
  <c r="BN1065" i="1"/>
  <c r="BM1065" i="1"/>
  <c r="DM564" i="1"/>
  <c r="M564" i="1"/>
  <c r="L564" i="1"/>
  <c r="CY564" i="1"/>
  <c r="R564" i="1"/>
  <c r="CX564" i="1"/>
  <c r="J564" i="1"/>
  <c r="BN564" i="1"/>
  <c r="BM564" i="1"/>
  <c r="DM521" i="1"/>
  <c r="M521" i="1"/>
  <c r="L521" i="1"/>
  <c r="CY521" i="1"/>
  <c r="R521" i="1"/>
  <c r="CX521" i="1"/>
  <c r="J521" i="1"/>
  <c r="BN521" i="1"/>
  <c r="BM521" i="1"/>
  <c r="DM507" i="1"/>
  <c r="M507" i="1"/>
  <c r="L507" i="1"/>
  <c r="CY507" i="1"/>
  <c r="R507" i="1"/>
  <c r="CX507" i="1"/>
  <c r="J507" i="1"/>
  <c r="BN507" i="1"/>
  <c r="BM507" i="1"/>
  <c r="DM461" i="1"/>
  <c r="M461" i="1"/>
  <c r="L461" i="1"/>
  <c r="CY461" i="1"/>
  <c r="R461" i="1"/>
  <c r="CX461" i="1"/>
  <c r="J461" i="1"/>
  <c r="BN461" i="1"/>
  <c r="BM461" i="1"/>
  <c r="DM479" i="1"/>
  <c r="DE479" i="1"/>
  <c r="M479" i="1"/>
  <c r="L479" i="1"/>
  <c r="CY479" i="1"/>
  <c r="Q479" i="1"/>
  <c r="R479" i="1"/>
  <c r="CX479" i="1"/>
  <c r="J479" i="1"/>
  <c r="CW479" i="1"/>
  <c r="BN479" i="1"/>
  <c r="BM479" i="1"/>
  <c r="DM1398" i="1"/>
  <c r="DE1398" i="1"/>
  <c r="M1398" i="1"/>
  <c r="L1398" i="1"/>
  <c r="CY1398" i="1"/>
  <c r="Q1398" i="1"/>
  <c r="R1398" i="1"/>
  <c r="CX1398" i="1"/>
  <c r="J1398" i="1"/>
  <c r="CW1398" i="1"/>
  <c r="BN1398" i="1"/>
  <c r="BM1398" i="1"/>
  <c r="DM1257" i="1"/>
  <c r="DE1257" i="1"/>
  <c r="M1257" i="1"/>
  <c r="L1257" i="1"/>
  <c r="CY1257" i="1"/>
  <c r="Q1257" i="1"/>
  <c r="R1257" i="1"/>
  <c r="CX1257" i="1"/>
  <c r="J1257" i="1"/>
  <c r="CW1257" i="1"/>
  <c r="BN1257" i="1"/>
  <c r="BM1257" i="1"/>
  <c r="DE985" i="1"/>
  <c r="M985" i="1"/>
  <c r="L985" i="1"/>
  <c r="CY985" i="1"/>
  <c r="Q985" i="1"/>
  <c r="R985" i="1"/>
  <c r="CX985" i="1"/>
  <c r="J985" i="1"/>
  <c r="CW985" i="1"/>
  <c r="BN985" i="1"/>
  <c r="BM985" i="1"/>
  <c r="DM991" i="1"/>
  <c r="M991" i="1"/>
  <c r="L991" i="1"/>
  <c r="CY991" i="1"/>
  <c r="R991" i="1"/>
  <c r="CX991" i="1"/>
  <c r="J991" i="1"/>
  <c r="BN991" i="1"/>
  <c r="BM991" i="1"/>
  <c r="DE986" i="1"/>
  <c r="M986" i="1"/>
  <c r="L986" i="1"/>
  <c r="CY986" i="1"/>
  <c r="Q986" i="1"/>
  <c r="R986" i="1"/>
  <c r="CX986" i="1"/>
  <c r="J986" i="1"/>
  <c r="CW986" i="1"/>
  <c r="BN986" i="1"/>
  <c r="BM986" i="1"/>
  <c r="DM303" i="1"/>
  <c r="M303" i="1"/>
  <c r="L303" i="1"/>
  <c r="CY303" i="1"/>
  <c r="R303" i="1"/>
  <c r="CX303" i="1"/>
  <c r="J303" i="1"/>
  <c r="BN303" i="1"/>
  <c r="BM303" i="1"/>
  <c r="DM300" i="1"/>
  <c r="DE300" i="1"/>
  <c r="M300" i="1"/>
  <c r="L300" i="1"/>
  <c r="CY300" i="1"/>
  <c r="Q300" i="1"/>
  <c r="R300" i="1"/>
  <c r="CX300" i="1"/>
  <c r="J300" i="1"/>
  <c r="CW300" i="1"/>
  <c r="BN300" i="1"/>
  <c r="BM300" i="1"/>
  <c r="DM1430" i="1"/>
  <c r="M1430" i="1"/>
  <c r="L1430" i="1"/>
  <c r="CY1430" i="1"/>
  <c r="R1430" i="1"/>
  <c r="CX1430" i="1"/>
  <c r="J1430" i="1"/>
  <c r="BN1430" i="1"/>
  <c r="BM1430" i="1"/>
  <c r="DE990" i="1"/>
  <c r="M990" i="1"/>
  <c r="L990" i="1"/>
  <c r="CY990" i="1"/>
  <c r="Q990" i="1"/>
  <c r="R990" i="1"/>
  <c r="CX990" i="1"/>
  <c r="J990" i="1"/>
  <c r="CW990" i="1"/>
  <c r="BN990" i="1"/>
  <c r="BM990" i="1"/>
  <c r="DM1457" i="1"/>
  <c r="DE1457" i="1"/>
  <c r="M1457" i="1"/>
  <c r="L1457" i="1"/>
  <c r="CY1457" i="1"/>
  <c r="Q1457" i="1"/>
  <c r="R1457" i="1"/>
  <c r="CX1457" i="1"/>
  <c r="J1457" i="1"/>
  <c r="CW1457" i="1"/>
  <c r="BN1457" i="1"/>
  <c r="BM1457" i="1"/>
  <c r="DM1427" i="1"/>
  <c r="DE1427" i="1"/>
  <c r="M1427" i="1"/>
  <c r="L1427" i="1"/>
  <c r="CY1427" i="1"/>
  <c r="Q1427" i="1"/>
  <c r="R1427" i="1"/>
  <c r="CX1427" i="1"/>
  <c r="J1427" i="1"/>
  <c r="CW1427" i="1"/>
  <c r="BN1427" i="1"/>
  <c r="BM1427" i="1"/>
  <c r="DM315" i="1"/>
  <c r="DE315" i="1"/>
  <c r="M315" i="1"/>
  <c r="L315" i="1"/>
  <c r="CY315" i="1"/>
  <c r="Q315" i="1"/>
  <c r="R315" i="1"/>
  <c r="CX315" i="1"/>
  <c r="J315" i="1"/>
  <c r="CW315" i="1"/>
  <c r="BN315" i="1"/>
  <c r="BM315" i="1"/>
  <c r="DM1410" i="1"/>
  <c r="M1410" i="1"/>
  <c r="L1410" i="1"/>
  <c r="CY1410" i="1"/>
  <c r="R1410" i="1"/>
  <c r="CX1410" i="1"/>
  <c r="J1410" i="1"/>
  <c r="BN1410" i="1"/>
  <c r="BM1410" i="1"/>
  <c r="DM1155" i="1"/>
  <c r="DE1155" i="1"/>
  <c r="M1155" i="1"/>
  <c r="L1155" i="1"/>
  <c r="CY1155" i="1"/>
  <c r="Q1155" i="1"/>
  <c r="R1155" i="1"/>
  <c r="CX1155" i="1"/>
  <c r="J1155" i="1"/>
  <c r="CW1155" i="1"/>
  <c r="BN1155" i="1"/>
  <c r="BM1155" i="1"/>
  <c r="DM1154" i="1"/>
  <c r="DE1154" i="1"/>
  <c r="M1154" i="1"/>
  <c r="L1154" i="1"/>
  <c r="CY1154" i="1"/>
  <c r="Q1154" i="1"/>
  <c r="R1154" i="1"/>
  <c r="CX1154" i="1"/>
  <c r="J1154" i="1"/>
  <c r="CW1154" i="1"/>
  <c r="BN1154" i="1"/>
  <c r="BM1154" i="1"/>
  <c r="DM1149" i="1"/>
  <c r="DE1149" i="1"/>
  <c r="M1149" i="1"/>
  <c r="L1149" i="1"/>
  <c r="CY1149" i="1"/>
  <c r="Q1149" i="1"/>
  <c r="R1149" i="1"/>
  <c r="CX1149" i="1"/>
  <c r="J1149" i="1"/>
  <c r="CW1149" i="1"/>
  <c r="BN1149" i="1"/>
  <c r="BM1149" i="1"/>
  <c r="DM1151" i="1"/>
  <c r="DE1151" i="1"/>
  <c r="M1151" i="1"/>
  <c r="L1151" i="1"/>
  <c r="CY1151" i="1"/>
  <c r="Q1151" i="1"/>
  <c r="R1151" i="1"/>
  <c r="CX1151" i="1"/>
  <c r="J1151" i="1"/>
  <c r="CW1151" i="1"/>
  <c r="BN1151" i="1"/>
  <c r="BM1151" i="1"/>
  <c r="DM1373" i="1"/>
  <c r="DE1373" i="1"/>
  <c r="M1373" i="1"/>
  <c r="L1373" i="1"/>
  <c r="CY1373" i="1"/>
  <c r="Q1373" i="1"/>
  <c r="R1373" i="1"/>
  <c r="CX1373" i="1"/>
  <c r="J1373" i="1"/>
  <c r="CW1373" i="1"/>
  <c r="BN1373" i="1"/>
  <c r="BM1373" i="1"/>
  <c r="DM1388" i="1"/>
  <c r="M1388" i="1"/>
  <c r="L1388" i="1"/>
  <c r="CY1388" i="1"/>
  <c r="R1388" i="1"/>
  <c r="CX1388" i="1"/>
  <c r="J1388" i="1"/>
  <c r="BN1388" i="1"/>
  <c r="BM1388" i="1"/>
  <c r="DM1153" i="1"/>
  <c r="DE1153" i="1"/>
  <c r="M1153" i="1"/>
  <c r="L1153" i="1"/>
  <c r="CY1153" i="1"/>
  <c r="Q1153" i="1"/>
  <c r="R1153" i="1"/>
  <c r="CX1153" i="1"/>
  <c r="J1153" i="1"/>
  <c r="CW1153" i="1"/>
  <c r="BN1153" i="1"/>
  <c r="BM1153" i="1"/>
  <c r="DM1152" i="1"/>
  <c r="DE1152" i="1"/>
  <c r="M1152" i="1"/>
  <c r="L1152" i="1"/>
  <c r="CY1152" i="1"/>
  <c r="Q1152" i="1"/>
  <c r="R1152" i="1"/>
  <c r="CX1152" i="1"/>
  <c r="J1152" i="1"/>
  <c r="CW1152" i="1"/>
  <c r="BN1152" i="1"/>
  <c r="BM1152" i="1"/>
  <c r="DM1369" i="1"/>
  <c r="M1369" i="1"/>
  <c r="L1369" i="1"/>
  <c r="CY1369" i="1"/>
  <c r="R1369" i="1"/>
  <c r="CX1369" i="1"/>
  <c r="J1369" i="1"/>
  <c r="BN1369" i="1"/>
  <c r="BM1369" i="1"/>
  <c r="DM1157" i="1"/>
  <c r="DE1157" i="1"/>
  <c r="M1157" i="1"/>
  <c r="L1157" i="1"/>
  <c r="CY1157" i="1"/>
  <c r="Q1157" i="1"/>
  <c r="R1157" i="1"/>
  <c r="CX1157" i="1"/>
  <c r="J1157" i="1"/>
  <c r="CW1157" i="1"/>
  <c r="BN1157" i="1"/>
  <c r="BM1157" i="1"/>
  <c r="DM1036" i="1"/>
  <c r="DE1036" i="1"/>
  <c r="M1036" i="1"/>
  <c r="L1036" i="1"/>
  <c r="CY1036" i="1"/>
  <c r="Q1036" i="1"/>
  <c r="R1036" i="1"/>
  <c r="CX1036" i="1"/>
  <c r="J1036" i="1"/>
  <c r="CW1036" i="1"/>
  <c r="BN1036" i="1"/>
  <c r="BM1036" i="1"/>
  <c r="DM1037" i="1"/>
  <c r="DE1037" i="1"/>
  <c r="M1037" i="1"/>
  <c r="L1037" i="1"/>
  <c r="CY1037" i="1"/>
  <c r="Q1037" i="1"/>
  <c r="R1037" i="1"/>
  <c r="CX1037" i="1"/>
  <c r="J1037" i="1"/>
  <c r="CW1037" i="1"/>
  <c r="BN1037" i="1"/>
  <c r="BM1037" i="1"/>
  <c r="DM1041" i="1"/>
  <c r="DE1041" i="1"/>
  <c r="M1041" i="1"/>
  <c r="L1041" i="1"/>
  <c r="CY1041" i="1"/>
  <c r="Q1041" i="1"/>
  <c r="R1041" i="1"/>
  <c r="CX1041" i="1"/>
  <c r="J1041" i="1"/>
  <c r="CW1041" i="1"/>
  <c r="BN1041" i="1"/>
  <c r="BM1041" i="1"/>
  <c r="DM1045" i="1"/>
  <c r="DE1045" i="1"/>
  <c r="M1045" i="1"/>
  <c r="L1045" i="1"/>
  <c r="CY1045" i="1"/>
  <c r="Q1045" i="1"/>
  <c r="R1045" i="1"/>
  <c r="CX1045" i="1"/>
  <c r="J1045" i="1"/>
  <c r="CW1045" i="1"/>
  <c r="BN1045" i="1"/>
  <c r="BM1045" i="1"/>
  <c r="DM1043" i="1"/>
  <c r="DE1043" i="1"/>
  <c r="M1043" i="1"/>
  <c r="L1043" i="1"/>
  <c r="CY1043" i="1"/>
  <c r="Q1043" i="1"/>
  <c r="R1043" i="1"/>
  <c r="CX1043" i="1"/>
  <c r="J1043" i="1"/>
  <c r="CW1043" i="1"/>
  <c r="BN1043" i="1"/>
  <c r="BM1043" i="1"/>
  <c r="DM1060" i="1"/>
  <c r="DE1060" i="1"/>
  <c r="M1060" i="1"/>
  <c r="L1060" i="1"/>
  <c r="CY1060" i="1"/>
  <c r="Q1060" i="1"/>
  <c r="R1060" i="1"/>
  <c r="CX1060" i="1"/>
  <c r="J1060" i="1"/>
  <c r="CW1060" i="1"/>
  <c r="BN1060" i="1"/>
  <c r="BM1060" i="1"/>
  <c r="DM1059" i="1"/>
  <c r="DE1059" i="1"/>
  <c r="M1059" i="1"/>
  <c r="L1059" i="1"/>
  <c r="CY1059" i="1"/>
  <c r="Q1059" i="1"/>
  <c r="R1059" i="1"/>
  <c r="CX1059" i="1"/>
  <c r="J1059" i="1"/>
  <c r="CW1059" i="1"/>
  <c r="BN1059" i="1"/>
  <c r="BM1059" i="1"/>
  <c r="DM1056" i="1"/>
  <c r="DE1056" i="1"/>
  <c r="M1056" i="1"/>
  <c r="L1056" i="1"/>
  <c r="CY1056" i="1"/>
  <c r="Q1056" i="1"/>
  <c r="R1056" i="1"/>
  <c r="CX1056" i="1"/>
  <c r="J1056" i="1"/>
  <c r="CW1056" i="1"/>
  <c r="BN1056" i="1"/>
  <c r="BM1056" i="1"/>
  <c r="DM1057" i="1"/>
  <c r="M1057" i="1"/>
  <c r="L1057" i="1"/>
  <c r="CY1057" i="1"/>
  <c r="R1057" i="1"/>
  <c r="CX1057" i="1"/>
  <c r="J1057" i="1"/>
  <c r="BN1057" i="1"/>
  <c r="BM1057" i="1"/>
  <c r="DM1053" i="1"/>
  <c r="DE1053" i="1"/>
  <c r="M1053" i="1"/>
  <c r="L1053" i="1"/>
  <c r="CY1053" i="1"/>
  <c r="Q1053" i="1"/>
  <c r="R1053" i="1"/>
  <c r="CX1053" i="1"/>
  <c r="J1053" i="1"/>
  <c r="CW1053" i="1"/>
  <c r="BN1053" i="1"/>
  <c r="BM1053" i="1"/>
  <c r="DM1028" i="1"/>
  <c r="DE1028" i="1"/>
  <c r="M1028" i="1"/>
  <c r="L1028" i="1"/>
  <c r="CY1028" i="1"/>
  <c r="Q1028" i="1"/>
  <c r="R1028" i="1"/>
  <c r="CX1028" i="1"/>
  <c r="J1028" i="1"/>
  <c r="CW1028" i="1"/>
  <c r="BN1028" i="1"/>
  <c r="BM1028" i="1"/>
  <c r="DM1030" i="1"/>
  <c r="DE1030" i="1"/>
  <c r="M1030" i="1"/>
  <c r="L1030" i="1"/>
  <c r="CY1030" i="1"/>
  <c r="Q1030" i="1"/>
  <c r="R1030" i="1"/>
  <c r="CX1030" i="1"/>
  <c r="J1030" i="1"/>
  <c r="CW1030" i="1"/>
  <c r="BN1030" i="1"/>
  <c r="BM1030" i="1"/>
  <c r="DM1377" i="1"/>
  <c r="M1377" i="1"/>
  <c r="L1377" i="1"/>
  <c r="CY1377" i="1"/>
  <c r="R1377" i="1"/>
  <c r="CX1377" i="1"/>
  <c r="J1377" i="1"/>
  <c r="BN1377" i="1"/>
  <c r="BM1377" i="1"/>
  <c r="DM1031" i="1"/>
  <c r="DE1031" i="1"/>
  <c r="M1031" i="1"/>
  <c r="L1031" i="1"/>
  <c r="CY1031" i="1"/>
  <c r="Q1031" i="1"/>
  <c r="R1031" i="1"/>
  <c r="CX1031" i="1"/>
  <c r="J1031" i="1"/>
  <c r="CW1031" i="1"/>
  <c r="BN1031" i="1"/>
  <c r="BM1031" i="1"/>
  <c r="DM1033" i="1"/>
  <c r="DE1033" i="1"/>
  <c r="M1033" i="1"/>
  <c r="L1033" i="1"/>
  <c r="CY1033" i="1"/>
  <c r="Q1033" i="1"/>
  <c r="R1033" i="1"/>
  <c r="CX1033" i="1"/>
  <c r="J1033" i="1"/>
  <c r="CW1033" i="1"/>
  <c r="BN1033" i="1"/>
  <c r="BM1033" i="1"/>
  <c r="DM1051" i="1"/>
  <c r="DE1051" i="1"/>
  <c r="M1051" i="1"/>
  <c r="L1051" i="1"/>
  <c r="CY1051" i="1"/>
  <c r="Q1051" i="1"/>
  <c r="R1051" i="1"/>
  <c r="CX1051" i="1"/>
  <c r="J1051" i="1"/>
  <c r="CW1051" i="1"/>
  <c r="BN1051" i="1"/>
  <c r="BM1051" i="1"/>
  <c r="DM1049" i="1"/>
  <c r="DE1049" i="1"/>
  <c r="M1049" i="1"/>
  <c r="L1049" i="1"/>
  <c r="CY1049" i="1"/>
  <c r="Q1049" i="1"/>
  <c r="R1049" i="1"/>
  <c r="CX1049" i="1"/>
  <c r="J1049" i="1"/>
  <c r="CW1049" i="1"/>
  <c r="BN1049" i="1"/>
  <c r="BM1049" i="1"/>
  <c r="DM22" i="1"/>
  <c r="DE22" i="1"/>
  <c r="M22" i="1"/>
  <c r="L22" i="1"/>
  <c r="CY22" i="1"/>
  <c r="Q22" i="1"/>
  <c r="R22" i="1"/>
  <c r="CX22" i="1"/>
  <c r="J22" i="1"/>
  <c r="CW22" i="1"/>
  <c r="BN22" i="1"/>
  <c r="BM22" i="1"/>
  <c r="DM1132" i="1"/>
  <c r="DE1132" i="1"/>
  <c r="M1132" i="1"/>
  <c r="L1132" i="1"/>
  <c r="CY1132" i="1"/>
  <c r="Q1132" i="1"/>
  <c r="R1132" i="1"/>
  <c r="CX1132" i="1"/>
  <c r="J1132" i="1"/>
  <c r="CW1132" i="1"/>
  <c r="BN1132" i="1"/>
  <c r="BM1132" i="1"/>
  <c r="DM1128" i="1"/>
  <c r="DE1128" i="1"/>
  <c r="M1128" i="1"/>
  <c r="L1128" i="1"/>
  <c r="CY1128" i="1"/>
  <c r="Q1128" i="1"/>
  <c r="R1128" i="1"/>
  <c r="CX1128" i="1"/>
  <c r="J1128" i="1"/>
  <c r="CW1128" i="1"/>
  <c r="BN1128" i="1"/>
  <c r="BM1128" i="1"/>
  <c r="DM1118" i="1"/>
  <c r="DE1118" i="1"/>
  <c r="M1118" i="1"/>
  <c r="L1118" i="1"/>
  <c r="CY1118" i="1"/>
  <c r="Q1118" i="1"/>
  <c r="R1118" i="1"/>
  <c r="CX1118" i="1"/>
  <c r="J1118" i="1"/>
  <c r="CW1118" i="1"/>
  <c r="BN1118" i="1"/>
  <c r="BM1118" i="1"/>
  <c r="DM1215" i="1"/>
  <c r="DE1215" i="1"/>
  <c r="M1215" i="1"/>
  <c r="L1215" i="1"/>
  <c r="CY1215" i="1"/>
  <c r="Q1215" i="1"/>
  <c r="R1215" i="1"/>
  <c r="CX1215" i="1"/>
  <c r="J1215" i="1"/>
  <c r="CW1215" i="1"/>
  <c r="BN1215" i="1"/>
  <c r="BM1215" i="1"/>
  <c r="DM997" i="1"/>
  <c r="DE997" i="1"/>
  <c r="M997" i="1"/>
  <c r="L997" i="1"/>
  <c r="CY997" i="1"/>
  <c r="Q997" i="1"/>
  <c r="R997" i="1"/>
  <c r="CX997" i="1"/>
  <c r="J997" i="1"/>
  <c r="CW997" i="1"/>
  <c r="BN997" i="1"/>
  <c r="BM997" i="1"/>
  <c r="DM1393" i="1"/>
  <c r="M1393" i="1"/>
  <c r="L1393" i="1"/>
  <c r="CY1393" i="1"/>
  <c r="R1393" i="1"/>
  <c r="CX1393" i="1"/>
  <c r="J1393" i="1"/>
  <c r="BN1393" i="1"/>
  <c r="BM1393" i="1"/>
  <c r="DM1104" i="1"/>
  <c r="DE1104" i="1"/>
  <c r="M1104" i="1"/>
  <c r="L1104" i="1"/>
  <c r="CY1104" i="1"/>
  <c r="Q1104" i="1"/>
  <c r="R1104" i="1"/>
  <c r="CX1104" i="1"/>
  <c r="J1104" i="1"/>
  <c r="CW1104" i="1"/>
  <c r="BN1104" i="1"/>
  <c r="BM1104" i="1"/>
  <c r="DM34" i="1"/>
  <c r="DE34" i="1"/>
  <c r="M34" i="1"/>
  <c r="L34" i="1"/>
  <c r="CY34" i="1"/>
  <c r="Q34" i="1"/>
  <c r="R34" i="1"/>
  <c r="CX34" i="1"/>
  <c r="J34" i="1"/>
  <c r="CW34" i="1"/>
  <c r="BN34" i="1"/>
  <c r="BM34" i="1"/>
  <c r="DM1397" i="1"/>
  <c r="M1397" i="1"/>
  <c r="L1397" i="1"/>
  <c r="CY1397" i="1"/>
  <c r="R1397" i="1"/>
  <c r="CX1397" i="1"/>
  <c r="J1397" i="1"/>
  <c r="BN1397" i="1"/>
  <c r="BM1397" i="1"/>
  <c r="DM999" i="1"/>
  <c r="DE999" i="1"/>
  <c r="M999" i="1"/>
  <c r="L999" i="1"/>
  <c r="CY999" i="1"/>
  <c r="Q999" i="1"/>
  <c r="R999" i="1"/>
  <c r="CX999" i="1"/>
  <c r="J999" i="1"/>
  <c r="CW999" i="1"/>
  <c r="BN999" i="1"/>
  <c r="BM999" i="1"/>
  <c r="DM1002" i="1"/>
  <c r="DE1002" i="1"/>
  <c r="M1002" i="1"/>
  <c r="L1002" i="1"/>
  <c r="CY1002" i="1"/>
  <c r="Q1002" i="1"/>
  <c r="R1002" i="1"/>
  <c r="CX1002" i="1"/>
  <c r="J1002" i="1"/>
  <c r="CW1002" i="1"/>
  <c r="BN1002" i="1"/>
  <c r="BM1002" i="1"/>
  <c r="DM1362" i="1"/>
  <c r="DE1362" i="1"/>
  <c r="M1362" i="1"/>
  <c r="L1362" i="1"/>
  <c r="CY1362" i="1"/>
  <c r="Q1362" i="1"/>
  <c r="R1362" i="1"/>
  <c r="CX1362" i="1"/>
  <c r="J1362" i="1"/>
  <c r="CW1362" i="1"/>
  <c r="BN1362" i="1"/>
  <c r="BM1362" i="1"/>
  <c r="DM1363" i="1"/>
  <c r="DE1363" i="1"/>
  <c r="M1363" i="1"/>
  <c r="L1363" i="1"/>
  <c r="CY1363" i="1"/>
  <c r="Q1363" i="1"/>
  <c r="R1363" i="1"/>
  <c r="CX1363" i="1"/>
  <c r="J1363" i="1"/>
  <c r="CW1363" i="1"/>
  <c r="BN1363" i="1"/>
  <c r="BM1363" i="1"/>
  <c r="DM1364" i="1"/>
  <c r="DE1364" i="1"/>
  <c r="M1364" i="1"/>
  <c r="L1364" i="1"/>
  <c r="CY1364" i="1"/>
  <c r="Q1364" i="1"/>
  <c r="R1364" i="1"/>
  <c r="CX1364" i="1"/>
  <c r="J1364" i="1"/>
  <c r="CW1364" i="1"/>
  <c r="BN1364" i="1"/>
  <c r="BM1364" i="1"/>
  <c r="DM1370" i="1"/>
  <c r="DE1370" i="1"/>
  <c r="M1370" i="1"/>
  <c r="L1370" i="1"/>
  <c r="CY1370" i="1"/>
  <c r="Q1370" i="1"/>
  <c r="R1370" i="1"/>
  <c r="CX1370" i="1"/>
  <c r="J1370" i="1"/>
  <c r="CW1370" i="1"/>
  <c r="BN1370" i="1"/>
  <c r="BM1370" i="1"/>
  <c r="DM1171" i="1"/>
  <c r="DE1171" i="1"/>
  <c r="M1171" i="1"/>
  <c r="L1171" i="1"/>
  <c r="CY1171" i="1"/>
  <c r="Q1171" i="1"/>
  <c r="R1171" i="1"/>
  <c r="CX1171" i="1"/>
  <c r="J1171" i="1"/>
  <c r="CW1171" i="1"/>
  <c r="BN1171" i="1"/>
  <c r="BM1171" i="1"/>
  <c r="DM1003" i="1"/>
  <c r="DE1003" i="1"/>
  <c r="M1003" i="1"/>
  <c r="L1003" i="1"/>
  <c r="CY1003" i="1"/>
  <c r="Q1003" i="1"/>
  <c r="R1003" i="1"/>
  <c r="CX1003" i="1"/>
  <c r="J1003" i="1"/>
  <c r="CW1003" i="1"/>
  <c r="BN1003" i="1"/>
  <c r="BM1003" i="1"/>
  <c r="DM1394" i="1"/>
  <c r="DE1394" i="1"/>
  <c r="M1394" i="1"/>
  <c r="L1394" i="1"/>
  <c r="CY1394" i="1"/>
  <c r="Q1394" i="1"/>
  <c r="R1394" i="1"/>
  <c r="CX1394" i="1"/>
  <c r="J1394" i="1"/>
  <c r="CW1394" i="1"/>
  <c r="BN1394" i="1"/>
  <c r="BM1394" i="1"/>
  <c r="DM1395" i="1"/>
  <c r="DE1395" i="1"/>
  <c r="M1395" i="1"/>
  <c r="L1395" i="1"/>
  <c r="CY1395" i="1"/>
  <c r="Q1395" i="1"/>
  <c r="R1395" i="1"/>
  <c r="CX1395" i="1"/>
  <c r="J1395" i="1"/>
  <c r="CW1395" i="1"/>
  <c r="BN1395" i="1"/>
  <c r="BM1395" i="1"/>
  <c r="DM1196" i="1"/>
  <c r="DE1196" i="1"/>
  <c r="M1196" i="1"/>
  <c r="L1196" i="1"/>
  <c r="CY1196" i="1"/>
  <c r="Q1196" i="1"/>
  <c r="R1196" i="1"/>
  <c r="CX1196" i="1"/>
  <c r="J1196" i="1"/>
  <c r="CW1196" i="1"/>
  <c r="BN1196" i="1"/>
  <c r="BM1196" i="1"/>
  <c r="DM33" i="1"/>
  <c r="DE33" i="1"/>
  <c r="M33" i="1"/>
  <c r="L33" i="1"/>
  <c r="CY33" i="1"/>
  <c r="Q33" i="1"/>
  <c r="R33" i="1"/>
  <c r="CX33" i="1"/>
  <c r="J33" i="1"/>
  <c r="CW33" i="1"/>
  <c r="BN33" i="1"/>
  <c r="BM33" i="1"/>
  <c r="DM1004" i="1"/>
  <c r="DE1004" i="1"/>
  <c r="M1004" i="1"/>
  <c r="L1004" i="1"/>
  <c r="CY1004" i="1"/>
  <c r="Q1004" i="1"/>
  <c r="R1004" i="1"/>
  <c r="CX1004" i="1"/>
  <c r="J1004" i="1"/>
  <c r="CW1004" i="1"/>
  <c r="BN1004" i="1"/>
  <c r="BM1004" i="1"/>
  <c r="DM1006" i="1"/>
  <c r="DE1006" i="1"/>
  <c r="M1006" i="1"/>
  <c r="L1006" i="1"/>
  <c r="CY1006" i="1"/>
  <c r="Q1006" i="1"/>
  <c r="R1006" i="1"/>
  <c r="CX1006" i="1"/>
  <c r="J1006" i="1"/>
  <c r="CW1006" i="1"/>
  <c r="BN1006" i="1"/>
  <c r="BM1006" i="1"/>
  <c r="DM1011" i="1"/>
  <c r="M1011" i="1"/>
  <c r="L1011" i="1"/>
  <c r="CY1011" i="1"/>
  <c r="R1011" i="1"/>
  <c r="CX1011" i="1"/>
  <c r="J1011" i="1"/>
  <c r="BN1011" i="1"/>
  <c r="BM1011" i="1"/>
  <c r="DM1007" i="1"/>
  <c r="DE1007" i="1"/>
  <c r="M1007" i="1"/>
  <c r="L1007" i="1"/>
  <c r="CY1007" i="1"/>
  <c r="Q1007" i="1"/>
  <c r="R1007" i="1"/>
  <c r="CX1007" i="1"/>
  <c r="J1007" i="1"/>
  <c r="CW1007" i="1"/>
  <c r="BN1007" i="1"/>
  <c r="BM1007" i="1"/>
  <c r="DM1389" i="1"/>
  <c r="M1389" i="1"/>
  <c r="L1389" i="1"/>
  <c r="CY1389" i="1"/>
  <c r="R1389" i="1"/>
  <c r="CX1389" i="1"/>
  <c r="J1389" i="1"/>
  <c r="BN1389" i="1"/>
  <c r="BM1389" i="1"/>
  <c r="DM1009" i="1"/>
  <c r="DE1009" i="1"/>
  <c r="M1009" i="1"/>
  <c r="L1009" i="1"/>
  <c r="CY1009" i="1"/>
  <c r="Q1009" i="1"/>
  <c r="R1009" i="1"/>
  <c r="CX1009" i="1"/>
  <c r="J1009" i="1"/>
  <c r="CW1009" i="1"/>
  <c r="BN1009" i="1"/>
  <c r="BM1009" i="1"/>
  <c r="DM32" i="1"/>
  <c r="DE32" i="1"/>
  <c r="M32" i="1"/>
  <c r="L32" i="1"/>
  <c r="CY32" i="1"/>
  <c r="Q32" i="1"/>
  <c r="R32" i="1"/>
  <c r="CX32" i="1"/>
  <c r="J32" i="1"/>
  <c r="CW32" i="1"/>
  <c r="BN32" i="1"/>
  <c r="BM32" i="1"/>
  <c r="DM31" i="1"/>
  <c r="DE31" i="1"/>
  <c r="M31" i="1"/>
  <c r="L31" i="1"/>
  <c r="CY31" i="1"/>
  <c r="Q31" i="1"/>
  <c r="R31" i="1"/>
  <c r="CX31" i="1"/>
  <c r="J31" i="1"/>
  <c r="CW31" i="1"/>
  <c r="BN31" i="1"/>
  <c r="BM31" i="1"/>
  <c r="DM1271" i="1"/>
  <c r="DE1271" i="1"/>
  <c r="M1271" i="1"/>
  <c r="L1271" i="1"/>
  <c r="CY1271" i="1"/>
  <c r="Q1271" i="1"/>
  <c r="R1271" i="1"/>
  <c r="CX1271" i="1"/>
  <c r="J1271" i="1"/>
  <c r="CW1271" i="1"/>
  <c r="BN1271" i="1"/>
  <c r="BM1271" i="1"/>
  <c r="DM1268" i="1"/>
  <c r="M1268" i="1"/>
  <c r="L1268" i="1"/>
  <c r="CY1268" i="1"/>
  <c r="R1268" i="1"/>
  <c r="CX1268" i="1"/>
  <c r="J1268" i="1"/>
  <c r="BN1268" i="1"/>
  <c r="BM1268" i="1"/>
  <c r="DM30" i="1"/>
  <c r="DE30" i="1"/>
  <c r="M30" i="1"/>
  <c r="L30" i="1"/>
  <c r="CY30" i="1"/>
  <c r="Q30" i="1"/>
  <c r="R30" i="1"/>
  <c r="CX30" i="1"/>
  <c r="J30" i="1"/>
  <c r="CW30" i="1"/>
  <c r="BN30" i="1"/>
  <c r="BM30" i="1"/>
  <c r="DM28" i="1"/>
  <c r="DE28" i="1"/>
  <c r="M28" i="1"/>
  <c r="L28" i="1"/>
  <c r="CY28" i="1"/>
  <c r="Q28" i="1"/>
  <c r="R28" i="1"/>
  <c r="CX28" i="1"/>
  <c r="J28" i="1"/>
  <c r="CW28" i="1"/>
  <c r="BN28" i="1"/>
  <c r="BM28" i="1"/>
  <c r="DM1190" i="1"/>
  <c r="DE1190" i="1"/>
  <c r="M1190" i="1"/>
  <c r="L1190" i="1"/>
  <c r="CY1190" i="1"/>
  <c r="Q1190" i="1"/>
  <c r="R1190" i="1"/>
  <c r="CX1190" i="1"/>
  <c r="J1190" i="1"/>
  <c r="CW1190" i="1"/>
  <c r="BN1190" i="1"/>
  <c r="BM1190" i="1"/>
  <c r="DM1367" i="1"/>
  <c r="M1367" i="1"/>
  <c r="L1367" i="1"/>
  <c r="CY1367" i="1"/>
  <c r="R1367" i="1"/>
  <c r="CX1367" i="1"/>
  <c r="J1367" i="1"/>
  <c r="BN1367" i="1"/>
  <c r="BM1367" i="1"/>
  <c r="DM1210" i="1"/>
  <c r="DE1210" i="1"/>
  <c r="M1210" i="1"/>
  <c r="L1210" i="1"/>
  <c r="CY1210" i="1"/>
  <c r="Q1210" i="1"/>
  <c r="R1210" i="1"/>
  <c r="CX1210" i="1"/>
  <c r="J1210" i="1"/>
  <c r="CW1210" i="1"/>
  <c r="BN1210" i="1"/>
  <c r="BM1210" i="1"/>
  <c r="DM1105" i="1"/>
  <c r="DE1105" i="1"/>
  <c r="M1105" i="1"/>
  <c r="L1105" i="1"/>
  <c r="CY1105" i="1"/>
  <c r="Q1105" i="1"/>
  <c r="R1105" i="1"/>
  <c r="CX1105" i="1"/>
  <c r="J1105" i="1"/>
  <c r="CW1105" i="1"/>
  <c r="BN1105" i="1"/>
  <c r="BM1105" i="1"/>
  <c r="DM1202" i="1"/>
  <c r="DE1202" i="1"/>
  <c r="M1202" i="1"/>
  <c r="L1202" i="1"/>
  <c r="CY1202" i="1"/>
  <c r="Q1202" i="1"/>
  <c r="R1202" i="1"/>
  <c r="CX1202" i="1"/>
  <c r="J1202" i="1"/>
  <c r="CW1202" i="1"/>
  <c r="BN1202" i="1"/>
  <c r="BM1202" i="1"/>
  <c r="DM1106" i="1"/>
  <c r="DE1106" i="1"/>
  <c r="M1106" i="1"/>
  <c r="L1106" i="1"/>
  <c r="CY1106" i="1"/>
  <c r="Q1106" i="1"/>
  <c r="R1106" i="1"/>
  <c r="CX1106" i="1"/>
  <c r="J1106" i="1"/>
  <c r="CW1106" i="1"/>
  <c r="BN1106" i="1"/>
  <c r="BM1106" i="1"/>
  <c r="DM1136" i="1"/>
  <c r="DE1136" i="1"/>
  <c r="M1136" i="1"/>
  <c r="L1136" i="1"/>
  <c r="CY1136" i="1"/>
  <c r="Q1136" i="1"/>
  <c r="R1136" i="1"/>
  <c r="CX1136" i="1"/>
  <c r="J1136" i="1"/>
  <c r="CW1136" i="1"/>
  <c r="BN1136" i="1"/>
  <c r="BM1136" i="1"/>
  <c r="DM24" i="1"/>
  <c r="DE24" i="1"/>
  <c r="M24" i="1"/>
  <c r="L24" i="1"/>
  <c r="CY24" i="1"/>
  <c r="Q24" i="1"/>
  <c r="R24" i="1"/>
  <c r="CX24" i="1"/>
  <c r="J24" i="1"/>
  <c r="CW24" i="1"/>
  <c r="BN24" i="1"/>
  <c r="BM24" i="1"/>
  <c r="DM1108" i="1"/>
  <c r="DE1108" i="1"/>
  <c r="M1108" i="1"/>
  <c r="L1108" i="1"/>
  <c r="CY1108" i="1"/>
  <c r="Q1108" i="1"/>
  <c r="R1108" i="1"/>
  <c r="CX1108" i="1"/>
  <c r="J1108" i="1"/>
  <c r="CW1108" i="1"/>
  <c r="BN1108" i="1"/>
  <c r="BM1108" i="1"/>
  <c r="DM1298" i="1"/>
  <c r="DE1298" i="1"/>
  <c r="M1298" i="1"/>
  <c r="L1298" i="1"/>
  <c r="CY1298" i="1"/>
  <c r="Q1298" i="1"/>
  <c r="R1298" i="1"/>
  <c r="CX1298" i="1"/>
  <c r="J1298" i="1"/>
  <c r="CW1298" i="1"/>
  <c r="BN1298" i="1"/>
  <c r="BM1298" i="1"/>
  <c r="DM1462" i="1"/>
  <c r="DE1462" i="1"/>
  <c r="M1462" i="1"/>
  <c r="L1462" i="1"/>
  <c r="CY1462" i="1"/>
  <c r="Q1462" i="1"/>
  <c r="R1462" i="1"/>
  <c r="CX1462" i="1"/>
  <c r="J1462" i="1"/>
  <c r="CW1462" i="1"/>
  <c r="BN1462" i="1"/>
  <c r="BM1462" i="1"/>
  <c r="DM1150" i="1"/>
  <c r="DE1150" i="1"/>
  <c r="M1150" i="1"/>
  <c r="L1150" i="1"/>
  <c r="CY1150" i="1"/>
  <c r="Q1150" i="1"/>
  <c r="R1150" i="1"/>
  <c r="CX1150" i="1"/>
  <c r="J1150" i="1"/>
  <c r="CW1150" i="1"/>
  <c r="BN1150" i="1"/>
  <c r="BM1150" i="1"/>
  <c r="DM1234" i="1"/>
  <c r="DE1234" i="1"/>
  <c r="M1234" i="1"/>
  <c r="L1234" i="1"/>
  <c r="CY1234" i="1"/>
  <c r="Q1234" i="1"/>
  <c r="R1234" i="1"/>
  <c r="CX1234" i="1"/>
  <c r="J1234" i="1"/>
  <c r="CW1234" i="1"/>
  <c r="BN1234" i="1"/>
  <c r="BM1234" i="1"/>
  <c r="DM1236" i="1"/>
  <c r="DE1236" i="1"/>
  <c r="M1236" i="1"/>
  <c r="L1236" i="1"/>
  <c r="CY1236" i="1"/>
  <c r="Q1236" i="1"/>
  <c r="R1236" i="1"/>
  <c r="CX1236" i="1"/>
  <c r="J1236" i="1"/>
  <c r="CW1236" i="1"/>
  <c r="BN1236" i="1"/>
  <c r="BM1236" i="1"/>
  <c r="DM1366" i="1"/>
  <c r="M1366" i="1"/>
  <c r="L1366" i="1"/>
  <c r="CY1366" i="1"/>
  <c r="R1366" i="1"/>
  <c r="CX1366" i="1"/>
  <c r="J1366" i="1"/>
  <c r="BN1366" i="1"/>
  <c r="BM1366" i="1"/>
  <c r="DM1293" i="1"/>
  <c r="DE1293" i="1"/>
  <c r="M1293" i="1"/>
  <c r="L1293" i="1"/>
  <c r="CY1293" i="1"/>
  <c r="Q1293" i="1"/>
  <c r="R1293" i="1"/>
  <c r="CX1293" i="1"/>
  <c r="J1293" i="1"/>
  <c r="CW1293" i="1"/>
  <c r="BN1293" i="1"/>
  <c r="BM1293" i="1"/>
  <c r="DM1468" i="1"/>
  <c r="M1468" i="1"/>
  <c r="L1468" i="1"/>
  <c r="CY1468" i="1"/>
  <c r="R1468" i="1"/>
  <c r="CX1468" i="1"/>
  <c r="J1468" i="1"/>
  <c r="BN1468" i="1"/>
  <c r="BM1468" i="1"/>
  <c r="DM1301" i="1"/>
  <c r="DE1301" i="1"/>
  <c r="M1301" i="1"/>
  <c r="L1301" i="1"/>
  <c r="CY1301" i="1"/>
  <c r="Q1301" i="1"/>
  <c r="R1301" i="1"/>
  <c r="CX1301" i="1"/>
  <c r="J1301" i="1"/>
  <c r="CW1301" i="1"/>
  <c r="BN1301" i="1"/>
  <c r="BM1301" i="1"/>
  <c r="DE1337" i="1"/>
  <c r="M1337" i="1"/>
  <c r="L1337" i="1"/>
  <c r="CY1337" i="1"/>
  <c r="Q1337" i="1"/>
  <c r="R1337" i="1"/>
  <c r="CX1337" i="1"/>
  <c r="J1337" i="1"/>
  <c r="CW1337" i="1"/>
  <c r="BN1337" i="1"/>
  <c r="BM1337" i="1"/>
  <c r="DM1357" i="1"/>
  <c r="DE1357" i="1"/>
  <c r="M1357" i="1"/>
  <c r="L1357" i="1"/>
  <c r="CY1357" i="1"/>
  <c r="Q1357" i="1"/>
  <c r="R1357" i="1"/>
  <c r="CX1357" i="1"/>
  <c r="J1357" i="1"/>
  <c r="CW1357" i="1"/>
  <c r="BN1357" i="1"/>
  <c r="BM1357" i="1"/>
  <c r="DM913" i="1"/>
  <c r="DE913" i="1"/>
  <c r="M913" i="1"/>
  <c r="L913" i="1"/>
  <c r="CY913" i="1"/>
  <c r="Q913" i="1"/>
  <c r="R913" i="1"/>
  <c r="CX913" i="1"/>
  <c r="J913" i="1"/>
  <c r="CW913" i="1"/>
  <c r="BN913" i="1"/>
  <c r="BM913" i="1"/>
  <c r="DM1469" i="1"/>
  <c r="M1469" i="1"/>
  <c r="L1469" i="1"/>
  <c r="CY1469" i="1"/>
  <c r="R1469" i="1"/>
  <c r="CX1469" i="1"/>
  <c r="J1469" i="1"/>
  <c r="BN1469" i="1"/>
  <c r="BM1469" i="1"/>
  <c r="DM905" i="1"/>
  <c r="DE905" i="1"/>
  <c r="M905" i="1"/>
  <c r="L905" i="1"/>
  <c r="CY905" i="1"/>
  <c r="Q905" i="1"/>
  <c r="R905" i="1"/>
  <c r="CX905" i="1"/>
  <c r="J905" i="1"/>
  <c r="CW905" i="1"/>
  <c r="BN905" i="1"/>
  <c r="BM905" i="1"/>
  <c r="DM1299" i="1"/>
  <c r="DE1299" i="1"/>
  <c r="M1299" i="1"/>
  <c r="L1299" i="1"/>
  <c r="CY1299" i="1"/>
  <c r="Q1299" i="1"/>
  <c r="R1299" i="1"/>
  <c r="CX1299" i="1"/>
  <c r="J1299" i="1"/>
  <c r="CW1299" i="1"/>
  <c r="BN1299" i="1"/>
  <c r="BM1299" i="1"/>
  <c r="DM901" i="1"/>
  <c r="DE901" i="1"/>
  <c r="M901" i="1"/>
  <c r="L901" i="1"/>
  <c r="CY901" i="1"/>
  <c r="Q901" i="1"/>
  <c r="R901" i="1"/>
  <c r="CX901" i="1"/>
  <c r="J901" i="1"/>
  <c r="CW901" i="1"/>
  <c r="BN901" i="1"/>
  <c r="BM901" i="1"/>
  <c r="DM1371" i="1"/>
  <c r="M1371" i="1"/>
  <c r="L1371" i="1"/>
  <c r="CY1371" i="1"/>
  <c r="R1371" i="1"/>
  <c r="CX1371" i="1"/>
  <c r="J1371" i="1"/>
  <c r="BN1371" i="1"/>
  <c r="BM1371" i="1"/>
  <c r="DM1365" i="1"/>
  <c r="M1365" i="1"/>
  <c r="L1365" i="1"/>
  <c r="CY1365" i="1"/>
  <c r="R1365" i="1"/>
  <c r="CX1365" i="1"/>
  <c r="J1365" i="1"/>
  <c r="BN1365" i="1"/>
  <c r="BM1365" i="1"/>
  <c r="DM1334" i="1"/>
  <c r="M1334" i="1"/>
  <c r="L1334" i="1"/>
  <c r="CY1334" i="1"/>
  <c r="R1334" i="1"/>
  <c r="CX1334" i="1"/>
  <c r="J1334" i="1"/>
  <c r="BN1334" i="1"/>
  <c r="BM1334" i="1"/>
  <c r="DM1170" i="1"/>
  <c r="M1170" i="1"/>
  <c r="L1170" i="1"/>
  <c r="CY1170" i="1"/>
  <c r="R1170" i="1"/>
  <c r="CX1170" i="1"/>
  <c r="J1170" i="1"/>
  <c r="BN1170" i="1"/>
  <c r="BM1170" i="1"/>
  <c r="DM1177" i="1"/>
  <c r="M1177" i="1"/>
  <c r="L1177" i="1"/>
  <c r="CY1177" i="1"/>
  <c r="R1177" i="1"/>
  <c r="CX1177" i="1"/>
  <c r="J1177" i="1"/>
  <c r="BN1177" i="1"/>
  <c r="BM1177" i="1"/>
  <c r="DM1221" i="1"/>
  <c r="M1221" i="1"/>
  <c r="L1221" i="1"/>
  <c r="CY1221" i="1"/>
  <c r="R1221" i="1"/>
  <c r="CX1221" i="1"/>
  <c r="J1221" i="1"/>
  <c r="BN1221" i="1"/>
  <c r="BM1221" i="1"/>
  <c r="DM1164" i="1"/>
  <c r="M1164" i="1"/>
  <c r="L1164" i="1"/>
  <c r="CY1164" i="1"/>
  <c r="R1164" i="1"/>
  <c r="CX1164" i="1"/>
  <c r="J1164" i="1"/>
  <c r="BN1164" i="1"/>
  <c r="BM1164" i="1"/>
  <c r="DM1161" i="1"/>
  <c r="DE1161" i="1"/>
  <c r="M1161" i="1"/>
  <c r="L1161" i="1"/>
  <c r="CY1161" i="1"/>
  <c r="Q1161" i="1"/>
  <c r="R1161" i="1"/>
  <c r="CX1161" i="1"/>
  <c r="J1161" i="1"/>
  <c r="CW1161" i="1"/>
  <c r="BN1161" i="1"/>
  <c r="BM1161" i="1"/>
  <c r="DM1165" i="1"/>
  <c r="DE1165" i="1"/>
  <c r="M1165" i="1"/>
  <c r="L1165" i="1"/>
  <c r="CY1165" i="1"/>
  <c r="Q1165" i="1"/>
  <c r="R1165" i="1"/>
  <c r="CX1165" i="1"/>
  <c r="J1165" i="1"/>
  <c r="CW1165" i="1"/>
  <c r="BN1165" i="1"/>
  <c r="BM1165" i="1"/>
  <c r="DE1166" i="1"/>
  <c r="M1166" i="1"/>
  <c r="L1166" i="1"/>
  <c r="CY1166" i="1"/>
  <c r="Q1166" i="1"/>
  <c r="R1166" i="1"/>
  <c r="CX1166" i="1"/>
  <c r="J1166" i="1"/>
  <c r="CW1166" i="1"/>
  <c r="BN1166" i="1"/>
  <c r="BM1166" i="1"/>
  <c r="DM1167" i="1"/>
  <c r="DE1167" i="1"/>
  <c r="M1167" i="1"/>
  <c r="L1167" i="1"/>
  <c r="CY1167" i="1"/>
  <c r="Q1167" i="1"/>
  <c r="R1167" i="1"/>
  <c r="CX1167" i="1"/>
  <c r="J1167" i="1"/>
  <c r="CW1167" i="1"/>
  <c r="BN1167" i="1"/>
  <c r="BM1167" i="1"/>
  <c r="DM1169" i="1"/>
  <c r="DE1169" i="1"/>
  <c r="M1169" i="1"/>
  <c r="L1169" i="1"/>
  <c r="CY1169" i="1"/>
  <c r="Q1169" i="1"/>
  <c r="R1169" i="1"/>
  <c r="CX1169" i="1"/>
  <c r="J1169" i="1"/>
  <c r="CW1169" i="1"/>
  <c r="BN1169" i="1"/>
  <c r="BM1169" i="1"/>
  <c r="DM1174" i="1"/>
  <c r="DE1174" i="1"/>
  <c r="M1174" i="1"/>
  <c r="L1174" i="1"/>
  <c r="CY1174" i="1"/>
  <c r="Q1174" i="1"/>
  <c r="R1174" i="1"/>
  <c r="CX1174" i="1"/>
  <c r="J1174" i="1"/>
  <c r="CW1174" i="1"/>
  <c r="BN1174" i="1"/>
  <c r="BM1174" i="1"/>
  <c r="DM1181" i="1"/>
  <c r="DE1181" i="1"/>
  <c r="M1181" i="1"/>
  <c r="L1181" i="1"/>
  <c r="CY1181" i="1"/>
  <c r="Q1181" i="1"/>
  <c r="R1181" i="1"/>
  <c r="CX1181" i="1"/>
  <c r="J1181" i="1"/>
  <c r="CW1181" i="1"/>
  <c r="BN1181" i="1"/>
  <c r="BM1181" i="1"/>
  <c r="DE1186" i="1"/>
  <c r="M1186" i="1"/>
  <c r="L1186" i="1"/>
  <c r="CY1186" i="1"/>
  <c r="Q1186" i="1"/>
  <c r="R1186" i="1"/>
  <c r="CX1186" i="1"/>
  <c r="J1186" i="1"/>
  <c r="CW1186" i="1"/>
  <c r="BN1186" i="1"/>
  <c r="BM1186" i="1"/>
  <c r="DM1222" i="1"/>
  <c r="DE1222" i="1"/>
  <c r="M1222" i="1"/>
  <c r="L1222" i="1"/>
  <c r="CY1222" i="1"/>
  <c r="Q1222" i="1"/>
  <c r="R1222" i="1"/>
  <c r="CX1222" i="1"/>
  <c r="J1222" i="1"/>
  <c r="CW1222" i="1"/>
  <c r="BN1222" i="1"/>
  <c r="BM1222" i="1"/>
  <c r="DM1230" i="1"/>
  <c r="DE1230" i="1"/>
  <c r="M1230" i="1"/>
  <c r="L1230" i="1"/>
  <c r="CY1230" i="1"/>
  <c r="Q1230" i="1"/>
  <c r="R1230" i="1"/>
  <c r="CX1230" i="1"/>
  <c r="J1230" i="1"/>
  <c r="CW1230" i="1"/>
  <c r="BN1230" i="1"/>
  <c r="BM1230" i="1"/>
  <c r="DM1235" i="1"/>
  <c r="DE1235" i="1"/>
  <c r="M1235" i="1"/>
  <c r="L1235" i="1"/>
  <c r="CY1235" i="1"/>
  <c r="Q1235" i="1"/>
  <c r="R1235" i="1"/>
  <c r="CX1235" i="1"/>
  <c r="J1235" i="1"/>
  <c r="CW1235" i="1"/>
  <c r="BN1235" i="1"/>
  <c r="BM1235" i="1"/>
  <c r="DM1133" i="1"/>
  <c r="DE1133" i="1"/>
  <c r="M1133" i="1"/>
  <c r="L1133" i="1"/>
  <c r="CY1133" i="1"/>
  <c r="Q1133" i="1"/>
  <c r="R1133" i="1"/>
  <c r="CX1133" i="1"/>
  <c r="J1133" i="1"/>
  <c r="CW1133" i="1"/>
  <c r="BN1133" i="1"/>
  <c r="BM1133" i="1"/>
  <c r="DM557" i="1"/>
  <c r="DE557" i="1"/>
  <c r="M557" i="1"/>
  <c r="L557" i="1"/>
  <c r="CY557" i="1"/>
  <c r="Q557" i="1"/>
  <c r="R557" i="1"/>
  <c r="CX557" i="1"/>
  <c r="J557" i="1"/>
  <c r="CW557" i="1"/>
  <c r="BN557" i="1"/>
  <c r="BM557" i="1"/>
  <c r="DM422" i="1"/>
  <c r="DE422" i="1"/>
  <c r="M422" i="1"/>
  <c r="L422" i="1"/>
  <c r="CY422" i="1"/>
  <c r="Q422" i="1"/>
  <c r="R422" i="1"/>
  <c r="CX422" i="1"/>
  <c r="J422" i="1"/>
  <c r="CW422" i="1"/>
  <c r="BN422" i="1"/>
  <c r="BM422" i="1"/>
  <c r="DM496" i="1"/>
  <c r="DE496" i="1"/>
  <c r="M496" i="1"/>
  <c r="L496" i="1"/>
  <c r="CY496" i="1"/>
  <c r="Q496" i="1"/>
  <c r="R496" i="1"/>
  <c r="CX496" i="1"/>
  <c r="J496" i="1"/>
  <c r="CW496" i="1"/>
  <c r="BN496" i="1"/>
  <c r="BM496" i="1"/>
  <c r="DM386" i="1"/>
  <c r="DE386" i="1"/>
  <c r="M386" i="1"/>
  <c r="L386" i="1"/>
  <c r="CY386" i="1"/>
  <c r="Q386" i="1"/>
  <c r="R386" i="1"/>
  <c r="CX386" i="1"/>
  <c r="J386" i="1"/>
  <c r="CW386" i="1"/>
  <c r="BN386" i="1"/>
  <c r="BM386" i="1"/>
  <c r="DM504" i="1"/>
  <c r="M504" i="1"/>
  <c r="L504" i="1"/>
  <c r="CY504" i="1"/>
  <c r="R504" i="1"/>
  <c r="CX504" i="1"/>
  <c r="J504" i="1"/>
  <c r="BN504" i="1"/>
  <c r="BM504" i="1"/>
  <c r="DM1095" i="1"/>
  <c r="M1095" i="1"/>
  <c r="L1095" i="1"/>
  <c r="CY1095" i="1"/>
  <c r="R1095" i="1"/>
  <c r="CX1095" i="1"/>
  <c r="J1095" i="1"/>
  <c r="BN1095" i="1"/>
  <c r="BM1095" i="1"/>
  <c r="DM1114" i="1"/>
  <c r="M1114" i="1"/>
  <c r="L1114" i="1"/>
  <c r="CY1114" i="1"/>
  <c r="R1114" i="1"/>
  <c r="CX1114" i="1"/>
  <c r="J1114" i="1"/>
  <c r="BN1114" i="1"/>
  <c r="BM1114" i="1"/>
  <c r="DM1115" i="1"/>
  <c r="M1115" i="1"/>
  <c r="L1115" i="1"/>
  <c r="CY1115" i="1"/>
  <c r="R1115" i="1"/>
  <c r="CX1115" i="1"/>
  <c r="J1115" i="1"/>
  <c r="BN1115" i="1"/>
  <c r="BM1115" i="1"/>
  <c r="DM1439" i="1"/>
  <c r="M1439" i="1"/>
  <c r="L1439" i="1"/>
  <c r="CY1439" i="1"/>
  <c r="R1439" i="1"/>
  <c r="CX1439" i="1"/>
  <c r="J1439" i="1"/>
  <c r="BN1439" i="1"/>
  <c r="BM1439" i="1"/>
  <c r="DE1097" i="1"/>
  <c r="M1097" i="1"/>
  <c r="L1097" i="1"/>
  <c r="CY1097" i="1"/>
  <c r="Q1097" i="1"/>
  <c r="R1097" i="1"/>
  <c r="CX1097" i="1"/>
  <c r="J1097" i="1"/>
  <c r="CW1097" i="1"/>
  <c r="BN1097" i="1"/>
  <c r="BM1097" i="1"/>
  <c r="DM348" i="1"/>
  <c r="M348" i="1"/>
  <c r="L348" i="1"/>
  <c r="CY348" i="1"/>
  <c r="R348" i="1"/>
  <c r="CX348" i="1"/>
  <c r="J348" i="1"/>
  <c r="BN348" i="1"/>
  <c r="BM348" i="1"/>
  <c r="DM475" i="1"/>
  <c r="M475" i="1"/>
  <c r="L475" i="1"/>
  <c r="CY475" i="1"/>
  <c r="R475" i="1"/>
  <c r="CX475" i="1"/>
  <c r="J475" i="1"/>
  <c r="BN475" i="1"/>
  <c r="BM475" i="1"/>
  <c r="DM576" i="1"/>
  <c r="M576" i="1"/>
  <c r="L576" i="1"/>
  <c r="CY576" i="1"/>
  <c r="R576" i="1"/>
  <c r="CX576" i="1"/>
  <c r="J576" i="1"/>
  <c r="BN576" i="1"/>
  <c r="BM576" i="1"/>
  <c r="DM1423" i="1"/>
  <c r="DE1423" i="1"/>
  <c r="M1423" i="1"/>
  <c r="L1423" i="1"/>
  <c r="CY1423" i="1"/>
  <c r="Q1423" i="1"/>
  <c r="R1423" i="1"/>
  <c r="CX1423" i="1"/>
  <c r="J1423" i="1"/>
  <c r="CW1423" i="1"/>
  <c r="BN1423" i="1"/>
  <c r="BM1423" i="1"/>
  <c r="DM455" i="1"/>
  <c r="M455" i="1"/>
  <c r="L455" i="1"/>
  <c r="CY455" i="1"/>
  <c r="R455" i="1"/>
  <c r="CX455" i="1"/>
  <c r="J455" i="1"/>
  <c r="BN455" i="1"/>
  <c r="BM455" i="1"/>
  <c r="DM435" i="1"/>
  <c r="M435" i="1"/>
  <c r="L435" i="1"/>
  <c r="CY435" i="1"/>
  <c r="R435" i="1"/>
  <c r="CX435" i="1"/>
  <c r="J435" i="1"/>
  <c r="BN435" i="1"/>
  <c r="BM435" i="1"/>
  <c r="DM1420" i="1"/>
  <c r="DE1420" i="1"/>
  <c r="M1420" i="1"/>
  <c r="L1420" i="1"/>
  <c r="CY1420" i="1"/>
  <c r="Q1420" i="1"/>
  <c r="R1420" i="1"/>
  <c r="CX1420" i="1"/>
  <c r="J1420" i="1"/>
  <c r="CW1420" i="1"/>
  <c r="BN1420" i="1"/>
  <c r="BM1420" i="1"/>
  <c r="DM400" i="1"/>
  <c r="M400" i="1"/>
  <c r="L400" i="1"/>
  <c r="CY400" i="1"/>
  <c r="R400" i="1"/>
  <c r="CX400" i="1"/>
  <c r="J400" i="1"/>
  <c r="BN400" i="1"/>
  <c r="BM400" i="1"/>
  <c r="DM1413" i="1"/>
  <c r="DE1413" i="1"/>
  <c r="M1413" i="1"/>
  <c r="L1413" i="1"/>
  <c r="CY1413" i="1"/>
  <c r="Q1413" i="1"/>
  <c r="R1413" i="1"/>
  <c r="CX1413" i="1"/>
  <c r="J1413" i="1"/>
  <c r="CW1413" i="1"/>
  <c r="BN1413" i="1"/>
  <c r="BM1413" i="1"/>
  <c r="DM355" i="1"/>
  <c r="DE355" i="1"/>
  <c r="M355" i="1"/>
  <c r="L355" i="1"/>
  <c r="CY355" i="1"/>
  <c r="Q355" i="1"/>
  <c r="R355" i="1"/>
  <c r="CX355" i="1"/>
  <c r="J355" i="1"/>
  <c r="CW355" i="1"/>
  <c r="BN355" i="1"/>
  <c r="BM355" i="1"/>
  <c r="DM529" i="1"/>
  <c r="DE529" i="1"/>
  <c r="M529" i="1"/>
  <c r="L529" i="1"/>
  <c r="CY529" i="1"/>
  <c r="Q529" i="1"/>
  <c r="R529" i="1"/>
  <c r="CX529" i="1"/>
  <c r="J529" i="1"/>
  <c r="CW529" i="1"/>
  <c r="BN529" i="1"/>
  <c r="BM529" i="1"/>
  <c r="DM1406" i="1"/>
  <c r="DE1406" i="1"/>
  <c r="M1406" i="1"/>
  <c r="L1406" i="1"/>
  <c r="CY1406" i="1"/>
  <c r="Q1406" i="1"/>
  <c r="R1406" i="1"/>
  <c r="CX1406" i="1"/>
  <c r="J1406" i="1"/>
  <c r="CW1406" i="1"/>
  <c r="BN1406" i="1"/>
  <c r="BM1406" i="1"/>
  <c r="DE358" i="1"/>
  <c r="M358" i="1"/>
  <c r="L358" i="1"/>
  <c r="CY358" i="1"/>
  <c r="Q358" i="1"/>
  <c r="R358" i="1"/>
  <c r="CX358" i="1"/>
  <c r="J358" i="1"/>
  <c r="CW358" i="1"/>
  <c r="BN358" i="1"/>
  <c r="BM358" i="1"/>
  <c r="DM488" i="1"/>
  <c r="M488" i="1"/>
  <c r="L488" i="1"/>
  <c r="CY488" i="1"/>
  <c r="R488" i="1"/>
  <c r="CX488" i="1"/>
  <c r="J488" i="1"/>
  <c r="BN488" i="1"/>
  <c r="BM488" i="1"/>
  <c r="DM409" i="1"/>
  <c r="DE409" i="1"/>
  <c r="M409" i="1"/>
  <c r="L409" i="1"/>
  <c r="CY409" i="1"/>
  <c r="Q409" i="1"/>
  <c r="R409" i="1"/>
  <c r="CX409" i="1"/>
  <c r="J409" i="1"/>
  <c r="CW409" i="1"/>
  <c r="BN409" i="1"/>
  <c r="BM409" i="1"/>
  <c r="DM449" i="1"/>
  <c r="DE449" i="1"/>
  <c r="M449" i="1"/>
  <c r="L449" i="1"/>
  <c r="CY449" i="1"/>
  <c r="Q449" i="1"/>
  <c r="R449" i="1"/>
  <c r="CX449" i="1"/>
  <c r="J449" i="1"/>
  <c r="CW449" i="1"/>
  <c r="BN449" i="1"/>
  <c r="BM449" i="1"/>
  <c r="DM344" i="1"/>
  <c r="DE344" i="1"/>
  <c r="M344" i="1"/>
  <c r="L344" i="1"/>
  <c r="CY344" i="1"/>
  <c r="Q344" i="1"/>
  <c r="R344" i="1"/>
  <c r="CX344" i="1"/>
  <c r="J344" i="1"/>
  <c r="CW344" i="1"/>
  <c r="BN344" i="1"/>
  <c r="BM344" i="1"/>
  <c r="DM528" i="1"/>
  <c r="DE528" i="1"/>
  <c r="M528" i="1"/>
  <c r="L528" i="1"/>
  <c r="CY528" i="1"/>
  <c r="Q528" i="1"/>
  <c r="R528" i="1"/>
  <c r="CX528" i="1"/>
  <c r="J528" i="1"/>
  <c r="CW528" i="1"/>
  <c r="BN528" i="1"/>
  <c r="BM528" i="1"/>
  <c r="DM466" i="1"/>
  <c r="M466" i="1"/>
  <c r="L466" i="1"/>
  <c r="CY466" i="1"/>
  <c r="R466" i="1"/>
  <c r="CX466" i="1"/>
  <c r="J466" i="1"/>
  <c r="BN466" i="1"/>
  <c r="BM466" i="1"/>
  <c r="DM360" i="1"/>
  <c r="DE360" i="1"/>
  <c r="M360" i="1"/>
  <c r="L360" i="1"/>
  <c r="CY360" i="1"/>
  <c r="Q360" i="1"/>
  <c r="R360" i="1"/>
  <c r="CX360" i="1"/>
  <c r="J360" i="1"/>
  <c r="CW360" i="1"/>
  <c r="BN360" i="1"/>
  <c r="BM360" i="1"/>
  <c r="DM568" i="1"/>
  <c r="M568" i="1"/>
  <c r="L568" i="1"/>
  <c r="CY568" i="1"/>
  <c r="R568" i="1"/>
  <c r="CX568" i="1"/>
  <c r="J568" i="1"/>
  <c r="BN568" i="1"/>
  <c r="BM568" i="1"/>
  <c r="DM338" i="1"/>
  <c r="DE338" i="1"/>
  <c r="M338" i="1"/>
  <c r="L338" i="1"/>
  <c r="CY338" i="1"/>
  <c r="Q338" i="1"/>
  <c r="R338" i="1"/>
  <c r="CX338" i="1"/>
  <c r="J338" i="1"/>
  <c r="CW338" i="1"/>
  <c r="BN338" i="1"/>
  <c r="BM338" i="1"/>
  <c r="DM1085" i="1"/>
  <c r="DE1085" i="1"/>
  <c r="M1085" i="1"/>
  <c r="L1085" i="1"/>
  <c r="CY1085" i="1"/>
  <c r="Q1085" i="1"/>
  <c r="R1085" i="1"/>
  <c r="CX1085" i="1"/>
  <c r="J1085" i="1"/>
  <c r="CW1085" i="1"/>
  <c r="BN1085" i="1"/>
  <c r="BM1085" i="1"/>
  <c r="DM1099" i="1"/>
  <c r="DE1099" i="1"/>
  <c r="M1099" i="1"/>
  <c r="L1099" i="1"/>
  <c r="CY1099" i="1"/>
  <c r="Q1099" i="1"/>
  <c r="R1099" i="1"/>
  <c r="CX1099" i="1"/>
  <c r="J1099" i="1"/>
  <c r="CW1099" i="1"/>
  <c r="BN1099" i="1"/>
  <c r="BM1099" i="1"/>
  <c r="DE1084" i="1"/>
  <c r="M1084" i="1"/>
  <c r="L1084" i="1"/>
  <c r="CY1084" i="1"/>
  <c r="Q1084" i="1"/>
  <c r="R1084" i="1"/>
  <c r="CX1084" i="1"/>
  <c r="J1084" i="1"/>
  <c r="CW1084" i="1"/>
  <c r="BN1084" i="1"/>
  <c r="BM1084" i="1"/>
  <c r="DM1100" i="1"/>
  <c r="DE1100" i="1"/>
  <c r="M1100" i="1"/>
  <c r="L1100" i="1"/>
  <c r="CY1100" i="1"/>
  <c r="Q1100" i="1"/>
  <c r="R1100" i="1"/>
  <c r="CX1100" i="1"/>
  <c r="J1100" i="1"/>
  <c r="CW1100" i="1"/>
  <c r="BN1100" i="1"/>
  <c r="BM1100" i="1"/>
  <c r="DM583" i="1"/>
  <c r="M583" i="1"/>
  <c r="L583" i="1"/>
  <c r="CY583" i="1"/>
  <c r="R583" i="1"/>
  <c r="CX583" i="1"/>
  <c r="J583" i="1"/>
  <c r="BN583" i="1"/>
  <c r="BM583" i="1"/>
  <c r="DM579" i="1"/>
  <c r="DE579" i="1"/>
  <c r="M579" i="1"/>
  <c r="L579" i="1"/>
  <c r="CY579" i="1"/>
  <c r="Q579" i="1"/>
  <c r="R579" i="1"/>
  <c r="CX579" i="1"/>
  <c r="J579" i="1"/>
  <c r="CW579" i="1"/>
  <c r="BN579" i="1"/>
  <c r="BM579" i="1"/>
  <c r="DM1175" i="1"/>
  <c r="DE1175" i="1"/>
  <c r="M1175" i="1"/>
  <c r="L1175" i="1"/>
  <c r="CY1175" i="1"/>
  <c r="Q1175" i="1"/>
  <c r="R1175" i="1"/>
  <c r="CX1175" i="1"/>
  <c r="J1175" i="1"/>
  <c r="CW1175" i="1"/>
  <c r="BN1175" i="1"/>
  <c r="BM1175" i="1"/>
  <c r="DM514" i="1"/>
  <c r="DE514" i="1"/>
  <c r="M514" i="1"/>
  <c r="L514" i="1"/>
  <c r="CY514" i="1"/>
  <c r="Q514" i="1"/>
  <c r="R514" i="1"/>
  <c r="CX514" i="1"/>
  <c r="J514" i="1"/>
  <c r="CW514" i="1"/>
  <c r="BN514" i="1"/>
  <c r="BM514" i="1"/>
  <c r="DM590" i="1"/>
  <c r="M590" i="1"/>
  <c r="L590" i="1"/>
  <c r="CY590" i="1"/>
  <c r="R590" i="1"/>
  <c r="CX590" i="1"/>
  <c r="J590" i="1"/>
  <c r="BN590" i="1"/>
  <c r="BM590" i="1"/>
  <c r="DM569" i="1"/>
  <c r="DE569" i="1"/>
  <c r="M569" i="1"/>
  <c r="L569" i="1"/>
  <c r="CY569" i="1"/>
  <c r="Q569" i="1"/>
  <c r="R569" i="1"/>
  <c r="CX569" i="1"/>
  <c r="J569" i="1"/>
  <c r="CW569" i="1"/>
  <c r="BN569" i="1"/>
  <c r="BM569" i="1"/>
  <c r="DM585" i="1"/>
  <c r="M585" i="1"/>
  <c r="L585" i="1"/>
  <c r="CY585" i="1"/>
  <c r="R585" i="1"/>
  <c r="CX585" i="1"/>
  <c r="J585" i="1"/>
  <c r="BN585" i="1"/>
  <c r="BM585" i="1"/>
  <c r="DM1102" i="1"/>
  <c r="DE1102" i="1"/>
  <c r="M1102" i="1"/>
  <c r="L1102" i="1"/>
  <c r="CY1102" i="1"/>
  <c r="Q1102" i="1"/>
  <c r="R1102" i="1"/>
  <c r="CX1102" i="1"/>
  <c r="J1102" i="1"/>
  <c r="CW1102" i="1"/>
  <c r="BN1102" i="1"/>
  <c r="BM1102" i="1"/>
  <c r="DM1096" i="1"/>
  <c r="DE1096" i="1"/>
  <c r="M1096" i="1"/>
  <c r="L1096" i="1"/>
  <c r="CY1096" i="1"/>
  <c r="Q1096" i="1"/>
  <c r="R1096" i="1"/>
  <c r="CX1096" i="1"/>
  <c r="J1096" i="1"/>
  <c r="CW1096" i="1"/>
  <c r="BN1096" i="1"/>
  <c r="BM1096" i="1"/>
  <c r="DM1162" i="1"/>
  <c r="DE1162" i="1"/>
  <c r="M1162" i="1"/>
  <c r="L1162" i="1"/>
  <c r="CY1162" i="1"/>
  <c r="Q1162" i="1"/>
  <c r="R1162" i="1"/>
  <c r="CX1162" i="1"/>
  <c r="J1162" i="1"/>
  <c r="CW1162" i="1"/>
  <c r="BN1162" i="1"/>
  <c r="BM1162" i="1"/>
  <c r="DM375" i="1"/>
  <c r="DE375" i="1"/>
  <c r="M375" i="1"/>
  <c r="L375" i="1"/>
  <c r="CY375" i="1"/>
  <c r="Q375" i="1"/>
  <c r="R375" i="1"/>
  <c r="CX375" i="1"/>
  <c r="J375" i="1"/>
  <c r="CW375" i="1"/>
  <c r="BN375" i="1"/>
  <c r="BM375" i="1"/>
  <c r="DM549" i="1"/>
  <c r="M549" i="1"/>
  <c r="L549" i="1"/>
  <c r="CY549" i="1"/>
  <c r="R549" i="1"/>
  <c r="CX549" i="1"/>
  <c r="J549" i="1"/>
  <c r="BN549" i="1"/>
  <c r="BM549" i="1"/>
  <c r="DE1103" i="1"/>
  <c r="M1103" i="1"/>
  <c r="L1103" i="1"/>
  <c r="CY1103" i="1"/>
  <c r="Q1103" i="1"/>
  <c r="R1103" i="1"/>
  <c r="CX1103" i="1"/>
  <c r="J1103" i="1"/>
  <c r="CW1103" i="1"/>
  <c r="BN1103" i="1"/>
  <c r="BM1103" i="1"/>
  <c r="DM427" i="1"/>
  <c r="M427" i="1"/>
  <c r="L427" i="1"/>
  <c r="CY427" i="1"/>
  <c r="R427" i="1"/>
  <c r="CX427" i="1"/>
  <c r="J427" i="1"/>
  <c r="BN427" i="1"/>
  <c r="BM427" i="1"/>
  <c r="DM1090" i="1"/>
  <c r="DE1090" i="1"/>
  <c r="M1090" i="1"/>
  <c r="L1090" i="1"/>
  <c r="CY1090" i="1"/>
  <c r="Q1090" i="1"/>
  <c r="R1090" i="1"/>
  <c r="CX1090" i="1"/>
  <c r="J1090" i="1"/>
  <c r="CW1090" i="1"/>
  <c r="BN1090" i="1"/>
  <c r="BM1090" i="1"/>
  <c r="DM393" i="1"/>
  <c r="DE393" i="1"/>
  <c r="M393" i="1"/>
  <c r="L393" i="1"/>
  <c r="CY393" i="1"/>
  <c r="Q393" i="1"/>
  <c r="R393" i="1"/>
  <c r="CX393" i="1"/>
  <c r="J393" i="1"/>
  <c r="CW393" i="1"/>
  <c r="BN393" i="1"/>
  <c r="BM393" i="1"/>
  <c r="DM1094" i="1"/>
  <c r="M1094" i="1"/>
  <c r="L1094" i="1"/>
  <c r="CY1094" i="1"/>
  <c r="R1094" i="1"/>
  <c r="CX1094" i="1"/>
  <c r="J1094" i="1"/>
  <c r="BN1094" i="1"/>
  <c r="BM1094" i="1"/>
  <c r="DM1098" i="1"/>
  <c r="DE1098" i="1"/>
  <c r="M1098" i="1"/>
  <c r="L1098" i="1"/>
  <c r="CY1098" i="1"/>
  <c r="Q1098" i="1"/>
  <c r="R1098" i="1"/>
  <c r="CX1098" i="1"/>
  <c r="J1098" i="1"/>
  <c r="CW1098" i="1"/>
  <c r="BN1098" i="1"/>
  <c r="BM1098" i="1"/>
  <c r="DM441" i="1"/>
  <c r="M441" i="1"/>
  <c r="L441" i="1"/>
  <c r="CY441" i="1"/>
  <c r="R441" i="1"/>
  <c r="CX441" i="1"/>
  <c r="J441" i="1"/>
  <c r="BN441" i="1"/>
  <c r="BM441" i="1"/>
  <c r="DM380" i="1"/>
  <c r="DE380" i="1"/>
  <c r="M380" i="1"/>
  <c r="L380" i="1"/>
  <c r="CY380" i="1"/>
  <c r="Q380" i="1"/>
  <c r="R380" i="1"/>
  <c r="CX380" i="1"/>
  <c r="J380" i="1"/>
  <c r="CW380" i="1"/>
  <c r="BN380" i="1"/>
  <c r="BM380" i="1"/>
  <c r="DM417" i="1"/>
  <c r="DE417" i="1"/>
  <c r="M417" i="1"/>
  <c r="L417" i="1"/>
  <c r="CY417" i="1"/>
  <c r="Q417" i="1"/>
  <c r="R417" i="1"/>
  <c r="CX417" i="1"/>
  <c r="J417" i="1"/>
  <c r="CW417" i="1"/>
  <c r="BN417" i="1"/>
  <c r="BM417" i="1"/>
  <c r="DE1112" i="1"/>
  <c r="M1112" i="1"/>
  <c r="L1112" i="1"/>
  <c r="CY1112" i="1"/>
  <c r="Q1112" i="1"/>
  <c r="R1112" i="1"/>
  <c r="CX1112" i="1"/>
  <c r="J1112" i="1"/>
  <c r="CW1112" i="1"/>
  <c r="BN1112" i="1"/>
  <c r="BM1112" i="1"/>
  <c r="DE1113" i="1"/>
  <c r="M1113" i="1"/>
  <c r="L1113" i="1"/>
  <c r="CY1113" i="1"/>
  <c r="Q1113" i="1"/>
  <c r="R1113" i="1"/>
  <c r="CX1113" i="1"/>
  <c r="J1113" i="1"/>
  <c r="CW1113" i="1"/>
  <c r="BN1113" i="1"/>
  <c r="BM1113" i="1"/>
  <c r="DM1116" i="1"/>
  <c r="DE1116" i="1"/>
  <c r="M1116" i="1"/>
  <c r="L1116" i="1"/>
  <c r="CY1116" i="1"/>
  <c r="Q1116" i="1"/>
  <c r="R1116" i="1"/>
  <c r="CX1116" i="1"/>
  <c r="J1116" i="1"/>
  <c r="CW1116" i="1"/>
  <c r="BN1116" i="1"/>
  <c r="BM1116" i="1"/>
  <c r="DM570" i="1"/>
  <c r="M570" i="1"/>
  <c r="L570" i="1"/>
  <c r="CY570" i="1"/>
  <c r="R570" i="1"/>
  <c r="CX570" i="1"/>
  <c r="J570" i="1"/>
  <c r="BN570" i="1"/>
  <c r="BM570" i="1"/>
  <c r="DM1347" i="1"/>
  <c r="DE1347" i="1"/>
  <c r="M1347" i="1"/>
  <c r="L1347" i="1"/>
  <c r="CY1347" i="1"/>
  <c r="Q1347" i="1"/>
  <c r="R1347" i="1"/>
  <c r="CX1347" i="1"/>
  <c r="J1347" i="1"/>
  <c r="CW1347" i="1"/>
  <c r="BN1347" i="1"/>
  <c r="BM1347" i="1"/>
  <c r="DM1101" i="1"/>
  <c r="M1101" i="1"/>
  <c r="L1101" i="1"/>
  <c r="CY1101" i="1"/>
  <c r="R1101" i="1"/>
  <c r="CX1101" i="1"/>
  <c r="J1101" i="1"/>
  <c r="BN1101" i="1"/>
  <c r="BM1101" i="1"/>
  <c r="DM1307" i="1"/>
  <c r="DE1307" i="1"/>
  <c r="M1307" i="1"/>
  <c r="L1307" i="1"/>
  <c r="CY1307" i="1"/>
  <c r="Q1307" i="1"/>
  <c r="R1307" i="1"/>
  <c r="CX1307" i="1"/>
  <c r="J1307" i="1"/>
  <c r="CW1307" i="1"/>
  <c r="BN1307" i="1"/>
  <c r="BM1307" i="1"/>
  <c r="DM1110" i="1"/>
  <c r="DE1110" i="1"/>
  <c r="M1110" i="1"/>
  <c r="L1110" i="1"/>
  <c r="CY1110" i="1"/>
  <c r="Q1110" i="1"/>
  <c r="R1110" i="1"/>
  <c r="CX1110" i="1"/>
  <c r="J1110" i="1"/>
  <c r="CW1110" i="1"/>
  <c r="BN1110" i="1"/>
  <c r="BM1110" i="1"/>
  <c r="DM539" i="1"/>
  <c r="M539" i="1"/>
  <c r="L539" i="1"/>
  <c r="CY539" i="1"/>
  <c r="R539" i="1"/>
  <c r="CX539" i="1"/>
  <c r="J539" i="1"/>
  <c r="BN539" i="1"/>
  <c r="BM539" i="1"/>
  <c r="DM537" i="1"/>
  <c r="M537" i="1"/>
  <c r="L537" i="1"/>
  <c r="CY537" i="1"/>
  <c r="R537" i="1"/>
  <c r="CX537" i="1"/>
  <c r="J537" i="1"/>
  <c r="BN537" i="1"/>
  <c r="BM537" i="1"/>
  <c r="DM1131" i="1"/>
  <c r="DE1131" i="1"/>
  <c r="M1131" i="1"/>
  <c r="L1131" i="1"/>
  <c r="CY1131" i="1"/>
  <c r="Q1131" i="1"/>
  <c r="R1131" i="1"/>
  <c r="CX1131" i="1"/>
  <c r="J1131" i="1"/>
  <c r="CW1131" i="1"/>
  <c r="BN1131" i="1"/>
  <c r="BM1131" i="1"/>
  <c r="DM321" i="1"/>
  <c r="DE321" i="1"/>
  <c r="M321" i="1"/>
  <c r="L321" i="1"/>
  <c r="CY321" i="1"/>
  <c r="Q321" i="1"/>
  <c r="R321" i="1"/>
  <c r="CX321" i="1"/>
  <c r="J321" i="1"/>
  <c r="CW321" i="1"/>
  <c r="BN321" i="1"/>
  <c r="BM321" i="1"/>
  <c r="DM444" i="1"/>
  <c r="DE444" i="1"/>
  <c r="M444" i="1"/>
  <c r="L444" i="1"/>
  <c r="CY444" i="1"/>
  <c r="Q444" i="1"/>
  <c r="R444" i="1"/>
  <c r="CX444" i="1"/>
  <c r="J444" i="1"/>
  <c r="CW444" i="1"/>
  <c r="BN444" i="1"/>
  <c r="BM444" i="1"/>
  <c r="DM581" i="1"/>
  <c r="DE581" i="1"/>
  <c r="M581" i="1"/>
  <c r="L581" i="1"/>
  <c r="CY581" i="1"/>
  <c r="Q581" i="1"/>
  <c r="R581" i="1"/>
  <c r="CX581" i="1"/>
  <c r="J581" i="1"/>
  <c r="CW581" i="1"/>
  <c r="BN581" i="1"/>
  <c r="BM581" i="1"/>
  <c r="DM454" i="1"/>
  <c r="M454" i="1"/>
  <c r="L454" i="1"/>
  <c r="CY454" i="1"/>
  <c r="R454" i="1"/>
  <c r="CX454" i="1"/>
  <c r="J454" i="1"/>
  <c r="BN454" i="1"/>
  <c r="BM454" i="1"/>
  <c r="DM457" i="1"/>
  <c r="M457" i="1"/>
  <c r="L457" i="1"/>
  <c r="CY457" i="1"/>
  <c r="R457" i="1"/>
  <c r="CX457" i="1"/>
  <c r="J457" i="1"/>
  <c r="BN457" i="1"/>
  <c r="BM457" i="1"/>
  <c r="DM465" i="1"/>
  <c r="M465" i="1"/>
  <c r="L465" i="1"/>
  <c r="CY465" i="1"/>
  <c r="R465" i="1"/>
  <c r="CX465" i="1"/>
  <c r="J465" i="1"/>
  <c r="BN465" i="1"/>
  <c r="BM465" i="1"/>
  <c r="DM474" i="1"/>
  <c r="M474" i="1"/>
  <c r="L474" i="1"/>
  <c r="CY474" i="1"/>
  <c r="R474" i="1"/>
  <c r="CX474" i="1"/>
  <c r="J474" i="1"/>
  <c r="BN474" i="1"/>
  <c r="BM474" i="1"/>
  <c r="DM1432" i="1"/>
  <c r="M1432" i="1"/>
  <c r="L1432" i="1"/>
  <c r="CY1432" i="1"/>
  <c r="R1432" i="1"/>
  <c r="CX1432" i="1"/>
  <c r="J1432" i="1"/>
  <c r="BN1432" i="1"/>
  <c r="BM1432" i="1"/>
  <c r="DM578" i="1"/>
  <c r="DE578" i="1"/>
  <c r="M578" i="1"/>
  <c r="L578" i="1"/>
  <c r="CY578" i="1"/>
  <c r="Q578" i="1"/>
  <c r="R578" i="1"/>
  <c r="CX578" i="1"/>
  <c r="J578" i="1"/>
  <c r="CW578" i="1"/>
  <c r="BN578" i="1"/>
  <c r="BM578" i="1"/>
  <c r="DM546" i="1"/>
  <c r="M546" i="1"/>
  <c r="L546" i="1"/>
  <c r="CY546" i="1"/>
  <c r="R546" i="1"/>
  <c r="CX546" i="1"/>
  <c r="J546" i="1"/>
  <c r="BN546" i="1"/>
  <c r="BM546" i="1"/>
  <c r="DE574" i="1"/>
  <c r="M574" i="1"/>
  <c r="L574" i="1"/>
  <c r="CY574" i="1"/>
  <c r="Q574" i="1"/>
  <c r="R574" i="1"/>
  <c r="CX574" i="1"/>
  <c r="J574" i="1"/>
  <c r="CW574" i="1"/>
  <c r="BN574" i="1"/>
  <c r="BM574" i="1"/>
  <c r="DM589" i="1"/>
  <c r="M589" i="1"/>
  <c r="L589" i="1"/>
  <c r="CY589" i="1"/>
  <c r="R589" i="1"/>
  <c r="CX589" i="1"/>
  <c r="J589" i="1"/>
  <c r="BN589" i="1"/>
  <c r="BM589" i="1"/>
  <c r="DM556" i="1"/>
  <c r="DE556" i="1"/>
  <c r="M556" i="1"/>
  <c r="L556" i="1"/>
  <c r="CY556" i="1"/>
  <c r="Q556" i="1"/>
  <c r="R556" i="1"/>
  <c r="CX556" i="1"/>
  <c r="J556" i="1"/>
  <c r="CW556" i="1"/>
  <c r="BN556" i="1"/>
  <c r="BM556" i="1"/>
  <c r="DM547" i="1"/>
  <c r="DE547" i="1"/>
  <c r="M547" i="1"/>
  <c r="L547" i="1"/>
  <c r="CY547" i="1"/>
  <c r="Q547" i="1"/>
  <c r="R547" i="1"/>
  <c r="CX547" i="1"/>
  <c r="J547" i="1"/>
  <c r="CW547" i="1"/>
  <c r="BN547" i="1"/>
  <c r="BM547" i="1"/>
  <c r="DM536" i="1"/>
  <c r="DE536" i="1"/>
  <c r="M536" i="1"/>
  <c r="L536" i="1"/>
  <c r="CY536" i="1"/>
  <c r="Q536" i="1"/>
  <c r="R536" i="1"/>
  <c r="CX536" i="1"/>
  <c r="J536" i="1"/>
  <c r="CW536" i="1"/>
  <c r="BN536" i="1"/>
  <c r="BM536" i="1"/>
  <c r="DM526" i="1"/>
  <c r="DE526" i="1"/>
  <c r="M526" i="1"/>
  <c r="L526" i="1"/>
  <c r="CY526" i="1"/>
  <c r="Q526" i="1"/>
  <c r="R526" i="1"/>
  <c r="CX526" i="1"/>
  <c r="J526" i="1"/>
  <c r="CW526" i="1"/>
  <c r="BN526" i="1"/>
  <c r="BM526" i="1"/>
  <c r="DM515" i="1"/>
  <c r="DE515" i="1"/>
  <c r="M515" i="1"/>
  <c r="L515" i="1"/>
  <c r="CY515" i="1"/>
  <c r="Q515" i="1"/>
  <c r="R515" i="1"/>
  <c r="CX515" i="1"/>
  <c r="J515" i="1"/>
  <c r="CW515" i="1"/>
  <c r="BN515" i="1"/>
  <c r="BM515" i="1"/>
  <c r="DM511" i="1"/>
  <c r="DE511" i="1"/>
  <c r="M511" i="1"/>
  <c r="L511" i="1"/>
  <c r="CY511" i="1"/>
  <c r="Q511" i="1"/>
  <c r="R511" i="1"/>
  <c r="CX511" i="1"/>
  <c r="J511" i="1"/>
  <c r="CW511" i="1"/>
  <c r="BN511" i="1"/>
  <c r="BM511" i="1"/>
  <c r="DM503" i="1"/>
  <c r="DE503" i="1"/>
  <c r="M503" i="1"/>
  <c r="L503" i="1"/>
  <c r="CY503" i="1"/>
  <c r="Q503" i="1"/>
  <c r="R503" i="1"/>
  <c r="CX503" i="1"/>
  <c r="J503" i="1"/>
  <c r="CW503" i="1"/>
  <c r="BN503" i="1"/>
  <c r="BM503" i="1"/>
  <c r="DM502" i="1"/>
  <c r="DE502" i="1"/>
  <c r="M502" i="1"/>
  <c r="L502" i="1"/>
  <c r="CY502" i="1"/>
  <c r="Q502" i="1"/>
  <c r="R502" i="1"/>
  <c r="CX502" i="1"/>
  <c r="J502" i="1"/>
  <c r="CW502" i="1"/>
  <c r="BN502" i="1"/>
  <c r="BM502" i="1"/>
  <c r="DM495" i="1"/>
  <c r="DE495" i="1"/>
  <c r="M495" i="1"/>
  <c r="L495" i="1"/>
  <c r="CY495" i="1"/>
  <c r="Q495" i="1"/>
  <c r="R495" i="1"/>
  <c r="CX495" i="1"/>
  <c r="J495" i="1"/>
  <c r="CW495" i="1"/>
  <c r="BN495" i="1"/>
  <c r="BM495" i="1"/>
  <c r="DE483" i="1"/>
  <c r="M483" i="1"/>
  <c r="L483" i="1"/>
  <c r="CY483" i="1"/>
  <c r="Q483" i="1"/>
  <c r="R483" i="1"/>
  <c r="CX483" i="1"/>
  <c r="J483" i="1"/>
  <c r="CW483" i="1"/>
  <c r="BN483" i="1"/>
  <c r="BM483" i="1"/>
  <c r="DE480" i="1"/>
  <c r="M480" i="1"/>
  <c r="L480" i="1"/>
  <c r="CY480" i="1"/>
  <c r="Q480" i="1"/>
  <c r="R480" i="1"/>
  <c r="CX480" i="1"/>
  <c r="J480" i="1"/>
  <c r="CW480" i="1"/>
  <c r="BN480" i="1"/>
  <c r="BM480" i="1"/>
  <c r="DE377" i="1"/>
  <c r="M377" i="1"/>
  <c r="L377" i="1"/>
  <c r="CY377" i="1"/>
  <c r="Q377" i="1"/>
  <c r="R377" i="1"/>
  <c r="CX377" i="1"/>
  <c r="J377" i="1"/>
  <c r="CW377" i="1"/>
  <c r="BN377" i="1"/>
  <c r="BM377" i="1"/>
  <c r="DE462" i="1"/>
  <c r="M462" i="1"/>
  <c r="L462" i="1"/>
  <c r="CY462" i="1"/>
  <c r="Q462" i="1"/>
  <c r="R462" i="1"/>
  <c r="CX462" i="1"/>
  <c r="J462" i="1"/>
  <c r="CW462" i="1"/>
  <c r="BN462" i="1"/>
  <c r="BM462" i="1"/>
  <c r="DM448" i="1"/>
  <c r="DE448" i="1"/>
  <c r="M448" i="1"/>
  <c r="L448" i="1"/>
  <c r="CY448" i="1"/>
  <c r="Q448" i="1"/>
  <c r="R448" i="1"/>
  <c r="CX448" i="1"/>
  <c r="J448" i="1"/>
  <c r="CW448" i="1"/>
  <c r="BN448" i="1"/>
  <c r="BM448" i="1"/>
  <c r="DM434" i="1"/>
  <c r="DE434" i="1"/>
  <c r="M434" i="1"/>
  <c r="L434" i="1"/>
  <c r="CY434" i="1"/>
  <c r="Q434" i="1"/>
  <c r="R434" i="1"/>
  <c r="CX434" i="1"/>
  <c r="J434" i="1"/>
  <c r="CW434" i="1"/>
  <c r="BN434" i="1"/>
  <c r="BM434" i="1"/>
  <c r="DM426" i="1"/>
  <c r="DE426" i="1"/>
  <c r="M426" i="1"/>
  <c r="L426" i="1"/>
  <c r="CY426" i="1"/>
  <c r="Q426" i="1"/>
  <c r="R426" i="1"/>
  <c r="CX426" i="1"/>
  <c r="J426" i="1"/>
  <c r="CW426" i="1"/>
  <c r="BN426" i="1"/>
  <c r="BM426" i="1"/>
  <c r="DM368" i="1"/>
  <c r="M368" i="1"/>
  <c r="L368" i="1"/>
  <c r="CY368" i="1"/>
  <c r="R368" i="1"/>
  <c r="CX368" i="1"/>
  <c r="J368" i="1"/>
  <c r="BN368" i="1"/>
  <c r="BM368" i="1"/>
  <c r="DM326" i="1"/>
  <c r="M326" i="1"/>
  <c r="L326" i="1"/>
  <c r="CY326" i="1"/>
  <c r="R326" i="1"/>
  <c r="CX326" i="1"/>
  <c r="J326" i="1"/>
  <c r="BN326" i="1"/>
  <c r="BM326" i="1"/>
  <c r="DM319" i="1"/>
  <c r="M319" i="1"/>
  <c r="L319" i="1"/>
  <c r="CY319" i="1"/>
  <c r="R319" i="1"/>
  <c r="CX319" i="1"/>
  <c r="J319" i="1"/>
  <c r="BN319" i="1"/>
  <c r="BM319" i="1"/>
  <c r="DM299" i="1"/>
  <c r="DE299" i="1"/>
  <c r="M299" i="1"/>
  <c r="L299" i="1"/>
  <c r="CY299" i="1"/>
  <c r="Q299" i="1"/>
  <c r="R299" i="1"/>
  <c r="CX299" i="1"/>
  <c r="J299" i="1"/>
  <c r="CW299" i="1"/>
  <c r="BN299" i="1"/>
  <c r="BM299" i="1"/>
  <c r="DM334" i="1"/>
  <c r="DE334" i="1"/>
  <c r="M334" i="1"/>
  <c r="L334" i="1"/>
  <c r="CY334" i="1"/>
  <c r="Q334" i="1"/>
  <c r="R334" i="1"/>
  <c r="CX334" i="1"/>
  <c r="J334" i="1"/>
  <c r="CW334" i="1"/>
  <c r="BN334" i="1"/>
  <c r="BM334" i="1"/>
  <c r="DM333" i="1"/>
  <c r="DE333" i="1"/>
  <c r="M333" i="1"/>
  <c r="L333" i="1"/>
  <c r="CY333" i="1"/>
  <c r="Q333" i="1"/>
  <c r="R333" i="1"/>
  <c r="CX333" i="1"/>
  <c r="J333" i="1"/>
  <c r="CW333" i="1"/>
  <c r="BN333" i="1"/>
  <c r="BM333" i="1"/>
  <c r="DM421" i="1"/>
  <c r="DE421" i="1"/>
  <c r="M421" i="1"/>
  <c r="L421" i="1"/>
  <c r="CY421" i="1"/>
  <c r="Q421" i="1"/>
  <c r="R421" i="1"/>
  <c r="CX421" i="1"/>
  <c r="J421" i="1"/>
  <c r="CW421" i="1"/>
  <c r="BN421" i="1"/>
  <c r="BM421" i="1"/>
  <c r="DM342" i="1"/>
  <c r="DE342" i="1"/>
  <c r="M342" i="1"/>
  <c r="L342" i="1"/>
  <c r="CY342" i="1"/>
  <c r="Q342" i="1"/>
  <c r="R342" i="1"/>
  <c r="CX342" i="1"/>
  <c r="J342" i="1"/>
  <c r="CW342" i="1"/>
  <c r="BN342" i="1"/>
  <c r="BM342" i="1"/>
  <c r="DM343" i="1"/>
  <c r="DE343" i="1"/>
  <c r="M343" i="1"/>
  <c r="L343" i="1"/>
  <c r="CY343" i="1"/>
  <c r="Q343" i="1"/>
  <c r="R343" i="1"/>
  <c r="CX343" i="1"/>
  <c r="J343" i="1"/>
  <c r="CW343" i="1"/>
  <c r="BN343" i="1"/>
  <c r="BM343" i="1"/>
  <c r="DM1460" i="1"/>
  <c r="DE1460" i="1"/>
  <c r="M1460" i="1"/>
  <c r="L1460" i="1"/>
  <c r="CY1460" i="1"/>
  <c r="Q1460" i="1"/>
  <c r="R1460" i="1"/>
  <c r="CX1460" i="1"/>
  <c r="J1460" i="1"/>
  <c r="CW1460" i="1"/>
  <c r="BN1460" i="1"/>
  <c r="BM1460" i="1"/>
  <c r="DM1459" i="1"/>
  <c r="DE1459" i="1"/>
  <c r="M1459" i="1"/>
  <c r="L1459" i="1"/>
  <c r="CY1459" i="1"/>
  <c r="Q1459" i="1"/>
  <c r="R1459" i="1"/>
  <c r="CX1459" i="1"/>
  <c r="J1459" i="1"/>
  <c r="CW1459" i="1"/>
  <c r="BN1459" i="1"/>
  <c r="BM1459" i="1"/>
  <c r="DM420" i="1"/>
  <c r="DE420" i="1"/>
  <c r="M420" i="1"/>
  <c r="L420" i="1"/>
  <c r="CY420" i="1"/>
  <c r="Q420" i="1"/>
  <c r="R420" i="1"/>
  <c r="CX420" i="1"/>
  <c r="J420" i="1"/>
  <c r="CW420" i="1"/>
  <c r="BN420" i="1"/>
  <c r="BM420" i="1"/>
  <c r="DM484" i="1"/>
  <c r="M484" i="1"/>
  <c r="L484" i="1"/>
  <c r="CY484" i="1"/>
  <c r="R484" i="1"/>
  <c r="CX484" i="1"/>
  <c r="J484" i="1"/>
  <c r="BN484" i="1"/>
  <c r="BM484" i="1"/>
  <c r="DM1387" i="1"/>
  <c r="M1387" i="1"/>
  <c r="L1387" i="1"/>
  <c r="CY1387" i="1"/>
  <c r="R1387" i="1"/>
  <c r="CX1387" i="1"/>
  <c r="J1387" i="1"/>
  <c r="BN1387" i="1"/>
  <c r="BM1387" i="1"/>
  <c r="DM1384" i="1"/>
  <c r="M1384" i="1"/>
  <c r="L1384" i="1"/>
  <c r="CY1384" i="1"/>
  <c r="R1384" i="1"/>
  <c r="CX1384" i="1"/>
  <c r="J1384" i="1"/>
  <c r="BN1384" i="1"/>
  <c r="BM1384" i="1"/>
  <c r="DM1383" i="1"/>
  <c r="M1383" i="1"/>
  <c r="L1383" i="1"/>
  <c r="CY1383" i="1"/>
  <c r="R1383" i="1"/>
  <c r="CX1383" i="1"/>
  <c r="J1383" i="1"/>
  <c r="BN1383" i="1"/>
  <c r="BM1383" i="1"/>
  <c r="DM485" i="1"/>
  <c r="M485" i="1"/>
  <c r="L485" i="1"/>
  <c r="CY485" i="1"/>
  <c r="R485" i="1"/>
  <c r="CX485" i="1"/>
  <c r="J485" i="1"/>
  <c r="BN485" i="1"/>
  <c r="BM485" i="1"/>
  <c r="DM416" i="1"/>
  <c r="DE416" i="1"/>
  <c r="M416" i="1"/>
  <c r="L416" i="1"/>
  <c r="CY416" i="1"/>
  <c r="Q416" i="1"/>
  <c r="R416" i="1"/>
  <c r="CX416" i="1"/>
  <c r="J416" i="1"/>
  <c r="CW416" i="1"/>
  <c r="BN416" i="1"/>
  <c r="BM416" i="1"/>
  <c r="DM413" i="1"/>
  <c r="DE413" i="1"/>
  <c r="M413" i="1"/>
  <c r="L413" i="1"/>
  <c r="CY413" i="1"/>
  <c r="Q413" i="1"/>
  <c r="R413" i="1"/>
  <c r="CX413" i="1"/>
  <c r="J413" i="1"/>
  <c r="CW413" i="1"/>
  <c r="BN413" i="1"/>
  <c r="BM413" i="1"/>
  <c r="DE412" i="1"/>
  <c r="M412" i="1"/>
  <c r="L412" i="1"/>
  <c r="CY412" i="1"/>
  <c r="Q412" i="1"/>
  <c r="R412" i="1"/>
  <c r="CX412" i="1"/>
  <c r="J412" i="1"/>
  <c r="CW412" i="1"/>
  <c r="BN412" i="1"/>
  <c r="BM412" i="1"/>
  <c r="DM567" i="1"/>
  <c r="M567" i="1"/>
  <c r="L567" i="1"/>
  <c r="CY567" i="1"/>
  <c r="R567" i="1"/>
  <c r="CX567" i="1"/>
  <c r="J567" i="1"/>
  <c r="BN567" i="1"/>
  <c r="BM567" i="1"/>
  <c r="DM1438" i="1"/>
  <c r="DE1438" i="1"/>
  <c r="M1438" i="1"/>
  <c r="L1438" i="1"/>
  <c r="CY1438" i="1"/>
  <c r="Q1438" i="1"/>
  <c r="R1438" i="1"/>
  <c r="CX1438" i="1"/>
  <c r="J1438" i="1"/>
  <c r="CW1438" i="1"/>
  <c r="BN1438" i="1"/>
  <c r="BM1438" i="1"/>
  <c r="DM307" i="1"/>
  <c r="DE307" i="1"/>
  <c r="M307" i="1"/>
  <c r="L307" i="1"/>
  <c r="CY307" i="1"/>
  <c r="Q307" i="1"/>
  <c r="R307" i="1"/>
  <c r="CX307" i="1"/>
  <c r="J307" i="1"/>
  <c r="CW307" i="1"/>
  <c r="BN307" i="1"/>
  <c r="BM307" i="1"/>
  <c r="DM308" i="1"/>
  <c r="DE308" i="1"/>
  <c r="M308" i="1"/>
  <c r="L308" i="1"/>
  <c r="CY308" i="1"/>
  <c r="Q308" i="1"/>
  <c r="R308" i="1"/>
  <c r="CX308" i="1"/>
  <c r="J308" i="1"/>
  <c r="CW308" i="1"/>
  <c r="BN308" i="1"/>
  <c r="BM308" i="1"/>
  <c r="DM354" i="1"/>
  <c r="DE354" i="1"/>
  <c r="M354" i="1"/>
  <c r="L354" i="1"/>
  <c r="CY354" i="1"/>
  <c r="Q354" i="1"/>
  <c r="R354" i="1"/>
  <c r="CX354" i="1"/>
  <c r="J354" i="1"/>
  <c r="CW354" i="1"/>
  <c r="BN354" i="1"/>
  <c r="BM354" i="1"/>
  <c r="DM410" i="1"/>
  <c r="DE410" i="1"/>
  <c r="M410" i="1"/>
  <c r="L410" i="1"/>
  <c r="CY410" i="1"/>
  <c r="Q410" i="1"/>
  <c r="R410" i="1"/>
  <c r="CX410" i="1"/>
  <c r="J410" i="1"/>
  <c r="CW410" i="1"/>
  <c r="BN410" i="1"/>
  <c r="BM410" i="1"/>
  <c r="DM1418" i="1"/>
  <c r="DE1418" i="1"/>
  <c r="M1418" i="1"/>
  <c r="L1418" i="1"/>
  <c r="CY1418" i="1"/>
  <c r="Q1418" i="1"/>
  <c r="R1418" i="1"/>
  <c r="CX1418" i="1"/>
  <c r="J1418" i="1"/>
  <c r="CW1418" i="1"/>
  <c r="BN1418" i="1"/>
  <c r="BM1418" i="1"/>
  <c r="DM1412" i="1"/>
  <c r="DE1412" i="1"/>
  <c r="M1412" i="1"/>
  <c r="L1412" i="1"/>
  <c r="CY1412" i="1"/>
  <c r="Q1412" i="1"/>
  <c r="R1412" i="1"/>
  <c r="CX1412" i="1"/>
  <c r="J1412" i="1"/>
  <c r="CW1412" i="1"/>
  <c r="BN1412" i="1"/>
  <c r="BM1412" i="1"/>
  <c r="DM1405" i="1"/>
  <c r="DE1405" i="1"/>
  <c r="M1405" i="1"/>
  <c r="L1405" i="1"/>
  <c r="CY1405" i="1"/>
  <c r="Q1405" i="1"/>
  <c r="R1405" i="1"/>
  <c r="CX1405" i="1"/>
  <c r="J1405" i="1"/>
  <c r="CW1405" i="1"/>
  <c r="BN1405" i="1"/>
  <c r="BM1405" i="1"/>
  <c r="DM1403" i="1"/>
  <c r="DE1403" i="1"/>
  <c r="M1403" i="1"/>
  <c r="L1403" i="1"/>
  <c r="CY1403" i="1"/>
  <c r="Q1403" i="1"/>
  <c r="R1403" i="1"/>
  <c r="CX1403" i="1"/>
  <c r="J1403" i="1"/>
  <c r="CW1403" i="1"/>
  <c r="BN1403" i="1"/>
  <c r="BM1403" i="1"/>
  <c r="DM1411" i="1"/>
  <c r="M1411" i="1"/>
  <c r="L1411" i="1"/>
  <c r="CY1411" i="1"/>
  <c r="R1411" i="1"/>
  <c r="CX1411" i="1"/>
  <c r="J1411" i="1"/>
  <c r="BN1411" i="1"/>
  <c r="BM1411" i="1"/>
  <c r="DM407" i="1"/>
  <c r="DE407" i="1"/>
  <c r="M407" i="1"/>
  <c r="L407" i="1"/>
  <c r="CY407" i="1"/>
  <c r="Q407" i="1"/>
  <c r="R407" i="1"/>
  <c r="CX407" i="1"/>
  <c r="J407" i="1"/>
  <c r="CW407" i="1"/>
  <c r="BN407" i="1"/>
  <c r="BM407" i="1"/>
  <c r="DM1426" i="1"/>
  <c r="M1426" i="1"/>
  <c r="L1426" i="1"/>
  <c r="CY1426" i="1"/>
  <c r="R1426" i="1"/>
  <c r="CX1426" i="1"/>
  <c r="J1426" i="1"/>
  <c r="BN1426" i="1"/>
  <c r="BM1426" i="1"/>
  <c r="DM471" i="1"/>
  <c r="M471" i="1"/>
  <c r="L471" i="1"/>
  <c r="CY471" i="1"/>
  <c r="R471" i="1"/>
  <c r="CX471" i="1"/>
  <c r="J471" i="1"/>
  <c r="BN471" i="1"/>
  <c r="BM471" i="1"/>
  <c r="DM398" i="1"/>
  <c r="DE398" i="1"/>
  <c r="M398" i="1"/>
  <c r="L398" i="1"/>
  <c r="CY398" i="1"/>
  <c r="Q398" i="1"/>
  <c r="R398" i="1"/>
  <c r="CX398" i="1"/>
  <c r="J398" i="1"/>
  <c r="CW398" i="1"/>
  <c r="BN398" i="1"/>
  <c r="BM398" i="1"/>
  <c r="DM1400" i="1"/>
  <c r="DE1400" i="1"/>
  <c r="M1400" i="1"/>
  <c r="L1400" i="1"/>
  <c r="CY1400" i="1"/>
  <c r="Q1400" i="1"/>
  <c r="R1400" i="1"/>
  <c r="CX1400" i="1"/>
  <c r="J1400" i="1"/>
  <c r="CW1400" i="1"/>
  <c r="BN1400" i="1"/>
  <c r="BM1400" i="1"/>
  <c r="DM369" i="1"/>
  <c r="DE369" i="1"/>
  <c r="M369" i="1"/>
  <c r="L369" i="1"/>
  <c r="CY369" i="1"/>
  <c r="Q369" i="1"/>
  <c r="R369" i="1"/>
  <c r="CX369" i="1"/>
  <c r="J369" i="1"/>
  <c r="CW369" i="1"/>
  <c r="BN369" i="1"/>
  <c r="BM369" i="1"/>
  <c r="DM1399" i="1"/>
  <c r="DE1399" i="1"/>
  <c r="M1399" i="1"/>
  <c r="L1399" i="1"/>
  <c r="CY1399" i="1"/>
  <c r="Q1399" i="1"/>
  <c r="R1399" i="1"/>
  <c r="CX1399" i="1"/>
  <c r="J1399" i="1"/>
  <c r="CW1399" i="1"/>
  <c r="BN1399" i="1"/>
  <c r="BM1399" i="1"/>
  <c r="DM396" i="1"/>
  <c r="DE396" i="1"/>
  <c r="M396" i="1"/>
  <c r="L396" i="1"/>
  <c r="CY396" i="1"/>
  <c r="Q396" i="1"/>
  <c r="R396" i="1"/>
  <c r="CX396" i="1"/>
  <c r="J396" i="1"/>
  <c r="CW396" i="1"/>
  <c r="BN396" i="1"/>
  <c r="BM396" i="1"/>
  <c r="DM512" i="1"/>
  <c r="M512" i="1"/>
  <c r="L512" i="1"/>
  <c r="CY512" i="1"/>
  <c r="R512" i="1"/>
  <c r="CX512" i="1"/>
  <c r="J512" i="1"/>
  <c r="BN512" i="1"/>
  <c r="BM512" i="1"/>
  <c r="DM376" i="1"/>
  <c r="DE376" i="1"/>
  <c r="M376" i="1"/>
  <c r="L376" i="1"/>
  <c r="CY376" i="1"/>
  <c r="Q376" i="1"/>
  <c r="R376" i="1"/>
  <c r="CX376" i="1"/>
  <c r="J376" i="1"/>
  <c r="CW376" i="1"/>
  <c r="BN376" i="1"/>
  <c r="BM376" i="1"/>
  <c r="DM330" i="1"/>
  <c r="DE330" i="1"/>
  <c r="M330" i="1"/>
  <c r="L330" i="1"/>
  <c r="CY330" i="1"/>
  <c r="Q330" i="1"/>
  <c r="R330" i="1"/>
  <c r="CX330" i="1"/>
  <c r="J330" i="1"/>
  <c r="CW330" i="1"/>
  <c r="BN330" i="1"/>
  <c r="BM330" i="1"/>
  <c r="DM392" i="1"/>
  <c r="DE392" i="1"/>
  <c r="M392" i="1"/>
  <c r="L392" i="1"/>
  <c r="CY392" i="1"/>
  <c r="Q392" i="1"/>
  <c r="R392" i="1"/>
  <c r="CX392" i="1"/>
  <c r="J392" i="1"/>
  <c r="CW392" i="1"/>
  <c r="BN392" i="1"/>
  <c r="BM392" i="1"/>
  <c r="DM385" i="1"/>
  <c r="DE385" i="1"/>
  <c r="M385" i="1"/>
  <c r="L385" i="1"/>
  <c r="CY385" i="1"/>
  <c r="Q385" i="1"/>
  <c r="R385" i="1"/>
  <c r="CX385" i="1"/>
  <c r="J385" i="1"/>
  <c r="CW385" i="1"/>
  <c r="BN385" i="1"/>
  <c r="BM385" i="1"/>
  <c r="DM329" i="1"/>
  <c r="DE329" i="1"/>
  <c r="M329" i="1"/>
  <c r="L329" i="1"/>
  <c r="CY329" i="1"/>
  <c r="Q329" i="1"/>
  <c r="R329" i="1"/>
  <c r="CX329" i="1"/>
  <c r="J329" i="1"/>
  <c r="CW329" i="1"/>
  <c r="BN329" i="1"/>
  <c r="BM329" i="1"/>
  <c r="DM328" i="1"/>
  <c r="DE328" i="1"/>
  <c r="M328" i="1"/>
  <c r="L328" i="1"/>
  <c r="CY328" i="1"/>
  <c r="Q328" i="1"/>
  <c r="R328" i="1"/>
  <c r="CX328" i="1"/>
  <c r="J328" i="1"/>
  <c r="CW328" i="1"/>
  <c r="BN328" i="1"/>
  <c r="BM328" i="1"/>
  <c r="DM327" i="1"/>
  <c r="DE327" i="1"/>
  <c r="M327" i="1"/>
  <c r="L327" i="1"/>
  <c r="CY327" i="1"/>
  <c r="Q327" i="1"/>
  <c r="R327" i="1"/>
  <c r="CX327" i="1"/>
  <c r="J327" i="1"/>
  <c r="CW327" i="1"/>
  <c r="BN327" i="1"/>
  <c r="BM327" i="1"/>
  <c r="DM311" i="1"/>
  <c r="DE311" i="1"/>
  <c r="M311" i="1"/>
  <c r="L311" i="1"/>
  <c r="CY311" i="1"/>
  <c r="Q311" i="1"/>
  <c r="R311" i="1"/>
  <c r="CX311" i="1"/>
  <c r="J311" i="1"/>
  <c r="CW311" i="1"/>
  <c r="BN311" i="1"/>
  <c r="BM311" i="1"/>
  <c r="DM314" i="1"/>
  <c r="DE314" i="1"/>
  <c r="M314" i="1"/>
  <c r="L314" i="1"/>
  <c r="CY314" i="1"/>
  <c r="Q314" i="1"/>
  <c r="R314" i="1"/>
  <c r="CX314" i="1"/>
  <c r="J314" i="1"/>
  <c r="CW314" i="1"/>
  <c r="BN314" i="1"/>
  <c r="BM314" i="1"/>
  <c r="DM1470" i="1"/>
  <c r="M1470" i="1"/>
  <c r="L1470" i="1"/>
  <c r="CY1470" i="1"/>
  <c r="R1470" i="1"/>
  <c r="CX1470" i="1"/>
  <c r="J1470" i="1"/>
  <c r="BN1470" i="1"/>
  <c r="BM1470" i="1"/>
  <c r="DM391" i="1"/>
  <c r="DE391" i="1"/>
  <c r="M391" i="1"/>
  <c r="L391" i="1"/>
  <c r="CY391" i="1"/>
  <c r="Q391" i="1"/>
  <c r="R391" i="1"/>
  <c r="CX391" i="1"/>
  <c r="J391" i="1"/>
  <c r="CW391" i="1"/>
  <c r="BN391" i="1"/>
  <c r="BM391" i="1"/>
  <c r="DE996" i="1"/>
  <c r="M996" i="1"/>
  <c r="L996" i="1"/>
  <c r="CY996" i="1"/>
  <c r="Q996" i="1"/>
  <c r="R996" i="1"/>
  <c r="CX996" i="1"/>
  <c r="J996" i="1"/>
  <c r="CW996" i="1"/>
  <c r="BN996" i="1"/>
  <c r="BM996" i="1"/>
  <c r="DM304" i="1"/>
  <c r="M304" i="1"/>
  <c r="L304" i="1"/>
  <c r="CY304" i="1"/>
  <c r="R304" i="1"/>
  <c r="CX304" i="1"/>
  <c r="J304" i="1"/>
  <c r="BN304" i="1"/>
  <c r="BM304" i="1"/>
  <c r="DM337" i="1"/>
  <c r="DE337" i="1"/>
  <c r="M337" i="1"/>
  <c r="L337" i="1"/>
  <c r="CY337" i="1"/>
  <c r="Q337" i="1"/>
  <c r="R337" i="1"/>
  <c r="CX337" i="1"/>
  <c r="J337" i="1"/>
  <c r="CW337" i="1"/>
  <c r="BN337" i="1"/>
  <c r="BM337" i="1"/>
  <c r="DE995" i="1"/>
  <c r="M995" i="1"/>
  <c r="L995" i="1"/>
  <c r="CY995" i="1"/>
  <c r="Q995" i="1"/>
  <c r="R995" i="1"/>
  <c r="CX995" i="1"/>
  <c r="J995" i="1"/>
  <c r="CW995" i="1"/>
  <c r="BN995" i="1"/>
  <c r="BM995" i="1"/>
  <c r="DM582" i="1"/>
  <c r="DE582" i="1"/>
  <c r="M582" i="1"/>
  <c r="L582" i="1"/>
  <c r="CY582" i="1"/>
  <c r="Q582" i="1"/>
  <c r="R582" i="1"/>
  <c r="CX582" i="1"/>
  <c r="J582" i="1"/>
  <c r="CW582" i="1"/>
  <c r="BN582" i="1"/>
  <c r="BM582" i="1"/>
  <c r="DM323" i="1"/>
  <c r="M323" i="1"/>
  <c r="L323" i="1"/>
  <c r="CY323" i="1"/>
  <c r="R323" i="1"/>
  <c r="CX323" i="1"/>
  <c r="J323" i="1"/>
  <c r="BN323" i="1"/>
  <c r="BM323" i="1"/>
  <c r="DM346" i="1"/>
  <c r="M346" i="1"/>
  <c r="L346" i="1"/>
  <c r="CY346" i="1"/>
  <c r="R346" i="1"/>
  <c r="CX346" i="1"/>
  <c r="J346" i="1"/>
  <c r="BN346" i="1"/>
  <c r="BM346" i="1"/>
  <c r="DM359" i="1"/>
  <c r="M359" i="1"/>
  <c r="L359" i="1"/>
  <c r="CY359" i="1"/>
  <c r="R359" i="1"/>
  <c r="CX359" i="1"/>
  <c r="J359" i="1"/>
  <c r="BN359" i="1"/>
  <c r="BM359" i="1"/>
  <c r="DM379" i="1"/>
  <c r="M379" i="1"/>
  <c r="L379" i="1"/>
  <c r="CY379" i="1"/>
  <c r="R379" i="1"/>
  <c r="CX379" i="1"/>
  <c r="J379" i="1"/>
  <c r="BN379" i="1"/>
  <c r="BM379" i="1"/>
  <c r="DM1256" i="1"/>
  <c r="DE1256" i="1"/>
  <c r="M1256" i="1"/>
  <c r="L1256" i="1"/>
  <c r="CY1256" i="1"/>
  <c r="Q1256" i="1"/>
  <c r="R1256" i="1"/>
  <c r="CX1256" i="1"/>
  <c r="J1256" i="1"/>
  <c r="CW1256" i="1"/>
  <c r="BN1256" i="1"/>
  <c r="BM1256" i="1"/>
  <c r="DM1255" i="1"/>
  <c r="DE1255" i="1"/>
  <c r="M1255" i="1"/>
  <c r="L1255" i="1"/>
  <c r="CY1255" i="1"/>
  <c r="Q1255" i="1"/>
  <c r="R1255" i="1"/>
  <c r="CX1255" i="1"/>
  <c r="J1255" i="1"/>
  <c r="CW1255" i="1"/>
  <c r="BN1255" i="1"/>
  <c r="BM1255" i="1"/>
  <c r="DM1343" i="1"/>
  <c r="M1343" i="1"/>
  <c r="L1343" i="1"/>
  <c r="CY1343" i="1"/>
  <c r="R1343" i="1"/>
  <c r="CX1343" i="1"/>
  <c r="J1343" i="1"/>
  <c r="BN1343" i="1"/>
  <c r="BM1343" i="1"/>
  <c r="DM1320" i="1"/>
  <c r="M1320" i="1"/>
  <c r="L1320" i="1"/>
  <c r="CY1320" i="1"/>
  <c r="R1320" i="1"/>
  <c r="CX1320" i="1"/>
  <c r="J1320" i="1"/>
  <c r="BN1320" i="1"/>
  <c r="BM1320" i="1"/>
  <c r="DM1248" i="1"/>
  <c r="DE1248" i="1"/>
  <c r="M1248" i="1"/>
  <c r="L1248" i="1"/>
  <c r="CY1248" i="1"/>
  <c r="Q1248" i="1"/>
  <c r="R1248" i="1"/>
  <c r="CX1248" i="1"/>
  <c r="J1248" i="1"/>
  <c r="CW1248" i="1"/>
  <c r="BN1248" i="1"/>
  <c r="BM1248" i="1"/>
  <c r="DM1338" i="1"/>
  <c r="DE1338" i="1"/>
  <c r="M1338" i="1"/>
  <c r="L1338" i="1"/>
  <c r="CY1338" i="1"/>
  <c r="Q1338" i="1"/>
  <c r="R1338" i="1"/>
  <c r="CX1338" i="1"/>
  <c r="J1338" i="1"/>
  <c r="CW1338" i="1"/>
  <c r="BN1338" i="1"/>
  <c r="BM1338" i="1"/>
  <c r="DM1068" i="1"/>
  <c r="M1068" i="1"/>
  <c r="L1068" i="1"/>
  <c r="CY1068" i="1"/>
  <c r="R1068" i="1"/>
  <c r="CX1068" i="1"/>
  <c r="J1068" i="1"/>
  <c r="BN1068" i="1"/>
  <c r="BM1068" i="1"/>
  <c r="DM1078" i="1"/>
  <c r="M1078" i="1"/>
  <c r="L1078" i="1"/>
  <c r="CY1078" i="1"/>
  <c r="R1078" i="1"/>
  <c r="CX1078" i="1"/>
  <c r="J1078" i="1"/>
  <c r="BN1078" i="1"/>
  <c r="BM1078" i="1"/>
  <c r="DM1066" i="1"/>
  <c r="M1066" i="1"/>
  <c r="L1066" i="1"/>
  <c r="CY1066" i="1"/>
  <c r="R1066" i="1"/>
  <c r="CX1066" i="1"/>
  <c r="J1066" i="1"/>
  <c r="BN1066" i="1"/>
  <c r="BM1066" i="1"/>
  <c r="DM1344" i="1"/>
  <c r="DE1344" i="1"/>
  <c r="M1344" i="1"/>
  <c r="L1344" i="1"/>
  <c r="CY1344" i="1"/>
  <c r="Q1344" i="1"/>
  <c r="R1344" i="1"/>
  <c r="CX1344" i="1"/>
  <c r="J1344" i="1"/>
  <c r="CW1344" i="1"/>
  <c r="BN1344" i="1"/>
  <c r="BM1344" i="1"/>
  <c r="DM1145" i="1"/>
  <c r="DE1145" i="1"/>
  <c r="M1145" i="1"/>
  <c r="L1145" i="1"/>
  <c r="CY1145" i="1"/>
  <c r="Q1145" i="1"/>
  <c r="R1145" i="1"/>
  <c r="CX1145" i="1"/>
  <c r="J1145" i="1"/>
  <c r="CW1145" i="1"/>
  <c r="BN1145" i="1"/>
  <c r="BM1145" i="1"/>
  <c r="DM1321" i="1"/>
  <c r="DE1321" i="1"/>
  <c r="M1321" i="1"/>
  <c r="L1321" i="1"/>
  <c r="CY1321" i="1"/>
  <c r="Q1321" i="1"/>
  <c r="R1321" i="1"/>
  <c r="CX1321" i="1"/>
  <c r="J1321" i="1"/>
  <c r="CW1321" i="1"/>
  <c r="BN1321" i="1"/>
  <c r="BM1321" i="1"/>
  <c r="DM1443" i="1"/>
  <c r="M1443" i="1"/>
  <c r="L1443" i="1"/>
  <c r="CY1443" i="1"/>
  <c r="R1443" i="1"/>
  <c r="CX1443" i="1"/>
  <c r="J1443" i="1"/>
  <c r="BN1443" i="1"/>
  <c r="BM1443" i="1"/>
  <c r="DM1346" i="1"/>
  <c r="M1346" i="1"/>
  <c r="L1346" i="1"/>
  <c r="CY1346" i="1"/>
  <c r="R1346" i="1"/>
  <c r="CX1346" i="1"/>
  <c r="J1346" i="1"/>
  <c r="BN1346" i="1"/>
  <c r="BM1346" i="1"/>
  <c r="DM1340" i="1"/>
  <c r="M1340" i="1"/>
  <c r="L1340" i="1"/>
  <c r="CY1340" i="1"/>
  <c r="R1340" i="1"/>
  <c r="CX1340" i="1"/>
  <c r="J1340" i="1"/>
  <c r="BN1340" i="1"/>
  <c r="BM1340" i="1"/>
  <c r="DM1063" i="1"/>
  <c r="DE1063" i="1"/>
  <c r="M1063" i="1"/>
  <c r="L1063" i="1"/>
  <c r="CY1063" i="1"/>
  <c r="Q1063" i="1"/>
  <c r="R1063" i="1"/>
  <c r="CX1063" i="1"/>
  <c r="J1063" i="1"/>
  <c r="CW1063" i="1"/>
  <c r="BN1063" i="1"/>
  <c r="BM1063" i="1"/>
  <c r="DM1069" i="1"/>
  <c r="DE1069" i="1"/>
  <c r="M1069" i="1"/>
  <c r="L1069" i="1"/>
  <c r="CY1069" i="1"/>
  <c r="Q1069" i="1"/>
  <c r="R1069" i="1"/>
  <c r="CX1069" i="1"/>
  <c r="J1069" i="1"/>
  <c r="CW1069" i="1"/>
  <c r="BN1069" i="1"/>
  <c r="BM1069" i="1"/>
  <c r="DM1073" i="1"/>
  <c r="DE1073" i="1"/>
  <c r="M1073" i="1"/>
  <c r="L1073" i="1"/>
  <c r="CY1073" i="1"/>
  <c r="Q1073" i="1"/>
  <c r="R1073" i="1"/>
  <c r="CX1073" i="1"/>
  <c r="J1073" i="1"/>
  <c r="CW1073" i="1"/>
  <c r="BN1073" i="1"/>
  <c r="BM1073" i="1"/>
  <c r="DM1070" i="1"/>
  <c r="DE1070" i="1"/>
  <c r="M1070" i="1"/>
  <c r="L1070" i="1"/>
  <c r="CY1070" i="1"/>
  <c r="Q1070" i="1"/>
  <c r="R1070" i="1"/>
  <c r="CX1070" i="1"/>
  <c r="J1070" i="1"/>
  <c r="CW1070" i="1"/>
  <c r="BN1070" i="1"/>
  <c r="BM1070" i="1"/>
  <c r="DM1074" i="1"/>
  <c r="DE1074" i="1"/>
  <c r="M1074" i="1"/>
  <c r="L1074" i="1"/>
  <c r="CY1074" i="1"/>
  <c r="Q1074" i="1"/>
  <c r="R1074" i="1"/>
  <c r="CX1074" i="1"/>
  <c r="J1074" i="1"/>
  <c r="CW1074" i="1"/>
  <c r="BN1074" i="1"/>
  <c r="BM1074" i="1"/>
  <c r="DM1246" i="1"/>
  <c r="DE1246" i="1"/>
  <c r="M1246" i="1"/>
  <c r="L1246" i="1"/>
  <c r="CY1246" i="1"/>
  <c r="Q1246" i="1"/>
  <c r="R1246" i="1"/>
  <c r="CX1246" i="1"/>
  <c r="J1246" i="1"/>
  <c r="CW1246" i="1"/>
  <c r="BN1246" i="1"/>
  <c r="BM1246" i="1"/>
  <c r="DM1075" i="1"/>
  <c r="M1075" i="1"/>
  <c r="L1075" i="1"/>
  <c r="CY1075" i="1"/>
  <c r="R1075" i="1"/>
  <c r="CX1075" i="1"/>
  <c r="J1075" i="1"/>
  <c r="BN1075" i="1"/>
  <c r="BM1075" i="1"/>
  <c r="DM1260" i="1"/>
  <c r="M1260" i="1"/>
  <c r="L1260" i="1"/>
  <c r="CY1260" i="1"/>
  <c r="R1260" i="1"/>
  <c r="CX1260" i="1"/>
  <c r="J1260" i="1"/>
  <c r="BN1260" i="1"/>
  <c r="BM1260" i="1"/>
  <c r="DM1218" i="1"/>
  <c r="DE1218" i="1"/>
  <c r="M1218" i="1"/>
  <c r="L1218" i="1"/>
  <c r="CY1218" i="1"/>
  <c r="Q1218" i="1"/>
  <c r="R1218" i="1"/>
  <c r="CX1218" i="1"/>
  <c r="J1218" i="1"/>
  <c r="CW1218" i="1"/>
  <c r="BN1218" i="1"/>
  <c r="BM1218" i="1"/>
  <c r="DM1219" i="1"/>
  <c r="DE1219" i="1"/>
  <c r="M1219" i="1"/>
  <c r="L1219" i="1"/>
  <c r="CY1219" i="1"/>
  <c r="Q1219" i="1"/>
  <c r="R1219" i="1"/>
  <c r="CX1219" i="1"/>
  <c r="J1219" i="1"/>
  <c r="CW1219" i="1"/>
  <c r="BN1219" i="1"/>
  <c r="BM1219" i="1"/>
  <c r="DM1263" i="1"/>
  <c r="M1263" i="1"/>
  <c r="L1263" i="1"/>
  <c r="CY1263" i="1"/>
  <c r="R1263" i="1"/>
  <c r="CX1263" i="1"/>
  <c r="J1263" i="1"/>
  <c r="BN1263" i="1"/>
  <c r="BM1263" i="1"/>
  <c r="DM1243" i="1"/>
  <c r="M1243" i="1"/>
  <c r="L1243" i="1"/>
  <c r="CY1243" i="1"/>
  <c r="R1243" i="1"/>
  <c r="CX1243" i="1"/>
  <c r="J1243" i="1"/>
  <c r="BN1243" i="1"/>
  <c r="BM1243" i="1"/>
  <c r="DM1064" i="1"/>
  <c r="M1064" i="1"/>
  <c r="L1064" i="1"/>
  <c r="CY1064" i="1"/>
  <c r="R1064" i="1"/>
  <c r="CX1064" i="1"/>
  <c r="J1064" i="1"/>
  <c r="BN1064" i="1"/>
  <c r="BM1064" i="1"/>
  <c r="DM1262" i="1"/>
  <c r="DE1262" i="1"/>
  <c r="M1262" i="1"/>
  <c r="L1262" i="1"/>
  <c r="CY1262" i="1"/>
  <c r="Q1262" i="1"/>
  <c r="R1262" i="1"/>
  <c r="CX1262" i="1"/>
  <c r="J1262" i="1"/>
  <c r="CW1262" i="1"/>
  <c r="BN1262" i="1"/>
  <c r="BM1262" i="1"/>
  <c r="DM1311" i="1"/>
  <c r="M1311" i="1"/>
  <c r="L1311" i="1"/>
  <c r="CY1311" i="1"/>
  <c r="R1311" i="1"/>
  <c r="CX1311" i="1"/>
  <c r="J1311" i="1"/>
  <c r="BN1311" i="1"/>
  <c r="BM1311" i="1"/>
  <c r="DM1258" i="1"/>
  <c r="DE1258" i="1"/>
  <c r="M1258" i="1"/>
  <c r="L1258" i="1"/>
  <c r="CY1258" i="1"/>
  <c r="Q1258" i="1"/>
  <c r="R1258" i="1"/>
  <c r="CX1258" i="1"/>
  <c r="J1258" i="1"/>
  <c r="CW1258" i="1"/>
  <c r="BN1258" i="1"/>
  <c r="BM1258" i="1"/>
  <c r="DM267" i="1"/>
  <c r="DE267" i="1"/>
  <c r="M267" i="1"/>
  <c r="L267" i="1"/>
  <c r="CY267" i="1"/>
  <c r="Q267" i="1"/>
  <c r="R267" i="1"/>
  <c r="CX267" i="1"/>
  <c r="J267" i="1"/>
  <c r="CW267" i="1"/>
  <c r="BN267" i="1"/>
  <c r="BM267" i="1"/>
  <c r="DM257" i="1"/>
  <c r="DE257" i="1"/>
  <c r="M257" i="1"/>
  <c r="L257" i="1"/>
  <c r="CY257" i="1"/>
  <c r="Q257" i="1"/>
  <c r="R257" i="1"/>
  <c r="CX257" i="1"/>
  <c r="J257" i="1"/>
  <c r="CW257" i="1"/>
  <c r="BN257" i="1"/>
  <c r="BM257" i="1"/>
  <c r="DM268" i="1"/>
  <c r="DE268" i="1"/>
  <c r="M268" i="1"/>
  <c r="L268" i="1"/>
  <c r="CY268" i="1"/>
  <c r="Q268" i="1"/>
  <c r="R268" i="1"/>
  <c r="CX268" i="1"/>
  <c r="J268" i="1"/>
  <c r="CW268" i="1"/>
  <c r="BN268" i="1"/>
  <c r="BM268" i="1"/>
  <c r="DM20" i="1"/>
  <c r="DE20" i="1"/>
  <c r="M20" i="1"/>
  <c r="L20" i="1"/>
  <c r="CY20" i="1"/>
  <c r="Q20" i="1"/>
  <c r="R20" i="1"/>
  <c r="CX20" i="1"/>
  <c r="J20" i="1"/>
  <c r="CW20" i="1"/>
  <c r="BN20" i="1"/>
  <c r="BM20" i="1"/>
  <c r="DM1454" i="1"/>
  <c r="DE1454" i="1"/>
  <c r="M1454" i="1"/>
  <c r="L1454" i="1"/>
  <c r="CY1454" i="1"/>
  <c r="Q1454" i="1"/>
  <c r="R1454" i="1"/>
  <c r="CX1454" i="1"/>
  <c r="J1454" i="1"/>
  <c r="CW1454" i="1"/>
  <c r="BN1454" i="1"/>
  <c r="BM1454" i="1"/>
  <c r="DM1453" i="1"/>
  <c r="DE1453" i="1"/>
  <c r="M1453" i="1"/>
  <c r="L1453" i="1"/>
  <c r="CY1453" i="1"/>
  <c r="Q1453" i="1"/>
  <c r="R1453" i="1"/>
  <c r="CX1453" i="1"/>
  <c r="J1453" i="1"/>
  <c r="CW1453" i="1"/>
  <c r="BN1453" i="1"/>
  <c r="BM1453" i="1"/>
  <c r="DM1448" i="1"/>
  <c r="DE1448" i="1"/>
  <c r="M1448" i="1"/>
  <c r="L1448" i="1"/>
  <c r="CY1448" i="1"/>
  <c r="Q1448" i="1"/>
  <c r="R1448" i="1"/>
  <c r="CX1448" i="1"/>
  <c r="J1448" i="1"/>
  <c r="CW1448" i="1"/>
  <c r="BN1448" i="1"/>
  <c r="BM1448" i="1"/>
  <c r="DM1449" i="1"/>
  <c r="M1449" i="1"/>
  <c r="L1449" i="1"/>
  <c r="CY1449" i="1"/>
  <c r="R1449" i="1"/>
  <c r="CX1449" i="1"/>
  <c r="J1449" i="1"/>
  <c r="BN1449" i="1"/>
  <c r="BM1449" i="1"/>
  <c r="DM1446" i="1"/>
  <c r="M1446" i="1"/>
  <c r="L1446" i="1"/>
  <c r="CY1446" i="1"/>
  <c r="R1446" i="1"/>
  <c r="CX1446" i="1"/>
  <c r="J1446" i="1"/>
  <c r="BN1446" i="1"/>
  <c r="BM1446" i="1"/>
  <c r="DM1455" i="1"/>
  <c r="DE1455" i="1"/>
  <c r="M1455" i="1"/>
  <c r="L1455" i="1"/>
  <c r="CY1455" i="1"/>
  <c r="Q1455" i="1"/>
  <c r="R1455" i="1"/>
  <c r="CX1455" i="1"/>
  <c r="J1455" i="1"/>
  <c r="CW1455" i="1"/>
  <c r="BN1455" i="1"/>
  <c r="BM1455" i="1"/>
  <c r="DM1447" i="1"/>
  <c r="M1447" i="1"/>
  <c r="L1447" i="1"/>
  <c r="CY1447" i="1"/>
  <c r="R1447" i="1"/>
  <c r="CX1447" i="1"/>
  <c r="J1447" i="1"/>
  <c r="BN1447" i="1"/>
  <c r="BM1447" i="1"/>
  <c r="DM1445" i="1"/>
  <c r="M1445" i="1"/>
  <c r="L1445" i="1"/>
  <c r="CY1445" i="1"/>
  <c r="R1445" i="1"/>
  <c r="CX1445" i="1"/>
  <c r="J1445" i="1"/>
  <c r="BN1445" i="1"/>
  <c r="BM1445" i="1"/>
  <c r="DM1444" i="1"/>
  <c r="M1444" i="1"/>
  <c r="L1444" i="1"/>
  <c r="CY1444" i="1"/>
  <c r="R1444" i="1"/>
  <c r="CX1444" i="1"/>
  <c r="J1444" i="1"/>
  <c r="BN1444" i="1"/>
  <c r="BM1444" i="1"/>
  <c r="DM1452" i="1"/>
  <c r="DE1452" i="1"/>
  <c r="M1452" i="1"/>
  <c r="L1452" i="1"/>
  <c r="CY1452" i="1"/>
  <c r="Q1452" i="1"/>
  <c r="R1452" i="1"/>
  <c r="CX1452" i="1"/>
  <c r="J1452" i="1"/>
  <c r="CW1452" i="1"/>
  <c r="BN1452" i="1"/>
  <c r="BM1452" i="1"/>
  <c r="DM1450" i="1"/>
  <c r="M1450" i="1"/>
  <c r="L1450" i="1"/>
  <c r="CY1450" i="1"/>
  <c r="R1450" i="1"/>
  <c r="CX1450" i="1"/>
  <c r="J1450" i="1"/>
  <c r="BN1450" i="1"/>
  <c r="BM1450" i="1"/>
  <c r="DM1451" i="1"/>
  <c r="DE1451" i="1"/>
  <c r="M1451" i="1"/>
  <c r="L1451" i="1"/>
  <c r="CY1451" i="1"/>
  <c r="Q1451" i="1"/>
  <c r="R1451" i="1"/>
  <c r="CX1451" i="1"/>
  <c r="J1451" i="1"/>
  <c r="CW1451" i="1"/>
  <c r="BN1451" i="1"/>
  <c r="BM1451" i="1"/>
  <c r="DM283" i="1"/>
  <c r="DE283" i="1"/>
  <c r="M283" i="1"/>
  <c r="L283" i="1"/>
  <c r="CY283" i="1"/>
  <c r="Q283" i="1"/>
  <c r="R283" i="1"/>
  <c r="CX283" i="1"/>
  <c r="J283" i="1"/>
  <c r="CW283" i="1"/>
  <c r="BN283" i="1"/>
  <c r="BM283" i="1"/>
  <c r="DM290" i="1"/>
  <c r="DE290" i="1"/>
  <c r="M290" i="1"/>
  <c r="L290" i="1"/>
  <c r="CY290" i="1"/>
  <c r="Q290" i="1"/>
  <c r="R290" i="1"/>
  <c r="CX290" i="1"/>
  <c r="J290" i="1"/>
  <c r="CW290" i="1"/>
  <c r="BN290" i="1"/>
  <c r="BM290" i="1"/>
  <c r="DM1229" i="1"/>
  <c r="M1229" i="1"/>
  <c r="L1229" i="1"/>
  <c r="CY1229" i="1"/>
  <c r="R1229" i="1"/>
  <c r="CX1229" i="1"/>
  <c r="J1229" i="1"/>
  <c r="BN1229" i="1"/>
  <c r="BM1229" i="1"/>
  <c r="DM279" i="1"/>
  <c r="DE279" i="1"/>
  <c r="M279" i="1"/>
  <c r="L279" i="1"/>
  <c r="CY279" i="1"/>
  <c r="Q279" i="1"/>
  <c r="R279" i="1"/>
  <c r="CX279" i="1"/>
  <c r="J279" i="1"/>
  <c r="CW279" i="1"/>
  <c r="BN279" i="1"/>
  <c r="BM279" i="1"/>
  <c r="DM506" i="1"/>
  <c r="DE506" i="1"/>
  <c r="M506" i="1"/>
  <c r="L506" i="1"/>
  <c r="CY506" i="1"/>
  <c r="Q506" i="1"/>
  <c r="R506" i="1"/>
  <c r="CX506" i="1"/>
  <c r="J506" i="1"/>
  <c r="CW506" i="1"/>
  <c r="BN506" i="1"/>
  <c r="BM506" i="1"/>
  <c r="DM281" i="1"/>
  <c r="DE281" i="1"/>
  <c r="M281" i="1"/>
  <c r="L281" i="1"/>
  <c r="CY281" i="1"/>
  <c r="Q281" i="1"/>
  <c r="R281" i="1"/>
  <c r="CX281" i="1"/>
  <c r="J281" i="1"/>
  <c r="CW281" i="1"/>
  <c r="BN281" i="1"/>
  <c r="BM281" i="1"/>
  <c r="DE277" i="1"/>
  <c r="M277" i="1"/>
  <c r="L277" i="1"/>
  <c r="CY277" i="1"/>
  <c r="Q277" i="1"/>
  <c r="R277" i="1"/>
  <c r="CX277" i="1"/>
  <c r="J277" i="1"/>
  <c r="CW277" i="1"/>
  <c r="BN277" i="1"/>
  <c r="BM277" i="1"/>
  <c r="DM275" i="1"/>
  <c r="DE275" i="1"/>
  <c r="M275" i="1"/>
  <c r="L275" i="1"/>
  <c r="CY275" i="1"/>
  <c r="Q275" i="1"/>
  <c r="R275" i="1"/>
  <c r="CX275" i="1"/>
  <c r="J275" i="1"/>
  <c r="CW275" i="1"/>
  <c r="BN275" i="1"/>
  <c r="BM275" i="1"/>
  <c r="DM1227" i="1"/>
  <c r="M1227" i="1"/>
  <c r="L1227" i="1"/>
  <c r="CY1227" i="1"/>
  <c r="R1227" i="1"/>
  <c r="CX1227" i="1"/>
  <c r="J1227" i="1"/>
  <c r="BN1227" i="1"/>
  <c r="BM1227" i="1"/>
  <c r="DM1228" i="1"/>
  <c r="M1228" i="1"/>
  <c r="L1228" i="1"/>
  <c r="CY1228" i="1"/>
  <c r="R1228" i="1"/>
  <c r="CX1228" i="1"/>
  <c r="J1228" i="1"/>
  <c r="BN1228" i="1"/>
  <c r="BM1228" i="1"/>
  <c r="DM1143" i="1"/>
  <c r="DE1143" i="1"/>
  <c r="M1143" i="1"/>
  <c r="L1143" i="1"/>
  <c r="CY1143" i="1"/>
  <c r="Q1143" i="1"/>
  <c r="R1143" i="1"/>
  <c r="CX1143" i="1"/>
  <c r="J1143" i="1"/>
  <c r="CW1143" i="1"/>
  <c r="BN1143" i="1"/>
  <c r="BM1143" i="1"/>
  <c r="DM3" i="1"/>
  <c r="M3" i="1"/>
  <c r="L3" i="1"/>
  <c r="CY3" i="1"/>
  <c r="R3" i="1"/>
  <c r="CX3" i="1"/>
  <c r="J3" i="1"/>
  <c r="BN3" i="1"/>
  <c r="BM3" i="1"/>
  <c r="DM260" i="1"/>
  <c r="M260" i="1"/>
  <c r="L260" i="1"/>
  <c r="CY260" i="1"/>
  <c r="R260" i="1"/>
  <c r="CX260" i="1"/>
  <c r="J260" i="1"/>
  <c r="BN260" i="1"/>
  <c r="BM260" i="1"/>
  <c r="DM1376" i="1"/>
  <c r="M1376" i="1"/>
  <c r="L1376" i="1"/>
  <c r="CY1376" i="1"/>
  <c r="R1376" i="1"/>
  <c r="CX1376" i="1"/>
  <c r="J1376" i="1"/>
  <c r="BN1376" i="1"/>
  <c r="BM1376" i="1"/>
  <c r="DM297" i="1"/>
  <c r="M297" i="1"/>
  <c r="L297" i="1"/>
  <c r="CY297" i="1"/>
  <c r="R297" i="1"/>
  <c r="CX297" i="1"/>
  <c r="J297" i="1"/>
  <c r="BN297" i="1"/>
  <c r="BM297" i="1"/>
  <c r="DM450" i="1"/>
  <c r="M450" i="1"/>
  <c r="L450" i="1"/>
  <c r="CY450" i="1"/>
  <c r="R450" i="1"/>
  <c r="CX450" i="1"/>
  <c r="J450" i="1"/>
  <c r="BN450" i="1"/>
  <c r="BM450" i="1"/>
  <c r="DM1052" i="1"/>
  <c r="M1052" i="1"/>
  <c r="L1052" i="1"/>
  <c r="CY1052" i="1"/>
  <c r="R1052" i="1"/>
  <c r="CX1052" i="1"/>
  <c r="J1052" i="1"/>
  <c r="BN1052" i="1"/>
  <c r="BM1052" i="1"/>
  <c r="DM259" i="1"/>
  <c r="M259" i="1"/>
  <c r="L259" i="1"/>
  <c r="CY259" i="1"/>
  <c r="R259" i="1"/>
  <c r="CX259" i="1"/>
  <c r="J259" i="1"/>
  <c r="BN259" i="1"/>
  <c r="BM259" i="1"/>
  <c r="DM1341" i="1"/>
  <c r="M1341" i="1"/>
  <c r="L1341" i="1"/>
  <c r="CY1341" i="1"/>
  <c r="R1341" i="1"/>
  <c r="CX1341" i="1"/>
  <c r="J1341" i="1"/>
  <c r="BN1341" i="1"/>
  <c r="BM1341" i="1"/>
  <c r="DM280" i="1"/>
  <c r="DE280" i="1"/>
  <c r="M280" i="1"/>
  <c r="L280" i="1"/>
  <c r="CY280" i="1"/>
  <c r="Q280" i="1"/>
  <c r="R280" i="1"/>
  <c r="CX280" i="1"/>
  <c r="J280" i="1"/>
  <c r="CW280" i="1"/>
  <c r="BN280" i="1"/>
  <c r="BM280" i="1"/>
  <c r="DM1129" i="1"/>
  <c r="DE1129" i="1"/>
  <c r="M1129" i="1"/>
  <c r="L1129" i="1"/>
  <c r="CY1129" i="1"/>
  <c r="Q1129" i="1"/>
  <c r="R1129" i="1"/>
  <c r="CX1129" i="1"/>
  <c r="J1129" i="1"/>
  <c r="CW1129" i="1"/>
  <c r="BN1129" i="1"/>
  <c r="BM1129" i="1"/>
  <c r="DM1039" i="1"/>
  <c r="M1039" i="1"/>
  <c r="L1039" i="1"/>
  <c r="CY1039" i="1"/>
  <c r="R1039" i="1"/>
  <c r="CX1039" i="1"/>
  <c r="J1039" i="1"/>
  <c r="BN1039" i="1"/>
  <c r="BM1039" i="1"/>
  <c r="DM1044" i="1"/>
  <c r="M1044" i="1"/>
  <c r="L1044" i="1"/>
  <c r="CY1044" i="1"/>
  <c r="R1044" i="1"/>
  <c r="CX1044" i="1"/>
  <c r="J1044" i="1"/>
  <c r="BN1044" i="1"/>
  <c r="BM1044" i="1"/>
  <c r="DM296" i="1"/>
  <c r="M296" i="1"/>
  <c r="L296" i="1"/>
  <c r="CY296" i="1"/>
  <c r="R296" i="1"/>
  <c r="CX296" i="1"/>
  <c r="J296" i="1"/>
  <c r="BN296" i="1"/>
  <c r="BM296" i="1"/>
  <c r="DM1046" i="1"/>
  <c r="M1046" i="1"/>
  <c r="L1046" i="1"/>
  <c r="CY1046" i="1"/>
  <c r="R1046" i="1"/>
  <c r="CX1046" i="1"/>
  <c r="J1046" i="1"/>
  <c r="BN1046" i="1"/>
  <c r="BM1046" i="1"/>
  <c r="DM1047" i="1"/>
  <c r="M1047" i="1"/>
  <c r="L1047" i="1"/>
  <c r="CY1047" i="1"/>
  <c r="R1047" i="1"/>
  <c r="CX1047" i="1"/>
  <c r="J1047" i="1"/>
  <c r="BN1047" i="1"/>
  <c r="BM1047" i="1"/>
  <c r="DM998" i="1"/>
  <c r="DE998" i="1"/>
  <c r="M998" i="1"/>
  <c r="L998" i="1"/>
  <c r="CY998" i="1"/>
  <c r="Q998" i="1"/>
  <c r="R998" i="1"/>
  <c r="CX998" i="1"/>
  <c r="J998" i="1"/>
  <c r="CW998" i="1"/>
  <c r="BN998" i="1"/>
  <c r="BM998" i="1"/>
  <c r="DE1001" i="1"/>
  <c r="M1001" i="1"/>
  <c r="L1001" i="1"/>
  <c r="CY1001" i="1"/>
  <c r="Q1001" i="1"/>
  <c r="R1001" i="1"/>
  <c r="CX1001" i="1"/>
  <c r="J1001" i="1"/>
  <c r="CW1001" i="1"/>
  <c r="BN1001" i="1"/>
  <c r="BM1001" i="1"/>
  <c r="DM271" i="1"/>
  <c r="DE271" i="1"/>
  <c r="M271" i="1"/>
  <c r="L271" i="1"/>
  <c r="CY271" i="1"/>
  <c r="Q271" i="1"/>
  <c r="R271" i="1"/>
  <c r="CX271" i="1"/>
  <c r="J271" i="1"/>
  <c r="CW271" i="1"/>
  <c r="BN271" i="1"/>
  <c r="BM271" i="1"/>
  <c r="DM1200" i="1"/>
  <c r="DE1200" i="1"/>
  <c r="M1200" i="1"/>
  <c r="L1200" i="1"/>
  <c r="CY1200" i="1"/>
  <c r="Q1200" i="1"/>
  <c r="R1200" i="1"/>
  <c r="CX1200" i="1"/>
  <c r="J1200" i="1"/>
  <c r="CW1200" i="1"/>
  <c r="BN1200" i="1"/>
  <c r="BM1200" i="1"/>
  <c r="DM239" i="1"/>
  <c r="DE239" i="1"/>
  <c r="M239" i="1"/>
  <c r="L239" i="1"/>
  <c r="CY239" i="1"/>
  <c r="Q239" i="1"/>
  <c r="R239" i="1"/>
  <c r="CX239" i="1"/>
  <c r="J239" i="1"/>
  <c r="CW239" i="1"/>
  <c r="BN239" i="1"/>
  <c r="BM239" i="1"/>
  <c r="DM254" i="1"/>
  <c r="DE254" i="1"/>
  <c r="M254" i="1"/>
  <c r="L254" i="1"/>
  <c r="CY254" i="1"/>
  <c r="Q254" i="1"/>
  <c r="R254" i="1"/>
  <c r="CX254" i="1"/>
  <c r="J254" i="1"/>
  <c r="CW254" i="1"/>
  <c r="BN254" i="1"/>
  <c r="BM254" i="1"/>
  <c r="DM1134" i="1"/>
  <c r="M1134" i="1"/>
  <c r="L1134" i="1"/>
  <c r="CY1134" i="1"/>
  <c r="R1134" i="1"/>
  <c r="CX1134" i="1"/>
  <c r="J1134" i="1"/>
  <c r="BN1134" i="1"/>
  <c r="BM1134" i="1"/>
  <c r="DM4" i="1"/>
  <c r="M4" i="1"/>
  <c r="L4" i="1"/>
  <c r="CY4" i="1"/>
  <c r="R4" i="1"/>
  <c r="CX4" i="1"/>
  <c r="J4" i="1"/>
  <c r="BN4" i="1"/>
  <c r="BM4" i="1"/>
  <c r="DM1465" i="1"/>
  <c r="M1465" i="1"/>
  <c r="L1465" i="1"/>
  <c r="CY1465" i="1"/>
  <c r="R1465" i="1"/>
  <c r="CX1465" i="1"/>
  <c r="J1465" i="1"/>
  <c r="BN1465" i="1"/>
  <c r="BM1465" i="1"/>
  <c r="DM1156" i="1"/>
  <c r="M1156" i="1"/>
  <c r="L1156" i="1"/>
  <c r="CY1156" i="1"/>
  <c r="R1156" i="1"/>
  <c r="CX1156" i="1"/>
  <c r="J1156" i="1"/>
  <c r="BN1156" i="1"/>
  <c r="BM1156" i="1"/>
  <c r="DM292" i="1"/>
  <c r="DE292" i="1"/>
  <c r="M292" i="1"/>
  <c r="L292" i="1"/>
  <c r="CY292" i="1"/>
  <c r="Q292" i="1"/>
  <c r="R292" i="1"/>
  <c r="CX292" i="1"/>
  <c r="J292" i="1"/>
  <c r="CW292" i="1"/>
  <c r="BN292" i="1"/>
  <c r="BM292" i="1"/>
  <c r="DM265" i="1"/>
  <c r="M265" i="1"/>
  <c r="L265" i="1"/>
  <c r="CY265" i="1"/>
  <c r="R265" i="1"/>
  <c r="CX265" i="1"/>
  <c r="J265" i="1"/>
  <c r="BN265" i="1"/>
  <c r="BM265" i="1"/>
  <c r="DM266" i="1"/>
  <c r="M266" i="1"/>
  <c r="L266" i="1"/>
  <c r="CY266" i="1"/>
  <c r="R266" i="1"/>
  <c r="CX266" i="1"/>
  <c r="J266" i="1"/>
  <c r="BN266" i="1"/>
  <c r="BM266" i="1"/>
  <c r="DM1224" i="1"/>
  <c r="M1224" i="1"/>
  <c r="L1224" i="1"/>
  <c r="CY1224" i="1"/>
  <c r="R1224" i="1"/>
  <c r="CX1224" i="1"/>
  <c r="J1224" i="1"/>
  <c r="BN1224" i="1"/>
  <c r="BM1224" i="1"/>
  <c r="DM1050" i="1"/>
  <c r="DE1050" i="1"/>
  <c r="M1050" i="1"/>
  <c r="L1050" i="1"/>
  <c r="CY1050" i="1"/>
  <c r="Q1050" i="1"/>
  <c r="R1050" i="1"/>
  <c r="CX1050" i="1"/>
  <c r="J1050" i="1"/>
  <c r="CW1050" i="1"/>
  <c r="BN1050" i="1"/>
  <c r="BM1050" i="1"/>
  <c r="DM256" i="1"/>
  <c r="DE256" i="1"/>
  <c r="M256" i="1"/>
  <c r="L256" i="1"/>
  <c r="CY256" i="1"/>
  <c r="Q256" i="1"/>
  <c r="R256" i="1"/>
  <c r="CX256" i="1"/>
  <c r="J256" i="1"/>
  <c r="CW256" i="1"/>
  <c r="BN256" i="1"/>
  <c r="BM256" i="1"/>
  <c r="DM258" i="1"/>
  <c r="M258" i="1"/>
  <c r="L258" i="1"/>
  <c r="CY258" i="1"/>
  <c r="R258" i="1"/>
  <c r="CX258" i="1"/>
  <c r="J258" i="1"/>
  <c r="BN258" i="1"/>
  <c r="BM258" i="1"/>
  <c r="DM1185" i="1"/>
  <c r="DE1185" i="1"/>
  <c r="M1185" i="1"/>
  <c r="L1185" i="1"/>
  <c r="CY1185" i="1"/>
  <c r="Q1185" i="1"/>
  <c r="R1185" i="1"/>
  <c r="CX1185" i="1"/>
  <c r="J1185" i="1"/>
  <c r="CW1185" i="1"/>
  <c r="BN1185" i="1"/>
  <c r="BM1185" i="1"/>
  <c r="DM1180" i="1"/>
  <c r="DE1180" i="1"/>
  <c r="M1180" i="1"/>
  <c r="L1180" i="1"/>
  <c r="CY1180" i="1"/>
  <c r="Q1180" i="1"/>
  <c r="R1180" i="1"/>
  <c r="CX1180" i="1"/>
  <c r="J1180" i="1"/>
  <c r="CW1180" i="1"/>
  <c r="BN1180" i="1"/>
  <c r="BM1180" i="1"/>
  <c r="DM19" i="1"/>
  <c r="DE19" i="1"/>
  <c r="M19" i="1"/>
  <c r="L19" i="1"/>
  <c r="CY19" i="1"/>
  <c r="Q19" i="1"/>
  <c r="R19" i="1"/>
  <c r="CX19" i="1"/>
  <c r="J19" i="1"/>
  <c r="CW19" i="1"/>
  <c r="BN19" i="1"/>
  <c r="BM19" i="1"/>
  <c r="DM261" i="1"/>
  <c r="M261" i="1"/>
  <c r="L261" i="1"/>
  <c r="CY261" i="1"/>
  <c r="R261" i="1"/>
  <c r="CX261" i="1"/>
  <c r="J261" i="1"/>
  <c r="BN261" i="1"/>
  <c r="BM261" i="1"/>
  <c r="DM262" i="1"/>
  <c r="M262" i="1"/>
  <c r="L262" i="1"/>
  <c r="CY262" i="1"/>
  <c r="R262" i="1"/>
  <c r="CX262" i="1"/>
  <c r="J262" i="1"/>
  <c r="BN262" i="1"/>
  <c r="BM262" i="1"/>
  <c r="DM900" i="1"/>
  <c r="DE900" i="1"/>
  <c r="M900" i="1"/>
  <c r="L900" i="1"/>
  <c r="CY900" i="1"/>
  <c r="Q900" i="1"/>
  <c r="R900" i="1"/>
  <c r="CX900" i="1"/>
  <c r="J900" i="1"/>
  <c r="CW900" i="1"/>
  <c r="BN900" i="1"/>
  <c r="BM900" i="1"/>
  <c r="DM13" i="1"/>
  <c r="DE13" i="1"/>
  <c r="M13" i="1"/>
  <c r="L13" i="1"/>
  <c r="CY13" i="1"/>
  <c r="Q13" i="1"/>
  <c r="R13" i="1"/>
  <c r="CX13" i="1"/>
  <c r="J13" i="1"/>
  <c r="CW13" i="1"/>
  <c r="BN13" i="1"/>
  <c r="BM13" i="1"/>
  <c r="DM1333" i="1"/>
  <c r="M1333" i="1"/>
  <c r="L1333" i="1"/>
  <c r="CY1333" i="1"/>
  <c r="R1333" i="1"/>
  <c r="CX1333" i="1"/>
  <c r="J1333" i="1"/>
  <c r="BN1333" i="1"/>
  <c r="BM1333" i="1"/>
  <c r="DM915" i="1"/>
  <c r="M915" i="1"/>
  <c r="L915" i="1"/>
  <c r="CY915" i="1"/>
  <c r="R915" i="1"/>
  <c r="CX915" i="1"/>
  <c r="J915" i="1"/>
  <c r="BN915" i="1"/>
  <c r="BM915" i="1"/>
  <c r="DM895" i="1"/>
  <c r="M895" i="1"/>
  <c r="L895" i="1"/>
  <c r="CY895" i="1"/>
  <c r="R895" i="1"/>
  <c r="CX895" i="1"/>
  <c r="J895" i="1"/>
  <c r="BN895" i="1"/>
  <c r="BM895" i="1"/>
  <c r="DM916" i="1"/>
  <c r="DE916" i="1"/>
  <c r="M916" i="1"/>
  <c r="L916" i="1"/>
  <c r="CY916" i="1"/>
  <c r="Q916" i="1"/>
  <c r="R916" i="1"/>
  <c r="CX916" i="1"/>
  <c r="J916" i="1"/>
  <c r="CW916" i="1"/>
  <c r="BN916" i="1"/>
  <c r="BM916" i="1"/>
  <c r="DM910" i="1"/>
  <c r="M910" i="1"/>
  <c r="L910" i="1"/>
  <c r="CY910" i="1"/>
  <c r="R910" i="1"/>
  <c r="CX910" i="1"/>
  <c r="J910" i="1"/>
  <c r="BN910" i="1"/>
  <c r="BM910" i="1"/>
  <c r="DM906" i="1"/>
  <c r="M906" i="1"/>
  <c r="L906" i="1"/>
  <c r="CY906" i="1"/>
  <c r="R906" i="1"/>
  <c r="CX906" i="1"/>
  <c r="J906" i="1"/>
  <c r="BN906" i="1"/>
  <c r="BM906" i="1"/>
  <c r="DM884" i="1"/>
  <c r="M884" i="1"/>
  <c r="L884" i="1"/>
  <c r="CY884" i="1"/>
  <c r="R884" i="1"/>
  <c r="CX884" i="1"/>
  <c r="J884" i="1"/>
  <c r="BN884" i="1"/>
  <c r="BM884" i="1"/>
  <c r="DM318" i="1"/>
  <c r="M318" i="1"/>
  <c r="L318" i="1"/>
  <c r="CY318" i="1"/>
  <c r="R318" i="1"/>
  <c r="CX318" i="1"/>
  <c r="J318" i="1"/>
  <c r="BN318" i="1"/>
  <c r="BM318" i="1"/>
  <c r="DM1419" i="1"/>
  <c r="M1419" i="1"/>
  <c r="L1419" i="1"/>
  <c r="CY1419" i="1"/>
  <c r="R1419" i="1"/>
  <c r="CX1419" i="1"/>
  <c r="J1419" i="1"/>
  <c r="BN1419" i="1"/>
  <c r="BM1419" i="1"/>
  <c r="DM1425" i="1"/>
  <c r="M1425" i="1"/>
  <c r="L1425" i="1"/>
  <c r="CY1425" i="1"/>
  <c r="R1425" i="1"/>
  <c r="CX1425" i="1"/>
  <c r="J1425" i="1"/>
  <c r="BN1425" i="1"/>
  <c r="BM1425" i="1"/>
  <c r="DM517" i="1"/>
  <c r="DE517" i="1"/>
  <c r="M517" i="1"/>
  <c r="L517" i="1"/>
  <c r="CY517" i="1"/>
  <c r="Q517" i="1"/>
  <c r="R517" i="1"/>
  <c r="CX517" i="1"/>
  <c r="J517" i="1"/>
  <c r="CW517" i="1"/>
  <c r="BN517" i="1"/>
  <c r="BM517" i="1"/>
  <c r="DM1429" i="1"/>
  <c r="M1429" i="1"/>
  <c r="L1429" i="1"/>
  <c r="CY1429" i="1"/>
  <c r="R1429" i="1"/>
  <c r="CX1429" i="1"/>
  <c r="J1429" i="1"/>
  <c r="BN1429" i="1"/>
  <c r="BM1429" i="1"/>
  <c r="DM532" i="1"/>
  <c r="M532" i="1"/>
  <c r="L532" i="1"/>
  <c r="CY532" i="1"/>
  <c r="R532" i="1"/>
  <c r="CX532" i="1"/>
  <c r="J532" i="1"/>
  <c r="BN532" i="1"/>
  <c r="BM532" i="1"/>
  <c r="DM1431" i="1"/>
  <c r="M1431" i="1"/>
  <c r="L1431" i="1"/>
  <c r="CY1431" i="1"/>
  <c r="R1431" i="1"/>
  <c r="CX1431" i="1"/>
  <c r="J1431" i="1"/>
  <c r="BN1431" i="1"/>
  <c r="BM1431" i="1"/>
  <c r="DM1433" i="1"/>
  <c r="M1433" i="1"/>
  <c r="L1433" i="1"/>
  <c r="CY1433" i="1"/>
  <c r="R1433" i="1"/>
  <c r="CX1433" i="1"/>
  <c r="J1433" i="1"/>
  <c r="BN1433" i="1"/>
  <c r="BM1433" i="1"/>
  <c r="DM1434" i="1"/>
  <c r="M1434" i="1"/>
  <c r="L1434" i="1"/>
  <c r="CY1434" i="1"/>
  <c r="R1434" i="1"/>
  <c r="CX1434" i="1"/>
  <c r="J1434" i="1"/>
  <c r="BN1434" i="1"/>
  <c r="BM1434" i="1"/>
  <c r="DM1332" i="1"/>
  <c r="M1332" i="1"/>
  <c r="L1332" i="1"/>
  <c r="CY1332" i="1"/>
  <c r="R1332" i="1"/>
  <c r="CX1332" i="1"/>
  <c r="J1332" i="1"/>
  <c r="BN1332" i="1"/>
  <c r="BM1332" i="1"/>
  <c r="DM1126" i="1"/>
  <c r="M1126" i="1"/>
  <c r="L1126" i="1"/>
  <c r="CY1126" i="1"/>
  <c r="R1126" i="1"/>
  <c r="CX1126" i="1"/>
  <c r="J1126" i="1"/>
  <c r="BN1126" i="1"/>
  <c r="BM1126" i="1"/>
  <c r="DM429" i="1"/>
  <c r="M429" i="1"/>
  <c r="L429" i="1"/>
  <c r="CY429" i="1"/>
  <c r="R429" i="1"/>
  <c r="CX429" i="1"/>
  <c r="J429" i="1"/>
  <c r="BN429" i="1"/>
  <c r="BM429" i="1"/>
  <c r="DM430" i="1"/>
  <c r="M430" i="1"/>
  <c r="L430" i="1"/>
  <c r="CY430" i="1"/>
  <c r="R430" i="1"/>
  <c r="CX430" i="1"/>
  <c r="J430" i="1"/>
  <c r="BN430" i="1"/>
  <c r="BM430" i="1"/>
  <c r="DM477" i="1"/>
  <c r="M477" i="1"/>
  <c r="L477" i="1"/>
  <c r="CY477" i="1"/>
  <c r="R477" i="1"/>
  <c r="CX477" i="1"/>
  <c r="J477" i="1"/>
  <c r="BN477" i="1"/>
  <c r="BM477" i="1"/>
  <c r="DM478" i="1"/>
  <c r="M478" i="1"/>
  <c r="L478" i="1"/>
  <c r="CY478" i="1"/>
  <c r="R478" i="1"/>
  <c r="CX478" i="1"/>
  <c r="J478" i="1"/>
  <c r="BN478" i="1"/>
  <c r="BM478" i="1"/>
  <c r="DM571" i="1"/>
  <c r="M571" i="1"/>
  <c r="L571" i="1"/>
  <c r="CY571" i="1"/>
  <c r="R571" i="1"/>
  <c r="CX571" i="1"/>
  <c r="J571" i="1"/>
  <c r="BN571" i="1"/>
  <c r="BM571" i="1"/>
  <c r="DM896" i="1"/>
  <c r="M896" i="1"/>
  <c r="L896" i="1"/>
  <c r="CY896" i="1"/>
  <c r="R896" i="1"/>
  <c r="CX896" i="1"/>
  <c r="J896" i="1"/>
  <c r="BN896" i="1"/>
  <c r="BM896" i="1"/>
  <c r="DM1435" i="1"/>
  <c r="M1435" i="1"/>
  <c r="L1435" i="1"/>
  <c r="CY1435" i="1"/>
  <c r="R1435" i="1"/>
  <c r="CX1435" i="1"/>
  <c r="J1435" i="1"/>
  <c r="BN1435" i="1"/>
  <c r="BM1435" i="1"/>
  <c r="DM490" i="1"/>
  <c r="M490" i="1"/>
  <c r="L490" i="1"/>
  <c r="CY490" i="1"/>
  <c r="R490" i="1"/>
  <c r="CX490" i="1"/>
  <c r="J490" i="1"/>
  <c r="BN490" i="1"/>
  <c r="BM490" i="1"/>
  <c r="DM320" i="1"/>
  <c r="M320" i="1"/>
  <c r="L320" i="1"/>
  <c r="CY320" i="1"/>
  <c r="R320" i="1"/>
  <c r="CX320" i="1"/>
  <c r="J320" i="1"/>
  <c r="BN320" i="1"/>
  <c r="BM320" i="1"/>
  <c r="DM442" i="1"/>
  <c r="M442" i="1"/>
  <c r="L442" i="1"/>
  <c r="CY442" i="1"/>
  <c r="R442" i="1"/>
  <c r="CX442" i="1"/>
  <c r="J442" i="1"/>
  <c r="BN442" i="1"/>
  <c r="BM442" i="1"/>
  <c r="DM1124" i="1"/>
  <c r="M1124" i="1"/>
  <c r="L1124" i="1"/>
  <c r="CY1124" i="1"/>
  <c r="R1124" i="1"/>
  <c r="CX1124" i="1"/>
  <c r="J1124" i="1"/>
  <c r="BN1124" i="1"/>
  <c r="BM1124" i="1"/>
  <c r="DM1176" i="1"/>
  <c r="DE1176" i="1"/>
  <c r="M1176" i="1"/>
  <c r="L1176" i="1"/>
  <c r="CY1176" i="1"/>
  <c r="Q1176" i="1"/>
  <c r="R1176" i="1"/>
  <c r="CX1176" i="1"/>
  <c r="J1176" i="1"/>
  <c r="CW1176" i="1"/>
  <c r="BN1176" i="1"/>
  <c r="BM1176" i="1"/>
  <c r="DM586" i="1"/>
  <c r="M586" i="1"/>
  <c r="L586" i="1"/>
  <c r="CY586" i="1"/>
  <c r="R586" i="1"/>
  <c r="CX586" i="1"/>
  <c r="J586" i="1"/>
  <c r="BN586" i="1"/>
  <c r="BM586" i="1"/>
  <c r="DM1428" i="1"/>
  <c r="M1428" i="1"/>
  <c r="L1428" i="1"/>
  <c r="CY1428" i="1"/>
  <c r="R1428" i="1"/>
  <c r="CX1428" i="1"/>
  <c r="J1428" i="1"/>
  <c r="BN1428" i="1"/>
  <c r="BM1428" i="1"/>
  <c r="DM516" i="1"/>
  <c r="DE516" i="1"/>
  <c r="M516" i="1"/>
  <c r="L516" i="1"/>
  <c r="CY516" i="1"/>
  <c r="Q516" i="1"/>
  <c r="R516" i="1"/>
  <c r="CX516" i="1"/>
  <c r="J516" i="1"/>
  <c r="CW516" i="1"/>
  <c r="BN516" i="1"/>
  <c r="BM516" i="1"/>
  <c r="DM332" i="1"/>
  <c r="M332" i="1"/>
  <c r="L332" i="1"/>
  <c r="CY332" i="1"/>
  <c r="R332" i="1"/>
  <c r="CX332" i="1"/>
  <c r="J332" i="1"/>
  <c r="BN332" i="1"/>
  <c r="BM332" i="1"/>
  <c r="DM324" i="1"/>
  <c r="M324" i="1"/>
  <c r="L324" i="1"/>
  <c r="CY324" i="1"/>
  <c r="R324" i="1"/>
  <c r="CX324" i="1"/>
  <c r="J324" i="1"/>
  <c r="BN324" i="1"/>
  <c r="BM324" i="1"/>
  <c r="DM518" i="1"/>
  <c r="DE518" i="1"/>
  <c r="M518" i="1"/>
  <c r="L518" i="1"/>
  <c r="CY518" i="1"/>
  <c r="Q518" i="1"/>
  <c r="R518" i="1"/>
  <c r="CX518" i="1"/>
  <c r="J518" i="1"/>
  <c r="CW518" i="1"/>
  <c r="BN518" i="1"/>
  <c r="BM518" i="1"/>
  <c r="DM301" i="1"/>
  <c r="M301" i="1"/>
  <c r="L301" i="1"/>
  <c r="CY301" i="1"/>
  <c r="R301" i="1"/>
  <c r="CX301" i="1"/>
  <c r="J301" i="1"/>
  <c r="BN301" i="1"/>
  <c r="BM301" i="1"/>
  <c r="DM305" i="1"/>
  <c r="M305" i="1"/>
  <c r="L305" i="1"/>
  <c r="CY305" i="1"/>
  <c r="R305" i="1"/>
  <c r="CX305" i="1"/>
  <c r="J305" i="1"/>
  <c r="BN305" i="1"/>
  <c r="BM305" i="1"/>
  <c r="DM339" i="1"/>
  <c r="M339" i="1"/>
  <c r="L339" i="1"/>
  <c r="CY339" i="1"/>
  <c r="R339" i="1"/>
  <c r="CX339" i="1"/>
  <c r="J339" i="1"/>
  <c r="BN339" i="1"/>
  <c r="BM339" i="1"/>
  <c r="DM340" i="1"/>
  <c r="M340" i="1"/>
  <c r="L340" i="1"/>
  <c r="CY340" i="1"/>
  <c r="R340" i="1"/>
  <c r="CX340" i="1"/>
  <c r="J340" i="1"/>
  <c r="BN340" i="1"/>
  <c r="BM340" i="1"/>
  <c r="DM317" i="1"/>
  <c r="DE317" i="1"/>
  <c r="M317" i="1"/>
  <c r="L317" i="1"/>
  <c r="CY317" i="1"/>
  <c r="Q317" i="1"/>
  <c r="R317" i="1"/>
  <c r="CX317" i="1"/>
  <c r="J317" i="1"/>
  <c r="CW317" i="1"/>
  <c r="BN317" i="1"/>
  <c r="BM317" i="1"/>
  <c r="DM349" i="1"/>
  <c r="M349" i="1"/>
  <c r="L349" i="1"/>
  <c r="CY349" i="1"/>
  <c r="R349" i="1"/>
  <c r="CX349" i="1"/>
  <c r="J349" i="1"/>
  <c r="BN349" i="1"/>
  <c r="BM349" i="1"/>
  <c r="DM1034" i="1"/>
  <c r="DE1034" i="1"/>
  <c r="M1034" i="1"/>
  <c r="L1034" i="1"/>
  <c r="CY1034" i="1"/>
  <c r="Q1034" i="1"/>
  <c r="R1034" i="1"/>
  <c r="CX1034" i="1"/>
  <c r="J1034" i="1"/>
  <c r="CW1034" i="1"/>
  <c r="BN1034" i="1"/>
  <c r="BM1034" i="1"/>
  <c r="DM364" i="1"/>
  <c r="M364" i="1"/>
  <c r="L364" i="1"/>
  <c r="CY364" i="1"/>
  <c r="R364" i="1"/>
  <c r="CX364" i="1"/>
  <c r="J364" i="1"/>
  <c r="BN364" i="1"/>
  <c r="BM364" i="1"/>
  <c r="DM365" i="1"/>
  <c r="M365" i="1"/>
  <c r="L365" i="1"/>
  <c r="CY365" i="1"/>
  <c r="R365" i="1"/>
  <c r="CX365" i="1"/>
  <c r="J365" i="1"/>
  <c r="BN365" i="1"/>
  <c r="BM365" i="1"/>
  <c r="DM372" i="1"/>
  <c r="M372" i="1"/>
  <c r="L372" i="1"/>
  <c r="CY372" i="1"/>
  <c r="R372" i="1"/>
  <c r="CX372" i="1"/>
  <c r="J372" i="1"/>
  <c r="BN372" i="1"/>
  <c r="BM372" i="1"/>
  <c r="DM394" i="1"/>
  <c r="M394" i="1"/>
  <c r="L394" i="1"/>
  <c r="CY394" i="1"/>
  <c r="R394" i="1"/>
  <c r="CX394" i="1"/>
  <c r="J394" i="1"/>
  <c r="BN394" i="1"/>
  <c r="BM394" i="1"/>
  <c r="DM373" i="1"/>
  <c r="M373" i="1"/>
  <c r="L373" i="1"/>
  <c r="CY373" i="1"/>
  <c r="R373" i="1"/>
  <c r="CX373" i="1"/>
  <c r="J373" i="1"/>
  <c r="BN373" i="1"/>
  <c r="BM373" i="1"/>
  <c r="DM408" i="1"/>
  <c r="M408" i="1"/>
  <c r="L408" i="1"/>
  <c r="CY408" i="1"/>
  <c r="R408" i="1"/>
  <c r="CX408" i="1"/>
  <c r="J408" i="1"/>
  <c r="BN408" i="1"/>
  <c r="BM408" i="1"/>
  <c r="DM255" i="1"/>
  <c r="M255" i="1"/>
  <c r="L255" i="1"/>
  <c r="CY255" i="1"/>
  <c r="R255" i="1"/>
  <c r="CX255" i="1"/>
  <c r="J255" i="1"/>
  <c r="BN255" i="1"/>
  <c r="BM255" i="1"/>
  <c r="DM531" i="1"/>
  <c r="DE531" i="1"/>
  <c r="M531" i="1"/>
  <c r="L531" i="1"/>
  <c r="CY531" i="1"/>
  <c r="Q531" i="1"/>
  <c r="R531" i="1"/>
  <c r="CX531" i="1"/>
  <c r="J531" i="1"/>
  <c r="CW531" i="1"/>
  <c r="BN531" i="1"/>
  <c r="BM531" i="1"/>
  <c r="DM1424" i="1"/>
  <c r="M1424" i="1"/>
  <c r="L1424" i="1"/>
  <c r="CY1424" i="1"/>
  <c r="R1424" i="1"/>
  <c r="CX1424" i="1"/>
  <c r="J1424" i="1"/>
  <c r="BN1424" i="1"/>
  <c r="BM1424" i="1"/>
  <c r="DM387" i="1"/>
  <c r="M387" i="1"/>
  <c r="L387" i="1"/>
  <c r="CY387" i="1"/>
  <c r="R387" i="1"/>
  <c r="CX387" i="1"/>
  <c r="J387" i="1"/>
  <c r="BN387" i="1"/>
  <c r="BM387" i="1"/>
  <c r="DM468" i="1"/>
  <c r="M468" i="1"/>
  <c r="L468" i="1"/>
  <c r="CY468" i="1"/>
  <c r="R468" i="1"/>
  <c r="CX468" i="1"/>
  <c r="J468" i="1"/>
  <c r="BN468" i="1"/>
  <c r="BM468" i="1"/>
  <c r="DM469" i="1"/>
  <c r="M469" i="1"/>
  <c r="L469" i="1"/>
  <c r="CY469" i="1"/>
  <c r="R469" i="1"/>
  <c r="CX469" i="1"/>
  <c r="J469" i="1"/>
  <c r="BN469" i="1"/>
  <c r="BM469" i="1"/>
  <c r="DM497" i="1"/>
  <c r="M497" i="1"/>
  <c r="L497" i="1"/>
  <c r="CY497" i="1"/>
  <c r="R497" i="1"/>
  <c r="CX497" i="1"/>
  <c r="J497" i="1"/>
  <c r="BN497" i="1"/>
  <c r="BM497" i="1"/>
  <c r="DM1404" i="1"/>
  <c r="M1404" i="1"/>
  <c r="L1404" i="1"/>
  <c r="CY1404" i="1"/>
  <c r="R1404" i="1"/>
  <c r="CX1404" i="1"/>
  <c r="J1404" i="1"/>
  <c r="BN1404" i="1"/>
  <c r="BM1404" i="1"/>
  <c r="DM489" i="1"/>
  <c r="M489" i="1"/>
  <c r="L489" i="1"/>
  <c r="CY489" i="1"/>
  <c r="R489" i="1"/>
  <c r="CX489" i="1"/>
  <c r="J489" i="1"/>
  <c r="BN489" i="1"/>
  <c r="BM489" i="1"/>
  <c r="DM1058" i="1"/>
  <c r="M1058" i="1"/>
  <c r="L1058" i="1"/>
  <c r="CY1058" i="1"/>
  <c r="R1058" i="1"/>
  <c r="CX1058" i="1"/>
  <c r="J1058" i="1"/>
  <c r="BN1058" i="1"/>
  <c r="BM1058" i="1"/>
  <c r="DM1335" i="1"/>
  <c r="M1335" i="1"/>
  <c r="L1335" i="1"/>
  <c r="CY1335" i="1"/>
  <c r="R1335" i="1"/>
  <c r="CX1335" i="1"/>
  <c r="J1335" i="1"/>
  <c r="BN1335" i="1"/>
  <c r="BM1335" i="1"/>
  <c r="DM460" i="1"/>
  <c r="M460" i="1"/>
  <c r="L460" i="1"/>
  <c r="CY460" i="1"/>
  <c r="R460" i="1"/>
  <c r="CX460" i="1"/>
  <c r="J460" i="1"/>
  <c r="BN460" i="1"/>
  <c r="BM460" i="1"/>
  <c r="DM459" i="1"/>
  <c r="M459" i="1"/>
  <c r="L459" i="1"/>
  <c r="CY459" i="1"/>
  <c r="R459" i="1"/>
  <c r="CX459" i="1"/>
  <c r="J459" i="1"/>
  <c r="BN459" i="1"/>
  <c r="BM459" i="1"/>
  <c r="DM1072" i="1"/>
  <c r="M1072" i="1"/>
  <c r="L1072" i="1"/>
  <c r="CY1072" i="1"/>
  <c r="R1072" i="1"/>
  <c r="CX1072" i="1"/>
  <c r="J1072" i="1"/>
  <c r="BN1072" i="1"/>
  <c r="BM1072" i="1"/>
  <c r="DM486" i="1"/>
  <c r="M486" i="1"/>
  <c r="L486" i="1"/>
  <c r="CY486" i="1"/>
  <c r="R486" i="1"/>
  <c r="CX486" i="1"/>
  <c r="J486" i="1"/>
  <c r="BN486" i="1"/>
  <c r="BM486" i="1"/>
  <c r="DM402" i="1"/>
  <c r="DE402" i="1"/>
  <c r="M402" i="1"/>
  <c r="L402" i="1"/>
  <c r="CY402" i="1"/>
  <c r="Q402" i="1"/>
  <c r="R402" i="1"/>
  <c r="CX402" i="1"/>
  <c r="J402" i="1"/>
  <c r="CW402" i="1"/>
  <c r="BN402" i="1"/>
  <c r="BM402" i="1"/>
  <c r="DM522" i="1"/>
  <c r="DE522" i="1"/>
  <c r="M522" i="1"/>
  <c r="L522" i="1"/>
  <c r="CY522" i="1"/>
  <c r="Q522" i="1"/>
  <c r="R522" i="1"/>
  <c r="CX522" i="1"/>
  <c r="J522" i="1"/>
  <c r="CW522" i="1"/>
  <c r="BN522" i="1"/>
  <c r="BM522" i="1"/>
  <c r="DM1441" i="1"/>
  <c r="M1441" i="1"/>
  <c r="L1441" i="1"/>
  <c r="CY1441" i="1"/>
  <c r="R1441" i="1"/>
  <c r="CX1441" i="1"/>
  <c r="J1441" i="1"/>
  <c r="BN1441" i="1"/>
  <c r="BM1441" i="1"/>
  <c r="DM1076" i="1"/>
  <c r="M1076" i="1"/>
  <c r="L1076" i="1"/>
  <c r="CY1076" i="1"/>
  <c r="R1076" i="1"/>
  <c r="CX1076" i="1"/>
  <c r="J1076" i="1"/>
  <c r="BN1076" i="1"/>
  <c r="BM1076" i="1"/>
  <c r="DM1456" i="1"/>
  <c r="M1456" i="1"/>
  <c r="L1456" i="1"/>
  <c r="CY1456" i="1"/>
  <c r="R1456" i="1"/>
  <c r="CX1456" i="1"/>
  <c r="J1456" i="1"/>
  <c r="BN1456" i="1"/>
  <c r="BM1456" i="1"/>
  <c r="DM1231" i="1"/>
  <c r="M1231" i="1"/>
  <c r="L1231" i="1"/>
  <c r="CY1231" i="1"/>
  <c r="R1231" i="1"/>
  <c r="CX1231" i="1"/>
  <c r="J1231" i="1"/>
  <c r="BN1231" i="1"/>
  <c r="BM1231" i="1"/>
  <c r="DM418" i="1"/>
  <c r="DE418" i="1"/>
  <c r="M418" i="1"/>
  <c r="L418" i="1"/>
  <c r="CY418" i="1"/>
  <c r="Q418" i="1"/>
  <c r="R418" i="1"/>
  <c r="CX418" i="1"/>
  <c r="J418" i="1"/>
  <c r="CW418" i="1"/>
  <c r="BN418" i="1"/>
  <c r="BM418" i="1"/>
  <c r="DM252" i="1"/>
  <c r="M252" i="1"/>
  <c r="L252" i="1"/>
  <c r="CY252" i="1"/>
  <c r="R252" i="1"/>
  <c r="CX252" i="1"/>
  <c r="J252" i="1"/>
  <c r="BN252" i="1"/>
  <c r="BM252" i="1"/>
  <c r="DM251" i="1"/>
  <c r="M251" i="1"/>
  <c r="L251" i="1"/>
  <c r="CY251" i="1"/>
  <c r="R251" i="1"/>
  <c r="CX251" i="1"/>
  <c r="J251" i="1"/>
  <c r="BN251" i="1"/>
  <c r="BM251" i="1"/>
  <c r="DM1225" i="1"/>
  <c r="M1225" i="1"/>
  <c r="L1225" i="1"/>
  <c r="CY1225" i="1"/>
  <c r="R1225" i="1"/>
  <c r="CX1225" i="1"/>
  <c r="J1225" i="1"/>
  <c r="BN1225" i="1"/>
  <c r="BM1225" i="1"/>
  <c r="DM250" i="1"/>
  <c r="M250" i="1"/>
  <c r="L250" i="1"/>
  <c r="CY250" i="1"/>
  <c r="R250" i="1"/>
  <c r="CX250" i="1"/>
  <c r="J250" i="1"/>
  <c r="BN250" i="1"/>
  <c r="BM250" i="1"/>
  <c r="DM1442" i="1"/>
  <c r="M1442" i="1"/>
  <c r="L1442" i="1"/>
  <c r="CY1442" i="1"/>
  <c r="R1442" i="1"/>
  <c r="CX1442" i="1"/>
  <c r="J1442" i="1"/>
  <c r="BN1442" i="1"/>
  <c r="BM1442" i="1"/>
  <c r="DM437" i="1"/>
  <c r="M437" i="1"/>
  <c r="L437" i="1"/>
  <c r="CY437" i="1"/>
  <c r="R437" i="1"/>
  <c r="CX437" i="1"/>
  <c r="J437" i="1"/>
  <c r="BN437" i="1"/>
  <c r="BM437" i="1"/>
  <c r="DM249" i="1"/>
  <c r="M249" i="1"/>
  <c r="L249" i="1"/>
  <c r="CY249" i="1"/>
  <c r="R249" i="1"/>
  <c r="CX249" i="1"/>
  <c r="J249" i="1"/>
  <c r="BN249" i="1"/>
  <c r="BM249" i="1"/>
  <c r="DM1054" i="1"/>
  <c r="M1054" i="1"/>
  <c r="L1054" i="1"/>
  <c r="CY1054" i="1"/>
  <c r="R1054" i="1"/>
  <c r="CX1054" i="1"/>
  <c r="J1054" i="1"/>
  <c r="BN1054" i="1"/>
  <c r="BM1054" i="1"/>
  <c r="DM1240" i="1"/>
  <c r="M1240" i="1"/>
  <c r="L1240" i="1"/>
  <c r="CY1240" i="1"/>
  <c r="R1240" i="1"/>
  <c r="CX1240" i="1"/>
  <c r="J1240" i="1"/>
  <c r="BN1240" i="1"/>
  <c r="BM1240" i="1"/>
  <c r="DM436" i="1"/>
  <c r="M436" i="1"/>
  <c r="L436" i="1"/>
  <c r="CY436" i="1"/>
  <c r="R436" i="1"/>
  <c r="CX436" i="1"/>
  <c r="J436" i="1"/>
  <c r="BN436" i="1"/>
  <c r="BM436" i="1"/>
  <c r="DM551" i="1"/>
  <c r="M551" i="1"/>
  <c r="L551" i="1"/>
  <c r="CY551" i="1"/>
  <c r="R551" i="1"/>
  <c r="CX551" i="1"/>
  <c r="J551" i="1"/>
  <c r="BN551" i="1"/>
  <c r="BM551" i="1"/>
  <c r="DM1302" i="1"/>
  <c r="M1302" i="1"/>
  <c r="L1302" i="1"/>
  <c r="CY1302" i="1"/>
  <c r="R1302" i="1"/>
  <c r="CX1302" i="1"/>
  <c r="J1302" i="1"/>
  <c r="BN1302" i="1"/>
  <c r="BM1302" i="1"/>
  <c r="DM309" i="1"/>
  <c r="M309" i="1"/>
  <c r="L309" i="1"/>
  <c r="CY309" i="1"/>
  <c r="R309" i="1"/>
  <c r="CX309" i="1"/>
  <c r="J309" i="1"/>
  <c r="BN309" i="1"/>
  <c r="BM309" i="1"/>
  <c r="DM1267" i="1"/>
  <c r="M1267" i="1"/>
  <c r="L1267" i="1"/>
  <c r="CY1267" i="1"/>
  <c r="R1267" i="1"/>
  <c r="CX1267" i="1"/>
  <c r="J1267" i="1"/>
  <c r="BN1267" i="1"/>
  <c r="BM1267" i="1"/>
  <c r="DM1300" i="1"/>
  <c r="M1300" i="1"/>
  <c r="L1300" i="1"/>
  <c r="CY1300" i="1"/>
  <c r="R1300" i="1"/>
  <c r="CX1300" i="1"/>
  <c r="J1300" i="1"/>
  <c r="BN1300" i="1"/>
  <c r="BM1300" i="1"/>
  <c r="DM246" i="1"/>
  <c r="M246" i="1"/>
  <c r="L246" i="1"/>
  <c r="CY246" i="1"/>
  <c r="R246" i="1"/>
  <c r="CX246" i="1"/>
  <c r="J246" i="1"/>
  <c r="BN246" i="1"/>
  <c r="BM246" i="1"/>
  <c r="DM1313" i="1"/>
  <c r="M1313" i="1"/>
  <c r="L1313" i="1"/>
  <c r="CY1313" i="1"/>
  <c r="R1313" i="1"/>
  <c r="CX1313" i="1"/>
  <c r="J1313" i="1"/>
  <c r="BN1313" i="1"/>
  <c r="BM1313" i="1"/>
  <c r="DM1314" i="1"/>
  <c r="M1314" i="1"/>
  <c r="L1314" i="1"/>
  <c r="CY1314" i="1"/>
  <c r="R1314" i="1"/>
  <c r="CX1314" i="1"/>
  <c r="J1314" i="1"/>
  <c r="BN1314" i="1"/>
  <c r="BM1314" i="1"/>
  <c r="DM1130" i="1"/>
  <c r="M1130" i="1"/>
  <c r="L1130" i="1"/>
  <c r="CY1130" i="1"/>
  <c r="R1130" i="1"/>
  <c r="CX1130" i="1"/>
  <c r="J1130" i="1"/>
  <c r="BN1130" i="1"/>
  <c r="BM1130" i="1"/>
  <c r="DM519" i="1"/>
  <c r="DE519" i="1"/>
  <c r="M519" i="1"/>
  <c r="L519" i="1"/>
  <c r="CY519" i="1"/>
  <c r="Q519" i="1"/>
  <c r="R519" i="1"/>
  <c r="CX519" i="1"/>
  <c r="J519" i="1"/>
  <c r="CW519" i="1"/>
  <c r="BN519" i="1"/>
  <c r="BM519" i="1"/>
  <c r="DM245" i="1"/>
  <c r="M245" i="1"/>
  <c r="L245" i="1"/>
  <c r="CY245" i="1"/>
  <c r="R245" i="1"/>
  <c r="CX245" i="1"/>
  <c r="J245" i="1"/>
  <c r="BN245" i="1"/>
  <c r="BM245" i="1"/>
  <c r="DM244" i="1"/>
  <c r="M244" i="1"/>
  <c r="L244" i="1"/>
  <c r="CY244" i="1"/>
  <c r="R244" i="1"/>
  <c r="CX244" i="1"/>
  <c r="J244" i="1"/>
  <c r="BN244" i="1"/>
  <c r="BM244" i="1"/>
  <c r="DM1342" i="1"/>
  <c r="M1342" i="1"/>
  <c r="L1342" i="1"/>
  <c r="CY1342" i="1"/>
  <c r="R1342" i="1"/>
  <c r="CX1342" i="1"/>
  <c r="J1342" i="1"/>
  <c r="BN1342" i="1"/>
  <c r="BM1342" i="1"/>
  <c r="DM1368" i="1"/>
  <c r="M1368" i="1"/>
  <c r="L1368" i="1"/>
  <c r="CY1368" i="1"/>
  <c r="R1368" i="1"/>
  <c r="CX1368" i="1"/>
  <c r="J1368" i="1"/>
  <c r="BN1368" i="1"/>
  <c r="BM1368" i="1"/>
  <c r="DM1372" i="1"/>
  <c r="M1372" i="1"/>
  <c r="L1372" i="1"/>
  <c r="CY1372" i="1"/>
  <c r="R1372" i="1"/>
  <c r="CX1372" i="1"/>
  <c r="J1372" i="1"/>
  <c r="BN1372" i="1"/>
  <c r="BM1372" i="1"/>
  <c r="DM243" i="1"/>
  <c r="M243" i="1"/>
  <c r="L243" i="1"/>
  <c r="CY243" i="1"/>
  <c r="R243" i="1"/>
  <c r="CX243" i="1"/>
  <c r="J243" i="1"/>
  <c r="BN243" i="1"/>
  <c r="BM243" i="1"/>
  <c r="DE1546" i="1"/>
  <c r="M1546" i="1"/>
  <c r="L1546" i="1"/>
  <c r="R1546" i="1"/>
  <c r="CX1546" i="1"/>
  <c r="J1546" i="1"/>
  <c r="CW1546" i="1"/>
  <c r="BN1546" i="1"/>
  <c r="BM1546" i="1"/>
  <c r="DM1379" i="1"/>
  <c r="M1379" i="1"/>
  <c r="L1379" i="1"/>
  <c r="CY1379" i="1"/>
  <c r="R1379" i="1"/>
  <c r="CX1379" i="1"/>
  <c r="J1379" i="1"/>
  <c r="BN1379" i="1"/>
  <c r="BM1379" i="1"/>
  <c r="DM1380" i="1"/>
  <c r="M1380" i="1"/>
  <c r="L1380" i="1"/>
  <c r="CY1380" i="1"/>
  <c r="R1380" i="1"/>
  <c r="CX1380" i="1"/>
  <c r="J1380" i="1"/>
  <c r="BN1380" i="1"/>
  <c r="BM1380" i="1"/>
  <c r="DM1381" i="1"/>
  <c r="M1381" i="1"/>
  <c r="L1381" i="1"/>
  <c r="CY1381" i="1"/>
  <c r="R1381" i="1"/>
  <c r="CX1381" i="1"/>
  <c r="J1381" i="1"/>
  <c r="BN1381" i="1"/>
  <c r="BM1381" i="1"/>
  <c r="DM1382" i="1"/>
  <c r="M1382" i="1"/>
  <c r="L1382" i="1"/>
  <c r="CY1382" i="1"/>
  <c r="R1382" i="1"/>
  <c r="CX1382" i="1"/>
  <c r="J1382" i="1"/>
  <c r="BN1382" i="1"/>
  <c r="BM1382" i="1"/>
  <c r="DM414" i="1"/>
  <c r="M414" i="1"/>
  <c r="L414" i="1"/>
  <c r="CY414" i="1"/>
  <c r="R414" i="1"/>
  <c r="CX414" i="1"/>
  <c r="J414" i="1"/>
  <c r="BN414" i="1"/>
  <c r="BM414" i="1"/>
  <c r="DM1385" i="1"/>
  <c r="M1385" i="1"/>
  <c r="L1385" i="1"/>
  <c r="CY1385" i="1"/>
  <c r="R1385" i="1"/>
  <c r="CX1385" i="1"/>
  <c r="J1385" i="1"/>
  <c r="BN1385" i="1"/>
  <c r="BM1385" i="1"/>
  <c r="DM1386" i="1"/>
  <c r="M1386" i="1"/>
  <c r="L1386" i="1"/>
  <c r="CY1386" i="1"/>
  <c r="R1386" i="1"/>
  <c r="CX1386" i="1"/>
  <c r="J1386" i="1"/>
  <c r="BN1386" i="1"/>
  <c r="BM1386" i="1"/>
  <c r="DM1374" i="1"/>
  <c r="DE1374" i="1"/>
  <c r="M1374" i="1"/>
  <c r="L1374" i="1"/>
  <c r="CY1374" i="1"/>
  <c r="Q1374" i="1"/>
  <c r="R1374" i="1"/>
  <c r="CX1374" i="1"/>
  <c r="J1374" i="1"/>
  <c r="CW1374" i="1"/>
  <c r="BN1374" i="1"/>
  <c r="BM1374" i="1"/>
  <c r="DM527" i="1"/>
  <c r="M527" i="1"/>
  <c r="L527" i="1"/>
  <c r="CY527" i="1"/>
  <c r="R527" i="1"/>
  <c r="CX527" i="1"/>
  <c r="J527" i="1"/>
  <c r="BN527" i="1"/>
  <c r="BM527" i="1"/>
  <c r="DM541" i="1"/>
  <c r="M541" i="1"/>
  <c r="L541" i="1"/>
  <c r="CY541" i="1"/>
  <c r="R541" i="1"/>
  <c r="CX541" i="1"/>
  <c r="J541" i="1"/>
  <c r="BN541" i="1"/>
  <c r="BM541" i="1"/>
  <c r="DM1461" i="1"/>
  <c r="M1461" i="1"/>
  <c r="L1461" i="1"/>
  <c r="CY1461" i="1"/>
  <c r="R1461" i="1"/>
  <c r="CX1461" i="1"/>
  <c r="J1461" i="1"/>
  <c r="BN1461" i="1"/>
  <c r="BM1461" i="1"/>
  <c r="DM273" i="1"/>
  <c r="M273" i="1"/>
  <c r="L273" i="1"/>
  <c r="CY273" i="1"/>
  <c r="R273" i="1"/>
  <c r="CX273" i="1"/>
  <c r="J273" i="1"/>
  <c r="BN273" i="1"/>
  <c r="BM273" i="1"/>
  <c r="DM548" i="1"/>
  <c r="M548" i="1"/>
  <c r="L548" i="1"/>
  <c r="CY548" i="1"/>
  <c r="R548" i="1"/>
  <c r="CX548" i="1"/>
  <c r="J548" i="1"/>
  <c r="BN548" i="1"/>
  <c r="BM548" i="1"/>
  <c r="DM5" i="1"/>
  <c r="DE5" i="1"/>
  <c r="M5" i="1"/>
  <c r="L5" i="1"/>
  <c r="CY5" i="1"/>
  <c r="Q5" i="1"/>
  <c r="R5" i="1"/>
  <c r="CX5" i="1"/>
  <c r="J5" i="1"/>
  <c r="CW5" i="1"/>
  <c r="BN5" i="1"/>
  <c r="BM5" i="1"/>
  <c r="DM558" i="1"/>
  <c r="M558" i="1"/>
  <c r="L558" i="1"/>
  <c r="CY558" i="1"/>
  <c r="R558" i="1"/>
  <c r="CX558" i="1"/>
  <c r="J558" i="1"/>
  <c r="BN558" i="1"/>
  <c r="BM558" i="1"/>
  <c r="DM1216" i="1"/>
  <c r="DE1216" i="1"/>
  <c r="M1216" i="1"/>
  <c r="L1216" i="1"/>
  <c r="CY1216" i="1"/>
  <c r="Q1216" i="1"/>
  <c r="R1216" i="1"/>
  <c r="CX1216" i="1"/>
  <c r="J1216" i="1"/>
  <c r="CW1216" i="1"/>
  <c r="BN1216" i="1"/>
  <c r="BM1216" i="1"/>
  <c r="DM898" i="1"/>
  <c r="DE898" i="1"/>
  <c r="M898" i="1"/>
  <c r="L898" i="1"/>
  <c r="CY898" i="1"/>
  <c r="Q898" i="1"/>
  <c r="R898" i="1"/>
  <c r="CX898" i="1"/>
  <c r="J898" i="1"/>
  <c r="CW898" i="1"/>
  <c r="BN898" i="1"/>
  <c r="BM898" i="1"/>
  <c r="DM1213" i="1"/>
  <c r="DE1213" i="1"/>
  <c r="M1213" i="1"/>
  <c r="L1213" i="1"/>
  <c r="CY1213" i="1"/>
  <c r="Q1213" i="1"/>
  <c r="R1213" i="1"/>
  <c r="CX1213" i="1"/>
  <c r="J1213" i="1"/>
  <c r="CW1213" i="1"/>
  <c r="BN1213" i="1"/>
  <c r="BM1213" i="1"/>
  <c r="DM316" i="1"/>
  <c r="M316" i="1"/>
  <c r="L316" i="1"/>
  <c r="CY316" i="1"/>
  <c r="R316" i="1"/>
  <c r="CX316" i="1"/>
  <c r="J316" i="1"/>
  <c r="BN316" i="1"/>
  <c r="BM316" i="1"/>
  <c r="DM513" i="1"/>
  <c r="M513" i="1"/>
  <c r="L513" i="1"/>
  <c r="CY513" i="1"/>
  <c r="R513" i="1"/>
  <c r="CX513" i="1"/>
  <c r="J513" i="1"/>
  <c r="BN513" i="1"/>
  <c r="BM513" i="1"/>
  <c r="DM559" i="1"/>
  <c r="M559" i="1"/>
  <c r="L559" i="1"/>
  <c r="CY559" i="1"/>
  <c r="R559" i="1"/>
  <c r="CX559" i="1"/>
  <c r="J559" i="1"/>
  <c r="BN559" i="1"/>
  <c r="BM559" i="1"/>
  <c r="DM560" i="1"/>
  <c r="M560" i="1"/>
  <c r="L560" i="1"/>
  <c r="CY560" i="1"/>
  <c r="R560" i="1"/>
  <c r="CX560" i="1"/>
  <c r="J560" i="1"/>
  <c r="BN560" i="1"/>
  <c r="BM560" i="1"/>
  <c r="DM1204" i="1"/>
  <c r="DE1204" i="1"/>
  <c r="M1204" i="1"/>
  <c r="L1204" i="1"/>
  <c r="CY1204" i="1"/>
  <c r="Q1204" i="1"/>
  <c r="R1204" i="1"/>
  <c r="CX1204" i="1"/>
  <c r="J1204" i="1"/>
  <c r="CW1204" i="1"/>
  <c r="BN1204" i="1"/>
  <c r="BM1204" i="1"/>
  <c r="DM1201" i="1"/>
  <c r="DE1201" i="1"/>
  <c r="M1201" i="1"/>
  <c r="L1201" i="1"/>
  <c r="CY1201" i="1"/>
  <c r="Q1201" i="1"/>
  <c r="R1201" i="1"/>
  <c r="CX1201" i="1"/>
  <c r="J1201" i="1"/>
  <c r="CW1201" i="1"/>
  <c r="BN1201" i="1"/>
  <c r="BM1201" i="1"/>
  <c r="DM1197" i="1"/>
  <c r="DE1197" i="1"/>
  <c r="M1197" i="1"/>
  <c r="L1197" i="1"/>
  <c r="CY1197" i="1"/>
  <c r="Q1197" i="1"/>
  <c r="R1197" i="1"/>
  <c r="CX1197" i="1"/>
  <c r="J1197" i="1"/>
  <c r="CW1197" i="1"/>
  <c r="BN1197" i="1"/>
  <c r="BM1197" i="1"/>
  <c r="DM909" i="1"/>
  <c r="M909" i="1"/>
  <c r="L909" i="1"/>
  <c r="CY909" i="1"/>
  <c r="R909" i="1"/>
  <c r="CX909" i="1"/>
  <c r="J909" i="1"/>
  <c r="BN909" i="1"/>
  <c r="BM909" i="1"/>
  <c r="DM25" i="1"/>
  <c r="DE25" i="1"/>
  <c r="M25" i="1"/>
  <c r="L25" i="1"/>
  <c r="CY25" i="1"/>
  <c r="Q25" i="1"/>
  <c r="R25" i="1"/>
  <c r="CX25" i="1"/>
  <c r="J25" i="1"/>
  <c r="CW25" i="1"/>
  <c r="BN25" i="1"/>
  <c r="BM25" i="1"/>
  <c r="DM26" i="1"/>
  <c r="DE26" i="1"/>
  <c r="M26" i="1"/>
  <c r="L26" i="1"/>
  <c r="CY26" i="1"/>
  <c r="Q26" i="1"/>
  <c r="R26" i="1"/>
  <c r="CX26" i="1"/>
  <c r="J26" i="1"/>
  <c r="CW26" i="1"/>
  <c r="BN26" i="1"/>
  <c r="BM26" i="1"/>
  <c r="DM27" i="1"/>
  <c r="DE27" i="1"/>
  <c r="M27" i="1"/>
  <c r="L27" i="1"/>
  <c r="CY27" i="1"/>
  <c r="Q27" i="1"/>
  <c r="R27" i="1"/>
  <c r="CX27" i="1"/>
  <c r="J27" i="1"/>
  <c r="CW27" i="1"/>
  <c r="BN27" i="1"/>
  <c r="BM27" i="1"/>
  <c r="DM908" i="1"/>
  <c r="DE908" i="1"/>
  <c r="M908" i="1"/>
  <c r="L908" i="1"/>
  <c r="CY908" i="1"/>
  <c r="Q908" i="1"/>
  <c r="R908" i="1"/>
  <c r="CX908" i="1"/>
  <c r="J908" i="1"/>
  <c r="CW908" i="1"/>
  <c r="BN908" i="1"/>
  <c r="BM908" i="1"/>
  <c r="DM29" i="1"/>
  <c r="DE29" i="1"/>
  <c r="M29" i="1"/>
  <c r="L29" i="1"/>
  <c r="CY29" i="1"/>
  <c r="Q29" i="1"/>
  <c r="R29" i="1"/>
  <c r="CX29" i="1"/>
  <c r="J29" i="1"/>
  <c r="CW29" i="1"/>
  <c r="BN29" i="1"/>
  <c r="BM29" i="1"/>
  <c r="DM561" i="1"/>
  <c r="M561" i="1"/>
  <c r="L561" i="1"/>
  <c r="CY561" i="1"/>
  <c r="R561" i="1"/>
  <c r="CX561" i="1"/>
  <c r="J561" i="1"/>
  <c r="BN561" i="1"/>
  <c r="BM561" i="1"/>
  <c r="DM562" i="1"/>
  <c r="M562" i="1"/>
  <c r="L562" i="1"/>
  <c r="CY562" i="1"/>
  <c r="R562" i="1"/>
  <c r="CX562" i="1"/>
  <c r="J562" i="1"/>
  <c r="BN562" i="1"/>
  <c r="BM562" i="1"/>
  <c r="DM1407" i="1"/>
  <c r="M1407" i="1"/>
  <c r="L1407" i="1"/>
  <c r="CY1407" i="1"/>
  <c r="R1407" i="1"/>
  <c r="CX1407" i="1"/>
  <c r="J1407" i="1"/>
  <c r="BN1407" i="1"/>
  <c r="BM1407" i="1"/>
  <c r="DM225" i="1"/>
  <c r="DE225" i="1"/>
  <c r="M225" i="1"/>
  <c r="L225" i="1"/>
  <c r="CY225" i="1"/>
  <c r="Q225" i="1"/>
  <c r="R225" i="1"/>
  <c r="CX225" i="1"/>
  <c r="J225" i="1"/>
  <c r="CW225" i="1"/>
  <c r="BN225" i="1"/>
  <c r="BM225" i="1"/>
  <c r="DM226" i="1"/>
  <c r="DE226" i="1"/>
  <c r="M226" i="1"/>
  <c r="L226" i="1"/>
  <c r="CY226" i="1"/>
  <c r="Q226" i="1"/>
  <c r="R226" i="1"/>
  <c r="CX226" i="1"/>
  <c r="J226" i="1"/>
  <c r="CW226" i="1"/>
  <c r="BN226" i="1"/>
  <c r="BM226" i="1"/>
  <c r="DM918" i="1"/>
  <c r="DE918" i="1"/>
  <c r="M918" i="1"/>
  <c r="L918" i="1"/>
  <c r="CY918" i="1"/>
  <c r="Q918" i="1"/>
  <c r="R918" i="1"/>
  <c r="CX918" i="1"/>
  <c r="J918" i="1"/>
  <c r="CW918" i="1"/>
  <c r="BN918" i="1"/>
  <c r="BM918" i="1"/>
  <c r="DM1148" i="1"/>
  <c r="DE1148" i="1"/>
  <c r="M1148" i="1"/>
  <c r="L1148" i="1"/>
  <c r="CY1148" i="1"/>
  <c r="Q1148" i="1"/>
  <c r="R1148" i="1"/>
  <c r="CX1148" i="1"/>
  <c r="J1148" i="1"/>
  <c r="CW1148" i="1"/>
  <c r="BN1148" i="1"/>
  <c r="BM1148" i="1"/>
  <c r="DM1147" i="1"/>
  <c r="DE1147" i="1"/>
  <c r="M1147" i="1"/>
  <c r="L1147" i="1"/>
  <c r="CY1147" i="1"/>
  <c r="Q1147" i="1"/>
  <c r="R1147" i="1"/>
  <c r="CX1147" i="1"/>
  <c r="J1147" i="1"/>
  <c r="CW1147" i="1"/>
  <c r="BN1147" i="1"/>
  <c r="BM1147" i="1"/>
  <c r="DM1146" i="1"/>
  <c r="DE1146" i="1"/>
  <c r="M1146" i="1"/>
  <c r="L1146" i="1"/>
  <c r="CY1146" i="1"/>
  <c r="Q1146" i="1"/>
  <c r="R1146" i="1"/>
  <c r="CX1146" i="1"/>
  <c r="J1146" i="1"/>
  <c r="CW1146" i="1"/>
  <c r="BN1146" i="1"/>
  <c r="BM1146" i="1"/>
  <c r="DM1144" i="1"/>
  <c r="DE1144" i="1"/>
  <c r="M1144" i="1"/>
  <c r="L1144" i="1"/>
  <c r="CY1144" i="1"/>
  <c r="Q1144" i="1"/>
  <c r="R1144" i="1"/>
  <c r="CX1144" i="1"/>
  <c r="J1144" i="1"/>
  <c r="CW1144" i="1"/>
  <c r="BN1144" i="1"/>
  <c r="BM1144" i="1"/>
  <c r="DM1042" i="1"/>
  <c r="DE1042" i="1"/>
  <c r="M1042" i="1"/>
  <c r="L1042" i="1"/>
  <c r="CY1042" i="1"/>
  <c r="Q1042" i="1"/>
  <c r="R1042" i="1"/>
  <c r="CX1042" i="1"/>
  <c r="J1042" i="1"/>
  <c r="CW1042" i="1"/>
  <c r="BN1042" i="1"/>
  <c r="BM1042" i="1"/>
  <c r="DM247" i="1"/>
  <c r="DE247" i="1"/>
  <c r="M247" i="1"/>
  <c r="L247" i="1"/>
  <c r="CY247" i="1"/>
  <c r="Q247" i="1"/>
  <c r="R247" i="1"/>
  <c r="CX247" i="1"/>
  <c r="J247" i="1"/>
  <c r="CW247" i="1"/>
  <c r="BN247" i="1"/>
  <c r="BM247" i="1"/>
  <c r="DM248" i="1"/>
  <c r="DE248" i="1"/>
  <c r="M248" i="1"/>
  <c r="L248" i="1"/>
  <c r="CY248" i="1"/>
  <c r="Q248" i="1"/>
  <c r="R248" i="1"/>
  <c r="CX248" i="1"/>
  <c r="J248" i="1"/>
  <c r="CW248" i="1"/>
  <c r="BN248" i="1"/>
  <c r="BM248" i="1"/>
  <c r="DM1040" i="1"/>
  <c r="DE1040" i="1"/>
  <c r="M1040" i="1"/>
  <c r="L1040" i="1"/>
  <c r="CY1040" i="1"/>
  <c r="Q1040" i="1"/>
  <c r="R1040" i="1"/>
  <c r="CX1040" i="1"/>
  <c r="J1040" i="1"/>
  <c r="CW1040" i="1"/>
  <c r="BN1040" i="1"/>
  <c r="BM1040" i="1"/>
  <c r="DM1121" i="1"/>
  <c r="DE1121" i="1"/>
  <c r="M1121" i="1"/>
  <c r="L1121" i="1"/>
  <c r="CY1121" i="1"/>
  <c r="Q1121" i="1"/>
  <c r="R1121" i="1"/>
  <c r="CX1121" i="1"/>
  <c r="J1121" i="1"/>
  <c r="CW1121" i="1"/>
  <c r="BN1121" i="1"/>
  <c r="BM1121" i="1"/>
  <c r="DE1062" i="1"/>
  <c r="M1062" i="1"/>
  <c r="L1062" i="1"/>
  <c r="CY1062" i="1"/>
  <c r="Q1062" i="1"/>
  <c r="R1062" i="1"/>
  <c r="CX1062" i="1"/>
  <c r="J1062" i="1"/>
  <c r="CW1062" i="1"/>
  <c r="BN1062" i="1"/>
  <c r="BM1062" i="1"/>
  <c r="DM890" i="1"/>
  <c r="M890" i="1"/>
  <c r="L890" i="1"/>
  <c r="CY890" i="1"/>
  <c r="R890" i="1"/>
  <c r="CX890" i="1"/>
  <c r="J890" i="1"/>
  <c r="BN890" i="1"/>
  <c r="BM890" i="1"/>
  <c r="DM1414" i="1"/>
  <c r="M1414" i="1"/>
  <c r="L1414" i="1"/>
  <c r="CY1414" i="1"/>
  <c r="R1414" i="1"/>
  <c r="CX1414" i="1"/>
  <c r="J1414" i="1"/>
  <c r="BN1414" i="1"/>
  <c r="BM1414" i="1"/>
  <c r="DM274" i="1"/>
  <c r="DE274" i="1"/>
  <c r="M274" i="1"/>
  <c r="L274" i="1"/>
  <c r="CY274" i="1"/>
  <c r="Q274" i="1"/>
  <c r="R274" i="1"/>
  <c r="CX274" i="1"/>
  <c r="J274" i="1"/>
  <c r="CW274" i="1"/>
  <c r="BN274" i="1"/>
  <c r="BM274" i="1"/>
  <c r="DM276" i="1"/>
  <c r="DE276" i="1"/>
  <c r="M276" i="1"/>
  <c r="L276" i="1"/>
  <c r="CY276" i="1"/>
  <c r="Q276" i="1"/>
  <c r="R276" i="1"/>
  <c r="CX276" i="1"/>
  <c r="J276" i="1"/>
  <c r="CW276" i="1"/>
  <c r="BN276" i="1"/>
  <c r="BM276" i="1"/>
  <c r="DM282" i="1"/>
  <c r="DE282" i="1"/>
  <c r="M282" i="1"/>
  <c r="L282" i="1"/>
  <c r="CY282" i="1"/>
  <c r="Q282" i="1"/>
  <c r="R282" i="1"/>
  <c r="CX282" i="1"/>
  <c r="J282" i="1"/>
  <c r="CW282" i="1"/>
  <c r="BN282" i="1"/>
  <c r="BM282" i="1"/>
  <c r="DM1107" i="1"/>
  <c r="DE1107" i="1"/>
  <c r="M1107" i="1"/>
  <c r="L1107" i="1"/>
  <c r="CY1107" i="1"/>
  <c r="Q1107" i="1"/>
  <c r="R1107" i="1"/>
  <c r="CX1107" i="1"/>
  <c r="J1107" i="1"/>
  <c r="CW1107" i="1"/>
  <c r="BN1107" i="1"/>
  <c r="BM1107" i="1"/>
  <c r="DM285" i="1"/>
  <c r="DE285" i="1"/>
  <c r="M285" i="1"/>
  <c r="L285" i="1"/>
  <c r="CY285" i="1"/>
  <c r="Q285" i="1"/>
  <c r="R285" i="1"/>
  <c r="CX285" i="1"/>
  <c r="J285" i="1"/>
  <c r="CW285" i="1"/>
  <c r="BN285" i="1"/>
  <c r="BM285" i="1"/>
  <c r="DM291" i="1"/>
  <c r="DE291" i="1"/>
  <c r="M291" i="1"/>
  <c r="L291" i="1"/>
  <c r="CY291" i="1"/>
  <c r="Q291" i="1"/>
  <c r="R291" i="1"/>
  <c r="CX291" i="1"/>
  <c r="J291" i="1"/>
  <c r="CW291" i="1"/>
  <c r="BN291" i="1"/>
  <c r="BM291" i="1"/>
  <c r="DM917" i="1"/>
  <c r="DE917" i="1"/>
  <c r="M917" i="1"/>
  <c r="L917" i="1"/>
  <c r="CY917" i="1"/>
  <c r="Q917" i="1"/>
  <c r="R917" i="1"/>
  <c r="CX917" i="1"/>
  <c r="J917" i="1"/>
  <c r="CW917" i="1"/>
  <c r="BN917" i="1"/>
  <c r="BM917" i="1"/>
  <c r="DE1092" i="1"/>
  <c r="M1092" i="1"/>
  <c r="L1092" i="1"/>
  <c r="CY1092" i="1"/>
  <c r="Q1092" i="1"/>
  <c r="R1092" i="1"/>
  <c r="CX1092" i="1"/>
  <c r="J1092" i="1"/>
  <c r="CW1092" i="1"/>
  <c r="BN1092" i="1"/>
  <c r="BM1092" i="1"/>
  <c r="DE1091" i="1"/>
  <c r="M1091" i="1"/>
  <c r="L1091" i="1"/>
  <c r="CY1091" i="1"/>
  <c r="Q1091" i="1"/>
  <c r="R1091" i="1"/>
  <c r="CX1091" i="1"/>
  <c r="J1091" i="1"/>
  <c r="CW1091" i="1"/>
  <c r="BN1091" i="1"/>
  <c r="BM1091" i="1"/>
  <c r="DE1089" i="1"/>
  <c r="M1089" i="1"/>
  <c r="L1089" i="1"/>
  <c r="CY1089" i="1"/>
  <c r="Q1089" i="1"/>
  <c r="R1089" i="1"/>
  <c r="CX1089" i="1"/>
  <c r="J1089" i="1"/>
  <c r="CW1089" i="1"/>
  <c r="BN1089" i="1"/>
  <c r="BM1089" i="1"/>
  <c r="DE312" i="1"/>
  <c r="M312" i="1"/>
  <c r="L312" i="1"/>
  <c r="CY312" i="1"/>
  <c r="Q312" i="1"/>
  <c r="R312" i="1"/>
  <c r="CX312" i="1"/>
  <c r="J312" i="1"/>
  <c r="CW312" i="1"/>
  <c r="BN312" i="1"/>
  <c r="BM312" i="1"/>
  <c r="DE313" i="1"/>
  <c r="M313" i="1"/>
  <c r="L313" i="1"/>
  <c r="CY313" i="1"/>
  <c r="Q313" i="1"/>
  <c r="R313" i="1"/>
  <c r="CX313" i="1"/>
  <c r="J313" i="1"/>
  <c r="CW313" i="1"/>
  <c r="BN313" i="1"/>
  <c r="BM313" i="1"/>
  <c r="DE1088" i="1"/>
  <c r="M1088" i="1"/>
  <c r="L1088" i="1"/>
  <c r="CY1088" i="1"/>
  <c r="Q1088" i="1"/>
  <c r="R1088" i="1"/>
  <c r="CX1088" i="1"/>
  <c r="J1088" i="1"/>
  <c r="CW1088" i="1"/>
  <c r="BN1088" i="1"/>
  <c r="BM1088" i="1"/>
  <c r="DE1087" i="1"/>
  <c r="M1087" i="1"/>
  <c r="L1087" i="1"/>
  <c r="CY1087" i="1"/>
  <c r="Q1087" i="1"/>
  <c r="R1087" i="1"/>
  <c r="CX1087" i="1"/>
  <c r="J1087" i="1"/>
  <c r="CW1087" i="1"/>
  <c r="BN1087" i="1"/>
  <c r="BM1087" i="1"/>
  <c r="DE1086" i="1"/>
  <c r="M1086" i="1"/>
  <c r="L1086" i="1"/>
  <c r="CY1086" i="1"/>
  <c r="Q1086" i="1"/>
  <c r="R1086" i="1"/>
  <c r="CX1086" i="1"/>
  <c r="J1086" i="1"/>
  <c r="CW1086" i="1"/>
  <c r="BN1086" i="1"/>
  <c r="BM1086" i="1"/>
  <c r="DE322" i="1"/>
  <c r="M322" i="1"/>
  <c r="L322" i="1"/>
  <c r="CY322" i="1"/>
  <c r="Q322" i="1"/>
  <c r="R322" i="1"/>
  <c r="CX322" i="1"/>
  <c r="J322" i="1"/>
  <c r="CW322" i="1"/>
  <c r="BN322" i="1"/>
  <c r="BM322" i="1"/>
  <c r="DE325" i="1"/>
  <c r="M325" i="1"/>
  <c r="L325" i="1"/>
  <c r="CY325" i="1"/>
  <c r="Q325" i="1"/>
  <c r="R325" i="1"/>
  <c r="CX325" i="1"/>
  <c r="J325" i="1"/>
  <c r="CW325" i="1"/>
  <c r="BN325" i="1"/>
  <c r="BM325" i="1"/>
  <c r="DE1081" i="1"/>
  <c r="M1081" i="1"/>
  <c r="L1081" i="1"/>
  <c r="CY1081" i="1"/>
  <c r="Q1081" i="1"/>
  <c r="R1081" i="1"/>
  <c r="CX1081" i="1"/>
  <c r="J1081" i="1"/>
  <c r="CW1081" i="1"/>
  <c r="BN1081" i="1"/>
  <c r="BM1081" i="1"/>
  <c r="DE1080" i="1"/>
  <c r="M1080" i="1"/>
  <c r="L1080" i="1"/>
  <c r="CY1080" i="1"/>
  <c r="Q1080" i="1"/>
  <c r="R1080" i="1"/>
  <c r="CX1080" i="1"/>
  <c r="J1080" i="1"/>
  <c r="CW1080" i="1"/>
  <c r="BN1080" i="1"/>
  <c r="BM1080" i="1"/>
  <c r="DE1055" i="1"/>
  <c r="M1055" i="1"/>
  <c r="L1055" i="1"/>
  <c r="CY1055" i="1"/>
  <c r="Q1055" i="1"/>
  <c r="R1055" i="1"/>
  <c r="CX1055" i="1"/>
  <c r="J1055" i="1"/>
  <c r="CW1055" i="1"/>
  <c r="BN1055" i="1"/>
  <c r="BM1055" i="1"/>
  <c r="DE331" i="1"/>
  <c r="M331" i="1"/>
  <c r="L331" i="1"/>
  <c r="CY331" i="1"/>
  <c r="Q331" i="1"/>
  <c r="R331" i="1"/>
  <c r="CX331" i="1"/>
  <c r="J331" i="1"/>
  <c r="CW331" i="1"/>
  <c r="BN331" i="1"/>
  <c r="BM331" i="1"/>
  <c r="DE1048" i="1"/>
  <c r="M1048" i="1"/>
  <c r="L1048" i="1"/>
  <c r="CY1048" i="1"/>
  <c r="Q1048" i="1"/>
  <c r="R1048" i="1"/>
  <c r="CX1048" i="1"/>
  <c r="J1048" i="1"/>
  <c r="CW1048" i="1"/>
  <c r="BN1048" i="1"/>
  <c r="BM1048" i="1"/>
  <c r="DE335" i="1"/>
  <c r="M335" i="1"/>
  <c r="L335" i="1"/>
  <c r="CY335" i="1"/>
  <c r="Q335" i="1"/>
  <c r="R335" i="1"/>
  <c r="CX335" i="1"/>
  <c r="J335" i="1"/>
  <c r="CW335" i="1"/>
  <c r="BN335" i="1"/>
  <c r="BM335" i="1"/>
  <c r="DE341" i="1"/>
  <c r="M341" i="1"/>
  <c r="L341" i="1"/>
  <c r="CY341" i="1"/>
  <c r="Q341" i="1"/>
  <c r="R341" i="1"/>
  <c r="CX341" i="1"/>
  <c r="J341" i="1"/>
  <c r="CW341" i="1"/>
  <c r="BN341" i="1"/>
  <c r="BM341" i="1"/>
  <c r="DE1035" i="1"/>
  <c r="M1035" i="1"/>
  <c r="L1035" i="1"/>
  <c r="CY1035" i="1"/>
  <c r="Q1035" i="1"/>
  <c r="R1035" i="1"/>
  <c r="CX1035" i="1"/>
  <c r="J1035" i="1"/>
  <c r="CW1035" i="1"/>
  <c r="BN1035" i="1"/>
  <c r="BM1035" i="1"/>
  <c r="DE1032" i="1"/>
  <c r="M1032" i="1"/>
  <c r="L1032" i="1"/>
  <c r="CY1032" i="1"/>
  <c r="Q1032" i="1"/>
  <c r="R1032" i="1"/>
  <c r="CX1032" i="1"/>
  <c r="J1032" i="1"/>
  <c r="CW1032" i="1"/>
  <c r="BN1032" i="1"/>
  <c r="BM1032" i="1"/>
  <c r="DE345" i="1"/>
  <c r="M345" i="1"/>
  <c r="L345" i="1"/>
  <c r="CY345" i="1"/>
  <c r="Q345" i="1"/>
  <c r="R345" i="1"/>
  <c r="CX345" i="1"/>
  <c r="J345" i="1"/>
  <c r="CW345" i="1"/>
  <c r="BN345" i="1"/>
  <c r="BM345" i="1"/>
  <c r="DE1029" i="1"/>
  <c r="M1029" i="1"/>
  <c r="L1029" i="1"/>
  <c r="CY1029" i="1"/>
  <c r="Q1029" i="1"/>
  <c r="R1029" i="1"/>
  <c r="CX1029" i="1"/>
  <c r="J1029" i="1"/>
  <c r="CW1029" i="1"/>
  <c r="BN1029" i="1"/>
  <c r="BM1029" i="1"/>
  <c r="DE350" i="1"/>
  <c r="M350" i="1"/>
  <c r="L350" i="1"/>
  <c r="CY350" i="1"/>
  <c r="Q350" i="1"/>
  <c r="R350" i="1"/>
  <c r="CX350" i="1"/>
  <c r="J350" i="1"/>
  <c r="CW350" i="1"/>
  <c r="BN350" i="1"/>
  <c r="BM350" i="1"/>
  <c r="DE351" i="1"/>
  <c r="M351" i="1"/>
  <c r="L351" i="1"/>
  <c r="CY351" i="1"/>
  <c r="Q351" i="1"/>
  <c r="R351" i="1"/>
  <c r="CX351" i="1"/>
  <c r="J351" i="1"/>
  <c r="CW351" i="1"/>
  <c r="BN351" i="1"/>
  <c r="BM351" i="1"/>
  <c r="DE352" i="1"/>
  <c r="M352" i="1"/>
  <c r="L352" i="1"/>
  <c r="CY352" i="1"/>
  <c r="Q352" i="1"/>
  <c r="R352" i="1"/>
  <c r="CX352" i="1"/>
  <c r="J352" i="1"/>
  <c r="CW352" i="1"/>
  <c r="BN352" i="1"/>
  <c r="BM352" i="1"/>
  <c r="DE1025" i="1"/>
  <c r="M1025" i="1"/>
  <c r="L1025" i="1"/>
  <c r="CY1025" i="1"/>
  <c r="Q1025" i="1"/>
  <c r="R1025" i="1"/>
  <c r="CX1025" i="1"/>
  <c r="J1025" i="1"/>
  <c r="CW1025" i="1"/>
  <c r="BN1025" i="1"/>
  <c r="BM1025" i="1"/>
  <c r="DE1015" i="1"/>
  <c r="M1015" i="1"/>
  <c r="L1015" i="1"/>
  <c r="CY1015" i="1"/>
  <c r="Q1015" i="1"/>
  <c r="R1015" i="1"/>
  <c r="CX1015" i="1"/>
  <c r="J1015" i="1"/>
  <c r="CW1015" i="1"/>
  <c r="BN1015" i="1"/>
  <c r="BM1015" i="1"/>
  <c r="DE356" i="1"/>
  <c r="M356" i="1"/>
  <c r="L356" i="1"/>
  <c r="CY356" i="1"/>
  <c r="Q356" i="1"/>
  <c r="R356" i="1"/>
  <c r="CX356" i="1"/>
  <c r="J356" i="1"/>
  <c r="CW356" i="1"/>
  <c r="BN356" i="1"/>
  <c r="BM356" i="1"/>
  <c r="DE357" i="1"/>
  <c r="M357" i="1"/>
  <c r="L357" i="1"/>
  <c r="CY357" i="1"/>
  <c r="Q357" i="1"/>
  <c r="R357" i="1"/>
  <c r="CX357" i="1"/>
  <c r="J357" i="1"/>
  <c r="CW357" i="1"/>
  <c r="BN357" i="1"/>
  <c r="BM357" i="1"/>
  <c r="DE1012" i="1"/>
  <c r="M1012" i="1"/>
  <c r="L1012" i="1"/>
  <c r="CY1012" i="1"/>
  <c r="Q1012" i="1"/>
  <c r="R1012" i="1"/>
  <c r="CX1012" i="1"/>
  <c r="J1012" i="1"/>
  <c r="CW1012" i="1"/>
  <c r="BN1012" i="1"/>
  <c r="BM1012" i="1"/>
  <c r="DE1008" i="1"/>
  <c r="M1008" i="1"/>
  <c r="L1008" i="1"/>
  <c r="CY1008" i="1"/>
  <c r="Q1008" i="1"/>
  <c r="R1008" i="1"/>
  <c r="CX1008" i="1"/>
  <c r="J1008" i="1"/>
  <c r="CW1008" i="1"/>
  <c r="BN1008" i="1"/>
  <c r="BM1008" i="1"/>
  <c r="DE366" i="1"/>
  <c r="M366" i="1"/>
  <c r="L366" i="1"/>
  <c r="CY366" i="1"/>
  <c r="Q366" i="1"/>
  <c r="R366" i="1"/>
  <c r="CX366" i="1"/>
  <c r="J366" i="1"/>
  <c r="CW366" i="1"/>
  <c r="BN366" i="1"/>
  <c r="BM366" i="1"/>
  <c r="DE367" i="1"/>
  <c r="M367" i="1"/>
  <c r="L367" i="1"/>
  <c r="CY367" i="1"/>
  <c r="Q367" i="1"/>
  <c r="R367" i="1"/>
  <c r="CX367" i="1"/>
  <c r="J367" i="1"/>
  <c r="CW367" i="1"/>
  <c r="BN367" i="1"/>
  <c r="BM367" i="1"/>
  <c r="DE1005" i="1"/>
  <c r="M1005" i="1"/>
  <c r="L1005" i="1"/>
  <c r="CY1005" i="1"/>
  <c r="Q1005" i="1"/>
  <c r="R1005" i="1"/>
  <c r="CX1005" i="1"/>
  <c r="J1005" i="1"/>
  <c r="CW1005" i="1"/>
  <c r="BN1005" i="1"/>
  <c r="BM1005" i="1"/>
  <c r="DE993" i="1"/>
  <c r="M993" i="1"/>
  <c r="L993" i="1"/>
  <c r="CY993" i="1"/>
  <c r="Q993" i="1"/>
  <c r="R993" i="1"/>
  <c r="CX993" i="1"/>
  <c r="J993" i="1"/>
  <c r="CW993" i="1"/>
  <c r="BN993" i="1"/>
  <c r="BM993" i="1"/>
  <c r="DE378" i="1"/>
  <c r="M378" i="1"/>
  <c r="L378" i="1"/>
  <c r="CY378" i="1"/>
  <c r="Q378" i="1"/>
  <c r="R378" i="1"/>
  <c r="CX378" i="1"/>
  <c r="J378" i="1"/>
  <c r="CW378" i="1"/>
  <c r="BN378" i="1"/>
  <c r="BM378" i="1"/>
  <c r="DE989" i="1"/>
  <c r="M989" i="1"/>
  <c r="L989" i="1"/>
  <c r="CY989" i="1"/>
  <c r="Q989" i="1"/>
  <c r="R989" i="1"/>
  <c r="CX989" i="1"/>
  <c r="J989" i="1"/>
  <c r="CW989" i="1"/>
  <c r="BN989" i="1"/>
  <c r="BM989" i="1"/>
  <c r="DE382" i="1"/>
  <c r="M382" i="1"/>
  <c r="L382" i="1"/>
  <c r="CY382" i="1"/>
  <c r="Q382" i="1"/>
  <c r="R382" i="1"/>
  <c r="CX382" i="1"/>
  <c r="J382" i="1"/>
  <c r="CW382" i="1"/>
  <c r="BN382" i="1"/>
  <c r="BM382" i="1"/>
  <c r="DE383" i="1"/>
  <c r="M383" i="1"/>
  <c r="L383" i="1"/>
  <c r="CY383" i="1"/>
  <c r="Q383" i="1"/>
  <c r="R383" i="1"/>
  <c r="CX383" i="1"/>
  <c r="J383" i="1"/>
  <c r="CW383" i="1"/>
  <c r="BN383" i="1"/>
  <c r="BM383" i="1"/>
  <c r="DE384" i="1"/>
  <c r="M384" i="1"/>
  <c r="L384" i="1"/>
  <c r="CY384" i="1"/>
  <c r="Q384" i="1"/>
  <c r="R384" i="1"/>
  <c r="CX384" i="1"/>
  <c r="J384" i="1"/>
  <c r="CW384" i="1"/>
  <c r="BN384" i="1"/>
  <c r="BM384" i="1"/>
  <c r="DE988" i="1"/>
  <c r="M988" i="1"/>
  <c r="L988" i="1"/>
  <c r="CY988" i="1"/>
  <c r="Q988" i="1"/>
  <c r="R988" i="1"/>
  <c r="CX988" i="1"/>
  <c r="J988" i="1"/>
  <c r="CW988" i="1"/>
  <c r="BN988" i="1"/>
  <c r="BM988" i="1"/>
  <c r="DE390" i="1"/>
  <c r="M390" i="1"/>
  <c r="L390" i="1"/>
  <c r="CY390" i="1"/>
  <c r="Q390" i="1"/>
  <c r="R390" i="1"/>
  <c r="CX390" i="1"/>
  <c r="J390" i="1"/>
  <c r="CW390" i="1"/>
  <c r="BN390" i="1"/>
  <c r="BM390" i="1"/>
  <c r="DE987" i="1"/>
  <c r="M987" i="1"/>
  <c r="L987" i="1"/>
  <c r="CY987" i="1"/>
  <c r="Q987" i="1"/>
  <c r="R987" i="1"/>
  <c r="CX987" i="1"/>
  <c r="J987" i="1"/>
  <c r="CW987" i="1"/>
  <c r="BN987" i="1"/>
  <c r="BM987" i="1"/>
  <c r="DE981" i="1"/>
  <c r="M981" i="1"/>
  <c r="L981" i="1"/>
  <c r="CY981" i="1"/>
  <c r="Q981" i="1"/>
  <c r="R981" i="1"/>
  <c r="CX981" i="1"/>
  <c r="J981" i="1"/>
  <c r="CW981" i="1"/>
  <c r="BN981" i="1"/>
  <c r="BM981" i="1"/>
  <c r="DE980" i="1"/>
  <c r="M980" i="1"/>
  <c r="L980" i="1"/>
  <c r="CY980" i="1"/>
  <c r="Q980" i="1"/>
  <c r="R980" i="1"/>
  <c r="CX980" i="1"/>
  <c r="J980" i="1"/>
  <c r="CW980" i="1"/>
  <c r="BN980" i="1"/>
  <c r="BM980" i="1"/>
  <c r="DE397" i="1"/>
  <c r="M397" i="1"/>
  <c r="L397" i="1"/>
  <c r="CY397" i="1"/>
  <c r="Q397" i="1"/>
  <c r="R397" i="1"/>
  <c r="CX397" i="1"/>
  <c r="J397" i="1"/>
  <c r="CW397" i="1"/>
  <c r="BN397" i="1"/>
  <c r="BM397" i="1"/>
  <c r="DE403" i="1"/>
  <c r="M403" i="1"/>
  <c r="L403" i="1"/>
  <c r="CY403" i="1"/>
  <c r="Q403" i="1"/>
  <c r="R403" i="1"/>
  <c r="CX403" i="1"/>
  <c r="J403" i="1"/>
  <c r="CW403" i="1"/>
  <c r="BN403" i="1"/>
  <c r="BM403" i="1"/>
  <c r="DE404" i="1"/>
  <c r="M404" i="1"/>
  <c r="L404" i="1"/>
  <c r="CY404" i="1"/>
  <c r="Q404" i="1"/>
  <c r="R404" i="1"/>
  <c r="CX404" i="1"/>
  <c r="J404" i="1"/>
  <c r="CW404" i="1"/>
  <c r="BN404" i="1"/>
  <c r="BM404" i="1"/>
  <c r="DE405" i="1"/>
  <c r="M405" i="1"/>
  <c r="L405" i="1"/>
  <c r="CY405" i="1"/>
  <c r="Q405" i="1"/>
  <c r="R405" i="1"/>
  <c r="CX405" i="1"/>
  <c r="J405" i="1"/>
  <c r="CW405" i="1"/>
  <c r="BN405" i="1"/>
  <c r="BM405" i="1"/>
  <c r="DE411" i="1"/>
  <c r="M411" i="1"/>
  <c r="L411" i="1"/>
  <c r="CY411" i="1"/>
  <c r="Q411" i="1"/>
  <c r="R411" i="1"/>
  <c r="CX411" i="1"/>
  <c r="J411" i="1"/>
  <c r="CW411" i="1"/>
  <c r="BN411" i="1"/>
  <c r="BM411" i="1"/>
  <c r="DE419" i="1"/>
  <c r="M419" i="1"/>
  <c r="L419" i="1"/>
  <c r="CY419" i="1"/>
  <c r="Q419" i="1"/>
  <c r="R419" i="1"/>
  <c r="CX419" i="1"/>
  <c r="J419" i="1"/>
  <c r="CW419" i="1"/>
  <c r="BN419" i="1"/>
  <c r="BM419" i="1"/>
  <c r="DE424" i="1"/>
  <c r="M424" i="1"/>
  <c r="L424" i="1"/>
  <c r="CY424" i="1"/>
  <c r="Q424" i="1"/>
  <c r="R424" i="1"/>
  <c r="CX424" i="1"/>
  <c r="J424" i="1"/>
  <c r="CW424" i="1"/>
  <c r="BN424" i="1"/>
  <c r="BM424" i="1"/>
  <c r="DE431" i="1"/>
  <c r="M431" i="1"/>
  <c r="L431" i="1"/>
  <c r="CY431" i="1"/>
  <c r="Q431" i="1"/>
  <c r="R431" i="1"/>
  <c r="CX431" i="1"/>
  <c r="J431" i="1"/>
  <c r="CW431" i="1"/>
  <c r="BN431" i="1"/>
  <c r="BM431" i="1"/>
  <c r="DE432" i="1"/>
  <c r="M432" i="1"/>
  <c r="L432" i="1"/>
  <c r="CY432" i="1"/>
  <c r="Q432" i="1"/>
  <c r="R432" i="1"/>
  <c r="CX432" i="1"/>
  <c r="J432" i="1"/>
  <c r="CW432" i="1"/>
  <c r="BN432" i="1"/>
  <c r="BM432" i="1"/>
  <c r="DE438" i="1"/>
  <c r="M438" i="1"/>
  <c r="L438" i="1"/>
  <c r="CY438" i="1"/>
  <c r="Q438" i="1"/>
  <c r="R438" i="1"/>
  <c r="CX438" i="1"/>
  <c r="J438" i="1"/>
  <c r="CW438" i="1"/>
  <c r="BN438" i="1"/>
  <c r="BM438" i="1"/>
  <c r="DE439" i="1"/>
  <c r="M439" i="1"/>
  <c r="L439" i="1"/>
  <c r="CY439" i="1"/>
  <c r="Q439" i="1"/>
  <c r="R439" i="1"/>
  <c r="CX439" i="1"/>
  <c r="J439" i="1"/>
  <c r="CW439" i="1"/>
  <c r="BN439" i="1"/>
  <c r="BM439" i="1"/>
  <c r="DM445" i="1"/>
  <c r="DE445" i="1"/>
  <c r="M445" i="1"/>
  <c r="L445" i="1"/>
  <c r="CY445" i="1"/>
  <c r="Q445" i="1"/>
  <c r="R445" i="1"/>
  <c r="CX445" i="1"/>
  <c r="J445" i="1"/>
  <c r="CW445" i="1"/>
  <c r="BN445" i="1"/>
  <c r="BM445" i="1"/>
  <c r="DE446" i="1"/>
  <c r="M446" i="1"/>
  <c r="L446" i="1"/>
  <c r="CY446" i="1"/>
  <c r="Q446" i="1"/>
  <c r="R446" i="1"/>
  <c r="CX446" i="1"/>
  <c r="J446" i="1"/>
  <c r="CW446" i="1"/>
  <c r="BN446" i="1"/>
  <c r="BM446" i="1"/>
  <c r="DE447" i="1"/>
  <c r="M447" i="1"/>
  <c r="L447" i="1"/>
  <c r="CY447" i="1"/>
  <c r="Q447" i="1"/>
  <c r="R447" i="1"/>
  <c r="CX447" i="1"/>
  <c r="J447" i="1"/>
  <c r="CW447" i="1"/>
  <c r="BN447" i="1"/>
  <c r="BM447" i="1"/>
  <c r="DE452" i="1"/>
  <c r="M452" i="1"/>
  <c r="L452" i="1"/>
  <c r="CY452" i="1"/>
  <c r="Q452" i="1"/>
  <c r="R452" i="1"/>
  <c r="CX452" i="1"/>
  <c r="J452" i="1"/>
  <c r="CW452" i="1"/>
  <c r="BN452" i="1"/>
  <c r="BM452" i="1"/>
  <c r="DE453" i="1"/>
  <c r="M453" i="1"/>
  <c r="L453" i="1"/>
  <c r="CY453" i="1"/>
  <c r="Q453" i="1"/>
  <c r="R453" i="1"/>
  <c r="CX453" i="1"/>
  <c r="J453" i="1"/>
  <c r="CW453" i="1"/>
  <c r="BN453" i="1"/>
  <c r="BM453" i="1"/>
  <c r="DE463" i="1"/>
  <c r="M463" i="1"/>
  <c r="L463" i="1"/>
  <c r="CY463" i="1"/>
  <c r="Q463" i="1"/>
  <c r="R463" i="1"/>
  <c r="CX463" i="1"/>
  <c r="J463" i="1"/>
  <c r="CW463" i="1"/>
  <c r="BN463" i="1"/>
  <c r="BM463" i="1"/>
  <c r="DE464" i="1"/>
  <c r="M464" i="1"/>
  <c r="L464" i="1"/>
  <c r="CY464" i="1"/>
  <c r="Q464" i="1"/>
  <c r="R464" i="1"/>
  <c r="CX464" i="1"/>
  <c r="J464" i="1"/>
  <c r="CW464" i="1"/>
  <c r="BN464" i="1"/>
  <c r="BM464" i="1"/>
  <c r="DE472" i="1"/>
  <c r="M472" i="1"/>
  <c r="L472" i="1"/>
  <c r="CY472" i="1"/>
  <c r="Q472" i="1"/>
  <c r="R472" i="1"/>
  <c r="CX472" i="1"/>
  <c r="J472" i="1"/>
  <c r="CW472" i="1"/>
  <c r="BN472" i="1"/>
  <c r="BM472" i="1"/>
  <c r="DE473" i="1"/>
  <c r="M473" i="1"/>
  <c r="L473" i="1"/>
  <c r="CY473" i="1"/>
  <c r="Q473" i="1"/>
  <c r="R473" i="1"/>
  <c r="CX473" i="1"/>
  <c r="J473" i="1"/>
  <c r="CW473" i="1"/>
  <c r="BN473" i="1"/>
  <c r="BM473" i="1"/>
  <c r="DE481" i="1"/>
  <c r="M481" i="1"/>
  <c r="L481" i="1"/>
  <c r="CY481" i="1"/>
  <c r="Q481" i="1"/>
  <c r="R481" i="1"/>
  <c r="CX481" i="1"/>
  <c r="J481" i="1"/>
  <c r="CW481" i="1"/>
  <c r="BN481" i="1"/>
  <c r="BM481" i="1"/>
  <c r="DM1026" i="1"/>
  <c r="DE1026" i="1"/>
  <c r="M1026" i="1"/>
  <c r="L1026" i="1"/>
  <c r="CY1026" i="1"/>
  <c r="Q1026" i="1"/>
  <c r="R1026" i="1"/>
  <c r="CX1026" i="1"/>
  <c r="J1026" i="1"/>
  <c r="CW1026" i="1"/>
  <c r="BN1026" i="1"/>
  <c r="BM1026" i="1"/>
  <c r="DM295" i="1"/>
  <c r="DE295" i="1"/>
  <c r="M295" i="1"/>
  <c r="L295" i="1"/>
  <c r="CY295" i="1"/>
  <c r="Q295" i="1"/>
  <c r="R295" i="1"/>
  <c r="CX295" i="1"/>
  <c r="J295" i="1"/>
  <c r="CW295" i="1"/>
  <c r="BN295" i="1"/>
  <c r="BM295" i="1"/>
  <c r="DM272" i="1"/>
  <c r="DE272" i="1"/>
  <c r="M272" i="1"/>
  <c r="L272" i="1"/>
  <c r="CY272" i="1"/>
  <c r="Q272" i="1"/>
  <c r="R272" i="1"/>
  <c r="CX272" i="1"/>
  <c r="J272" i="1"/>
  <c r="CW272" i="1"/>
  <c r="BN272" i="1"/>
  <c r="BM272" i="1"/>
  <c r="DM10" i="1"/>
  <c r="DE10" i="1"/>
  <c r="M10" i="1"/>
  <c r="L10" i="1"/>
  <c r="CY10" i="1"/>
  <c r="Q10" i="1"/>
  <c r="R10" i="1"/>
  <c r="CX10" i="1"/>
  <c r="J10" i="1"/>
  <c r="CW10" i="1"/>
  <c r="BN10" i="1"/>
  <c r="BM10" i="1"/>
  <c r="DE1550" i="1"/>
  <c r="M1550" i="1"/>
  <c r="L1550" i="1"/>
  <c r="R1550" i="1"/>
  <c r="CX1550" i="1"/>
  <c r="J1550" i="1"/>
  <c r="CW1550" i="1"/>
  <c r="BN1550" i="1"/>
  <c r="BM1550" i="1"/>
  <c r="DE1544" i="1"/>
  <c r="M1544" i="1"/>
  <c r="L1544" i="1"/>
  <c r="R1544" i="1"/>
  <c r="CX1544" i="1"/>
  <c r="J1544" i="1"/>
  <c r="CW1544" i="1"/>
  <c r="BN1544" i="1"/>
  <c r="BM1544" i="1"/>
  <c r="DE1547" i="1"/>
  <c r="M1547" i="1"/>
  <c r="L1547" i="1"/>
  <c r="R1547" i="1"/>
  <c r="CX1547" i="1"/>
  <c r="J1547" i="1"/>
  <c r="CW1547" i="1"/>
  <c r="BN1547" i="1"/>
  <c r="BM1547" i="1"/>
  <c r="DE1545" i="1"/>
  <c r="M1545" i="1"/>
  <c r="L1545" i="1"/>
  <c r="R1545" i="1"/>
  <c r="CX1545" i="1"/>
  <c r="J1545" i="1"/>
  <c r="CW1545" i="1"/>
  <c r="BN1545" i="1"/>
  <c r="BM1545" i="1"/>
  <c r="DE1548" i="1"/>
  <c r="M1548" i="1"/>
  <c r="L1548" i="1"/>
  <c r="R1548" i="1"/>
  <c r="CX1548" i="1"/>
  <c r="J1548" i="1"/>
  <c r="CW1548" i="1"/>
  <c r="BN1548" i="1"/>
  <c r="BM1548" i="1"/>
  <c r="DE1549" i="1"/>
  <c r="M1549" i="1"/>
  <c r="L1549" i="1"/>
  <c r="R1549" i="1"/>
  <c r="CX1549" i="1"/>
  <c r="J1549" i="1"/>
  <c r="CW1549" i="1"/>
  <c r="BN1549" i="1"/>
  <c r="BM1549" i="1"/>
  <c r="DM1378" i="1"/>
  <c r="M1378" i="1"/>
  <c r="L1378" i="1"/>
  <c r="CY1378" i="1"/>
  <c r="R1378" i="1"/>
  <c r="CX1378" i="1"/>
  <c r="J1378" i="1"/>
  <c r="BN1378" i="1"/>
  <c r="BM1378" i="1"/>
</calcChain>
</file>

<file path=xl/sharedStrings.xml><?xml version="1.0" encoding="utf-8"?>
<sst xmlns="http://schemas.openxmlformats.org/spreadsheetml/2006/main" count="133995" uniqueCount="4381">
  <si>
    <t>資産負債番号</t>
  </si>
  <si>
    <t>資産負債枝番</t>
  </si>
  <si>
    <t>資産負債履歴番号</t>
  </si>
  <si>
    <t>他台帳区分</t>
  </si>
  <si>
    <t>他台帳番号</t>
  </si>
  <si>
    <t>他台帳枝番</t>
  </si>
  <si>
    <t>資産名称</t>
  </si>
  <si>
    <t>資産負債区分</t>
  </si>
  <si>
    <t>資産負債内訳区分</t>
  </si>
  <si>
    <t>施設コード</t>
  </si>
  <si>
    <t>目的別資産区分</t>
  </si>
  <si>
    <t>勘定科目区分</t>
  </si>
  <si>
    <t>勘定科目連番</t>
  </si>
  <si>
    <t>勘定科目枝番</t>
  </si>
  <si>
    <t>所属コード</t>
  </si>
  <si>
    <t>執行課</t>
  </si>
  <si>
    <t>取得年月日</t>
  </si>
  <si>
    <t>完成日</t>
  </si>
  <si>
    <t>供用開始年月日</t>
  </si>
  <si>
    <t>供用開始回数</t>
  </si>
  <si>
    <t>売却予定日</t>
  </si>
  <si>
    <t>登録年月日</t>
  </si>
  <si>
    <t>用途</t>
  </si>
  <si>
    <t>廃止フラグ</t>
  </si>
  <si>
    <t>所有割合</t>
  </si>
  <si>
    <t>郵便番号</t>
  </si>
  <si>
    <t>都道府県コード</t>
  </si>
  <si>
    <t>自治体コード</t>
  </si>
  <si>
    <t>大字通称コード</t>
  </si>
  <si>
    <t>字丁目コード</t>
  </si>
  <si>
    <t>都道府県名称</t>
  </si>
  <si>
    <t>市区郡町村名称</t>
  </si>
  <si>
    <t>大字通称名称</t>
  </si>
  <si>
    <t>所在地</t>
  </si>
  <si>
    <t>番地</t>
  </si>
  <si>
    <t>方書</t>
  </si>
  <si>
    <t>設置場所</t>
  </si>
  <si>
    <t>設計書番号</t>
  </si>
  <si>
    <t>管理番号等</t>
  </si>
  <si>
    <t>緯度</t>
  </si>
  <si>
    <t>経度</t>
  </si>
  <si>
    <t>資産計上区分</t>
  </si>
  <si>
    <t>資産登録区分</t>
  </si>
  <si>
    <t>所有関係区分</t>
  </si>
  <si>
    <t>財産区分</t>
  </si>
  <si>
    <t>未利用財産</t>
  </si>
  <si>
    <t>売却可能区分</t>
  </si>
  <si>
    <t>売却可能ランク</t>
  </si>
  <si>
    <t>仕訳帳反映フラグ</t>
  </si>
  <si>
    <t>財産調書分類</t>
  </si>
  <si>
    <t>取込ファイル名</t>
  </si>
  <si>
    <t>異動年度</t>
  </si>
  <si>
    <t>異動年月日</t>
  </si>
  <si>
    <t>異動事由コード</t>
  </si>
  <si>
    <t>異動事由コード（変換元）</t>
  </si>
  <si>
    <t>異動内訳区分</t>
  </si>
  <si>
    <t>数量(異動数量)</t>
  </si>
  <si>
    <t>異動増減額</t>
  </si>
  <si>
    <t>団体コード</t>
  </si>
  <si>
    <t>会計</t>
  </si>
  <si>
    <t>予算科目（款）</t>
  </si>
  <si>
    <t>予算科目（項）</t>
  </si>
  <si>
    <t>予算科目（目）</t>
  </si>
  <si>
    <t>予算科目（事業１）</t>
  </si>
  <si>
    <t>予算科目（事業２）</t>
  </si>
  <si>
    <t>予算科目（事業３）</t>
  </si>
  <si>
    <t>予算科目（事業４）</t>
  </si>
  <si>
    <t>予算科目（事業５）</t>
  </si>
  <si>
    <t>伝票番号</t>
  </si>
  <si>
    <t>伝票枝番</t>
  </si>
  <si>
    <t>相手番号</t>
  </si>
  <si>
    <t>相手枝番</t>
  </si>
  <si>
    <t>相手コード</t>
  </si>
  <si>
    <t>事業分類</t>
  </si>
  <si>
    <t>取得財源内訳</t>
  </si>
  <si>
    <t>建設仮勘定番号</t>
  </si>
  <si>
    <t>建設仮勘定枝番</t>
  </si>
  <si>
    <t>建設仮勘定履歴番号</t>
  </si>
  <si>
    <t>資産評価区分</t>
  </si>
  <si>
    <t>資産評価方法</t>
  </si>
  <si>
    <t>単価ID</t>
  </si>
  <si>
    <t>資産評価概要</t>
  </si>
  <si>
    <t>償却開始年月日</t>
  </si>
  <si>
    <t>償却対象区分</t>
  </si>
  <si>
    <t>償却開始区分</t>
  </si>
  <si>
    <t>備忘価額区分</t>
  </si>
  <si>
    <t>中古区分</t>
  </si>
  <si>
    <t>減価償却計算</t>
  </si>
  <si>
    <t>減価償却率</t>
  </si>
  <si>
    <t>耐用年数大分類</t>
  </si>
  <si>
    <t>耐用年数中分類</t>
  </si>
  <si>
    <t>耐用年数小分類</t>
  </si>
  <si>
    <t>耐用年数</t>
  </si>
  <si>
    <t>稼働年数</t>
  </si>
  <si>
    <t>単価</t>
  </si>
  <si>
    <t>数量</t>
  </si>
  <si>
    <t>単位</t>
  </si>
  <si>
    <t>時価等</t>
  </si>
  <si>
    <t>減価償却累計額</t>
  </si>
  <si>
    <t>減価償却年額</t>
  </si>
  <si>
    <t>異動前簿価</t>
  </si>
  <si>
    <t>簿価</t>
  </si>
  <si>
    <t>開始取得価額等</t>
  </si>
  <si>
    <t>供用開始額</t>
  </si>
  <si>
    <t>現況地目</t>
  </si>
  <si>
    <t>地区</t>
  </si>
  <si>
    <t>路線番号</t>
  </si>
  <si>
    <t>登記地目</t>
  </si>
  <si>
    <t>登記面積</t>
  </si>
  <si>
    <t>登記日</t>
  </si>
  <si>
    <t>評価地目</t>
  </si>
  <si>
    <t>構造</t>
  </si>
  <si>
    <t>屋根</t>
  </si>
  <si>
    <t>地上階数</t>
  </si>
  <si>
    <t>地下階数</t>
  </si>
  <si>
    <t>建面積</t>
  </si>
  <si>
    <t>分類</t>
  </si>
  <si>
    <t>重要区分</t>
  </si>
  <si>
    <t>種目</t>
  </si>
  <si>
    <t>権利</t>
  </si>
  <si>
    <t>樹齢</t>
  </si>
  <si>
    <t>幅員</t>
  </si>
  <si>
    <t>財産番号（旧）</t>
  </si>
  <si>
    <t>明細番号（旧）</t>
  </si>
  <si>
    <t>自由入力３</t>
  </si>
  <si>
    <t>自由入力４</t>
  </si>
  <si>
    <t>自由入力５</t>
  </si>
  <si>
    <t>自由入力６</t>
  </si>
  <si>
    <t>自由入力７</t>
  </si>
  <si>
    <t>自由入力８</t>
  </si>
  <si>
    <t>自由入力９</t>
  </si>
  <si>
    <t>自由入力１０</t>
  </si>
  <si>
    <t>自由入力１１</t>
  </si>
  <si>
    <t>自由入力１２</t>
  </si>
  <si>
    <t>自由入力１３</t>
  </si>
  <si>
    <t>自由入力１４</t>
  </si>
  <si>
    <t>自由入力１５</t>
  </si>
  <si>
    <t>自由入力１６</t>
  </si>
  <si>
    <t>自由入力１７</t>
  </si>
  <si>
    <t>自由入力１８</t>
  </si>
  <si>
    <t>自由入力１９</t>
  </si>
  <si>
    <t>自由入力２０</t>
  </si>
  <si>
    <t>自由入力２１</t>
  </si>
  <si>
    <t>自由入力２２</t>
  </si>
  <si>
    <t>自由入力２３</t>
  </si>
  <si>
    <t>自由入力２４</t>
  </si>
  <si>
    <t>自由入力２５</t>
  </si>
  <si>
    <t>自由入力２６</t>
  </si>
  <si>
    <t>自由入力２７</t>
  </si>
  <si>
    <t>自由入力２８</t>
  </si>
  <si>
    <t>自由入力２９</t>
  </si>
  <si>
    <t>自由入力３０</t>
  </si>
  <si>
    <t>自由入力３１</t>
  </si>
  <si>
    <t>自由入力３２</t>
  </si>
  <si>
    <t>自由入力３３</t>
  </si>
  <si>
    <t>自由入力３４</t>
  </si>
  <si>
    <t>自由入力３５</t>
  </si>
  <si>
    <t>自由入力３６</t>
  </si>
  <si>
    <t>自由入力３７</t>
  </si>
  <si>
    <t>自由入力３８</t>
  </si>
  <si>
    <t>自由入力３９</t>
  </si>
  <si>
    <t>自由入力４０</t>
  </si>
  <si>
    <t>自由入力４１</t>
  </si>
  <si>
    <t>自由入力４２</t>
  </si>
  <si>
    <t>自由入力４３</t>
  </si>
  <si>
    <t>自由入力４４</t>
  </si>
  <si>
    <t>自由入力４５</t>
  </si>
  <si>
    <t>自由入力４６</t>
  </si>
  <si>
    <t>自由入力４７</t>
  </si>
  <si>
    <t>自由入力４８</t>
  </si>
  <si>
    <t>自由入力４９</t>
  </si>
  <si>
    <t>自由入力５０</t>
  </si>
  <si>
    <t>自由入力５１</t>
  </si>
  <si>
    <t>自由入力５２</t>
  </si>
  <si>
    <t>自由入力５３</t>
  </si>
  <si>
    <t>自由入力５４</t>
  </si>
  <si>
    <t>自由入力５５</t>
  </si>
  <si>
    <t>自由入力５６</t>
  </si>
  <si>
    <t>自由入力５７</t>
  </si>
  <si>
    <t>自由入力５８</t>
  </si>
  <si>
    <t>自由入力５９</t>
  </si>
  <si>
    <t>自由入力６０</t>
  </si>
  <si>
    <t>自由入力６１</t>
  </si>
  <si>
    <t>自由入力６２</t>
  </si>
  <si>
    <t>自由入力６３</t>
  </si>
  <si>
    <t>自由入力６４</t>
  </si>
  <si>
    <t>自由入力６５</t>
  </si>
  <si>
    <t>自由入力６６</t>
  </si>
  <si>
    <t>自由入力６７</t>
  </si>
  <si>
    <t>自由入力６８</t>
  </si>
  <si>
    <t>自由入力６９</t>
  </si>
  <si>
    <t>自由入力７０</t>
  </si>
  <si>
    <t>追加項目１</t>
  </si>
  <si>
    <t>追加項目２</t>
  </si>
  <si>
    <t>追加項目３</t>
  </si>
  <si>
    <t>追加項目４</t>
  </si>
  <si>
    <t>追加項目５</t>
  </si>
  <si>
    <t>追加項目６</t>
  </si>
  <si>
    <t>追加項目７</t>
  </si>
  <si>
    <t>追加項目８</t>
  </si>
  <si>
    <t>追加項目９</t>
  </si>
  <si>
    <t>追加項目１０</t>
  </si>
  <si>
    <t>追加項目１１</t>
  </si>
  <si>
    <t>追加項目１２</t>
  </si>
  <si>
    <t>追加項目１３</t>
  </si>
  <si>
    <t>追加項目１４</t>
  </si>
  <si>
    <t>追加項目１５</t>
  </si>
  <si>
    <t>追加項目１６</t>
  </si>
  <si>
    <t>追加項目１７</t>
  </si>
  <si>
    <t>追加項目１８</t>
  </si>
  <si>
    <t>追加項目１９</t>
  </si>
  <si>
    <t>追加項目２０</t>
  </si>
  <si>
    <t>追加項目２１</t>
  </si>
  <si>
    <t>追加項目２２</t>
  </si>
  <si>
    <t>追加項目２３</t>
  </si>
  <si>
    <t>追加項目２４</t>
  </si>
  <si>
    <t>追加項目２５</t>
  </si>
  <si>
    <t>追加項目２６</t>
  </si>
  <si>
    <t>追加項目２７</t>
  </si>
  <si>
    <t>追加項目２８</t>
  </si>
  <si>
    <t>追加項目２９</t>
  </si>
  <si>
    <t>追加項目３０</t>
  </si>
  <si>
    <t>耐震診断状況(建物)</t>
  </si>
  <si>
    <t>耐震化状況(建物)</t>
  </si>
  <si>
    <t>長寿命化履歴</t>
  </si>
  <si>
    <t>複合化状況</t>
  </si>
  <si>
    <t>利用者数(件数)</t>
  </si>
  <si>
    <t>稼働率</t>
  </si>
  <si>
    <t>運営方式</t>
  </si>
  <si>
    <t>運営時間</t>
  </si>
  <si>
    <t>職員人数</t>
  </si>
  <si>
    <t>ランニングコスト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</si>
  <si>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</si>
  <si>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</si>
  <si>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</si>
  <si>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</si>
  <si>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</si>
  <si>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02:公有財産建物台帳</t>
  </si>
  <si>
    <t/>
  </si>
  <si>
    <t>倉庫</t>
  </si>
  <si>
    <t>13:事業用資産／建物</t>
  </si>
  <si>
    <t>0:その他</t>
  </si>
  <si>
    <t>002127:旧米川公民館</t>
  </si>
  <si>
    <t>7:総務（総務）</t>
  </si>
  <si>
    <t>1055100000:東和総合支所市民課</t>
  </si>
  <si>
    <t>2000/03/10</t>
  </si>
  <si>
    <t>2016/03/31</t>
  </si>
  <si>
    <t>0:通常</t>
  </si>
  <si>
    <t>100</t>
  </si>
  <si>
    <t>東和町米川字町裏84</t>
  </si>
  <si>
    <t>0:計上対象</t>
  </si>
  <si>
    <t>0:自己資産</t>
  </si>
  <si>
    <t>0:普通財産</t>
  </si>
  <si>
    <t>0:売却不可資産</t>
  </si>
  <si>
    <t>2015</t>
  </si>
  <si>
    <t>25:訂正</t>
  </si>
  <si>
    <t>3103:運用開始時</t>
  </si>
  <si>
    <t>001</t>
  </si>
  <si>
    <t>01</t>
  </si>
  <si>
    <t>1:取得価額等</t>
  </si>
  <si>
    <t>0:個別評価</t>
  </si>
  <si>
    <t>2000/04/01</t>
  </si>
  <si>
    <t>0:償却対象</t>
  </si>
  <si>
    <t>0:翌年度から開始</t>
  </si>
  <si>
    <t>1:一円残しする</t>
  </si>
  <si>
    <t>1070000:事業用／建物</t>
  </si>
  <si>
    <t>5:倉庫・物置</t>
  </si>
  <si>
    <t>12:木造</t>
  </si>
  <si>
    <t>15</t>
  </si>
  <si>
    <t>16</t>
  </si>
  <si>
    <t>01:平方メートル</t>
  </si>
  <si>
    <t>1</t>
  </si>
  <si>
    <t>0</t>
  </si>
  <si>
    <t>0760098</t>
  </si>
  <si>
    <t>2</t>
  </si>
  <si>
    <t>迫大網住宅　４号棟</t>
  </si>
  <si>
    <t>1:生活インフラ・国土保全（生活インフラ・国土保全）</t>
  </si>
  <si>
    <t>1040300000:住宅都市整備課</t>
  </si>
  <si>
    <t>2022/10/01</t>
  </si>
  <si>
    <t>50</t>
  </si>
  <si>
    <t>迫町佐沼字大網199番地1</t>
  </si>
  <si>
    <t>0:通常資産</t>
  </si>
  <si>
    <t>1:行政財産</t>
  </si>
  <si>
    <t>2022</t>
  </si>
  <si>
    <t>24:新規（本勘定振替）</t>
  </si>
  <si>
    <t>0:新規資産</t>
  </si>
  <si>
    <t>22</t>
  </si>
  <si>
    <t>99:その他</t>
  </si>
  <si>
    <t>迫大網住宅　３号棟</t>
  </si>
  <si>
    <t>登米金沢山南第二住宅　２号棟</t>
  </si>
  <si>
    <t>11800</t>
  </si>
  <si>
    <t>2020/04/01</t>
  </si>
  <si>
    <t>登米町寺池金沢山46</t>
  </si>
  <si>
    <t>2023/03/31</t>
  </si>
  <si>
    <t>11:減価償却</t>
  </si>
  <si>
    <t>迫大網住宅　２号棟</t>
  </si>
  <si>
    <t>登米金沢山南第二住宅　１号棟</t>
  </si>
  <si>
    <t>迫大網住宅　５号棟</t>
  </si>
  <si>
    <t>本庁舎</t>
  </si>
  <si>
    <t>001003:登米市役所中田庁舎</t>
  </si>
  <si>
    <t>1060100000:中田総合支所市民課</t>
  </si>
  <si>
    <t>1987/09/01</t>
  </si>
  <si>
    <t>AsyzAP本庁舎</t>
  </si>
  <si>
    <t>中田町上沼字西桜場18</t>
  </si>
  <si>
    <t>0.0000000000</t>
  </si>
  <si>
    <t>1:開始資産</t>
  </si>
  <si>
    <t>1988/04/01</t>
  </si>
  <si>
    <t>1:庁舎</t>
  </si>
  <si>
    <t>2:鉄筋コンクリート</t>
  </si>
  <si>
    <t>33</t>
  </si>
  <si>
    <t>4</t>
  </si>
  <si>
    <t>0010003</t>
  </si>
  <si>
    <t>AsyzAP本庁舎 PPP元キー:00000002-0000000009-1</t>
  </si>
  <si>
    <t>6</t>
  </si>
  <si>
    <t>001314:登米市津山総合支所</t>
  </si>
  <si>
    <t>1085100000:津山総合支所市民課</t>
  </si>
  <si>
    <t>2008/03/31</t>
  </si>
  <si>
    <t>津山町柳津字本町218</t>
  </si>
  <si>
    <t>2008/04/01</t>
  </si>
  <si>
    <t>13</t>
  </si>
  <si>
    <t>0100007</t>
  </si>
  <si>
    <t>AsyzAP本庁舎 PPP元キー:00000002-0000000296-1</t>
  </si>
  <si>
    <t>旧庁舎事務室</t>
  </si>
  <si>
    <t>001327:旧石越町役場</t>
  </si>
  <si>
    <t>1075100000:石越総合支所市民課</t>
  </si>
  <si>
    <t>1998/10/31</t>
  </si>
  <si>
    <t>2017/11/08</t>
  </si>
  <si>
    <t>AsyzAPその他の施設</t>
  </si>
  <si>
    <t>石越町北郷字長根151-1</t>
  </si>
  <si>
    <t>01_01_03:（１）土地及び建物　行政財産　公用財産　その他の施設</t>
  </si>
  <si>
    <t>1999/04/01</t>
  </si>
  <si>
    <t>11:軽量鉄骨造</t>
  </si>
  <si>
    <t>30</t>
  </si>
  <si>
    <t>0130001</t>
  </si>
  <si>
    <t>AsyzAPその他の施設 PPP元キー:00000002-0000000321-1</t>
  </si>
  <si>
    <t>図書館</t>
  </si>
  <si>
    <t>001727:迫図書館</t>
  </si>
  <si>
    <t>2:教育（教育）</t>
  </si>
  <si>
    <t>3010150000:生涯学習課</t>
  </si>
  <si>
    <t>1990/11/30</t>
  </si>
  <si>
    <t>AsyzAP図書館</t>
  </si>
  <si>
    <t>迫町佐沼字上舟丁20-1</t>
  </si>
  <si>
    <t>1991/04/01</t>
  </si>
  <si>
    <t>0360001</t>
  </si>
  <si>
    <t>AsyzAP図書館 PPP元キー:00000002-0000001354-1</t>
  </si>
  <si>
    <t>エアコン設置</t>
  </si>
  <si>
    <t>001370:東郷小学校</t>
  </si>
  <si>
    <t>3010090000:学校教育課</t>
  </si>
  <si>
    <t>2020/03/26</t>
  </si>
  <si>
    <t>AsyzAP</t>
  </si>
  <si>
    <t>南方町堂地193-2</t>
  </si>
  <si>
    <t>49:建物付属設備</t>
  </si>
  <si>
    <t>4:冷房又は暖房設備/冷暖房設備</t>
  </si>
  <si>
    <t>0150020</t>
  </si>
  <si>
    <t>8</t>
  </si>
  <si>
    <t>AsyzAP PPP元キー:00000002-0000000517-1</t>
  </si>
  <si>
    <t>3</t>
  </si>
  <si>
    <t>001369:西郷小学校</t>
  </si>
  <si>
    <t>2017/07/31</t>
  </si>
  <si>
    <t>南方町尼池10-1</t>
  </si>
  <si>
    <t>0150019</t>
  </si>
  <si>
    <t>9</t>
  </si>
  <si>
    <t>AsyzAP PPP元キー:00000002-0000000509-1</t>
  </si>
  <si>
    <t>電気設備改修</t>
  </si>
  <si>
    <t>2020/01/31</t>
  </si>
  <si>
    <t>2:電気設備/その他のもの</t>
  </si>
  <si>
    <t>AsyzAP PPP元キー:00000002-0000000508-1</t>
  </si>
  <si>
    <t>001368:南方小学校</t>
  </si>
  <si>
    <t>2017/03/31</t>
  </si>
  <si>
    <t>南方町山成95-6</t>
  </si>
  <si>
    <t>0150018</t>
  </si>
  <si>
    <t>11</t>
  </si>
  <si>
    <t>AsyzAP PPP元キー:00000002-0000000500-1</t>
  </si>
  <si>
    <t>校舎：電気設備（改修）</t>
  </si>
  <si>
    <t>2017/12/27</t>
  </si>
  <si>
    <t>AsyzAP電気設備</t>
  </si>
  <si>
    <t>2018/04/01</t>
  </si>
  <si>
    <t>10</t>
  </si>
  <si>
    <t>AsyzAP電気設備 PPP元キー:00000002-0000000499-1</t>
  </si>
  <si>
    <t>5</t>
  </si>
  <si>
    <t>001367:石越小学校</t>
  </si>
  <si>
    <t>石越町北郷字長根134</t>
  </si>
  <si>
    <t>0150017</t>
  </si>
  <si>
    <t>AsyzAP PPP元キー:00000002-0000000489-1</t>
  </si>
  <si>
    <t>AsyzAP電気設備 PPP元キー:00000002-0000000488-1</t>
  </si>
  <si>
    <t>001366:米山東小学校</t>
  </si>
  <si>
    <t>米山町字桜岡鈴根1</t>
  </si>
  <si>
    <t>0150016</t>
  </si>
  <si>
    <t>AsyzAP PPP元キー:00000002-0000000483-1</t>
  </si>
  <si>
    <t>7</t>
  </si>
  <si>
    <t>AsyzAP電気設備 PPP元キー:00000002-0000000482-1</t>
  </si>
  <si>
    <t>プール附属棟</t>
  </si>
  <si>
    <t>2009/03/30</t>
  </si>
  <si>
    <t>2009/04/01</t>
  </si>
  <si>
    <t>3:給排水又は衛生設備及びガス設備</t>
  </si>
  <si>
    <t>12</t>
  </si>
  <si>
    <t>AsyzAPその他の施設 PPP元キー:00000002-0000000481-1</t>
  </si>
  <si>
    <t>001365:米岡小学校</t>
  </si>
  <si>
    <t>米山町西野字古舘廻27-2</t>
  </si>
  <si>
    <t>0150015</t>
  </si>
  <si>
    <t>AsyzAP PPP元キー:00000002-0000000475-1</t>
  </si>
  <si>
    <t>2018/09/26</t>
  </si>
  <si>
    <t>2019/04/01</t>
  </si>
  <si>
    <t>AsyzAP PPP元キー:00000002-0000000474-1</t>
  </si>
  <si>
    <t>電気設備改修工事</t>
  </si>
  <si>
    <t>001364:中津山小学校</t>
  </si>
  <si>
    <t>2020/11/30</t>
  </si>
  <si>
    <t>米山町中津山字城内前4</t>
  </si>
  <si>
    <t>2021/04/01</t>
  </si>
  <si>
    <t>0150014</t>
  </si>
  <si>
    <t>AsyzAP PPP元キー:00000002-0000000468-1</t>
  </si>
  <si>
    <t>AsyzAP PPP元キー:00000002-0000000467-1</t>
  </si>
  <si>
    <t>001363:豊里小学校</t>
  </si>
  <si>
    <t>豊里町上町裏100</t>
  </si>
  <si>
    <t>0150013</t>
  </si>
  <si>
    <t>AsyzAP PPP元キー:00000002-0000000460-1</t>
  </si>
  <si>
    <t>001362:浅水小学校</t>
  </si>
  <si>
    <t>中田町浅水字下川面188-2</t>
  </si>
  <si>
    <t>0150012</t>
  </si>
  <si>
    <t>AsyzAP PPP元キー:00000002-0000000455-1</t>
  </si>
  <si>
    <t>001361:上沼小学校</t>
  </si>
  <si>
    <t>中田町上沼字弥勒寺大下91-2</t>
  </si>
  <si>
    <t>0150011</t>
  </si>
  <si>
    <t>AsyzAP PPP元キー:00000002-0000000447-1</t>
  </si>
  <si>
    <t>001360:宝江小学校</t>
  </si>
  <si>
    <t>中田町宝江新井田字後田22</t>
  </si>
  <si>
    <t>0150010</t>
  </si>
  <si>
    <t>AsyzAP PPP元キー:00000002-0000000441-1</t>
  </si>
  <si>
    <t>2019/11/22</t>
  </si>
  <si>
    <t>AsyzAP PPP元キー:00000002-0000000440-1</t>
  </si>
  <si>
    <t>校舎：空調設備（設置）</t>
  </si>
  <si>
    <t>2017/09/22</t>
  </si>
  <si>
    <t>AsyzAP空調設備　エアコン</t>
  </si>
  <si>
    <t>AsyzAP空調設備　エアコン PPP元キー:00000002-0000000439-1</t>
  </si>
  <si>
    <t>001359:加賀野小学校</t>
  </si>
  <si>
    <t>中田町石森字加賀野一丁目17-1</t>
  </si>
  <si>
    <t>0150009</t>
  </si>
  <si>
    <t>AsyzAP PPP元キー:00000002-0000000433-1</t>
  </si>
  <si>
    <t>観光物産施設：電気設備（交換）</t>
  </si>
  <si>
    <t>001585:間伐材流通合理化センター・食品加工普及施設</t>
  </si>
  <si>
    <t>1035500000:地域ビジネス支援課</t>
  </si>
  <si>
    <t>2017/06/19</t>
  </si>
  <si>
    <t>AsyzAP電気設備　高圧開閉器</t>
  </si>
  <si>
    <t>津山町横山字細屋24</t>
  </si>
  <si>
    <t>0230004</t>
  </si>
  <si>
    <t>AsyzAP電気設備　高圧開閉器 PPP元キー:00000002-0000001242-1</t>
  </si>
  <si>
    <t>観光物産施設：空調設備（交換）</t>
  </si>
  <si>
    <t>2019/03/27</t>
  </si>
  <si>
    <t>AsyzAP空調設備</t>
  </si>
  <si>
    <t>5:冷房又は暖房設備/その他のもの</t>
  </si>
  <si>
    <t>AsyzAP空調設備 PPP元キー:00000002-0000001243-1</t>
  </si>
  <si>
    <t>保育所：機械設備（修繕）</t>
  </si>
  <si>
    <t>001701:登米市中田保育所</t>
  </si>
  <si>
    <t>3:福祉（福祉）</t>
  </si>
  <si>
    <t>1030300000:子育て支援課</t>
  </si>
  <si>
    <t>2018/01/10</t>
  </si>
  <si>
    <t>AsyzAP機械設備</t>
  </si>
  <si>
    <t>中田町上沼字大柳116</t>
  </si>
  <si>
    <t>21:前掲の区分によらないもの/その他のもの</t>
  </si>
  <si>
    <t>0280005</t>
  </si>
  <si>
    <t>AsyzAP機械設備 PPP元キー:00000002-0000001301-1</t>
  </si>
  <si>
    <t>001358:石森小学校</t>
  </si>
  <si>
    <t>中田町石森字前田29</t>
  </si>
  <si>
    <t>0150008</t>
  </si>
  <si>
    <t>AsyzAP PPP元キー:00000002-0000000426-1</t>
  </si>
  <si>
    <t>保育所：給排水設備（改良）</t>
  </si>
  <si>
    <t>2018/01/09</t>
  </si>
  <si>
    <t>AsyzAP給排水設備　汚水インバート枡</t>
  </si>
  <si>
    <t>AsyzAP給排水設備　汚水インバート枡 PPP元キー:00000002-0000001302-1</t>
  </si>
  <si>
    <t>特別支援教室空調設備設置工事</t>
  </si>
  <si>
    <t>001357:米川小学校</t>
  </si>
  <si>
    <t>2020/06/19</t>
  </si>
  <si>
    <t>東和町米川字東綱木31-1</t>
  </si>
  <si>
    <t>0150007</t>
  </si>
  <si>
    <t>AsyzAP PPP元キー:00000002-0000000420-1</t>
  </si>
  <si>
    <t>AsyzAP PPP元キー:00000002-0000000419-1</t>
  </si>
  <si>
    <t>AsyzAP電気設備 PPP元キー:00000002-0000000418-1</t>
  </si>
  <si>
    <t>保育所：空調設備設置工事</t>
  </si>
  <si>
    <t>2020/03/10</t>
  </si>
  <si>
    <t>AsyzAP PPP元キー:00000002-0000001303-1</t>
  </si>
  <si>
    <t>001356:錦織小学校</t>
  </si>
  <si>
    <t>東和町錦織字山居沢15</t>
  </si>
  <si>
    <t>0150006</t>
  </si>
  <si>
    <t>AsyzAP PPP元キー:00000002-0000000414-1</t>
  </si>
  <si>
    <t>よねやま保育園空調設備改修</t>
  </si>
  <si>
    <t>001703:登米市よねやま保育園</t>
  </si>
  <si>
    <t>米山町西野字古舘廻56-3</t>
  </si>
  <si>
    <t>0280007</t>
  </si>
  <si>
    <t>AsyzAP PPP元キー:00000002-0000001307-1</t>
  </si>
  <si>
    <t>老人福祉センター：消防防災設備（増設）</t>
  </si>
  <si>
    <t>001712:中田老人福祉センター</t>
  </si>
  <si>
    <t>1030200000:長寿介護課</t>
  </si>
  <si>
    <t>2018/03/28</t>
  </si>
  <si>
    <t>AsyzAP消防防災設備　スポット感知器</t>
  </si>
  <si>
    <t>10:消火、排煙又は災害報知設備</t>
  </si>
  <si>
    <t>0340003</t>
  </si>
  <si>
    <t>AsyzAP消防防災設備　スポット感知器 PPP元キー:00000002-0000001328-1</t>
  </si>
  <si>
    <t>001355:米谷小学校</t>
  </si>
  <si>
    <t>東和町米谷字越路75</t>
  </si>
  <si>
    <t>0150005</t>
  </si>
  <si>
    <t>AsyzAP PPP元キー:00000002-0000000403-1</t>
  </si>
  <si>
    <t>AsyzAP PPP元キー:00000002-0000000402-1</t>
  </si>
  <si>
    <t>福祉センター：電気設備（交換）</t>
  </si>
  <si>
    <t>001715:東和地域福祉センター</t>
  </si>
  <si>
    <t>2018/03/12</t>
  </si>
  <si>
    <t>AsyzAP電気設備　高圧受電設備</t>
  </si>
  <si>
    <t>東和町米川字六反55-1</t>
  </si>
  <si>
    <t>0340006</t>
  </si>
  <si>
    <t>AsyzAP電気設備　高圧受電設備 PPP元キー:00000002-0000001333-1</t>
  </si>
  <si>
    <t>空調機設置工事（公民館）</t>
  </si>
  <si>
    <t>001713:南方老人福祉センター</t>
  </si>
  <si>
    <t>2021/03/23</t>
  </si>
  <si>
    <t>南方町本郷大嶽37</t>
  </si>
  <si>
    <t>0340011</t>
  </si>
  <si>
    <t>AsyzAP PPP元キー:00000002-0000001339-1</t>
  </si>
  <si>
    <t>001354:登米小学校</t>
  </si>
  <si>
    <t>登米町寺池桜小路6</t>
  </si>
  <si>
    <t>0150004</t>
  </si>
  <si>
    <t>AsyzAP PPP元キー:00000002-0000000393-1</t>
  </si>
  <si>
    <t>校舎：空調設備（改修）</t>
  </si>
  <si>
    <t>2017/10/31</t>
  </si>
  <si>
    <t>AsyzAP空調設備　暖房設備</t>
  </si>
  <si>
    <t>AsyzAP空調設備　暖房設備 PPP元キー:00000002-0000000392-1</t>
  </si>
  <si>
    <t>空調設備改修</t>
  </si>
  <si>
    <t>001722:登米児童館</t>
  </si>
  <si>
    <t>2018/10/09</t>
  </si>
  <si>
    <t>登米町寺池目子待井391</t>
  </si>
  <si>
    <t>2:再調達原価</t>
  </si>
  <si>
    <t>0350002</t>
  </si>
  <si>
    <t>AsyzAP PPP元キー:00000002-0000001343-1</t>
  </si>
  <si>
    <t>空調改修</t>
  </si>
  <si>
    <t>001726:米谷児童活動センター</t>
  </si>
  <si>
    <t>0350006</t>
  </si>
  <si>
    <t>AsyzAP PPP元キー:00000002-0000001353-1</t>
  </si>
  <si>
    <t>001353:北方小学校</t>
  </si>
  <si>
    <t>迫町北方字富永110-5</t>
  </si>
  <si>
    <t>0150003</t>
  </si>
  <si>
    <t>AsyzAP PPP元キー:00000002-0000000388-1</t>
  </si>
  <si>
    <t>照明器具交換</t>
  </si>
  <si>
    <t>2019/11/01</t>
  </si>
  <si>
    <t>AsyzAP PPP元キー:00000002-0000000387-1</t>
  </si>
  <si>
    <t>AsyzAP電気設備 PPP元キー:00000002-0000000386-1</t>
  </si>
  <si>
    <t>空調機設置工事</t>
  </si>
  <si>
    <t>001728:登米市迫公民館</t>
  </si>
  <si>
    <t>AsyzAP2台</t>
  </si>
  <si>
    <t>迫町佐沼字中江二丁目6-1</t>
  </si>
  <si>
    <t>0370001</t>
  </si>
  <si>
    <t>AsyzAP2台 PPP元キー:00000002-0000001357-1</t>
  </si>
  <si>
    <t>001352:新田小学校</t>
  </si>
  <si>
    <t>迫町新田字山居37-1</t>
  </si>
  <si>
    <t>0150002</t>
  </si>
  <si>
    <t>AsyzAP PPP元キー:00000002-0000000381-1</t>
  </si>
  <si>
    <t>001730:登米市新田公民館</t>
  </si>
  <si>
    <t>AsyzAP4台</t>
  </si>
  <si>
    <t>迫町新田字小友65</t>
  </si>
  <si>
    <t>0370003</t>
  </si>
  <si>
    <t>AsyzAP4台 PPP元キー:00000002-0000001360-1</t>
  </si>
  <si>
    <t>001731:登米市登米公民館</t>
  </si>
  <si>
    <t>2021/03/29</t>
  </si>
  <si>
    <t>0370004</t>
  </si>
  <si>
    <t>AsyzAP2台 PPP元キー:00000002-0000001363-1</t>
  </si>
  <si>
    <t>001351:佐沼小学校</t>
  </si>
  <si>
    <t>2019/01/31</t>
  </si>
  <si>
    <t>迫町佐沼字錦108</t>
  </si>
  <si>
    <t>0150001</t>
  </si>
  <si>
    <t>AsyzAP PPP元キー:00000002-0000000377-1</t>
  </si>
  <si>
    <t>001349:東郷幼稚園</t>
  </si>
  <si>
    <t>2019/11/07</t>
  </si>
  <si>
    <t>南方町堂地218-1</t>
  </si>
  <si>
    <t>0140013</t>
  </si>
  <si>
    <t>AsyzAP PPP元キー:00000002-0000000367-1</t>
  </si>
  <si>
    <t>001736:登米市中津山公民館</t>
  </si>
  <si>
    <t>2021/03/26</t>
  </si>
  <si>
    <t>米山町中津山字清水11-54</t>
  </si>
  <si>
    <t>0370009</t>
  </si>
  <si>
    <t>AsyzAP4台 PPP元キー:00000002-0000001376-1</t>
  </si>
  <si>
    <t>001347:南方幼稚園</t>
  </si>
  <si>
    <t>0140011</t>
  </si>
  <si>
    <t>AsyzAP PPP元キー:00000002-0000000362-1</t>
  </si>
  <si>
    <t>001739:登米市津山公民館</t>
  </si>
  <si>
    <t>津山町横山字本町24</t>
  </si>
  <si>
    <t>0370012</t>
  </si>
  <si>
    <t>AsyzAP PPP元キー:00000002-0000001384-1</t>
  </si>
  <si>
    <t>登米懐古館（電気設備）</t>
  </si>
  <si>
    <t>001756:新登米懐古館</t>
  </si>
  <si>
    <t>3010180000:文化財文化振興室</t>
  </si>
  <si>
    <t>2019/09/04</t>
  </si>
  <si>
    <t>0390010</t>
  </si>
  <si>
    <t>AsyzAP PPP元キー:00000002-0000001410-1</t>
  </si>
  <si>
    <t>登米懐古館（機械設備）</t>
  </si>
  <si>
    <t>AsyzAP PPP元キー:00000002-0000001411-1</t>
  </si>
  <si>
    <t>001345:米山西幼稚園</t>
  </si>
  <si>
    <t>米山町中津山字清水24-1</t>
  </si>
  <si>
    <t>0140009</t>
  </si>
  <si>
    <t>AsyzAP PPP元キー:00000002-0000000356-1</t>
  </si>
  <si>
    <t>001344:米山東幼稚園</t>
  </si>
  <si>
    <t>米山町字桜岡鈴根11-1</t>
  </si>
  <si>
    <t>0140008</t>
  </si>
  <si>
    <t>AsyzAP PPP元キー:00000002-0000000353-1</t>
  </si>
  <si>
    <t>体育館：空調設備（改修）</t>
  </si>
  <si>
    <t>001759:登米市登米総合体育館</t>
  </si>
  <si>
    <t>2018/03/30</t>
  </si>
  <si>
    <t>登米町寺池目子待井10</t>
  </si>
  <si>
    <t>0400002</t>
  </si>
  <si>
    <t>AsyzAP空調設備 PPP元キー:00000002-0000001416-1</t>
  </si>
  <si>
    <t>体育館：電気設備（改修）</t>
  </si>
  <si>
    <t>2017/11/21</t>
  </si>
  <si>
    <t>AsyzAP電気設備　受電設備</t>
  </si>
  <si>
    <t>AsyzAP電気設備　受電設備 PPP元キー:00000002-0000001417-1</t>
  </si>
  <si>
    <t>舞台吊物設備ワイヤーロープ交換</t>
  </si>
  <si>
    <t>20:前掲の区分によらないもの/金属製のもの</t>
  </si>
  <si>
    <t>18</t>
  </si>
  <si>
    <t>AsyzAP PPP元キー:00000002-0000001418-1</t>
  </si>
  <si>
    <t>001342:中田幼稚園</t>
  </si>
  <si>
    <t>中田町宝江新井田字要害3-1</t>
  </si>
  <si>
    <t>0140006</t>
  </si>
  <si>
    <t>AsyzAP PPP元キー:00000002-0000000344-1</t>
  </si>
  <si>
    <t>公共下水道接続工事</t>
  </si>
  <si>
    <t>2020/03/13</t>
  </si>
  <si>
    <t>AsyzAP PPP元キー:00000002-0000000343-1</t>
  </si>
  <si>
    <t>2021/02/08</t>
  </si>
  <si>
    <t>AsyzAP PPP元キー:00000002-0000001419-1</t>
  </si>
  <si>
    <t>空調機器改修</t>
  </si>
  <si>
    <t>001760:登米市中田総合体育館</t>
  </si>
  <si>
    <t>2020/01/23</t>
  </si>
  <si>
    <t>中田町宝江黒沼字浦38-3</t>
  </si>
  <si>
    <t>0400003</t>
  </si>
  <si>
    <t>AsyzAP PPP元キー:00000002-0000001421-1</t>
  </si>
  <si>
    <t>油圧エレベーター改修</t>
  </si>
  <si>
    <t>2020/03/05</t>
  </si>
  <si>
    <t>8:昇降機設備/エレベーター</t>
  </si>
  <si>
    <t>17</t>
  </si>
  <si>
    <t>AsyzAP PPP元キー:00000002-0000001422-1</t>
  </si>
  <si>
    <t>物置</t>
  </si>
  <si>
    <t>001454:登米市石越定住促進住宅</t>
  </si>
  <si>
    <t>1995/05/09</t>
  </si>
  <si>
    <t>AsyzAP物置</t>
  </si>
  <si>
    <t>石越町南郷字舘前176-1</t>
  </si>
  <si>
    <t>1996/04/01</t>
  </si>
  <si>
    <t>38</t>
  </si>
  <si>
    <t>25</t>
  </si>
  <si>
    <t>0170070</t>
  </si>
  <si>
    <t>AsyzAP物置 PPP元キー:00000002-0000001013-1</t>
  </si>
  <si>
    <t>001324:登米市北部学校給食センター</t>
  </si>
  <si>
    <t>3010030000:教育総務課</t>
  </si>
  <si>
    <t>1997/03/31</t>
  </si>
  <si>
    <t>AsyzAP倉庫</t>
  </si>
  <si>
    <t>中田町石森字蓬田315-2</t>
  </si>
  <si>
    <t>1997/04/01</t>
  </si>
  <si>
    <t>10:鉄骨造</t>
  </si>
  <si>
    <t>31</t>
  </si>
  <si>
    <t>24</t>
  </si>
  <si>
    <t>0120005</t>
  </si>
  <si>
    <t>AsyzAP倉庫 PPP元キー:00000002-0000000316-1</t>
  </si>
  <si>
    <t>001323:登米市南部学校給食センター</t>
  </si>
  <si>
    <t>2002/03/31</t>
  </si>
  <si>
    <t>豊里町大椚65-1</t>
  </si>
  <si>
    <t>2002/04/01</t>
  </si>
  <si>
    <t>19</t>
  </si>
  <si>
    <t>0120004</t>
  </si>
  <si>
    <t>AsyzAP倉庫 PPP元キー:00000002-0000000310-1</t>
  </si>
  <si>
    <t>001781:登米市南方総合運動場</t>
  </si>
  <si>
    <t>1996/03/31</t>
  </si>
  <si>
    <t>南方町堤田38</t>
  </si>
  <si>
    <t>0420002</t>
  </si>
  <si>
    <t>AsyzAP倉庫 PPP元キー:00000002-0000001437-1</t>
  </si>
  <si>
    <t>001322:登米市西部学校給食センター</t>
  </si>
  <si>
    <t>2013/03/21</t>
  </si>
  <si>
    <t>AsyzAP給食センター</t>
  </si>
  <si>
    <t>南方町新高石浦153</t>
  </si>
  <si>
    <t>2013/04/01</t>
  </si>
  <si>
    <t>0120003</t>
  </si>
  <si>
    <t>AsyzAP給食センター PPP元キー:00000002-0000000307-1</t>
  </si>
  <si>
    <t>001320:登米市東部東和学校給食センター</t>
  </si>
  <si>
    <t>東和町米谷字細野35</t>
  </si>
  <si>
    <t>0120001</t>
  </si>
  <si>
    <t>AsyzAP倉庫 PPP元キー:00000002-0000000301-1</t>
  </si>
  <si>
    <t>水防倉庫</t>
  </si>
  <si>
    <t>001318:中田総合支所防災倉庫</t>
  </si>
  <si>
    <t>2005/03/01</t>
  </si>
  <si>
    <t>AsyzAP水防倉庫</t>
  </si>
  <si>
    <t>中田町上沼字西桜場18-の内</t>
  </si>
  <si>
    <t>2005/04/01</t>
  </si>
  <si>
    <t>0110004</t>
  </si>
  <si>
    <t>AsyzAP水防倉庫 PPP元キー:00000002-0000000299-1</t>
  </si>
  <si>
    <t>002324:旧鱒淵小学校</t>
  </si>
  <si>
    <t>1010300000:総務課</t>
  </si>
  <si>
    <t>1987/03/31</t>
  </si>
  <si>
    <t>東和町米川字寺内31-1</t>
  </si>
  <si>
    <t>1987/04/01</t>
  </si>
  <si>
    <t>29</t>
  </si>
  <si>
    <t>0790017</t>
  </si>
  <si>
    <t>プロパンボンベ室</t>
  </si>
  <si>
    <t>001451:登米市中田定住促進住宅</t>
  </si>
  <si>
    <t>1980/07/18</t>
  </si>
  <si>
    <t>機械室</t>
  </si>
  <si>
    <t>中田町石森字前田88-1</t>
  </si>
  <si>
    <t>2017</t>
  </si>
  <si>
    <t>2018/03/31</t>
  </si>
  <si>
    <t>1981/04/01</t>
  </si>
  <si>
    <t>0170067</t>
  </si>
  <si>
    <t>屋上防水等工事</t>
  </si>
  <si>
    <t>001742:森公民館</t>
  </si>
  <si>
    <t>2020/03/23</t>
  </si>
  <si>
    <t>迫町森字西表195</t>
  </si>
  <si>
    <t>0370015</t>
  </si>
  <si>
    <t>AsyzAP倉庫 PPP元キー:00000002-0000001391-1</t>
  </si>
  <si>
    <t>001780:登米市中津山運動場</t>
  </si>
  <si>
    <t>2001/03/31</t>
  </si>
  <si>
    <t>米山町中津山字清水11</t>
  </si>
  <si>
    <t>01_01_09:（１）土地及び建物　行政財産　公共用財産　その他の施設</t>
  </si>
  <si>
    <t>2001/04/01</t>
  </si>
  <si>
    <t>20</t>
  </si>
  <si>
    <t>0440010</t>
  </si>
  <si>
    <t>AsyzAP倉庫 PPP元キー:00000002-0000001451-1</t>
  </si>
  <si>
    <t>001734:登米市豊里公民館</t>
  </si>
  <si>
    <t>2000/04/10</t>
  </si>
  <si>
    <t>豊里町小口前80</t>
  </si>
  <si>
    <t>0370007</t>
  </si>
  <si>
    <t>AsyzAP倉庫 PPP元キー:00000002-0000001368-1</t>
  </si>
  <si>
    <t>001304:登米市水防センター</t>
  </si>
  <si>
    <t>2015/02/26</t>
  </si>
  <si>
    <t>米山町西野字西野前279</t>
  </si>
  <si>
    <t>2015/04/01</t>
  </si>
  <si>
    <t>0090006</t>
  </si>
  <si>
    <t>AsyzAP水防倉庫 PPP元キー:00000002-0000000272-1</t>
  </si>
  <si>
    <t>001303:日根牛水防倉庫</t>
  </si>
  <si>
    <t>2012/05/31</t>
  </si>
  <si>
    <t>登米町大字日根牛浦小路16-2</t>
  </si>
  <si>
    <t>0090005</t>
  </si>
  <si>
    <t>AsyzAP水防倉庫 PPP元キー:00000002-0000000271-1</t>
  </si>
  <si>
    <t>2010/03/31</t>
  </si>
  <si>
    <t>2010/04/01</t>
  </si>
  <si>
    <t>AsyzAP倉庫 PPP元キー:00000002-0000001370-1</t>
  </si>
  <si>
    <t>ファンシーサイクル倉庫</t>
  </si>
  <si>
    <t>001792:パークゴルフ場整備用地</t>
  </si>
  <si>
    <t>2019/02/22</t>
  </si>
  <si>
    <t>石越町南郷字高森</t>
  </si>
  <si>
    <t>0440022</t>
  </si>
  <si>
    <t>AsyzAP PPP元キー:00000002-0000001474-1</t>
  </si>
  <si>
    <t>ふわふわランド上屋</t>
  </si>
  <si>
    <t>3:鉄骨コンクリート</t>
  </si>
  <si>
    <t>AsyzAP PPP元キー:00000002-0000001476-1</t>
  </si>
  <si>
    <t>ちびっこサーキット上屋</t>
  </si>
  <si>
    <t>AsyzAP PPP元キー:00000002-0000001477-1</t>
  </si>
  <si>
    <t>旧ゲームハウス倉庫</t>
  </si>
  <si>
    <t>AsyzAP PPP元キー:00000002-0000001478-1</t>
  </si>
  <si>
    <t>AsyzAP物置 PPP元キー:00000002-0000001014-1</t>
  </si>
  <si>
    <t>石越支団第4分団第2班消防ポンプ置場</t>
  </si>
  <si>
    <t>001233:石越支団第4分団第2班ポンプ置場</t>
  </si>
  <si>
    <t>6:消防（消防）</t>
  </si>
  <si>
    <t>7010300000:消防本部警防課</t>
  </si>
  <si>
    <t>AsyzAP消防ポンプ格納施設</t>
  </si>
  <si>
    <t>石越町北郷字橋向276-2,4</t>
  </si>
  <si>
    <t>5:コンクリートブロック</t>
  </si>
  <si>
    <t>34</t>
  </si>
  <si>
    <t>0030222</t>
  </si>
  <si>
    <t>AsyzAP消防ポンプ格納施設 PPP元キー:00000002-0000000244-1</t>
  </si>
  <si>
    <t>2018/03/16</t>
  </si>
  <si>
    <t>AsyzAP消防ポンプ格納施設　276番地2及び276番地4の一部</t>
  </si>
  <si>
    <t>01_01_02:（１）土地及び建物　行政財産　公用財産　消防施設</t>
  </si>
  <si>
    <t>AsyzAP消防ポンプ格納施設　276番地2及び276番地4の一部 PPP元キー:00000002-0000000243-1</t>
  </si>
  <si>
    <t>002322:旧上沼小学校</t>
  </si>
  <si>
    <t>1990/11/20</t>
  </si>
  <si>
    <t>中田町上沼字八幡山78</t>
  </si>
  <si>
    <t>0790015</t>
  </si>
  <si>
    <t>001380:豊里中学校</t>
  </si>
  <si>
    <t>1991/11/30</t>
  </si>
  <si>
    <t>1992/04/01</t>
  </si>
  <si>
    <t>0160007</t>
  </si>
  <si>
    <t>01_01_06:（１）土地及び建物　行政財産　公共用財産　中学校</t>
  </si>
  <si>
    <t>燃料備蓄倉庫</t>
  </si>
  <si>
    <t>001006:登米市消防署東出張所</t>
  </si>
  <si>
    <t>7010100000:消防本部消防総務課</t>
  </si>
  <si>
    <t>2015/03/26</t>
  </si>
  <si>
    <t>AsyzAP消防本部・署</t>
  </si>
  <si>
    <t>東和町錦織字小童子93-19</t>
  </si>
  <si>
    <t>0020002</t>
  </si>
  <si>
    <t>AsyzAP消防本部・署 PPP元キー:00000002-0000000028-1</t>
  </si>
  <si>
    <t>001453:登米市東和定住促進住宅</t>
  </si>
  <si>
    <t>1993/04/27</t>
  </si>
  <si>
    <t>AsyzAP機械室</t>
  </si>
  <si>
    <t>東和町米谷字越路94-1</t>
  </si>
  <si>
    <t>1994/04/01</t>
  </si>
  <si>
    <t>27</t>
  </si>
  <si>
    <t>0170069</t>
  </si>
  <si>
    <t>AsyzAP機械室 PPP元キー:00000002-0000001004-1</t>
  </si>
  <si>
    <t>訓練棟C</t>
  </si>
  <si>
    <t>001005:登米市消防防災センター</t>
  </si>
  <si>
    <t>2007/12/28</t>
  </si>
  <si>
    <t>迫町森字平柳25</t>
  </si>
  <si>
    <t>0020001</t>
  </si>
  <si>
    <t>AsyzAP消防本部・署 PPP元キー:00000002-0000000026-1</t>
  </si>
  <si>
    <t>訓練棟B</t>
  </si>
  <si>
    <t>AsyzAP消防本部・署 PPP元キー:00000002-0000000025-1</t>
  </si>
  <si>
    <t>訓練棟A</t>
  </si>
  <si>
    <t>AsyzAP消防本部・署 PPP元キー:00000002-0000000024-1</t>
  </si>
  <si>
    <t>塵芥置場</t>
  </si>
  <si>
    <t>2018</t>
  </si>
  <si>
    <t>2019/03/31</t>
  </si>
  <si>
    <t>製品保管庫</t>
  </si>
  <si>
    <t>001832:迫有機センター</t>
  </si>
  <si>
    <t>4:砂防（環境衛生）</t>
  </si>
  <si>
    <t>1035300000:農政課</t>
  </si>
  <si>
    <t>2004/03/31</t>
  </si>
  <si>
    <t>AsyzAP製品保管庫</t>
  </si>
  <si>
    <t>迫町新田字井守沢153-1</t>
  </si>
  <si>
    <t>2004/04/01</t>
  </si>
  <si>
    <t>0570001</t>
  </si>
  <si>
    <t>AsyzAP製品保管庫 PPP元キー:00000002-0000001537-1</t>
  </si>
  <si>
    <t>001833:中田有機センター</t>
  </si>
  <si>
    <t>2008/03/07</t>
  </si>
  <si>
    <t>中田町石森字中田西14</t>
  </si>
  <si>
    <t>0570002</t>
  </si>
  <si>
    <t>AsyzAP製品保管庫 PPP元キー:00000002-0000001541-1</t>
  </si>
  <si>
    <t>001834:豊里有機肥料センター</t>
  </si>
  <si>
    <t>2000/03/31</t>
  </si>
  <si>
    <t>豊里町三番江28</t>
  </si>
  <si>
    <t>21</t>
  </si>
  <si>
    <t>0570003</t>
  </si>
  <si>
    <t>AsyzAP製品保管庫 PPP元キー:00000002-0000001544-1</t>
  </si>
  <si>
    <t>1982/06/30</t>
  </si>
  <si>
    <t>1983/04/01</t>
  </si>
  <si>
    <t>001375:新田中学校</t>
  </si>
  <si>
    <t>1953/07/31</t>
  </si>
  <si>
    <t>1954/04/01</t>
  </si>
  <si>
    <t>62</t>
  </si>
  <si>
    <t>0160002</t>
  </si>
  <si>
    <t>001343:豊里幼稚園</t>
  </si>
  <si>
    <t>1990/08/31</t>
  </si>
  <si>
    <t>豊里町小口前41-1</t>
  </si>
  <si>
    <t>0140007</t>
  </si>
  <si>
    <t>001837:とよま有機センター</t>
  </si>
  <si>
    <t>登米町小島新田待井下348</t>
  </si>
  <si>
    <t>0570006</t>
  </si>
  <si>
    <t>AsyzAP製品保管庫 PPP元キー:00000002-0000001553-1</t>
  </si>
  <si>
    <t>001452:登米市豊里定住促進住宅</t>
  </si>
  <si>
    <t>1990/06/20</t>
  </si>
  <si>
    <t>豊里町小口前185-4</t>
  </si>
  <si>
    <t>0170068</t>
  </si>
  <si>
    <t>AsyzAP機械室 PPP元キー:00000002-0000000994-1</t>
  </si>
  <si>
    <t>製品保管庫（堆肥舎）</t>
  </si>
  <si>
    <t>001838:石越有機センター</t>
  </si>
  <si>
    <t>2006/03/31</t>
  </si>
  <si>
    <t>石越町南郷字新小高47-1</t>
  </si>
  <si>
    <t>2006/04/01</t>
  </si>
  <si>
    <t>0570007</t>
  </si>
  <si>
    <t>AsyzAP製品保管庫 PPP元キー:00000002-0000001556-1</t>
  </si>
  <si>
    <t>1967/03/31</t>
  </si>
  <si>
    <t>1967/04/01</t>
  </si>
  <si>
    <t>49</t>
  </si>
  <si>
    <t>001001:登米市役所迫庁舎</t>
  </si>
  <si>
    <t>1045100000:迫総合支所市民課</t>
  </si>
  <si>
    <t>2001/06/30</t>
  </si>
  <si>
    <t>0010001</t>
  </si>
  <si>
    <t>AsyzAP倉庫 PPP元キー:00000002-0000000004-1</t>
  </si>
  <si>
    <t>001379:中田中学校</t>
  </si>
  <si>
    <t>1974/03/31</t>
  </si>
  <si>
    <t>中田町宝江黒沼字新西野70</t>
  </si>
  <si>
    <t>2016</t>
  </si>
  <si>
    <t>1974/04/01</t>
  </si>
  <si>
    <t>42</t>
  </si>
  <si>
    <t>0160006</t>
  </si>
  <si>
    <t>老人憩いの家</t>
  </si>
  <si>
    <t>1980/02/28</t>
  </si>
  <si>
    <t>1980/04/01</t>
  </si>
  <si>
    <t>36</t>
  </si>
  <si>
    <t>001317:防災倉庫・倉庫用地</t>
  </si>
  <si>
    <t>1963/04/01</t>
  </si>
  <si>
    <t>迫町佐沼字大網241-2</t>
  </si>
  <si>
    <t>25:変更</t>
  </si>
  <si>
    <t>1964/04/01</t>
  </si>
  <si>
    <t>55</t>
  </si>
  <si>
    <t>0790172</t>
  </si>
  <si>
    <t>部室</t>
  </si>
  <si>
    <t>001378:東和中学校</t>
  </si>
  <si>
    <t>1985/03/31</t>
  </si>
  <si>
    <t>1985/04/01</t>
  </si>
  <si>
    <t>0160005</t>
  </si>
  <si>
    <t>001377:登米中学校</t>
  </si>
  <si>
    <t>1985/11/30</t>
  </si>
  <si>
    <t>登米町大字日根牛小川向8-4</t>
  </si>
  <si>
    <t>1986/04/01</t>
  </si>
  <si>
    <t>0160004</t>
  </si>
  <si>
    <t>002126:米川診療所</t>
  </si>
  <si>
    <t>2004/11/30</t>
  </si>
  <si>
    <t>東和町米川字町下59-1</t>
  </si>
  <si>
    <t>0760097</t>
  </si>
  <si>
    <t>AsyzAP倉庫 PPP元キー:00000002-0000001724-1</t>
  </si>
  <si>
    <t>普通財産（貸付建物）</t>
  </si>
  <si>
    <t>002131:旧桜台分校</t>
  </si>
  <si>
    <t>東和町米谷字恩田61</t>
  </si>
  <si>
    <t>0760102</t>
  </si>
  <si>
    <t>1959/04/01</t>
  </si>
  <si>
    <t>1960/04/01</t>
  </si>
  <si>
    <t>56</t>
  </si>
  <si>
    <t>1968/07/31</t>
  </si>
  <si>
    <t>1969/04/01</t>
  </si>
  <si>
    <t>47</t>
  </si>
  <si>
    <t>002130:旧農協倉庫</t>
  </si>
  <si>
    <t>1984/06/06</t>
  </si>
  <si>
    <t>東和町米川字町裏85-4</t>
  </si>
  <si>
    <t>0760101</t>
  </si>
  <si>
    <t>01_02_01:（１）土地及び建物　普通財産　宅地　</t>
  </si>
  <si>
    <t>迫大網住宅　１号棟</t>
  </si>
  <si>
    <t>001299:飯土井水防倉庫</t>
  </si>
  <si>
    <t>1900/01/01</t>
  </si>
  <si>
    <t>東和町米川字六反44-1-地内</t>
  </si>
  <si>
    <t>1900/04/01</t>
  </si>
  <si>
    <t>116</t>
  </si>
  <si>
    <t>0090001</t>
  </si>
  <si>
    <t>002111:旧米川中学校</t>
  </si>
  <si>
    <t>1976/03/31</t>
  </si>
  <si>
    <t>東和町米川字町裏120-1</t>
  </si>
  <si>
    <t>1976/04/01</t>
  </si>
  <si>
    <t>40</t>
  </si>
  <si>
    <t>0760082</t>
  </si>
  <si>
    <t>防災倉庫</t>
  </si>
  <si>
    <t>002092:物置（貸付建物）</t>
  </si>
  <si>
    <t>1971/03/25</t>
  </si>
  <si>
    <t>迫町佐沼字西佐沼173</t>
  </si>
  <si>
    <t>1971/04/01</t>
  </si>
  <si>
    <t>45</t>
  </si>
  <si>
    <t>0760063</t>
  </si>
  <si>
    <t>001950:水沢県庁記念館</t>
  </si>
  <si>
    <t>登米町寺池桜小路1-5</t>
  </si>
  <si>
    <t>0710058</t>
  </si>
  <si>
    <t>001300:米山町水防倉庫</t>
  </si>
  <si>
    <t>米山町中津山字下谷地275-6</t>
  </si>
  <si>
    <t>0090002</t>
  </si>
  <si>
    <t>001301:橋向水防倉庫</t>
  </si>
  <si>
    <t>石越町北郷字橋向48-地先地内</t>
  </si>
  <si>
    <t>0090003</t>
  </si>
  <si>
    <t>AsyzAP倉庫 PPP元キー:00000002-0000000555-1</t>
  </si>
  <si>
    <t>001786:登米市迫B＆G海洋センター</t>
  </si>
  <si>
    <t>1995/03/31</t>
  </si>
  <si>
    <t>迫町北方字天形114-2</t>
  </si>
  <si>
    <t>1995/04/01</t>
  </si>
  <si>
    <t>0440016</t>
  </si>
  <si>
    <t>001921:春蘭亭</t>
  </si>
  <si>
    <t>登米町寺池桜小路79</t>
  </si>
  <si>
    <t>0710029</t>
  </si>
  <si>
    <t>001302:平町水防倉庫</t>
  </si>
  <si>
    <t>石越町東郷字登戸13-6-地内</t>
  </si>
  <si>
    <t>0090004</t>
  </si>
  <si>
    <t>001906:豊里高齢者趣味の交流館</t>
  </si>
  <si>
    <t>1999/08/31</t>
  </si>
  <si>
    <t>豊里町新田町50-2</t>
  </si>
  <si>
    <t>0710014</t>
  </si>
  <si>
    <t>農業関連施設</t>
  </si>
  <si>
    <t>001865:農業機械格納庫</t>
  </si>
  <si>
    <t>5:産業振興（産業振興）</t>
  </si>
  <si>
    <t>1035100000:産業総務課</t>
  </si>
  <si>
    <t>1980/03/31</t>
  </si>
  <si>
    <t>南方町西山成前138-借地</t>
  </si>
  <si>
    <t>0700002</t>
  </si>
  <si>
    <t>1992/09/30</t>
  </si>
  <si>
    <t>2017/09/27</t>
  </si>
  <si>
    <t>1993/04/01</t>
  </si>
  <si>
    <t>001911:とよまつづら淵多目的センター</t>
  </si>
  <si>
    <t>1994/03/10</t>
  </si>
  <si>
    <t>登米町小島葛籠渕37</t>
  </si>
  <si>
    <t>0710019</t>
  </si>
  <si>
    <t>1974/07/31</t>
  </si>
  <si>
    <t>1975/04/01</t>
  </si>
  <si>
    <t>41</t>
  </si>
  <si>
    <t>1984/08/20</t>
  </si>
  <si>
    <t>001855:南方就業改善センター</t>
  </si>
  <si>
    <t>1978/07/31</t>
  </si>
  <si>
    <t>南方町堤田38-の内</t>
  </si>
  <si>
    <t>1979/04/01</t>
  </si>
  <si>
    <t>37</t>
  </si>
  <si>
    <t>0670001</t>
  </si>
  <si>
    <t>1976/08/20</t>
  </si>
  <si>
    <t>1977/04/01</t>
  </si>
  <si>
    <t>39</t>
  </si>
  <si>
    <t>001305:水防倉庫</t>
  </si>
  <si>
    <t>1950/04/01</t>
  </si>
  <si>
    <t>迫町内</t>
  </si>
  <si>
    <t>1951/04/01</t>
  </si>
  <si>
    <t>65</t>
  </si>
  <si>
    <t>0090007</t>
  </si>
  <si>
    <t>1976/12/28</t>
  </si>
  <si>
    <t>002453:旧善王寺小学校</t>
  </si>
  <si>
    <t>1999/08/20</t>
  </si>
  <si>
    <t>米山町字善王寺石神68</t>
  </si>
  <si>
    <t>0790146</t>
  </si>
  <si>
    <t>001845:登米市津山林業総合センター</t>
  </si>
  <si>
    <t>1983/06/06</t>
  </si>
  <si>
    <t>津山町柳津字黄牛田高畑59</t>
  </si>
  <si>
    <t>1984/04/01</t>
  </si>
  <si>
    <t>32</t>
  </si>
  <si>
    <t>0610001</t>
  </si>
  <si>
    <t>1080100000:南方総合支所市民課</t>
  </si>
  <si>
    <t>南方町沼崎前25-4</t>
  </si>
  <si>
    <t>1970/04/01</t>
  </si>
  <si>
    <t>46</t>
  </si>
  <si>
    <t>0090008</t>
  </si>
  <si>
    <t>2012/09/10</t>
  </si>
  <si>
    <t>AsyzAP倉庫 PPP元キー:00000002-0000000454-1</t>
  </si>
  <si>
    <t>001848:豊里多目的研修センター</t>
  </si>
  <si>
    <t>1985/12/25</t>
  </si>
  <si>
    <t>豊里町土手下141</t>
  </si>
  <si>
    <t>0630001</t>
  </si>
  <si>
    <t>寝具乾燥機室</t>
  </si>
  <si>
    <t>002468:寝具乾燥機室</t>
  </si>
  <si>
    <t>1980/03/01</t>
  </si>
  <si>
    <t>その他の施設</t>
  </si>
  <si>
    <t>中田町上沼字新田68-1</t>
  </si>
  <si>
    <t>01_02_04:（１）土地及び建物　普通財産　その他　</t>
  </si>
  <si>
    <t>0301:所管換</t>
  </si>
  <si>
    <t>0790161</t>
  </si>
  <si>
    <t>収蔵庫</t>
  </si>
  <si>
    <t>001754:登米懐古館</t>
  </si>
  <si>
    <t>1972/11/30</t>
  </si>
  <si>
    <t>登米町寺池桜小路103-9</t>
  </si>
  <si>
    <t>1973/04/01</t>
  </si>
  <si>
    <t>43</t>
  </si>
  <si>
    <t>0390008</t>
  </si>
  <si>
    <t>1981/05/31</t>
  </si>
  <si>
    <t>1982/04/01</t>
  </si>
  <si>
    <t>AsyzAP部室</t>
  </si>
  <si>
    <t>AsyzAP部室 PPP元キー:00000002-0000000558-1</t>
  </si>
  <si>
    <t>AsyzAP倉庫 PPP元キー:00000002-0000000438-1</t>
  </si>
  <si>
    <t>001371:柳津小学校</t>
  </si>
  <si>
    <t>1970/03/31</t>
  </si>
  <si>
    <t>津山町柳津字本町57-1</t>
  </si>
  <si>
    <t>0150021</t>
  </si>
  <si>
    <t>001752:石ノ森章太郎ふるさと記念館</t>
  </si>
  <si>
    <t>2000/07/11</t>
  </si>
  <si>
    <t>中田町石森字町132</t>
  </si>
  <si>
    <t>0390006</t>
  </si>
  <si>
    <t>1982/09/20</t>
  </si>
  <si>
    <t>1989/09/20</t>
  </si>
  <si>
    <t>1990/04/01</t>
  </si>
  <si>
    <t>26</t>
  </si>
  <si>
    <t>001948:東和国際交流センター</t>
  </si>
  <si>
    <t>東和町米川字北上沢176-2</t>
  </si>
  <si>
    <t>0710056</t>
  </si>
  <si>
    <t>1992/08/20</t>
  </si>
  <si>
    <t>23</t>
  </si>
  <si>
    <t>1980/06/30</t>
  </si>
  <si>
    <t>35</t>
  </si>
  <si>
    <t>002321:旧森幼稚園</t>
  </si>
  <si>
    <t>1990/03/31</t>
  </si>
  <si>
    <t>迫町森字西表224-1-他1筆</t>
  </si>
  <si>
    <t>0790014</t>
  </si>
  <si>
    <t>001372:横山小学校</t>
  </si>
  <si>
    <t>1966/03/31</t>
  </si>
  <si>
    <t>津山町横山字本町91</t>
  </si>
  <si>
    <t>1966/04/01</t>
  </si>
  <si>
    <t>0150022</t>
  </si>
  <si>
    <t>1994/03/20</t>
  </si>
  <si>
    <t>1953/07/20</t>
  </si>
  <si>
    <t>1989/09/30</t>
  </si>
  <si>
    <t>002357:旧新田第二小学校</t>
  </si>
  <si>
    <t>迫町新田字対馬51-7</t>
  </si>
  <si>
    <t>0790050</t>
  </si>
  <si>
    <t>1994/10/31</t>
  </si>
  <si>
    <t>AsyzAP倉庫 PPP元キー:00000002-0000000567-1</t>
  </si>
  <si>
    <t>001309:登米市東和総合支所</t>
  </si>
  <si>
    <t>1991/12/28</t>
  </si>
  <si>
    <t>0100002</t>
  </si>
  <si>
    <t>1989/03/31</t>
  </si>
  <si>
    <t>1989/04/01</t>
  </si>
  <si>
    <t>1991/08/31</t>
  </si>
  <si>
    <t>1983/03/31</t>
  </si>
  <si>
    <t>1979/05/31</t>
  </si>
  <si>
    <t>1985/07/31</t>
  </si>
  <si>
    <t>1988/07/31</t>
  </si>
  <si>
    <t>2008/10/30</t>
  </si>
  <si>
    <t>AsyzAP倉庫 PPP元キー:00000002-0000001362-1</t>
  </si>
  <si>
    <t>1954/08/31</t>
  </si>
  <si>
    <t>1955/04/01</t>
  </si>
  <si>
    <t>61</t>
  </si>
  <si>
    <t>1998/03/31</t>
  </si>
  <si>
    <t>2021</t>
  </si>
  <si>
    <t>2022/03/31</t>
  </si>
  <si>
    <t>1998/04/01</t>
  </si>
  <si>
    <t>AsyzAP倉庫 PPP元キー:00000002-0000000348-1</t>
  </si>
  <si>
    <t>もみの木ハウス</t>
  </si>
  <si>
    <t>生活科ハウス</t>
  </si>
  <si>
    <t>1993/03/31</t>
  </si>
  <si>
    <t>001340:北方幼稚園</t>
  </si>
  <si>
    <t>1982/03/31</t>
  </si>
  <si>
    <t>2019/03/25</t>
  </si>
  <si>
    <t>迫町北方字富永109-2</t>
  </si>
  <si>
    <t>0140004</t>
  </si>
  <si>
    <t>001339:新田幼稚園</t>
  </si>
  <si>
    <t>1988/02/20</t>
  </si>
  <si>
    <t>迫町新田字山崎259-4</t>
  </si>
  <si>
    <t>28</t>
  </si>
  <si>
    <t>0140003</t>
  </si>
  <si>
    <t>AsyzAP倉庫 PPP元キー:00000002-0000000554-1</t>
  </si>
  <si>
    <t>1977/12/20</t>
  </si>
  <si>
    <t>1978/04/01</t>
  </si>
  <si>
    <t>1971/04/20</t>
  </si>
  <si>
    <t>1972/04/01</t>
  </si>
  <si>
    <t>44</t>
  </si>
  <si>
    <t>1999/03/31</t>
  </si>
  <si>
    <t>AsyzAP倉庫 PPP元キー:00000002-0000000552-1</t>
  </si>
  <si>
    <t>ポンプ置場</t>
  </si>
  <si>
    <t>002361:旧消防ポンプ置場</t>
  </si>
  <si>
    <t>消防ポンプ格納施設</t>
  </si>
  <si>
    <t>迫町北方字早坂115-7</t>
  </si>
  <si>
    <t>0790054</t>
  </si>
  <si>
    <t>001383:南方中学校</t>
  </si>
  <si>
    <t>1992/03/31</t>
  </si>
  <si>
    <t>南方町西山成前21-1</t>
  </si>
  <si>
    <t>0160010</t>
  </si>
  <si>
    <t>001816:中田生涯学習センター</t>
  </si>
  <si>
    <t>2007/03/31</t>
  </si>
  <si>
    <t>中田町上沼字舘43</t>
  </si>
  <si>
    <t>2007/04/01</t>
  </si>
  <si>
    <t>14</t>
  </si>
  <si>
    <t>0490016</t>
  </si>
  <si>
    <t>AsyzAP倉庫 PPP元キー:00000002-0000001511-1</t>
  </si>
  <si>
    <t>1979/03/31</t>
  </si>
  <si>
    <t>0440012</t>
  </si>
  <si>
    <t>1979/05/20</t>
  </si>
  <si>
    <t>1986/04/20</t>
  </si>
  <si>
    <t>南方町原屋敷1-・梶沼24・大袋187-5</t>
  </si>
  <si>
    <t>0790141</t>
  </si>
  <si>
    <t>001381:米山中学校</t>
  </si>
  <si>
    <t>1969/11/20</t>
  </si>
  <si>
    <t>米山町西野字西小路2</t>
  </si>
  <si>
    <t>0160008</t>
  </si>
  <si>
    <t>1987/03/20</t>
  </si>
  <si>
    <t>1998/10/20</t>
  </si>
  <si>
    <t>1981/01/20</t>
  </si>
  <si>
    <t>001783:登米市南方東郷運動広場</t>
  </si>
  <si>
    <t>1984/03/31</t>
  </si>
  <si>
    <t>南方町本郷大嶽155</t>
  </si>
  <si>
    <t>0440013</t>
  </si>
  <si>
    <t>001944:豊里白鳥前倉庫</t>
  </si>
  <si>
    <t>1065100000:豊里総合支所市民課</t>
  </si>
  <si>
    <t>豊里町白鳥前24-2</t>
  </si>
  <si>
    <t>0710052</t>
  </si>
  <si>
    <t>002395:旧善王寺幼稚園</t>
  </si>
  <si>
    <t>1070100000:米山総合支所市民課</t>
  </si>
  <si>
    <t>1977/03/20</t>
  </si>
  <si>
    <t>米山町字善王寺石神16-7</t>
  </si>
  <si>
    <t>0790088</t>
  </si>
  <si>
    <t>2001/12/28</t>
  </si>
  <si>
    <t>002362:旧迫支団第6分団第2班ポンプ置場</t>
  </si>
  <si>
    <t>迫町北方字土手ノ内65-4</t>
  </si>
  <si>
    <t>0790055</t>
  </si>
  <si>
    <t>AsyzAP倉庫 PPP元キー:00000002-0000000553-1</t>
  </si>
  <si>
    <t>1986/06/20</t>
  </si>
  <si>
    <t>002325:旧嵯峨立小学校</t>
  </si>
  <si>
    <t>1990/07/31</t>
  </si>
  <si>
    <t>東和町錦織字岩ノ沢150</t>
  </si>
  <si>
    <t>0790018</t>
  </si>
  <si>
    <t>1981/05/20</t>
  </si>
  <si>
    <t>001450:登米市迫定住促進住宅</t>
  </si>
  <si>
    <t>1980/05/22</t>
  </si>
  <si>
    <t>迫町佐沼字中江一丁目13-4</t>
  </si>
  <si>
    <t>0170066</t>
  </si>
  <si>
    <t>自転車置場</t>
  </si>
  <si>
    <t>6:自転車置場・置場</t>
  </si>
  <si>
    <t>2号棟側自転車置場</t>
  </si>
  <si>
    <t>AsyzAP自転車置場</t>
  </si>
  <si>
    <t>AsyzAP自転車置場 PPP元キー:00000002-0000001012-1</t>
  </si>
  <si>
    <t>1号棟側自転車置場</t>
  </si>
  <si>
    <t>001945:石越駅自転車置場</t>
  </si>
  <si>
    <t>1975/04/30</t>
  </si>
  <si>
    <t>石越町南郷字西門沖4-4</t>
  </si>
  <si>
    <t>0710053</t>
  </si>
  <si>
    <t>AsyzAP自転車置場 PPP元キー:00000002-0000000012-1</t>
  </si>
  <si>
    <t>AsyzAP自転車置場 PPP元キー:00000002-0000000996-1</t>
  </si>
  <si>
    <t>書庫</t>
  </si>
  <si>
    <t>1968/04/01</t>
  </si>
  <si>
    <t>7:書庫</t>
  </si>
  <si>
    <t>48</t>
  </si>
  <si>
    <t>001004:登米市役所南方庁舎</t>
  </si>
  <si>
    <t>2004/10/30</t>
  </si>
  <si>
    <t>2018/08/30</t>
  </si>
  <si>
    <t>AsyzAP書庫</t>
  </si>
  <si>
    <t>南方町新高石浦130</t>
  </si>
  <si>
    <t>0010004</t>
  </si>
  <si>
    <t>AsyzAP書庫 PPP元キー:00000002-0000000018-1</t>
  </si>
  <si>
    <t>車庫</t>
  </si>
  <si>
    <t>001820:祝祭劇場</t>
  </si>
  <si>
    <t>1015200000:市民協働課</t>
  </si>
  <si>
    <t>1994/05/08</t>
  </si>
  <si>
    <t>AsyzAP車庫</t>
  </si>
  <si>
    <t>迫町佐沼字光ケ丘30</t>
  </si>
  <si>
    <t>8:車庫</t>
  </si>
  <si>
    <t>0510001</t>
  </si>
  <si>
    <t>AsyzAP車庫 PPP元キー:00000002-0000001516-1</t>
  </si>
  <si>
    <t>AsyzAP車庫 PPP元キー:00000002-0000001521-1</t>
  </si>
  <si>
    <t>1969/02/21</t>
  </si>
  <si>
    <t>AsyzAP車庫 PPP元キー:00000002-0000000280-1</t>
  </si>
  <si>
    <t>001737:登米市石越公民館</t>
  </si>
  <si>
    <t>2004/07/30</t>
  </si>
  <si>
    <t>石越町南郷字矢作122-2</t>
  </si>
  <si>
    <t>0370010</t>
  </si>
  <si>
    <t>AsyzAP車庫 PPP元キー:00000002-0000001378-1</t>
  </si>
  <si>
    <t>001311:登米市米山総合支所</t>
  </si>
  <si>
    <t>米山町西野字的場181</t>
  </si>
  <si>
    <t>0100004</t>
  </si>
  <si>
    <t>1998/01/30</t>
  </si>
  <si>
    <t>2017/04/01</t>
  </si>
  <si>
    <t>AsyzAP車庫 PPP元キー:00000002-0000000318-1</t>
  </si>
  <si>
    <t>001798:石越保健センター</t>
  </si>
  <si>
    <t>1020400000:健康推進課</t>
  </si>
  <si>
    <t>石越町南郷字矢作130-1</t>
  </si>
  <si>
    <t>0470006</t>
  </si>
  <si>
    <t>002480:旧クリーンセンター</t>
  </si>
  <si>
    <t>1025100000:クリーンセンター</t>
  </si>
  <si>
    <t>豊里町平林111-7</t>
  </si>
  <si>
    <t>0790175</t>
  </si>
  <si>
    <t>1975/01/23</t>
  </si>
  <si>
    <t>艇庫</t>
  </si>
  <si>
    <t>001788:登米市米山B＆G海洋センター</t>
  </si>
  <si>
    <t>その他体育施設</t>
  </si>
  <si>
    <t>0440018</t>
  </si>
  <si>
    <t>001308:登米市登米総合支所</t>
  </si>
  <si>
    <t>1050100000:登米総合支所市民課</t>
  </si>
  <si>
    <t>1999/03/08</t>
  </si>
  <si>
    <t>登米町寺池目子待井381-1</t>
  </si>
  <si>
    <t>0100001</t>
  </si>
  <si>
    <t>AsyzAP車庫 PPP元キー:00000002-0000000278-1</t>
  </si>
  <si>
    <t>車庫棟</t>
  </si>
  <si>
    <t>001295:新クリーンセンター</t>
  </si>
  <si>
    <t>2019/11/25</t>
  </si>
  <si>
    <t>豊里町笑沢153-22</t>
  </si>
  <si>
    <t>0070005</t>
  </si>
  <si>
    <t>AsyzAP PPP元キー:00000002-0000000263-1</t>
  </si>
  <si>
    <t>AsyzAP車庫 PPP元キー:00000002-0000001540-1</t>
  </si>
  <si>
    <t>001328:石越総合支所・防災センター</t>
  </si>
  <si>
    <t>AsyzAP一時避難所</t>
  </si>
  <si>
    <t>石越町南郷字愛宕81</t>
  </si>
  <si>
    <t>0100006</t>
  </si>
  <si>
    <t>AsyzAP一時避難所 PPP元キー:00000002-0000000295-1</t>
  </si>
  <si>
    <t>車庫：シャッター（交換）</t>
  </si>
  <si>
    <t>001710:迫老人福祉センター</t>
  </si>
  <si>
    <t>2018/03/26</t>
  </si>
  <si>
    <t>AsyzAP車庫シャッター</t>
  </si>
  <si>
    <t>迫町北方字大洞45-3</t>
  </si>
  <si>
    <t>0340001</t>
  </si>
  <si>
    <t>AsyzAP車庫シャッター PPP元キー:00000002-0000001324-1</t>
  </si>
  <si>
    <t>AsyzAP車庫 PPP元キー:00000002-0000001321-1</t>
  </si>
  <si>
    <t>1986/07/01</t>
  </si>
  <si>
    <t>2019/03/22</t>
  </si>
  <si>
    <t>001329:車庫</t>
  </si>
  <si>
    <t>0130006</t>
  </si>
  <si>
    <t>001735:登米市吉田公民館</t>
  </si>
  <si>
    <t>米山町字桜岡江浪41</t>
  </si>
  <si>
    <t>0370008</t>
  </si>
  <si>
    <t>1981/02/10</t>
  </si>
  <si>
    <t>AsyzAPその他体育施設</t>
  </si>
  <si>
    <t>AsyzAPその他体育施設 PPP元キー:00000002-0000001459-1</t>
  </si>
  <si>
    <t>001321:登米市東部津山学校給食センター</t>
  </si>
  <si>
    <t>2005/03/31</t>
  </si>
  <si>
    <t>津山町柳津字黄牛比良1-5</t>
  </si>
  <si>
    <t>0120002</t>
  </si>
  <si>
    <t>AsyzAP給食センター PPP元キー:00000002-0000000305-1</t>
  </si>
  <si>
    <t>001738:登米市南方公民館</t>
  </si>
  <si>
    <t>1988/01/31</t>
  </si>
  <si>
    <t>南方町八の森40-1</t>
  </si>
  <si>
    <t>0370011</t>
  </si>
  <si>
    <t>南方町八の森10-1-の内</t>
  </si>
  <si>
    <t>0130009</t>
  </si>
  <si>
    <t>1994/03/14</t>
  </si>
  <si>
    <t>管理棟（クラブハウス）</t>
  </si>
  <si>
    <t>9:食堂・調理室</t>
  </si>
  <si>
    <t>AsyzAP PPP元キー:00000002-0000001473-1</t>
  </si>
  <si>
    <t>農産物加工所施設</t>
  </si>
  <si>
    <t>001847:とよま農産加工調理場</t>
  </si>
  <si>
    <t>1963/11/20</t>
  </si>
  <si>
    <t>52</t>
  </si>
  <si>
    <t>0620002</t>
  </si>
  <si>
    <t>1964/01/31</t>
  </si>
  <si>
    <t>給食センター</t>
  </si>
  <si>
    <t>AsyzAP給食センター PPP元キー:00000002-0000000300-1</t>
  </si>
  <si>
    <t>給食センター：屋根（改修）</t>
  </si>
  <si>
    <t>2017/08/23</t>
  </si>
  <si>
    <t>AsyzAP屋根</t>
  </si>
  <si>
    <t>AsyzAP屋根 PPP元キー:00000002-0000000302-1</t>
  </si>
  <si>
    <t>共同作業所</t>
  </si>
  <si>
    <t>AsyzAP給食センター PPP元キー:00000002-0000000306-1</t>
  </si>
  <si>
    <t>001374:佐沼中学校</t>
  </si>
  <si>
    <t>1994/12/20</t>
  </si>
  <si>
    <t>迫町佐沼字沼向4</t>
  </si>
  <si>
    <t>0160001</t>
  </si>
  <si>
    <t>AsyzAP給食センター PPP元キー:00000002-0000000542-1</t>
  </si>
  <si>
    <t>調理場</t>
  </si>
  <si>
    <t>AsyzAP給食センター PPP元キー:00000002-0000000304-1</t>
  </si>
  <si>
    <t>AsyzAP給食センター PPP元キー:00000002-0000000315-1</t>
  </si>
  <si>
    <t>AsyzAP給食センター PPP元キー:00000002-0000000308-1</t>
  </si>
  <si>
    <t>生徒会館</t>
  </si>
  <si>
    <t>002456:旧米山高等学校</t>
  </si>
  <si>
    <t>AsyzAPその他の施設　取得年月日：H28/07/25　建設年月日：S55/11/10</t>
  </si>
  <si>
    <t>米山町中津山字筒場埣215</t>
  </si>
  <si>
    <t>999:強制評価用</t>
  </si>
  <si>
    <t>17:17年</t>
  </si>
  <si>
    <t>0790149</t>
  </si>
  <si>
    <t>AsyzAPその他の施設　取得年月日：H28/07/25　建設年月日：S55/11/10 PPP元キー:00000002-0000001822-1</t>
  </si>
  <si>
    <t>2016/07/25</t>
  </si>
  <si>
    <t>3102:調査判明（増）</t>
  </si>
  <si>
    <t>2:2年</t>
  </si>
  <si>
    <t>灯油庫</t>
  </si>
  <si>
    <t>AsyzAPその他の施設　取得年月日：H28/07/25　建設年月日：H11/12/01</t>
  </si>
  <si>
    <t>19:19年</t>
  </si>
  <si>
    <t>AsyzAPその他の施設　取得年月日：H28/07/25　建設年月日：H11/12/01 PPP元キー:00000002-0000001823-1</t>
  </si>
  <si>
    <t>農機具実習室（農機具整備実習室）</t>
  </si>
  <si>
    <t>農業実習室（収納調整室）</t>
  </si>
  <si>
    <t>体育館</t>
  </si>
  <si>
    <t>便所</t>
  </si>
  <si>
    <t>AsyzAP便所　H28/07/25　H11/12/03</t>
  </si>
  <si>
    <t>AsyzAP便所　H28/07/25　H11/12/03 PPP元キー:00000002-0000001826-1</t>
  </si>
  <si>
    <t>機械実習室2</t>
  </si>
  <si>
    <t>柔剣道場</t>
  </si>
  <si>
    <t>校舎</t>
  </si>
  <si>
    <t>AsyzAP校舎　取得年月日：H28/07/25　建設年月日：S55/03/25</t>
  </si>
  <si>
    <t>16:16年</t>
  </si>
  <si>
    <t>AsyzAP校舎　取得年月日：H28/07/25　建設年月日：S55/03/25 PPP元キー:00000002-0000001819-1</t>
  </si>
  <si>
    <t>AsyzAP倉庫　取得年月日：H28/07/25　建設年月日：H12/03/31</t>
  </si>
  <si>
    <t>AsyzAP倉庫　取得年月日：H28/07/25　建設年月日：H12/03/31 PPP元キー:00000002-0000001824-1</t>
  </si>
  <si>
    <t>温室</t>
  </si>
  <si>
    <t>AsyzAPその他の施設　取得年月日：H28/07/25　建設年月日：H12/03/09</t>
  </si>
  <si>
    <t>AsyzAPその他の施設　取得年月日：H28/07/25　建設年月日：H12/03/09 PPP元キー:00000002-0000001825-1</t>
  </si>
  <si>
    <t>歴史博物館</t>
  </si>
  <si>
    <t>AsyzAP歴史博物館</t>
  </si>
  <si>
    <t>10:陳列所・展示室</t>
  </si>
  <si>
    <t>観光物産施設</t>
  </si>
  <si>
    <t>管理棟</t>
  </si>
  <si>
    <t>001478:迫佐沼公園（光ヶ丘球場）</t>
  </si>
  <si>
    <t>AsyzAP野球場</t>
  </si>
  <si>
    <t>16:体育館</t>
  </si>
  <si>
    <t>AsyzAP管理事務所</t>
  </si>
  <si>
    <t>東和町錦織字雷神山15-3</t>
  </si>
  <si>
    <t>2:事務所</t>
  </si>
  <si>
    <t>管理事務所</t>
  </si>
  <si>
    <t>石越町南郷字矢作122-1</t>
  </si>
  <si>
    <t>2017/09/07</t>
  </si>
  <si>
    <t>1035400000:農林振興課</t>
  </si>
  <si>
    <t>25:寮舎・宿舎</t>
  </si>
  <si>
    <t>2018/12/18</t>
  </si>
  <si>
    <t>2010/03/15</t>
  </si>
  <si>
    <t>AsyzAP便所</t>
  </si>
  <si>
    <t>28:便所</t>
  </si>
  <si>
    <t>東和町錦織字山居沢83-の内</t>
  </si>
  <si>
    <t>1015150000:観光シティプロモーション課</t>
  </si>
  <si>
    <t>駐車場トイレ</t>
  </si>
  <si>
    <t>南方町新大村前5</t>
  </si>
  <si>
    <t>2019/03/14</t>
  </si>
  <si>
    <t>2017/10/30</t>
  </si>
  <si>
    <t>2000/03/01</t>
  </si>
  <si>
    <t>1996/02/01</t>
  </si>
  <si>
    <t>1997/03/01</t>
  </si>
  <si>
    <t>中田町浅水字浅部玉山180-4</t>
  </si>
  <si>
    <t>1975/03/31</t>
  </si>
  <si>
    <t>2018/11/02</t>
  </si>
  <si>
    <t>1978/03/31</t>
  </si>
  <si>
    <t>2003/03/31</t>
  </si>
  <si>
    <t>2003/04/01</t>
  </si>
  <si>
    <t>2016/04/01</t>
  </si>
  <si>
    <t>2017/12/08</t>
  </si>
  <si>
    <t>47:住宅</t>
  </si>
  <si>
    <t>高圧受電設備改修</t>
  </si>
  <si>
    <t>2018/12/12</t>
  </si>
  <si>
    <t>AsyzAP本庁舎 PPP元キー:00000002-0000000019-1</t>
  </si>
  <si>
    <t>0100005</t>
  </si>
  <si>
    <t>AsyzAP本庁舎 PPP元キー:00000002-0000000292-1</t>
  </si>
  <si>
    <t>1997/01/23</t>
  </si>
  <si>
    <t>AsyzAP本庁舎 PPP元キー:00000002-0000000281-1</t>
  </si>
  <si>
    <t>1974/11/20</t>
  </si>
  <si>
    <t>AsyzAP本庁舎 PPP元キー:00000002-0000000291-1</t>
  </si>
  <si>
    <t>001860:とよま観光物産センター</t>
  </si>
  <si>
    <t>1999/11/30</t>
  </si>
  <si>
    <t>AsyzAP観光物産施設</t>
  </si>
  <si>
    <t>登米町寺池桜小路2</t>
  </si>
  <si>
    <t>0690002</t>
  </si>
  <si>
    <t>AsyzAP観光物産施設 PPP元キー:00000002-0000001599-1</t>
  </si>
  <si>
    <t>活性化施設</t>
  </si>
  <si>
    <t>001862:東和活性化施設</t>
  </si>
  <si>
    <t>2003/03/14</t>
  </si>
  <si>
    <t>東和町米川字六反33-1</t>
  </si>
  <si>
    <t>0690004</t>
  </si>
  <si>
    <t>AsyzAP観光物産施設 PPP元キー:00000002-0000001603-1</t>
  </si>
  <si>
    <t>資料館</t>
  </si>
  <si>
    <t>001748:警察資料館</t>
  </si>
  <si>
    <t>その他の博物館</t>
  </si>
  <si>
    <t>登米町寺池中町3</t>
  </si>
  <si>
    <t>0390002</t>
  </si>
  <si>
    <t>産地形成促進施設</t>
  </si>
  <si>
    <t>001856:米山産地形成促進施設</t>
  </si>
  <si>
    <t>1997/03/25</t>
  </si>
  <si>
    <t>米山町西野字新遠田67</t>
  </si>
  <si>
    <t>0680001</t>
  </si>
  <si>
    <t>001863:津山観光物産センター</t>
  </si>
  <si>
    <t>津山町柳津字谷木211-2</t>
  </si>
  <si>
    <t>0690005</t>
  </si>
  <si>
    <t>増築</t>
  </si>
  <si>
    <t>001840:豊里地域産物活用施設（がんばる館）</t>
  </si>
  <si>
    <t>2015/06/22</t>
  </si>
  <si>
    <t>AsyzAP農業関連施設</t>
  </si>
  <si>
    <t>豊里町上屋浦16</t>
  </si>
  <si>
    <t>0590001</t>
  </si>
  <si>
    <t>AsyzAP農業関連施設 PPP元キー:00000002-0000001560-1</t>
  </si>
  <si>
    <t>物産館</t>
  </si>
  <si>
    <t>AsyzAP農業関連施設 PPP元キー:00000002-0000001559-1</t>
  </si>
  <si>
    <t>林林館</t>
  </si>
  <si>
    <t>001861:東和物産館（林林館）</t>
  </si>
  <si>
    <t>東和町米川字六反55-1-の内</t>
  </si>
  <si>
    <t>0690003</t>
  </si>
  <si>
    <t>懐古館</t>
  </si>
  <si>
    <t>1961/10/01</t>
  </si>
  <si>
    <t>1962/04/01</t>
  </si>
  <si>
    <t>54</t>
  </si>
  <si>
    <t>AsyzAP産地形成促進施設</t>
  </si>
  <si>
    <t>AsyzAP産地形成促進施設 PPP元キー:00000002-0000001587-1</t>
  </si>
  <si>
    <t>1989/03/01</t>
  </si>
  <si>
    <t>AsyzAPその他の博物館</t>
  </si>
  <si>
    <t>AsyzAPその他の博物館 PPP元キー:00000002-0000001404-1</t>
  </si>
  <si>
    <t>記念館</t>
  </si>
  <si>
    <t>AsyzAPその他の博物館 PPP元キー:00000002-0000001400-1</t>
  </si>
  <si>
    <t>石ノ森章太郎生家</t>
  </si>
  <si>
    <t>001753:石ノ森章太郎生家</t>
  </si>
  <si>
    <t>2001/03/15</t>
  </si>
  <si>
    <t>中田町石森字町119-1</t>
  </si>
  <si>
    <t>0390007</t>
  </si>
  <si>
    <t>AsyzAPその他の博物館 PPP元キー:00000002-0000001403-1</t>
  </si>
  <si>
    <t>美術館</t>
  </si>
  <si>
    <t>001751:登米市高倉勝子美術館</t>
  </si>
  <si>
    <t>2009/09/04</t>
  </si>
  <si>
    <t>登米町寺池桜小路88-1</t>
  </si>
  <si>
    <t>0390005</t>
  </si>
  <si>
    <t>AsyzAPその他の博物館 PPP元キー:00000002-0000001399-1</t>
  </si>
  <si>
    <t>001746:南方歴史民俗資料館</t>
  </si>
  <si>
    <t>0380001</t>
  </si>
  <si>
    <t>AsyzAP歴史博物館 PPP元キー:00000002-0000001393-1</t>
  </si>
  <si>
    <t>水沢県庁記念館</t>
  </si>
  <si>
    <t>霊屋</t>
  </si>
  <si>
    <t>001954:天山公廟（覚乗寺高台院霊屋）</t>
  </si>
  <si>
    <t>登米町寺池上町35-1</t>
  </si>
  <si>
    <t>0710062</t>
  </si>
  <si>
    <t>002454:旧石越民俗資料館</t>
  </si>
  <si>
    <t>0790147</t>
  </si>
  <si>
    <t>直売施設</t>
  </si>
  <si>
    <t>001931:木工品販売施設（野菜販売施設・情報センター）</t>
  </si>
  <si>
    <t>2003/10/16</t>
  </si>
  <si>
    <t>津山町横山字細屋17-1-他1筆</t>
  </si>
  <si>
    <t>0710039</t>
  </si>
  <si>
    <t>AsyzAP観光物産施設 PPP元キー:00000002-0000001668-1</t>
  </si>
  <si>
    <t>新ゲームハウス</t>
  </si>
  <si>
    <t>AsyzAP PPP元キー:00000002-0000001475-1</t>
  </si>
  <si>
    <t>伝統芸能伝承館</t>
  </si>
  <si>
    <t>001951:伝統芸能伝承館</t>
  </si>
  <si>
    <t>1995/10/19</t>
  </si>
  <si>
    <t>登米町寺池上町42</t>
  </si>
  <si>
    <t>0710059</t>
  </si>
  <si>
    <t>AsyzAPその他の施設 PPP元キー:00000002-0000001692-1</t>
  </si>
  <si>
    <t>001749:教育資料館</t>
  </si>
  <si>
    <t>0390003</t>
  </si>
  <si>
    <t>寿庵文庫</t>
  </si>
  <si>
    <t>001755:寿庵文庫</t>
  </si>
  <si>
    <t>東和町米川字東綱木32-1-地内</t>
  </si>
  <si>
    <t>0390009</t>
  </si>
  <si>
    <t>不老仙館</t>
  </si>
  <si>
    <t>001750:不老仙館</t>
  </si>
  <si>
    <t>東和町米谷字ぜん荷65</t>
  </si>
  <si>
    <t>2018/12/28</t>
  </si>
  <si>
    <t>0390004</t>
  </si>
  <si>
    <t>本館</t>
  </si>
  <si>
    <t>001949:平筒沼農村文化自然学習館</t>
  </si>
  <si>
    <t>2004/07/01</t>
  </si>
  <si>
    <t>豊里町久寿田64-2</t>
  </si>
  <si>
    <t>0710057</t>
  </si>
  <si>
    <t>AsyzAPその他の施設 PPP元キー:00000002-0000001686-1</t>
  </si>
  <si>
    <t>001857:南方産地形成促進施設</t>
  </si>
  <si>
    <t>2005/02/18</t>
  </si>
  <si>
    <t>2018/03/13</t>
  </si>
  <si>
    <t>南方町新高石浦150-1</t>
  </si>
  <si>
    <t>0680002</t>
  </si>
  <si>
    <t>AsyzAP産地形成促進施設 PPP元キー:00000002-0000001589-1</t>
  </si>
  <si>
    <t>郷土文化保存伝習館</t>
  </si>
  <si>
    <t>001929:郷土文化保存伝習館</t>
  </si>
  <si>
    <t>0710037</t>
  </si>
  <si>
    <t>地域活性化施設</t>
  </si>
  <si>
    <t>001858:道の駅三滝堂産地形成促進施設</t>
  </si>
  <si>
    <t>東和町米谷字福平191-1</t>
  </si>
  <si>
    <t>0680003</t>
  </si>
  <si>
    <t>AsyzAP観光物産施設 PPP元キー:00000002-0000001596-1</t>
  </si>
  <si>
    <t>001859:登米物産館</t>
  </si>
  <si>
    <t>2009/01/30</t>
  </si>
  <si>
    <t>仙台市青葉区堤町一丁目5-26</t>
  </si>
  <si>
    <t>0690001</t>
  </si>
  <si>
    <t>AsyzAP観光物産施設 PPP元キー:00000002-0000001597-1</t>
  </si>
  <si>
    <t>小学校</t>
  </si>
  <si>
    <t>1971/08/31</t>
  </si>
  <si>
    <t>11:校舎・園舎</t>
  </si>
  <si>
    <t>1973/03/31</t>
  </si>
  <si>
    <t>01_01_05:（１）土地及び建物　行政財産　公共用財産　小学校</t>
  </si>
  <si>
    <t>1972/03/31</t>
  </si>
  <si>
    <t>園舎</t>
  </si>
  <si>
    <t>2018/02/08</t>
  </si>
  <si>
    <t>AsyzAP校舎</t>
  </si>
  <si>
    <t>AsyzAP校舎 PPP元キー:00000002-0000000618-1</t>
  </si>
  <si>
    <t>福祉センター：トイレ・ホール外壁等（建築改修）</t>
  </si>
  <si>
    <t>001706:登米市児童発達支援センターこじか園</t>
  </si>
  <si>
    <t>1030100000:生活福祉課</t>
  </si>
  <si>
    <t>2017/11/13</t>
  </si>
  <si>
    <t>AsyzAPトイレ・ホール外壁等</t>
  </si>
  <si>
    <t>中田町上沼字大柳117-2</t>
  </si>
  <si>
    <t>0290001</t>
  </si>
  <si>
    <t>AsyzAPトイレ・ホール外壁等 PPP元キー:00000002-0000001314-1</t>
  </si>
  <si>
    <t>2013/02/28</t>
  </si>
  <si>
    <t>AsyzAP校舎 PPP元キー:00000002-0000000373-1</t>
  </si>
  <si>
    <t>福祉センター（改修）</t>
  </si>
  <si>
    <t>2019/06/24</t>
  </si>
  <si>
    <t>AsyzAP障害児童福祉施設</t>
  </si>
  <si>
    <t>AsyzAP障害児童福祉施設 PPP元キー:00000002-0000001315-1</t>
  </si>
  <si>
    <t>AsyzAP校舎 PPP元キー:00000002-0000000427-1</t>
  </si>
  <si>
    <t>分校校舎</t>
  </si>
  <si>
    <t>002530:旧南沢分校校舎</t>
  </si>
  <si>
    <t>1965/12/28</t>
  </si>
  <si>
    <t>津山町横山字寺倉14-2</t>
  </si>
  <si>
    <t>0800050</t>
  </si>
  <si>
    <t>AsyzAP園舎</t>
  </si>
  <si>
    <t>01_01_04:（１）土地及び建物　行政財産　公共用財産　幼稚園</t>
  </si>
  <si>
    <t>AsyzAP園舎 PPP元キー:00000002-0000000345-1</t>
  </si>
  <si>
    <t>AsyzAP園舎 PPP元キー:00000002-0000000342-1</t>
  </si>
  <si>
    <t>001346:石越幼稚園</t>
  </si>
  <si>
    <t>1995/12/28</t>
  </si>
  <si>
    <t>0140010</t>
  </si>
  <si>
    <t>AsyzAP園舎 PPP元キー:00000002-0000000358-1</t>
  </si>
  <si>
    <t>AsyzAP園舎 PPP元キー:00000002-0000000359-1</t>
  </si>
  <si>
    <t>2005/02/28</t>
  </si>
  <si>
    <t>AsyzAP園舎 PPP元キー:00000002-0000000360-1</t>
  </si>
  <si>
    <t>1988/03/31</t>
  </si>
  <si>
    <t>AsyzAP校舎 PPP元キー:00000002-0000000421-1</t>
  </si>
  <si>
    <t>AsyzAP校舎 PPP元キー:00000002-0000000428-1</t>
  </si>
  <si>
    <t>1992/03/20</t>
  </si>
  <si>
    <t>AsyzAP園舎 PPP元キー:00000002-0000000361-1</t>
  </si>
  <si>
    <t>簡易ハウス教室</t>
  </si>
  <si>
    <t>2019/03/19</t>
  </si>
  <si>
    <t>1:鉄骨鉄筋コンクリート</t>
  </si>
  <si>
    <t>AsyzAP PPP元キー:00000002-0000000412-1</t>
  </si>
  <si>
    <t>AsyzAP校舎 PPP元キー:00000002-0000000432-1</t>
  </si>
  <si>
    <t>002275:旧つやま幼稚園</t>
  </si>
  <si>
    <t>2005/01/31</t>
  </si>
  <si>
    <t>津山町柳津字形沼9-2</t>
  </si>
  <si>
    <t>0760249</t>
  </si>
  <si>
    <t>AsyzAP園舎 PPP元キー:00000002-0000001757-1</t>
  </si>
  <si>
    <t>1991/03/31</t>
  </si>
  <si>
    <t>AsyzAP校舎 PPP元キー:00000002-0000000405-1</t>
  </si>
  <si>
    <t>園舎（増築分）</t>
  </si>
  <si>
    <t>2020/03/09</t>
  </si>
  <si>
    <t>AsyzAP PPP元キー:00000002-0000001758-1</t>
  </si>
  <si>
    <t>1979/11/30</t>
  </si>
  <si>
    <t>AsyzAP校舎 PPP元キー:00000002-0000000434-1</t>
  </si>
  <si>
    <t>1985/01/31</t>
  </si>
  <si>
    <t>002358:旧新田第二幼稚園</t>
  </si>
  <si>
    <t>1984/02/20</t>
  </si>
  <si>
    <t>迫町新田字対馬51-47</t>
  </si>
  <si>
    <t>0790051</t>
  </si>
  <si>
    <t>1989/02/28</t>
  </si>
  <si>
    <t>AsyzAP校舎 PPP元キー:00000002-0000000443-1</t>
  </si>
  <si>
    <t>1994/07/31</t>
  </si>
  <si>
    <t>AsyzAP園舎 PPP元キー:00000002-0000001761-1</t>
  </si>
  <si>
    <t>1990/04/20</t>
  </si>
  <si>
    <t>AsyzAP校舎 PPP元キー:00000002-0000001763-1</t>
  </si>
  <si>
    <t>AsyzAP校舎 PPP元キー:00000002-0000001771-1</t>
  </si>
  <si>
    <t>AsyzAP校舎 PPP元キー:00000002-0000001777-1</t>
  </si>
  <si>
    <t>AsyzAP校舎 PPP元キー:00000002-0000000446-1</t>
  </si>
  <si>
    <t>AsyzAP校舎 PPP元キー:00000002-0000000390-1</t>
  </si>
  <si>
    <t>AsyzAP園舎 PPP元キー:00000002-0000000339-1</t>
  </si>
  <si>
    <t>AsyzAP園舎 PPP元キー:00000002-0000000338-1</t>
  </si>
  <si>
    <t>1981/03/31</t>
  </si>
  <si>
    <t>AsyzAP校舎 PPP元キー:00000002-0000001797-1</t>
  </si>
  <si>
    <t>1966/03/20</t>
  </si>
  <si>
    <t>2017/12/28</t>
  </si>
  <si>
    <t>特別支援学級改装工事</t>
  </si>
  <si>
    <t>2020/06/24</t>
  </si>
  <si>
    <t>AsyzAP PPP元キー:00000002-0000000448-1</t>
  </si>
  <si>
    <t>1979/12/28</t>
  </si>
  <si>
    <t>AsyzAP校舎 PPP元キー:00000002-0000000449-1</t>
  </si>
  <si>
    <t>1991/02/28</t>
  </si>
  <si>
    <t>AsyzAP校舎 PPP元キー:00000002-0000000452-1</t>
  </si>
  <si>
    <t>1963/03/31</t>
  </si>
  <si>
    <t>53</t>
  </si>
  <si>
    <t>1956/04/01</t>
  </si>
  <si>
    <t>1957/04/01</t>
  </si>
  <si>
    <t>59</t>
  </si>
  <si>
    <t>002134:旧浅部分校</t>
  </si>
  <si>
    <t>1953/04/01</t>
  </si>
  <si>
    <t>中田町浅水字窪田65</t>
  </si>
  <si>
    <t>0760105</t>
  </si>
  <si>
    <t>AsyzAP校舎 PPP元キー:00000002-0000000456-1</t>
  </si>
  <si>
    <t>002265:旧西郷幼稚園</t>
  </si>
  <si>
    <t>南方町尼池</t>
  </si>
  <si>
    <t>0790164</t>
  </si>
  <si>
    <t>AsyzAP園舎 PPP元キー:00000002-0000001830-1</t>
  </si>
  <si>
    <t>002471:旧米谷幼稚園</t>
  </si>
  <si>
    <t>2002/04/30</t>
  </si>
  <si>
    <t>東和町米谷字石橋26-1</t>
  </si>
  <si>
    <t>0790165</t>
  </si>
  <si>
    <t>AsyzAP園舎 PPP元キー:00000002-0000001831-1</t>
  </si>
  <si>
    <t>AsyzAP校舎 PPP元キー:00000002-0000000379-1</t>
  </si>
  <si>
    <t>AsyzAP校舎 PPP元キー:00000002-0000000378-1</t>
  </si>
  <si>
    <t>AsyzAPエレベーター</t>
  </si>
  <si>
    <t>AsyzAPエレベーター PPP元キー:00000002-0000000457-1</t>
  </si>
  <si>
    <t>AsyzAP園舎 PPP元キー:00000002-0000000365-1</t>
  </si>
  <si>
    <t>AsyzAP園舎 PPP元キー:00000002-0000000366-1</t>
  </si>
  <si>
    <t>AsyzAP園舎 PPP元キー:00000002-0000000329-1</t>
  </si>
  <si>
    <t>1980/12/20</t>
  </si>
  <si>
    <t>AsyzAP校舎 PPP元キー:00000002-0000000462-1</t>
  </si>
  <si>
    <t>1979/01/20</t>
  </si>
  <si>
    <t>AsyzAP校舎 PPP元キー:00000002-0000000470-1</t>
  </si>
  <si>
    <t>1987/02/28</t>
  </si>
  <si>
    <t>AsyzAP校舎 PPP元キー:00000002-0000000484-1</t>
  </si>
  <si>
    <t>校舎：庇（改修）</t>
  </si>
  <si>
    <t>2017/12/07</t>
  </si>
  <si>
    <t>AsyzAP庇</t>
  </si>
  <si>
    <t>AsyzAP庇 PPP元キー:00000002-0000000498-1</t>
  </si>
  <si>
    <t>トップライト・屋根防水工事</t>
  </si>
  <si>
    <t>2019/12/16</t>
  </si>
  <si>
    <t>AsyzAP PPP元キー:00000002-0000000413-1</t>
  </si>
  <si>
    <t>東郷小学校：スロープ</t>
  </si>
  <si>
    <t>AsyzAP PPP元キー:00000002-0000000516-1</t>
  </si>
  <si>
    <t>図書室改装工事</t>
  </si>
  <si>
    <t>2020/06/25</t>
  </si>
  <si>
    <t>AsyzAP PPP元キー:00000002-0000000519-1</t>
  </si>
  <si>
    <t>AsyzAP校舎 PPP元キー:00000002-0000000531-1</t>
  </si>
  <si>
    <t>2017/11/10</t>
  </si>
  <si>
    <t>AsyzAP校舎 PPP元キー:00000002-0000000538-1</t>
  </si>
  <si>
    <t>1995/09/30</t>
  </si>
  <si>
    <t>AsyzAP校舎 PPP元キー:00000002-0000000539-1</t>
  </si>
  <si>
    <t>AsyzAP校舎 PPP元キー:00000002-0000000547-1</t>
  </si>
  <si>
    <t>AsyzAP校舎 PPP元キー:00000002-0000000551-1</t>
  </si>
  <si>
    <t>AsyzAP校舎 PPP元キー:00000002-0000000562-1</t>
  </si>
  <si>
    <t>1976/04/30</t>
  </si>
  <si>
    <t>AsyzAP校舎 PPP元キー:00000002-0000000572-1</t>
  </si>
  <si>
    <t>2002/12/28</t>
  </si>
  <si>
    <t>AsyzAP校舎 PPP元キー:00000002-0000000583-1</t>
  </si>
  <si>
    <t>AsyzAP校舎 PPP元キー:00000002-0000000592-1</t>
  </si>
  <si>
    <t>001384:津山中学校</t>
  </si>
  <si>
    <t>1974/07/20</t>
  </si>
  <si>
    <t>津山町柳津字舘石6-1</t>
  </si>
  <si>
    <t>0160011</t>
  </si>
  <si>
    <t>校舎：手摺</t>
  </si>
  <si>
    <t>2019/01/17</t>
  </si>
  <si>
    <t>AsyzAP PPP元キー:00000002-0000000610-1</t>
  </si>
  <si>
    <t>001382:石越中学校</t>
  </si>
  <si>
    <t>2014/03/20</t>
  </si>
  <si>
    <t>石越町南郷字矢作48</t>
  </si>
  <si>
    <t>2014/04/01</t>
  </si>
  <si>
    <t>0160009</t>
  </si>
  <si>
    <t>AsyzAP校舎 PPP元キー:00000002-0000000614-1</t>
  </si>
  <si>
    <t>旧幼稚園舎</t>
  </si>
  <si>
    <t>1975/03/20</t>
  </si>
  <si>
    <t>1974/03/20</t>
  </si>
  <si>
    <t>図工室</t>
  </si>
  <si>
    <t>1997/03/20</t>
  </si>
  <si>
    <t>1971/03/20</t>
  </si>
  <si>
    <t>1976/12/20</t>
  </si>
  <si>
    <t>AsyzAP校舎 PPP元キー:00000002-0000000617-1</t>
  </si>
  <si>
    <t>AsyzAP配膳室</t>
  </si>
  <si>
    <t>13:給食室</t>
  </si>
  <si>
    <t>AsyzAP配膳室 PPP元キー:00000002-0000000480-1</t>
  </si>
  <si>
    <t>AsyzAP配膳室 PPP元キー:00000002-0000000352-1</t>
  </si>
  <si>
    <t>001787:登米市中田B＆G海洋センター</t>
  </si>
  <si>
    <t>1978/11/01</t>
  </si>
  <si>
    <t>AsyzAP体育館</t>
  </si>
  <si>
    <t>中田町宝江黒沼字浦38-5</t>
  </si>
  <si>
    <t>0440017</t>
  </si>
  <si>
    <t>AsyzAP体育館 PPP元キー:00000002-0000001461-1</t>
  </si>
  <si>
    <t>武道館</t>
  </si>
  <si>
    <t>1980/11/30</t>
  </si>
  <si>
    <t>プール</t>
  </si>
  <si>
    <t>001770:登米市民プール</t>
  </si>
  <si>
    <t>AsyzAPプール</t>
  </si>
  <si>
    <t>迫町佐沼字江合一丁目6-1</t>
  </si>
  <si>
    <t>0430001</t>
  </si>
  <si>
    <t>AsyzAPプール PPP元キー:00000002-0000001440-1</t>
  </si>
  <si>
    <t>ゲートボール場</t>
  </si>
  <si>
    <t>001843:豊里鴇波コミュニティセンター</t>
  </si>
  <si>
    <t>2005/01/28</t>
  </si>
  <si>
    <t>豊里町白鳥山72</t>
  </si>
  <si>
    <t>0710025</t>
  </si>
  <si>
    <t>AsyzAPその他体育施設 PPP元キー:00000002-0000001653-1</t>
  </si>
  <si>
    <t>001765:登米市南方体育センター</t>
  </si>
  <si>
    <t>0400008</t>
  </si>
  <si>
    <t>0710063</t>
  </si>
  <si>
    <t>AsyzAP体育館 PPP元キー:00000002-0000001695-1</t>
  </si>
  <si>
    <t>卓球場</t>
  </si>
  <si>
    <t>1970/10/20</t>
  </si>
  <si>
    <t>001777:登米市南方武道伝承館</t>
  </si>
  <si>
    <t>AsyzAP武道館</t>
  </si>
  <si>
    <t>南方町西山成前16-1</t>
  </si>
  <si>
    <t>0440007</t>
  </si>
  <si>
    <t>AsyzAP武道館 PPP元キー:00000002-0000001446-1</t>
  </si>
  <si>
    <t>三方弁改修</t>
  </si>
  <si>
    <t>AsyzAP PPP元キー:00000002-0000001443-1</t>
  </si>
  <si>
    <t>天窓改修</t>
  </si>
  <si>
    <t>AsyzAP PPP元キー:00000002-0000001442-1</t>
  </si>
  <si>
    <t>1995/02/28</t>
  </si>
  <si>
    <t>AsyzAP体育館 PPP元キー:00000002-0000000453-1</t>
  </si>
  <si>
    <t>1983/02/28</t>
  </si>
  <si>
    <t>AsyzAP体育館 PPP元キー:00000002-0000000416-1</t>
  </si>
  <si>
    <t>1978/01/20</t>
  </si>
  <si>
    <t>001764:登米市石越体育センター</t>
  </si>
  <si>
    <t>0400007</t>
  </si>
  <si>
    <t>AsyzAP体育館 PPP元キー:00000002-0000001428-1</t>
  </si>
  <si>
    <t>001761:登米市中田体育センター</t>
  </si>
  <si>
    <t>中田町宝江黒沼字新西野136-2</t>
  </si>
  <si>
    <t>0400004</t>
  </si>
  <si>
    <t>AsyzAP体育館 PPP元キー:00000002-0000000429-1</t>
  </si>
  <si>
    <t>1994/03/31</t>
  </si>
  <si>
    <t>AsyzAP体育館 PPP元キー:00000002-0000001420-1</t>
  </si>
  <si>
    <t>1973/11/20</t>
  </si>
  <si>
    <t>体育館（屋根）（改修）</t>
  </si>
  <si>
    <t>001766:登米市津山若者総合体育館</t>
  </si>
  <si>
    <t>2017/05/02</t>
  </si>
  <si>
    <t>0400009</t>
  </si>
  <si>
    <t>AsyzAP PPP元キー:00000002-0000001433-1</t>
  </si>
  <si>
    <t>2001/05/31</t>
  </si>
  <si>
    <t>AsyzAP体育館 PPP元キー:00000002-0000000411-1</t>
  </si>
  <si>
    <t>001811:石森ふれあいセンター</t>
  </si>
  <si>
    <t>中田町石森字茶畑7</t>
  </si>
  <si>
    <t>0490011</t>
  </si>
  <si>
    <t>AsyzAP体育館 PPP元キー:00000002-0000001497-1</t>
  </si>
  <si>
    <t>001763:登米市米山体育館</t>
  </si>
  <si>
    <t>0400006</t>
  </si>
  <si>
    <t>AsyzAP体育館 PPP元キー:00000002-0000001426-1</t>
  </si>
  <si>
    <t>1984/09/30</t>
  </si>
  <si>
    <t>AsyzAP体育館 PPP元キー:00000002-0000001432-1</t>
  </si>
  <si>
    <t>1983/04/20</t>
  </si>
  <si>
    <t>1988/12/20</t>
  </si>
  <si>
    <t>2018/11/12</t>
  </si>
  <si>
    <t>AsyzAP武道館 PPP元キー:00000002-0000000605-1</t>
  </si>
  <si>
    <t>1974/10/31</t>
  </si>
  <si>
    <t>1984/02/28</t>
  </si>
  <si>
    <t>AsyzAP体育館 PPP元キー:00000002-0000000550-1</t>
  </si>
  <si>
    <t>1984/02/05</t>
  </si>
  <si>
    <t>AsyzAP体育館 PPP元キー:00000002-0000001510-1</t>
  </si>
  <si>
    <t>AsyzAP体育館 PPP元キー:00000002-0000000615-1</t>
  </si>
  <si>
    <t>1979/02/20</t>
  </si>
  <si>
    <t>AsyzAP体育館 PPP元キー:00000002-0000001430-1</t>
  </si>
  <si>
    <t>体育館：屋根・手摺等（改修）</t>
  </si>
  <si>
    <t>001758:登米市迫体育館</t>
  </si>
  <si>
    <t>2017/11/29</t>
  </si>
  <si>
    <t>AsyzAP屋根・手摺等</t>
  </si>
  <si>
    <t>0400001</t>
  </si>
  <si>
    <t>AsyzAP屋根・手摺等 PPP元キー:00000002-0000001414-1</t>
  </si>
  <si>
    <t>AsyzAP体育館 PPP元キー:00000002-0000001429-1</t>
  </si>
  <si>
    <t>AsyzAP体育館 PPP元キー:00000002-0000001415-1</t>
  </si>
  <si>
    <t>AsyzAP体育館 PPP元キー:00000002-0000000374-1</t>
  </si>
  <si>
    <t>1967/01/20</t>
  </si>
  <si>
    <t>1992/11/30</t>
  </si>
  <si>
    <t>AsyzAP体育館 PPP元キー:00000002-0000000396-1</t>
  </si>
  <si>
    <t>1968/01/20</t>
  </si>
  <si>
    <t>1988/09/30</t>
  </si>
  <si>
    <t>AsyzAP体育館 PPP元キー:00000002-0000000564-1</t>
  </si>
  <si>
    <t>AsyzAP体育館 PPP元キー:00000002-0000000380-1</t>
  </si>
  <si>
    <t>2003/02/28</t>
  </si>
  <si>
    <t>AsyzAP体育館 PPP元キー:00000002-0000000485-1</t>
  </si>
  <si>
    <t>1990/02/28</t>
  </si>
  <si>
    <t>AsyzAP体育館 PPP元キー:00000002-0000000445-1</t>
  </si>
  <si>
    <t>登米小学校屋内運動場屋根改修工事</t>
  </si>
  <si>
    <t>2021/03/16</t>
  </si>
  <si>
    <t>AsyzAP PPP元キー:00000002-0000000394-1</t>
  </si>
  <si>
    <t>AsyzAP体育館 PPP元キー:00000002-0000001764-1</t>
  </si>
  <si>
    <t>AsyzAP体育館 PPP元キー:00000002-0000000565-1</t>
  </si>
  <si>
    <t>AsyzAP体育館 PPP元キー:00000002-0000000391-1</t>
  </si>
  <si>
    <t>AsyzAP体育館 PPP元キー:00000002-0000001772-1</t>
  </si>
  <si>
    <t>1984/12/28</t>
  </si>
  <si>
    <t>2001/11/30</t>
  </si>
  <si>
    <t>AsyzAP体育館 PPP元キー:00000002-0000001779-1</t>
  </si>
  <si>
    <t>1967/02/20</t>
  </si>
  <si>
    <t>1993/04/20</t>
  </si>
  <si>
    <t>AsyzAP体育館 PPP元キー:00000002-0000001782-1</t>
  </si>
  <si>
    <t>1968/11/20</t>
  </si>
  <si>
    <t>1974/02/20</t>
  </si>
  <si>
    <t>体育館：屋根・外壁（改修）</t>
  </si>
  <si>
    <t>2017/10/06</t>
  </si>
  <si>
    <t>AsyzAP屋根・外壁</t>
  </si>
  <si>
    <t>AsyzAP屋根・外壁 PPP元キー:00000002-0000001427-1</t>
  </si>
  <si>
    <t>001776:登米市登米武道館</t>
  </si>
  <si>
    <t>1996/03/25</t>
  </si>
  <si>
    <t>0440006</t>
  </si>
  <si>
    <t>001775:登米市迫武道館</t>
  </si>
  <si>
    <t>1986/03/31</t>
  </si>
  <si>
    <t>迫町佐沼字八幡一丁目3-2</t>
  </si>
  <si>
    <t>0440005</t>
  </si>
  <si>
    <t>001762:登米市吉田体育館</t>
  </si>
  <si>
    <t>米山町字桜岡上待井276</t>
  </si>
  <si>
    <t>0400005</t>
  </si>
  <si>
    <t>1965/03/31</t>
  </si>
  <si>
    <t>1965/04/01</t>
  </si>
  <si>
    <t>51</t>
  </si>
  <si>
    <t>AsyzAP体育館 PPP元キー:00000002-0000000422-1</t>
  </si>
  <si>
    <t>1989/01/31</t>
  </si>
  <si>
    <t>AsyzAP体育館 PPP元キー:00000002-0000000532-1</t>
  </si>
  <si>
    <t>AsyzAP体育館 PPP元キー:00000002-0000000458-1</t>
  </si>
  <si>
    <t>AsyzAP体育館 PPP元キー:00000002-0000000593-1</t>
  </si>
  <si>
    <t>AsyzAP体育館 PPP元キー:00000002-0000001463-1</t>
  </si>
  <si>
    <t>農村環境改善センター</t>
  </si>
  <si>
    <t>001853:南方農村環境改善センター</t>
  </si>
  <si>
    <t>AsyzAP農村環境改善センター</t>
  </si>
  <si>
    <t>17:集会所・会議室</t>
  </si>
  <si>
    <t>0660002</t>
  </si>
  <si>
    <t>AsyzAP農村環境改善センター PPP元キー:00000002-0000001576-1</t>
  </si>
  <si>
    <t>研修所</t>
  </si>
  <si>
    <t>AsyzAP集会施設</t>
  </si>
  <si>
    <t>AsyzAP集会施設 PPP元キー:00000002-0000001571-1</t>
  </si>
  <si>
    <t>集会施設</t>
  </si>
  <si>
    <t>1992/07/17</t>
  </si>
  <si>
    <t>0600002</t>
  </si>
  <si>
    <t>AsyzAP集会施設 PPP元キー:00000002-0000001563-1</t>
  </si>
  <si>
    <t>舞台音響（改修）</t>
  </si>
  <si>
    <t>2019/03/28</t>
  </si>
  <si>
    <t>AsyzAP PPP元キー:00000002-0000001522-1</t>
  </si>
  <si>
    <t>ホール</t>
  </si>
  <si>
    <t>AsyzAP集会施設 PPP元キー:00000002-0000001517-1</t>
  </si>
  <si>
    <t>AsyzAP集会施設 PPP元キー:00000002-0000001509-1</t>
  </si>
  <si>
    <t>001814:浅水ふれあいセンター</t>
  </si>
  <si>
    <t>中田町浅水字荒神堂150</t>
  </si>
  <si>
    <t>0490014</t>
  </si>
  <si>
    <t>AsyzAP集会施設 PPP元キー:00000002-0000001504-1</t>
  </si>
  <si>
    <t>001813:上沼ふれあいセンター</t>
  </si>
  <si>
    <t>中田町上沼字弥勒寺大下90-1</t>
  </si>
  <si>
    <t>0490013</t>
  </si>
  <si>
    <t>AsyzAP集会施設 PPP元キー:00000002-0000001502-1</t>
  </si>
  <si>
    <t>事務室改修工事</t>
  </si>
  <si>
    <t>001812:宝江ふれあいセンター</t>
  </si>
  <si>
    <t>2020/03/25</t>
  </si>
  <si>
    <t>0490012</t>
  </si>
  <si>
    <t>AsyzAP集会施設 PPP元キー:00000002-0000001501-1</t>
  </si>
  <si>
    <t>2004/12/28</t>
  </si>
  <si>
    <t>AsyzAP集会施設 PPP元キー:00000002-0000001500-1</t>
  </si>
  <si>
    <t>2004/10/28</t>
  </si>
  <si>
    <t>AsyzAP集会施設 PPP元キー:00000002-0000001496-1</t>
  </si>
  <si>
    <t>1988/11/30</t>
  </si>
  <si>
    <t>コミュニティーセンター</t>
  </si>
  <si>
    <t>001842:登米高齢者コミュニティセンター</t>
  </si>
  <si>
    <t>登米町大字日根牛小池前68</t>
  </si>
  <si>
    <t>0600001</t>
  </si>
  <si>
    <t>001817:吉田多目的集会施設</t>
  </si>
  <si>
    <t>1995/11/08</t>
  </si>
  <si>
    <t>米山町字桜岡今泉68</t>
  </si>
  <si>
    <t>0490017</t>
  </si>
  <si>
    <t>コミュニティセンター</t>
  </si>
  <si>
    <t>001815:登米市善王寺コミュニティセンター</t>
  </si>
  <si>
    <t>1995/08/31</t>
  </si>
  <si>
    <t>米山町字善王寺新沼田15</t>
  </si>
  <si>
    <t>0490015</t>
  </si>
  <si>
    <t>公民館</t>
  </si>
  <si>
    <t>001376:宅地</t>
  </si>
  <si>
    <t>1969/03/28</t>
  </si>
  <si>
    <t>迫町佐沼字光ケ丘4</t>
  </si>
  <si>
    <t>0760042</t>
  </si>
  <si>
    <t>旧壱番館</t>
  </si>
  <si>
    <t>002106:旧壱番館</t>
  </si>
  <si>
    <t>1987/09/30</t>
  </si>
  <si>
    <t>登米町寺池中町1</t>
  </si>
  <si>
    <t>0760077</t>
  </si>
  <si>
    <t>集会場</t>
  </si>
  <si>
    <t>AsyzAP集会施設 PPP元キー:00000002-0000000997-1</t>
  </si>
  <si>
    <t>AsyzAP老人憩いの家 PPP元キー:00000002-0000001642-1</t>
  </si>
  <si>
    <t>AsyzAP集会施設 PPP元キー:00000002-0000001001-1</t>
  </si>
  <si>
    <t>集会所</t>
  </si>
  <si>
    <t>002486:東和相川部落集会所</t>
  </si>
  <si>
    <t>1930/04/01</t>
  </si>
  <si>
    <t>東和町米谷字相川42-3</t>
  </si>
  <si>
    <t>1931/04/01</t>
  </si>
  <si>
    <t>85</t>
  </si>
  <si>
    <t>0800006</t>
  </si>
  <si>
    <t>AsyzAP集会施設 PPP元キー:00000002-0000001009-1</t>
  </si>
  <si>
    <t>長沼ボート場クラブハウス</t>
  </si>
  <si>
    <t>001968:長沼ボート場クラブハウス建設用地</t>
  </si>
  <si>
    <t>2018/08/23</t>
  </si>
  <si>
    <t>迫町北方字天形</t>
  </si>
  <si>
    <t>0710077</t>
  </si>
  <si>
    <t>AsyzAP PPP元キー:00000002-0000001706-1</t>
  </si>
  <si>
    <t>集会施設：屋根（修繕）</t>
  </si>
  <si>
    <t>2018/02/01</t>
  </si>
  <si>
    <t>AsyzAP屋根 PPP元キー:00000002-0000001685-1</t>
  </si>
  <si>
    <t>つづら淵地区多目的センター</t>
  </si>
  <si>
    <t>AsyzAP集会施設 PPP元キー:00000002-0000001645-1</t>
  </si>
  <si>
    <t>1952/04/01</t>
  </si>
  <si>
    <t>63</t>
  </si>
  <si>
    <t>001844:東和楼台コミュニティセンター</t>
  </si>
  <si>
    <t>AsyzAPコミュニティセンター</t>
  </si>
  <si>
    <t>東和町米谷字宮ノ前413</t>
  </si>
  <si>
    <t>0710003</t>
  </si>
  <si>
    <t>AsyzAPコミュニティセンター PPP元キー:00000002-0000001636-1</t>
  </si>
  <si>
    <t>1953/05/30</t>
  </si>
  <si>
    <t>迫町佐沼字上舟丁33-2</t>
  </si>
  <si>
    <t>0760044</t>
  </si>
  <si>
    <t>001790:米山農村環境改善センター</t>
  </si>
  <si>
    <t>1978/03/30</t>
  </si>
  <si>
    <t>米山町西野字的場181-の内</t>
  </si>
  <si>
    <t>0660003</t>
  </si>
  <si>
    <t>AsyzAP農村環境改善センター PPP元キー:00000002-0000001577-1</t>
  </si>
  <si>
    <t>001852:中田農村環境改善センター</t>
  </si>
  <si>
    <t>1985/06/30</t>
  </si>
  <si>
    <t>0660001</t>
  </si>
  <si>
    <t>AsyzAP農村環境改善センター PPP元キー:00000002-0000001575-1</t>
  </si>
  <si>
    <t>保健センター</t>
  </si>
  <si>
    <t>001794:米山総合保健福祉センター</t>
  </si>
  <si>
    <t>1994/08/31</t>
  </si>
  <si>
    <t>AsyzAP保健センター</t>
  </si>
  <si>
    <t>米山町西野字古舘廻8</t>
  </si>
  <si>
    <t>0470002</t>
  </si>
  <si>
    <t>AsyzAP保健センター PPP元キー:00000002-0000001480-1</t>
  </si>
  <si>
    <t>AsyzAP管理事務所 PPP元キー:00000002-0000001834-1</t>
  </si>
  <si>
    <t>野鳥観察館</t>
  </si>
  <si>
    <t>001904:野鳥観察館</t>
  </si>
  <si>
    <t>1020200000:環境課</t>
  </si>
  <si>
    <t>1984/02/10</t>
  </si>
  <si>
    <t>迫町新田字前沼149-35</t>
  </si>
  <si>
    <t>0710010</t>
  </si>
  <si>
    <t>AsyzAPその他の施設 PPP元キー:00000002-0000001641-1</t>
  </si>
  <si>
    <t>野球場</t>
  </si>
  <si>
    <t>001769:登米市吉田運動場</t>
  </si>
  <si>
    <t>0420003</t>
  </si>
  <si>
    <t>AsyzAP野球場 PPP元キー:00000002-0000001438-1</t>
  </si>
  <si>
    <t>一般事務所</t>
  </si>
  <si>
    <t>AsyzAP消防本部・署 PPP元キー:00000002-0000000023-1</t>
  </si>
  <si>
    <t>001789:南方定住促進センター</t>
  </si>
  <si>
    <t>0440019</t>
  </si>
  <si>
    <t>AsyzAP管理事務所 PPP元キー:00000002-0000001466-1</t>
  </si>
  <si>
    <t>AsyzAP野球場 PPP元キー:00000002-0000001436-1</t>
  </si>
  <si>
    <t>AsyzAP管理事務所 PPP元キー:00000002-0000001542-1</t>
  </si>
  <si>
    <t>AsyzAP野球場 PPP元キー:00000002-0000001435-1</t>
  </si>
  <si>
    <t>AsyzAP管理事務所 PPP元キー:00000002-0000001550-1</t>
  </si>
  <si>
    <t>分遺所</t>
  </si>
  <si>
    <t>002091:建物（旧迫消防署新田分遺所）</t>
  </si>
  <si>
    <t>1974/12/01</t>
  </si>
  <si>
    <t>迫町新田字小友65-6-の内</t>
  </si>
  <si>
    <t>0760062</t>
  </si>
  <si>
    <t>視聴覚センター</t>
  </si>
  <si>
    <t>001821:視聴覚センター庁舎</t>
  </si>
  <si>
    <t>AsyzAP視聴覚センター</t>
  </si>
  <si>
    <t>迫町佐沼字袋向150-1</t>
  </si>
  <si>
    <t>0510002</t>
  </si>
  <si>
    <t>AsyzAP視聴覚センター PPP元キー:00000002-0000001526-1</t>
  </si>
  <si>
    <t>消防出張所庁舎</t>
  </si>
  <si>
    <t>AsyzAP消防本部・署 PPP元キー:00000002-0000000027-1</t>
  </si>
  <si>
    <t>001007:登米市消防署西出張所</t>
  </si>
  <si>
    <t>2012/03/13</t>
  </si>
  <si>
    <t>2012/04/01</t>
  </si>
  <si>
    <t>0020003</t>
  </si>
  <si>
    <t>AsyzAP消防本部・署 PPP元キー:00000002-0000000029-1</t>
  </si>
  <si>
    <t>001866:米山農村総合管理施設</t>
  </si>
  <si>
    <t>1997/01/25</t>
  </si>
  <si>
    <t>米山町西野字新遠田74</t>
  </si>
  <si>
    <t>0700003</t>
  </si>
  <si>
    <t>001868:愛菜館野菜集荷施設</t>
  </si>
  <si>
    <t>2010/09/03</t>
  </si>
  <si>
    <t>中田町石森字本町95-1</t>
  </si>
  <si>
    <t>2011/04/01</t>
  </si>
  <si>
    <t>0700005</t>
  </si>
  <si>
    <t>AsyzAP農業関連施設 PPP元キー:00000002-0000001612-1</t>
  </si>
  <si>
    <t>001008:登米市消防署南出張所</t>
  </si>
  <si>
    <t>2014/03/31</t>
  </si>
  <si>
    <t>豊里町十丁田1-3</t>
  </si>
  <si>
    <t>0020004</t>
  </si>
  <si>
    <t>AsyzAP消防本部・署 PPP元キー:00000002-0000000030-1</t>
  </si>
  <si>
    <t>001009:登米市消防署北出張所</t>
  </si>
  <si>
    <t>2006/10/23</t>
  </si>
  <si>
    <t>0020005</t>
  </si>
  <si>
    <t>AsyzAP消防本部・署 PPP元キー:00000002-0000000031-1</t>
  </si>
  <si>
    <t>福祉センター</t>
  </si>
  <si>
    <t>001716:石越福祉センター</t>
  </si>
  <si>
    <t>AsyzAP福祉センター</t>
  </si>
  <si>
    <t>石越町南郷字新石沢前47-3</t>
  </si>
  <si>
    <t>0340007</t>
  </si>
  <si>
    <t>AsyzAP福祉センター PPP元キー:00000002-0000001334-1</t>
  </si>
  <si>
    <t>事務所</t>
  </si>
  <si>
    <t>002193:桜岡商工振興会事務所</t>
  </si>
  <si>
    <t>米山町字桜岡大又1-4-の内</t>
  </si>
  <si>
    <t>0760164</t>
  </si>
  <si>
    <t>AsyzAP福祉センター PPP元キー:00000002-0000001332-1</t>
  </si>
  <si>
    <t>老人福祉センター</t>
  </si>
  <si>
    <t>老人福祉センター　旧台帳番号：404-19-2　</t>
  </si>
  <si>
    <t>001714:津山老人福祉センター</t>
  </si>
  <si>
    <t>AsyzAP老人福祉センター</t>
  </si>
  <si>
    <t>津山町柳津字黄牛田高畑36-5</t>
  </si>
  <si>
    <t>0340005</t>
  </si>
  <si>
    <t>AsyzAP老人福祉センター PPP元キー:00000002-0000001331-1</t>
  </si>
  <si>
    <t>1983/03/25</t>
  </si>
  <si>
    <t>AsyzAP老人福祉センター PPP元キー:00000002-0000001327-1</t>
  </si>
  <si>
    <t>2010/03/25</t>
  </si>
  <si>
    <t>AsyzAP消防本部・署 PPP元キー:00000002-0000000032-1</t>
  </si>
  <si>
    <t>AsyzAP管理事務所 PPP元キー:00000002-0000001536-1</t>
  </si>
  <si>
    <t>老人デイサービスセンター</t>
  </si>
  <si>
    <t>001718:迫老人デイサービスセンター</t>
  </si>
  <si>
    <t>AsyzAPその他（普通財産）　旧台帳番号：404-23-2　旧面積：577.17</t>
  </si>
  <si>
    <t>迫町新田字小友65-6</t>
  </si>
  <si>
    <t>0760231</t>
  </si>
  <si>
    <t>AsyzAPその他（普通財産）　旧台帳番号：404-23-2　旧面積：577.17 PPP元キー:00000002-0000001750-1</t>
  </si>
  <si>
    <t>サイクルセンター</t>
  </si>
  <si>
    <t>002242:旧登米市サイクルセンター</t>
  </si>
  <si>
    <t>中田町浅水字荒神堂139-1</t>
  </si>
  <si>
    <t>0760213</t>
  </si>
  <si>
    <t>AsyzAPその他の施設 PPP元キー:00000002-0000001745-1</t>
  </si>
  <si>
    <t>001711:登米老人福祉センター</t>
  </si>
  <si>
    <t>登米町寺池金谷12-1</t>
  </si>
  <si>
    <t>0340002</t>
  </si>
  <si>
    <t>AsyzAP老人福祉センター PPP元キー:00000002-0000001326-1</t>
  </si>
  <si>
    <t>AsyzAPコミュニティセンター PPP元キー:00000002-0000001506-1</t>
  </si>
  <si>
    <t>002186:貸付地</t>
  </si>
  <si>
    <t>AsyzAP普通財産（貸付建物）</t>
  </si>
  <si>
    <t>登米町寺池金沢山60-3</t>
  </si>
  <si>
    <t>0760076</t>
  </si>
  <si>
    <t>AsyzAP普通財産（貸付建物） PPP元キー:00000002-0000001720-1</t>
  </si>
  <si>
    <t>1990/02/23</t>
  </si>
  <si>
    <t>迫町北方字鼠田72-1</t>
  </si>
  <si>
    <t>0760030</t>
  </si>
  <si>
    <t>AsyzAP普通財産（貸付建物） PPP元キー:00000002-0000001714-1</t>
  </si>
  <si>
    <t>002042:石越デイサービスセンター・グループホームほほえみ</t>
  </si>
  <si>
    <t>AsyzAPその他（普通財産）</t>
  </si>
  <si>
    <t>0760013</t>
  </si>
  <si>
    <t>AsyzAPその他（普通財産） PPP元キー:00000002-0000001713-1</t>
  </si>
  <si>
    <t>001709:東和デイサービスセンター（米川）</t>
  </si>
  <si>
    <t>AsyzAP老人デイサービスセンター</t>
  </si>
  <si>
    <t>東和町米川字六反55-1-東和総合支所敷地</t>
  </si>
  <si>
    <t>0760011</t>
  </si>
  <si>
    <t>AsyzAP老人デイサービスセンター PPP元キー:00000002-0000001711-1</t>
  </si>
  <si>
    <t>AsyzAP老人福祉センター PPP元キー:00000002-0000001325-1</t>
  </si>
  <si>
    <t>ふれあいセンター</t>
  </si>
  <si>
    <t>2001/06/29</t>
  </si>
  <si>
    <t>AsyzAPふれあいセンター</t>
  </si>
  <si>
    <t>AsyzAPふれあいセンター PPP元キー:00000002-0000001322-1</t>
  </si>
  <si>
    <t>001708:米山デイサービスセンター</t>
  </si>
  <si>
    <t>117</t>
  </si>
  <si>
    <t>0760238</t>
  </si>
  <si>
    <t>001010:登米市消防署津山出張所</t>
  </si>
  <si>
    <t>2015/06/12</t>
  </si>
  <si>
    <t>2017/10/04</t>
  </si>
  <si>
    <t>津山町柳津字谷木195-1</t>
  </si>
  <si>
    <t>0020006</t>
  </si>
  <si>
    <t>AsyzAP消防本部・署 PPP元キー:00000002-0000000033-1</t>
  </si>
  <si>
    <t>001767:登米市中田球場</t>
  </si>
  <si>
    <t>中田町宝江黒沼字畑中138-13</t>
  </si>
  <si>
    <t>0420001</t>
  </si>
  <si>
    <t>AsyzAP野球場 PPP元キー:00000002-0000001434-1</t>
  </si>
  <si>
    <t>002241:事務所【佐々木鉄工所兼鉄工場】</t>
  </si>
  <si>
    <t>1973/09/27</t>
  </si>
  <si>
    <t>津山町柳津字小麻12-1</t>
  </si>
  <si>
    <t>0760212</t>
  </si>
  <si>
    <t>1991/03/20</t>
  </si>
  <si>
    <t>AsyzAP老人福祉センター　旧面積：1046.16</t>
  </si>
  <si>
    <t>AsyzAP老人福祉センター　旧面積：1046.16 PPP元キー:00000002-0000001320-1</t>
  </si>
  <si>
    <t>AsyzAP管理事務所 PPP元キー:00000002-0000001555-1</t>
  </si>
  <si>
    <t>001778:登米市新田総合運動場</t>
  </si>
  <si>
    <t>迫町新田字対馬54-1</t>
  </si>
  <si>
    <t>0440008</t>
  </si>
  <si>
    <t>AsyzAP管理事務所 PPP元キー:00000002-0000001448-1</t>
  </si>
  <si>
    <t>001784:登米市南方中央運動広場</t>
  </si>
  <si>
    <t>2006/12/20</t>
  </si>
  <si>
    <t>0440014</t>
  </si>
  <si>
    <t>AsyzAP管理事務所 PPP元キー:00000002-0000001458-1</t>
  </si>
  <si>
    <t>AsyzAPその他体育施設 PPP元キー:00000002-0000001462-1</t>
  </si>
  <si>
    <t>AsyzAP管理事務所 PPP元キー:00000002-0000000021-1</t>
  </si>
  <si>
    <t>AsyzAP公民館</t>
  </si>
  <si>
    <t>20:公民館</t>
  </si>
  <si>
    <t>AsyzAP公民館 PPP元キー:00000002-0000001377-1</t>
  </si>
  <si>
    <t>AsyzAP公民館 PPP元キー:00000002-0000001379-1</t>
  </si>
  <si>
    <t>1972/12/25</t>
  </si>
  <si>
    <t>AsyzAP公民館 PPP元キー:00000002-0000001361-1</t>
  </si>
  <si>
    <t>1976/08/24</t>
  </si>
  <si>
    <t>AsyzAP公民館 PPP元キー:00000002-0000001359-1</t>
  </si>
  <si>
    <t>001729:登米市北方公民館</t>
  </si>
  <si>
    <t>1983/07/31</t>
  </si>
  <si>
    <t>0370002</t>
  </si>
  <si>
    <t>AsyzAP公民館 PPP元キー:00000002-0000001358-1</t>
  </si>
  <si>
    <t>AsyzAP公民館 PPP元キー:00000002-0000001356-1</t>
  </si>
  <si>
    <t>AsyzAP公民館 PPP元キー:00000002-0000001381-1</t>
  </si>
  <si>
    <t>001740:旧東和町中央公民館</t>
  </si>
  <si>
    <t>1965/08/01</t>
  </si>
  <si>
    <t>旧公民館</t>
  </si>
  <si>
    <t>東和町米川字飯土井20-1</t>
  </si>
  <si>
    <t>0370013</t>
  </si>
  <si>
    <t>1978/02/22</t>
  </si>
  <si>
    <t>AsyzAP旧公民館</t>
  </si>
  <si>
    <t>AsyzAP旧公民館 PPP元キー:00000002-0000001385-1</t>
  </si>
  <si>
    <t>1977/08/20</t>
  </si>
  <si>
    <t>AsyzAP公民館 PPP元キー:00000002-0000001388-1</t>
  </si>
  <si>
    <t>1998/02/20</t>
  </si>
  <si>
    <t>AsyzAP公民館 PPP元キー:00000002-0000001389-1</t>
  </si>
  <si>
    <t>AsyzAP公民館 PPP元キー:00000002-0000001371-1</t>
  </si>
  <si>
    <t>AsyzAP公民館 PPP元キー:00000002-0000001373-1</t>
  </si>
  <si>
    <t>AsyzAP公民館 PPP元キー:00000002-0000001369-1</t>
  </si>
  <si>
    <t>001733:登米市米川公民館</t>
  </si>
  <si>
    <t>東和町米川字四十田25-1</t>
  </si>
  <si>
    <t>0370006</t>
  </si>
  <si>
    <t>AsyzAP公民館 PPP元キー:00000002-0000001365-1</t>
  </si>
  <si>
    <t>001732:登米市米谷公民館</t>
  </si>
  <si>
    <t>東和町米谷字ぜん荷75</t>
  </si>
  <si>
    <t>0370005</t>
  </si>
  <si>
    <t>AsyzAP公民館 PPP元キー:00000002-0000001364-1</t>
  </si>
  <si>
    <t>001799:南方保健センター</t>
  </si>
  <si>
    <t>1986/03/25</t>
  </si>
  <si>
    <t>21:保健室・医務室・衛生室</t>
  </si>
  <si>
    <t>0470007</t>
  </si>
  <si>
    <t>AsyzAP保健センター PPP元キー:00000002-0000001487-1</t>
  </si>
  <si>
    <t>診療所</t>
  </si>
  <si>
    <t>002093:新田診療所</t>
  </si>
  <si>
    <t>1984/04/29</t>
  </si>
  <si>
    <t>迫町新田字山田9-3</t>
  </si>
  <si>
    <t>0760064</t>
  </si>
  <si>
    <t>001795:迫保健センター</t>
  </si>
  <si>
    <t>0470003</t>
  </si>
  <si>
    <t>AsyzAP保健センター PPP元キー:00000002-0000001482-1</t>
  </si>
  <si>
    <t>001796:登米保健センター</t>
  </si>
  <si>
    <t>1979/03/20</t>
  </si>
  <si>
    <t>登米町寺池桜小路100</t>
  </si>
  <si>
    <t>0470004</t>
  </si>
  <si>
    <t>AsyzAP保健センター PPP元キー:00000002-0000001483-1</t>
  </si>
  <si>
    <t>診療所薬局</t>
  </si>
  <si>
    <t>002135:上沼診療所薬局</t>
  </si>
  <si>
    <t>1974/02/01</t>
  </si>
  <si>
    <t>中田町上沼字弥勒寺中下22-2-の内</t>
  </si>
  <si>
    <t>0760106</t>
  </si>
  <si>
    <t>AsyzAP診療所</t>
  </si>
  <si>
    <t>AsyzAP診療所 PPP元キー:00000002-0000001723-1</t>
  </si>
  <si>
    <t>総合保健福祉センター弓道場</t>
  </si>
  <si>
    <t>1997/12/19</t>
  </si>
  <si>
    <t>AsyzAPその他の施設 PPP元キー:00000002-0000001481-1</t>
  </si>
  <si>
    <t>001793:中田保健福祉会館</t>
  </si>
  <si>
    <t>1999/03/01</t>
  </si>
  <si>
    <t>0470001</t>
  </si>
  <si>
    <t>AsyzAP保健センター PPP元キー:00000002-0000001479-1</t>
  </si>
  <si>
    <t>001797:豊里健康管理センター</t>
  </si>
  <si>
    <t>1989/03/25</t>
  </si>
  <si>
    <t>豊里町土手下67</t>
  </si>
  <si>
    <t>0470005</t>
  </si>
  <si>
    <t>AsyzAP保健センター PPP元キー:00000002-0000001484-1</t>
  </si>
  <si>
    <t>1984/03/06</t>
  </si>
  <si>
    <t>AsyzAP保健センター PPP元キー:00000002-0000001485-1</t>
  </si>
  <si>
    <t>屋外トイレ及び更衣室</t>
  </si>
  <si>
    <t>002323:旧新田第一小学校</t>
  </si>
  <si>
    <t>1985/07/20</t>
  </si>
  <si>
    <t>迫町新田字狼ノ欠20-63</t>
  </si>
  <si>
    <t>22:脱衣室・更衣室</t>
  </si>
  <si>
    <t>0790016</t>
  </si>
  <si>
    <t>預かり保育棟</t>
  </si>
  <si>
    <t>2003/05/31</t>
  </si>
  <si>
    <t>AsyzAP預かり保育棟</t>
  </si>
  <si>
    <t>23:保育室・育児室</t>
  </si>
  <si>
    <t>AsyzAP預かり保育棟 PPP元キー:00000002-0000000346-1</t>
  </si>
  <si>
    <t>AsyzAP預かり保育棟 PPP元キー:00000002-0000001786-1</t>
  </si>
  <si>
    <t>保育所</t>
  </si>
  <si>
    <t>002469:旧米谷保育所</t>
  </si>
  <si>
    <t>AsyzAP保育所</t>
  </si>
  <si>
    <t>東和町米谷字石橋</t>
  </si>
  <si>
    <t>0790163</t>
  </si>
  <si>
    <t>AsyzAP保育所 PPP元キー:00000002-0000001828-1</t>
  </si>
  <si>
    <t>床等改修</t>
  </si>
  <si>
    <t>2021/02/22</t>
  </si>
  <si>
    <t>AsyzAP PPP元キー:00000002-0000001304-1</t>
  </si>
  <si>
    <t>002377:旧鱒渕保育所</t>
  </si>
  <si>
    <t>1969/01/07</t>
  </si>
  <si>
    <t>東和町米川字小山下10-3</t>
  </si>
  <si>
    <t>0790070</t>
  </si>
  <si>
    <t>AsyzAP預かり保育棟 PPP元キー:00000002-0000000330-1</t>
  </si>
  <si>
    <t>2018/10/31</t>
  </si>
  <si>
    <t>保育所：スロープ（設置）</t>
  </si>
  <si>
    <t>2017/09/01</t>
  </si>
  <si>
    <t>AsyzAPスロープ</t>
  </si>
  <si>
    <t>AsyzAPスロープ PPP元キー:00000002-0000001300-1</t>
  </si>
  <si>
    <t>001702:登米市豊里保育園</t>
  </si>
  <si>
    <t>1975/09/20</t>
  </si>
  <si>
    <t>豊里町小口前98</t>
  </si>
  <si>
    <t>0280006</t>
  </si>
  <si>
    <t>保育所：外壁・屋根（建物修繕）</t>
  </si>
  <si>
    <t>AsyzAP外壁・屋根</t>
  </si>
  <si>
    <t>AsyzAP外壁・屋根 PPP元キー:00000002-0000001299-1</t>
  </si>
  <si>
    <t>1981/07/31</t>
  </si>
  <si>
    <t>AsyzAPその他の施設 PPP元キー:00000002-0000001598-1</t>
  </si>
  <si>
    <t>仙台学寮</t>
  </si>
  <si>
    <t>002269:旧仙台学寮</t>
  </si>
  <si>
    <t>0760243</t>
  </si>
  <si>
    <t>AsyzAPその他の施設 PPP元キー:00000002-0000001755-1</t>
  </si>
  <si>
    <t>2015/02/12</t>
  </si>
  <si>
    <t>AsyzAP便所 PPP元キー:00000002-0000000515-1</t>
  </si>
  <si>
    <t>1981/10/20</t>
  </si>
  <si>
    <t>1972/07/20</t>
  </si>
  <si>
    <t>001807:松坂集会所</t>
  </si>
  <si>
    <t>1998/03/20</t>
  </si>
  <si>
    <t>東和町米川字寺内55-1-ほか</t>
  </si>
  <si>
    <t>0490007</t>
  </si>
  <si>
    <t>001937:八日町公衆便所（津島神社）</t>
  </si>
  <si>
    <t>1973/03/26</t>
  </si>
  <si>
    <t>迫町佐沼字西佐沼140-1-地先</t>
  </si>
  <si>
    <t>0710045</t>
  </si>
  <si>
    <t>001938:新田駅前駐車場　新田駅トイレの一部</t>
  </si>
  <si>
    <t>迫町新田字前沼92-1-地先</t>
  </si>
  <si>
    <t>0710046</t>
  </si>
  <si>
    <t>2000/02/20</t>
  </si>
  <si>
    <t>2011/03/10</t>
  </si>
  <si>
    <t>AsyzAP障害児童福祉施設 PPP元キー:00000002-0000001311-1</t>
  </si>
  <si>
    <t>2002/06/30</t>
  </si>
  <si>
    <t>1992/06/30</t>
  </si>
  <si>
    <t>AsyzAP便所 PPP元キー:00000002-0000001355-1</t>
  </si>
  <si>
    <t>1993/11/30</t>
  </si>
  <si>
    <t>1974/08/31</t>
  </si>
  <si>
    <t>1979/07/20</t>
  </si>
  <si>
    <t>外トイレ</t>
  </si>
  <si>
    <t>女子トイレ（便器洋式化）</t>
  </si>
  <si>
    <t>2019/03/29</t>
  </si>
  <si>
    <t>AsyzAP PPP元キー:00000002-0000001696-1</t>
  </si>
  <si>
    <t>001936:下田中ポケットパーク機械室・便所</t>
  </si>
  <si>
    <t>迫町佐沼字下田中25-2</t>
  </si>
  <si>
    <t>0710044</t>
  </si>
  <si>
    <t>AsyzAP便所 PPP元キー:00000002-0000001675-1</t>
  </si>
  <si>
    <t>001953:不老仙館前公衆便所</t>
  </si>
  <si>
    <t>東和町米谷字ぜん荷65-1</t>
  </si>
  <si>
    <t>0710061</t>
  </si>
  <si>
    <t>公衆トイレ</t>
  </si>
  <si>
    <t>001962:柳津駅前公衆トイレ</t>
  </si>
  <si>
    <t>津山町柳津字谷木221-2</t>
  </si>
  <si>
    <t>0710070</t>
  </si>
  <si>
    <t>2006/02/20</t>
  </si>
  <si>
    <t>AsyzAP便所 PPP元キー:00000002-0000000022-1</t>
  </si>
  <si>
    <t>屋外便所</t>
  </si>
  <si>
    <t>AsyzAP便所 PPP元キー:00000002-0000001515-1</t>
  </si>
  <si>
    <t>東山麓トイレ</t>
  </si>
  <si>
    <t>AsyzAP PPP元キー:00000002-0000001472-1</t>
  </si>
  <si>
    <t>AsyzAP PPP元キー:00000002-0000001471-1</t>
  </si>
  <si>
    <t>山麓トイレ</t>
  </si>
  <si>
    <t>AsyzAP PPP元キー:00000002-0000001470-1</t>
  </si>
  <si>
    <t>北山頂トイレ</t>
  </si>
  <si>
    <t>AsyzAP PPP元キー:00000002-0000001469-1</t>
  </si>
  <si>
    <t>001296:衛生センター</t>
  </si>
  <si>
    <t>1025200000:衛生センター</t>
  </si>
  <si>
    <t>2010/03/19</t>
  </si>
  <si>
    <t>南方町寺袋69</t>
  </si>
  <si>
    <t>0080001</t>
  </si>
  <si>
    <t>AsyzAP便所 PPP元キー:00000002-0000000266-1</t>
  </si>
  <si>
    <t>AsyzAP便所 PPP元キー:00000002-0000001452-1</t>
  </si>
  <si>
    <t>便所改修</t>
  </si>
  <si>
    <t>2020/03/27</t>
  </si>
  <si>
    <t>AsyzAP便所 PPP元キー:00000002-0000001450-1</t>
  </si>
  <si>
    <t>AsyzAP便所 PPP元キー:00000002-0000001401-1</t>
  </si>
  <si>
    <t>AsyzAP便所 PPP元キー:00000002-0000001366-1</t>
  </si>
  <si>
    <t>AsyzAP PPP元キー:00000002-0000001352-1</t>
  </si>
  <si>
    <t>児童館：トイレ（改修）</t>
  </si>
  <si>
    <t>001724:米山児童館</t>
  </si>
  <si>
    <t>2017/10/26</t>
  </si>
  <si>
    <t>AsyzAPトイレ</t>
  </si>
  <si>
    <t>米山町西野字西小路裏103</t>
  </si>
  <si>
    <t>0350004</t>
  </si>
  <si>
    <t>AsyzAPトイレ PPP元キー:00000002-0000001349-1</t>
  </si>
  <si>
    <t>研修生滞在施設C棟</t>
  </si>
  <si>
    <t>001864:農業研修生滞在施設</t>
  </si>
  <si>
    <t>1999/07/22</t>
  </si>
  <si>
    <t>米山町字桜岡大又15-4</t>
  </si>
  <si>
    <t>29:教習所・養成所・研修所</t>
  </si>
  <si>
    <t>0700001</t>
  </si>
  <si>
    <t>研修生滞在施設B棟</t>
  </si>
  <si>
    <t>勤労青少年ホーム</t>
  </si>
  <si>
    <t>001800:東和勤労青少年ホーム</t>
  </si>
  <si>
    <t>2004/04/30</t>
  </si>
  <si>
    <t>AsyzAP勤労青少年ホーム</t>
  </si>
  <si>
    <t>0480001</t>
  </si>
  <si>
    <t>AsyzAP勤労青少年ホーム PPP元キー:00000002-0000001489-1</t>
  </si>
  <si>
    <t>陶芸生産施設</t>
  </si>
  <si>
    <t>2003/01/31</t>
  </si>
  <si>
    <t>陶芸生産施設　旧台帳番号：404-19-1　</t>
  </si>
  <si>
    <t>けやき教室</t>
  </si>
  <si>
    <t>001824:けやき教室</t>
  </si>
  <si>
    <t>1987/02/14</t>
  </si>
  <si>
    <t>0540001</t>
  </si>
  <si>
    <t>陶芸館</t>
  </si>
  <si>
    <t>陶芸施設</t>
  </si>
  <si>
    <t>0440020</t>
  </si>
  <si>
    <t>001956:津山陶芸館</t>
  </si>
  <si>
    <t>0710064</t>
  </si>
  <si>
    <t>研修生滞在施設A棟</t>
  </si>
  <si>
    <t>002451:津山大萱沢陶芸施設</t>
  </si>
  <si>
    <t>1998/03/25</t>
  </si>
  <si>
    <t>津山町横山字大萱沢150-2</t>
  </si>
  <si>
    <t>0790145</t>
  </si>
  <si>
    <t>1987/03/01</t>
  </si>
  <si>
    <t>AsyzAP勤労青少年ホーム PPP元キー:00000002-0000001488-1</t>
  </si>
  <si>
    <t>就業改善センター</t>
  </si>
  <si>
    <t>AsyzAP就業改善センター</t>
  </si>
  <si>
    <t>AsyzAP就業改善センター PPP元キー:00000002-0000001582-1</t>
  </si>
  <si>
    <t>2004/03/01</t>
  </si>
  <si>
    <t>0700004</t>
  </si>
  <si>
    <t>小規模作業所施設</t>
  </si>
  <si>
    <t>001829:南方障害者地域活動支援センター（つくし作業所）</t>
  </si>
  <si>
    <t>障害者地域活動支援センター</t>
  </si>
  <si>
    <t>南方町西山成前141</t>
  </si>
  <si>
    <t>0560004</t>
  </si>
  <si>
    <t>001830:米山障害者地域活動支援センター（ふれあいセンター）</t>
  </si>
  <si>
    <t>米山町西野字四軒見通68-1</t>
  </si>
  <si>
    <t>0560005</t>
  </si>
  <si>
    <t>001851:東和町陶芸場</t>
  </si>
  <si>
    <t>0650002</t>
  </si>
  <si>
    <t>鶏小屋・用具入れ</t>
  </si>
  <si>
    <t>2000/10/20</t>
  </si>
  <si>
    <t>31:小屋・畜舎</t>
  </si>
  <si>
    <t>火葬場</t>
  </si>
  <si>
    <t>001819:登米市斎場</t>
  </si>
  <si>
    <t>2008/10/20</t>
  </si>
  <si>
    <t>AsyzAP火葬場</t>
  </si>
  <si>
    <t>迫町佐沼字沼向62</t>
  </si>
  <si>
    <t>32:火葬場</t>
  </si>
  <si>
    <t>0500001</t>
  </si>
  <si>
    <t>AsyzAP火葬場 PPP元キー:00000002-0000001514-1</t>
  </si>
  <si>
    <t>ストックヤード</t>
  </si>
  <si>
    <t>35:焼却場</t>
  </si>
  <si>
    <t>AsyzAP PPP元キー:00000002-0000000262-1</t>
  </si>
  <si>
    <t>工場棟</t>
  </si>
  <si>
    <t>AsyzAP PPP元キー:00000002-0000000260-1</t>
  </si>
  <si>
    <t>AsyzAP PPP元キー:00000002-0000000261-1</t>
  </si>
  <si>
    <t>AsyzAPストックヤード</t>
  </si>
  <si>
    <t>36:塵芥集積所</t>
  </si>
  <si>
    <t>AsyzAPストックヤード PPP元キー:00000002-0000000265-1</t>
  </si>
  <si>
    <t>有機センター</t>
  </si>
  <si>
    <t>001835:南方有機センター（本センター）</t>
  </si>
  <si>
    <t>AsyzAP有機センター</t>
  </si>
  <si>
    <t>南方町新鳩峯1</t>
  </si>
  <si>
    <t>37:処理場・加工場</t>
  </si>
  <si>
    <t>0570004</t>
  </si>
  <si>
    <t>AsyzAP有機センター PPP元キー:00000002-0000001548-1</t>
  </si>
  <si>
    <t>木工加工所施設</t>
  </si>
  <si>
    <t>AsyzAP有機センター PPP元キー:00000002-0000001545-1</t>
  </si>
  <si>
    <t>001846:地域特産利用加工施設</t>
  </si>
  <si>
    <t>2000/01/28</t>
  </si>
  <si>
    <t>東和町米川字西綱木145-3</t>
  </si>
  <si>
    <t>0620001</t>
  </si>
  <si>
    <t>衛生センター</t>
  </si>
  <si>
    <t>AsyzAP衛生センター</t>
  </si>
  <si>
    <t>AsyzAP衛生センター PPP元キー:00000002-0000000264-1</t>
  </si>
  <si>
    <t>浸出水処理施設</t>
  </si>
  <si>
    <t>001294:登米市一般廃棄物第2最終処分場浸出水処理施設</t>
  </si>
  <si>
    <t>2016/09/30</t>
  </si>
  <si>
    <t>AsyzAP浸出水処理施設</t>
  </si>
  <si>
    <t>豊里町笑沢153-3</t>
  </si>
  <si>
    <t>0070003</t>
  </si>
  <si>
    <t>AsyzAP浸出水処理施設 PPP元キー:00000002-0000000259-1</t>
  </si>
  <si>
    <t>001912:津山木工加工研修施設</t>
  </si>
  <si>
    <t>津山町柳津字小麻65-1</t>
  </si>
  <si>
    <t>0710020</t>
  </si>
  <si>
    <t>発酵棟</t>
  </si>
  <si>
    <t>AsyzAP発酵棟</t>
  </si>
  <si>
    <t>AsyzAP発酵棟 PPP元キー:00000002-0000001543-1</t>
  </si>
  <si>
    <t>微生物脱臭棟</t>
  </si>
  <si>
    <t>AsyzAP有機センター PPP元キー:00000002-0000001539-1</t>
  </si>
  <si>
    <t>可燃ごみ施設</t>
  </si>
  <si>
    <t>AsyzAP可燃ごみ施設</t>
  </si>
  <si>
    <t>AsyzAP可燃ごみ施設 PPP元キー:00000002-0000001835-1</t>
  </si>
  <si>
    <t>粗大ごみ施設</t>
  </si>
  <si>
    <t>AsyzAP粗大ごみ施設</t>
  </si>
  <si>
    <t>AsyzAP粗大ごみ施設 PPP元キー:00000002-0000001836-1</t>
  </si>
  <si>
    <t>AsyzAPストックヤード PPP元キー:00000002-0000001838-1</t>
  </si>
  <si>
    <t>AsyzAP発酵棟 PPP元キー:00000002-0000001552-1</t>
  </si>
  <si>
    <t>発酵処理施設</t>
  </si>
  <si>
    <t>AsyzAP有機センター PPP元キー:00000002-0000001554-1</t>
  </si>
  <si>
    <t>AsyzAP農産物加工所施設　【主体構造】修正</t>
  </si>
  <si>
    <t>中田町石森字本町95-1-の内</t>
  </si>
  <si>
    <t>0640001</t>
  </si>
  <si>
    <t>AsyzAP農産物加工所施設　【主体構造】修正 PPP元キー:00000002-0000001573-1</t>
  </si>
  <si>
    <t>001836:南方有機センター（サブセンター）</t>
  </si>
  <si>
    <t>1987/03/25</t>
  </si>
  <si>
    <t>南方町実沢175</t>
  </si>
  <si>
    <t>0570005</t>
  </si>
  <si>
    <t>堆肥棟</t>
  </si>
  <si>
    <t>001928:高齢者加工活動施設</t>
  </si>
  <si>
    <t>津山町横山字細屋26-1</t>
  </si>
  <si>
    <t>0710036</t>
  </si>
  <si>
    <t>001293:最終処分場浸出水処理施設</t>
  </si>
  <si>
    <t>AsyzAP第1浸出水処理施設</t>
  </si>
  <si>
    <t>豊里町笑沢153-23</t>
  </si>
  <si>
    <t>0070002</t>
  </si>
  <si>
    <t>AsyzAP第1浸出水処理施設 PPP元キー:00000002-0000000257-1</t>
  </si>
  <si>
    <t>AsyzAP発酵棟 PPP元キー:00000002-0000001551-1</t>
  </si>
  <si>
    <t>001914:東和木工工芸研修センター</t>
  </si>
  <si>
    <t>1985/03/30</t>
  </si>
  <si>
    <t>東和町米川字六反44-1</t>
  </si>
  <si>
    <t>0710022</t>
  </si>
  <si>
    <t>ポンプ室</t>
  </si>
  <si>
    <t>42:ポンプ室</t>
  </si>
  <si>
    <t>プロパン庫</t>
  </si>
  <si>
    <t>AsyzAP機械室 PPP元キー:00000002-0000001519-1</t>
  </si>
  <si>
    <t>001869:細谷排水機場</t>
  </si>
  <si>
    <t>1997/03/30</t>
  </si>
  <si>
    <t>迫町佐沼字菜園36-201</t>
  </si>
  <si>
    <t>0700006</t>
  </si>
  <si>
    <t>AsyzAP農業関連施設 PPP元キー:00000002-0000001613-1</t>
  </si>
  <si>
    <t>001870:並柳排水機場</t>
  </si>
  <si>
    <t>登米町大字日根牛五郎峯前86</t>
  </si>
  <si>
    <t>0700007</t>
  </si>
  <si>
    <t>AsyzAP農業関連施設 PPP元キー:00000002-0000001614-1</t>
  </si>
  <si>
    <t>001871:五畝排水機場</t>
  </si>
  <si>
    <t>1995/11/28</t>
  </si>
  <si>
    <t>東和町錦織字中大谷野404</t>
  </si>
  <si>
    <t>0700008</t>
  </si>
  <si>
    <t>AsyzAP農業関連施設 PPP元キー:00000002-0000001615-1</t>
  </si>
  <si>
    <t>001873:桜岡排水機場</t>
  </si>
  <si>
    <t>米山町字桜岡新中埣54-2</t>
  </si>
  <si>
    <t>0700010</t>
  </si>
  <si>
    <t>AsyzAP農業関連施設 PPP元キー:00000002-0000001616-1</t>
  </si>
  <si>
    <t>001877:山崎排水機場</t>
  </si>
  <si>
    <t>石越町北郷字押込368-2</t>
  </si>
  <si>
    <t>0700014</t>
  </si>
  <si>
    <t>AsyzAP農業関連施設 PPP元キー:00000002-0000001618-1</t>
  </si>
  <si>
    <t>001878:曲袋揚水機場</t>
  </si>
  <si>
    <t>2005/04/06</t>
  </si>
  <si>
    <t>中田町浅水字曲袋南79</t>
  </si>
  <si>
    <t>0700015</t>
  </si>
  <si>
    <t>AsyzAP農業関連施設 PPP元キー:00000002-0000001619-1</t>
  </si>
  <si>
    <t>001884:仮屋排水機場</t>
  </si>
  <si>
    <t>迫町北方字三方島東6</t>
  </si>
  <si>
    <t>0700021</t>
  </si>
  <si>
    <t>AsyzAP農業関連施設 PPP元キー:00000002-0000001625-1</t>
  </si>
  <si>
    <t>001886:米谷排水機場</t>
  </si>
  <si>
    <t>2001/03/27</t>
  </si>
  <si>
    <t>東和町米谷字鳥海1-2</t>
  </si>
  <si>
    <t>0700023</t>
  </si>
  <si>
    <t>AsyzAP農業関連施設 PPP元キー:00000002-0000001627-1</t>
  </si>
  <si>
    <t>001887:番江排水機場</t>
  </si>
  <si>
    <t>豊里町外一番江105</t>
  </si>
  <si>
    <t>0700024</t>
  </si>
  <si>
    <t>AsyzAP農業関連施設 PPP元キー:00000002-0000001628-1</t>
  </si>
  <si>
    <t>001890:三沼低地用排水機場</t>
  </si>
  <si>
    <t>豊里町下沼田543</t>
  </si>
  <si>
    <t>0700027</t>
  </si>
  <si>
    <t>AsyzAP農業関連施設 PPP元キー:00000002-0000001631-1</t>
  </si>
  <si>
    <t>001891:青木排水機場</t>
  </si>
  <si>
    <t>2009/12/14</t>
  </si>
  <si>
    <t>東和町米川字青木-地内（換地計画中）</t>
  </si>
  <si>
    <t>0700028</t>
  </si>
  <si>
    <t>AsyzAP農業関連施設 PPP元キー:00000002-0000001632-1</t>
  </si>
  <si>
    <t>プール機械室</t>
  </si>
  <si>
    <t>排水機場</t>
  </si>
  <si>
    <t>001875:石越南部第2排水機場</t>
  </si>
  <si>
    <t>石越町南郷字土手前173-4</t>
  </si>
  <si>
    <t>0700012</t>
  </si>
  <si>
    <t>AsyzAP農業関連施設 PPP元キー:00000002-0000001617-1</t>
  </si>
  <si>
    <t>001880:西田第2排水機場</t>
  </si>
  <si>
    <t>中田町石森字新川前198</t>
  </si>
  <si>
    <t>0700017</t>
  </si>
  <si>
    <t>AsyzAP農業関連施設 PPP元キー:00000002-0000001621-1</t>
  </si>
  <si>
    <t>001885:新森越戸排水機場</t>
  </si>
  <si>
    <t>迫町森字平柳-地内</t>
  </si>
  <si>
    <t>0700022</t>
  </si>
  <si>
    <t>AsyzAP農業関連施設 PPP元キー:00000002-0000001626-1</t>
  </si>
  <si>
    <t>1987/07/31</t>
  </si>
  <si>
    <t>1989/07/31</t>
  </si>
  <si>
    <t>AsyzAP機械室 PPP元キー:00000002-0000000309-1</t>
  </si>
  <si>
    <t>ポンプ置場、山車置き場倉庫</t>
  </si>
  <si>
    <t>002195:旧よねやま保育園</t>
  </si>
  <si>
    <t>米山町西野字新五反口155-の内</t>
  </si>
  <si>
    <t>0760166</t>
  </si>
  <si>
    <t>1991/10/20</t>
  </si>
  <si>
    <t>AsyzAPプール機械室</t>
  </si>
  <si>
    <t>AsyzAPプール機械室 PPP元キー:00000002-0000000383-1</t>
  </si>
  <si>
    <t>受水槽ポンプ室</t>
  </si>
  <si>
    <t>AsyzAP機械室 PPP元キー:00000002-0000000995-1</t>
  </si>
  <si>
    <t>001879:二ツ橋揚水機場（敷地）</t>
  </si>
  <si>
    <t>中田町石森字新田1-2-借地</t>
  </si>
  <si>
    <t>0700016</t>
  </si>
  <si>
    <t>001881:糠塚第2排水機場</t>
  </si>
  <si>
    <t>中田町石森字新糠塚25-2</t>
  </si>
  <si>
    <t>0700018</t>
  </si>
  <si>
    <t>001888:締切沼第2排水機場</t>
  </si>
  <si>
    <t>津山町柳津字幣崎329</t>
  </si>
  <si>
    <t>0700025</t>
  </si>
  <si>
    <t>001889:渋江排水機場</t>
  </si>
  <si>
    <t>登米町寺池渋江33</t>
  </si>
  <si>
    <t>0700026</t>
  </si>
  <si>
    <t>浄化用ポンプ小屋</t>
  </si>
  <si>
    <t>001939:寺前沼浄化用ポンプ小屋</t>
  </si>
  <si>
    <t>2005/02/15</t>
  </si>
  <si>
    <t>東和町米川字町下55-1-地内</t>
  </si>
  <si>
    <t>0710047</t>
  </si>
  <si>
    <t>001882:五ヶ村堀第2排水機場</t>
  </si>
  <si>
    <t>米山町字地蔵川75</t>
  </si>
  <si>
    <t>0700019</t>
  </si>
  <si>
    <t>001883:大網排水機場</t>
  </si>
  <si>
    <t>南方町寺袋-地内</t>
  </si>
  <si>
    <t>0700020</t>
  </si>
  <si>
    <t>住宅</t>
  </si>
  <si>
    <t>001455:迫西大網住宅（災害公営住宅）</t>
  </si>
  <si>
    <t>2014/11/21</t>
  </si>
  <si>
    <t>AsyzAP市営住宅</t>
  </si>
  <si>
    <t>迫町佐沼字大網201-1</t>
  </si>
  <si>
    <t>0170071</t>
  </si>
  <si>
    <t>AsyzAP市営住宅 PPP元キー:00000002-0000001020-1</t>
  </si>
  <si>
    <t>5号棟</t>
  </si>
  <si>
    <t>001448:豊里新町特定公共賃貸住宅</t>
  </si>
  <si>
    <t>市営住宅</t>
  </si>
  <si>
    <t>豊里町新町5-1</t>
  </si>
  <si>
    <t>0170064</t>
  </si>
  <si>
    <t>4号棟</t>
  </si>
  <si>
    <t>1号棟</t>
  </si>
  <si>
    <t>001412:中田加賀野住宅</t>
  </si>
  <si>
    <t>1994/10/01</t>
  </si>
  <si>
    <t>中田町石森字加賀野一丁目12-3</t>
  </si>
  <si>
    <t>0170028</t>
  </si>
  <si>
    <t>9号棟</t>
  </si>
  <si>
    <t>001411:中田本町住宅</t>
  </si>
  <si>
    <t>中田町石森字本町73</t>
  </si>
  <si>
    <t>0170027</t>
  </si>
  <si>
    <t>3号棟</t>
  </si>
  <si>
    <t>2号棟</t>
  </si>
  <si>
    <t>001438:津山平形住宅</t>
  </si>
  <si>
    <t>津山町柳津字平形75-1</t>
  </si>
  <si>
    <t>4:無筋コンクリート</t>
  </si>
  <si>
    <t>0170054</t>
  </si>
  <si>
    <t>001427:石越南芦倉住宅</t>
  </si>
  <si>
    <t>石越町南郷字芦倉38</t>
  </si>
  <si>
    <t>0170043</t>
  </si>
  <si>
    <t>001426:石越駅前第二住宅</t>
  </si>
  <si>
    <t>石越町南郷字小谷地前126-1</t>
  </si>
  <si>
    <t>0170042</t>
  </si>
  <si>
    <t>7号棟</t>
  </si>
  <si>
    <t>001420:米山西野第一住宅</t>
  </si>
  <si>
    <t>米山町西野字見通3-1</t>
  </si>
  <si>
    <t>0170036</t>
  </si>
  <si>
    <t>6号棟</t>
  </si>
  <si>
    <t>8号棟</t>
  </si>
  <si>
    <t>001414:豊里上屋浦住宅</t>
  </si>
  <si>
    <t>豊里町上屋浦213</t>
  </si>
  <si>
    <t>0170030</t>
  </si>
  <si>
    <t>11号棟</t>
  </si>
  <si>
    <t>10号棟</t>
  </si>
  <si>
    <t>001408:東和城内住宅</t>
  </si>
  <si>
    <t>1982/03/20</t>
  </si>
  <si>
    <t>東和町米谷字根郭116-3</t>
  </si>
  <si>
    <t>0170024</t>
  </si>
  <si>
    <t>001447:東和越路厚生住宅</t>
  </si>
  <si>
    <t>2000/03/23</t>
  </si>
  <si>
    <t>東和町米谷字越路75-4</t>
  </si>
  <si>
    <t>0170063</t>
  </si>
  <si>
    <t>AsyzAP市営住宅 PPP元キー:00000002-0000000971-1</t>
  </si>
  <si>
    <t>AsyzAP市営住宅 PPP元キー:00000002-0000000970-1</t>
  </si>
  <si>
    <t>AsyzAP市営住宅 PPP元キー:00000002-0000000969-1</t>
  </si>
  <si>
    <t>001402:登米遠見台住宅</t>
  </si>
  <si>
    <t>登米町寺池上町56-69</t>
  </si>
  <si>
    <t>0170018</t>
  </si>
  <si>
    <t>AsyzAP市営住宅 PPP元キー:00000002-0000000751-1</t>
  </si>
  <si>
    <t>AsyzAP市営住宅 PPP元キー:00000002-0000000750-1</t>
  </si>
  <si>
    <t>AsyzAP市営住宅 PPP元キー:00000002-0000000749-1</t>
  </si>
  <si>
    <t>AsyzAP市営住宅 PPP元キー:00000002-0000000748-1</t>
  </si>
  <si>
    <t>AsyzAP市営住宅 PPP元キー:00000002-0000000747-1</t>
  </si>
  <si>
    <t>001461:迫西大網第二住宅（災害公営住宅）</t>
  </si>
  <si>
    <t>2016/06/30</t>
  </si>
  <si>
    <t>迫町佐沼字大網407-6</t>
  </si>
  <si>
    <t>0170077</t>
  </si>
  <si>
    <t>AsyzAP市営住宅 PPP元キー:00000002-0000001075-1</t>
  </si>
  <si>
    <t>001460:豊里横町住宅（災害公営住宅）</t>
  </si>
  <si>
    <t>2014/08/25</t>
  </si>
  <si>
    <t>豊里町横町25-1</t>
  </si>
  <si>
    <t>0170076</t>
  </si>
  <si>
    <t>AsyzAP市営住宅 PPP元キー:00000002-0000001074-1</t>
  </si>
  <si>
    <t>AsyzAP市営住宅 PPP元キー:00000002-0000001073-1</t>
  </si>
  <si>
    <t>AsyzAP市営住宅 PPP元キー:00000002-0000001072-1</t>
  </si>
  <si>
    <t>AsyzAP市営住宅 PPP元キー:00000002-0000001071-1</t>
  </si>
  <si>
    <t>AsyzAP市営住宅 PPP元キー:00000002-0000001070-1</t>
  </si>
  <si>
    <t>AsyzAP市営住宅 PPP元キー:00000002-0000001069-1</t>
  </si>
  <si>
    <t>AsyzAP市営住宅 PPP元キー:00000002-0000001068-1</t>
  </si>
  <si>
    <t>AsyzAP市営住宅 PPP元キー:00000002-0000001067-1</t>
  </si>
  <si>
    <t>AsyzAP市営住宅 PPP元キー:00000002-0000001066-1</t>
  </si>
  <si>
    <t>AsyzAP市営住宅 PPP元キー:00000002-0000001065-1</t>
  </si>
  <si>
    <t>001459:中田加賀野第二住宅（災害公営住宅）</t>
  </si>
  <si>
    <t>2014/08/08</t>
  </si>
  <si>
    <t>中田町石森字加賀野二丁目4-7</t>
  </si>
  <si>
    <t>0170075</t>
  </si>
  <si>
    <t>AsyzAP市営住宅 PPP元キー:00000002-0000001064-1</t>
  </si>
  <si>
    <t>AsyzAP市営住宅 PPP元キー:00000002-0000001063-1</t>
  </si>
  <si>
    <t>AsyzAP市営住宅 PPP元キー:00000002-0000001062-1</t>
  </si>
  <si>
    <t>AsyzAP市営住宅 PPP元キー:00000002-0000001061-1</t>
  </si>
  <si>
    <t>2014/08/22</t>
  </si>
  <si>
    <t>AsyzAP市営住宅 PPP元キー:00000002-0000001060-1</t>
  </si>
  <si>
    <t>AsyzAP市営住宅 PPP元キー:00000002-0000001059-1</t>
  </si>
  <si>
    <t>AsyzAP市営住宅 PPP元キー:00000002-0000001058-1</t>
  </si>
  <si>
    <t>AsyzAP市営住宅 PPP元キー:00000002-0000001057-1</t>
  </si>
  <si>
    <t>AsyzAP市営住宅 PPP元キー:00000002-0000001056-1</t>
  </si>
  <si>
    <t>001458:東和日面第二住宅（災害公営住宅）</t>
  </si>
  <si>
    <t>東和町米谷字日面56</t>
  </si>
  <si>
    <t>0170074</t>
  </si>
  <si>
    <t>AsyzAP市営住宅 PPP元キー:00000002-0000001055-1</t>
  </si>
  <si>
    <t>AsyzAP市営住宅 PPP元キー:00000002-0000001054-1</t>
  </si>
  <si>
    <t>AsyzAP市営住宅 PPP元キー:00000002-0000001053-1</t>
  </si>
  <si>
    <t>AsyzAP市営住宅 PPP元キー:00000002-0000001052-1</t>
  </si>
  <si>
    <t>001457:東和日面住宅（災害公営住宅）</t>
  </si>
  <si>
    <t>2014/07/08</t>
  </si>
  <si>
    <t>東和町米谷字日面15</t>
  </si>
  <si>
    <t>0170073</t>
  </si>
  <si>
    <t>AsyzAP市営住宅 PPP元キー:00000002-0000001051-1</t>
  </si>
  <si>
    <t>AsyzAP市営住宅 PPP元キー:00000002-0000001050-1</t>
  </si>
  <si>
    <t>AsyzAP市営住宅 PPP元キー:00000002-0000001049-1</t>
  </si>
  <si>
    <t>AsyzAP市営住宅 PPP元キー:00000002-0000001048-1</t>
  </si>
  <si>
    <t>AsyzAP市営住宅 PPP元キー:00000002-0000001047-1</t>
  </si>
  <si>
    <t>001456:迫南元丁第二住宅（災害公営住宅）</t>
  </si>
  <si>
    <t>2014/05/20</t>
  </si>
  <si>
    <t>迫町佐沼字南元丁66-1</t>
  </si>
  <si>
    <t>0170072</t>
  </si>
  <si>
    <t>AsyzAP市営住宅 PPP元キー:00000002-0000001046-1</t>
  </si>
  <si>
    <t>AsyzAP市営住宅 PPP元キー:00000002-0000001045-1</t>
  </si>
  <si>
    <t>AsyzAP市営住宅 PPP元キー:00000002-0000001044-1</t>
  </si>
  <si>
    <t>AsyzAP市営住宅 PPP元キー:00000002-0000001043-1</t>
  </si>
  <si>
    <t>AsyzAP市営住宅 PPP元キー:00000002-0000001042-1</t>
  </si>
  <si>
    <t>AsyzAP市営住宅 PPP元キー:00000002-0000001041-1</t>
  </si>
  <si>
    <t>AsyzAP市営住宅 PPP元キー:00000002-0000001040-1</t>
  </si>
  <si>
    <t>AsyzAP市営住宅 PPP元キー:00000002-0000001039-1</t>
  </si>
  <si>
    <t>AsyzAP市営住宅 PPP元キー:00000002-0000001038-1</t>
  </si>
  <si>
    <t>AsyzAP市営住宅 PPP元キー:00000002-0000001037-1</t>
  </si>
  <si>
    <t>AsyzAP市営住宅 PPP元キー:00000002-0000001036-1</t>
  </si>
  <si>
    <t>AsyzAP市営住宅 PPP元キー:00000002-0000001035-1</t>
  </si>
  <si>
    <t>AsyzAP市営住宅 PPP元キー:00000002-0000001034-1</t>
  </si>
  <si>
    <t>AsyzAP市営住宅 PPP元キー:00000002-0000001033-1</t>
  </si>
  <si>
    <t>AsyzAP市営住宅 PPP元キー:00000002-0000001032-1</t>
  </si>
  <si>
    <t>AsyzAP市営住宅 PPP元キー:00000002-0000001031-1</t>
  </si>
  <si>
    <t>AsyzAP市営住宅 PPP元キー:00000002-0000001030-1</t>
  </si>
  <si>
    <t>AsyzAP市営住宅 PPP元キー:00000002-0000001029-1</t>
  </si>
  <si>
    <t>AsyzAP市営住宅 PPP元キー:00000002-0000001028-1</t>
  </si>
  <si>
    <t>AsyzAP市営住宅 PPP元キー:00000002-0000001027-1</t>
  </si>
  <si>
    <t>AsyzAP市営住宅 PPP元キー:00000002-0000001026-1</t>
  </si>
  <si>
    <t>AsyzAP市営住宅 PPP元キー:00000002-0000001025-1</t>
  </si>
  <si>
    <t>AsyzAP市営住宅 PPP元キー:00000002-0000001024-1</t>
  </si>
  <si>
    <t>AsyzAP市営住宅 PPP元キー:00000002-0000001023-1</t>
  </si>
  <si>
    <t>AsyzAP市営住宅 PPP元キー:00000002-0000001022-1</t>
  </si>
  <si>
    <t>AsyzAP市営住宅 PPP元キー:00000002-0000001021-1</t>
  </si>
  <si>
    <t>AsyzAP市営住宅 PPP元キー:00000002-0000001019-1</t>
  </si>
  <si>
    <t>AsyzAP市営住宅 PPP元キー:00000002-0000001018-1</t>
  </si>
  <si>
    <t>AsyzAP市営住宅 PPP元キー:00000002-0000001017-1</t>
  </si>
  <si>
    <t>AsyzAP市営住宅 PPP元キー:00000002-0000001016-1</t>
  </si>
  <si>
    <t>AsyzAP市営住宅 PPP元キー:00000002-0000001015-1</t>
  </si>
  <si>
    <t>AsyzAP市営住宅 PPP元キー:00000002-0000001008-1</t>
  </si>
  <si>
    <t>AsyzAP市営住宅 PPP元キー:00000002-0000001007-1</t>
  </si>
  <si>
    <t>AsyzAP市営住宅 PPP元キー:00000002-0000001000-1</t>
  </si>
  <si>
    <t>AsyzAP市営住宅 PPP元キー:00000002-0000000999-1</t>
  </si>
  <si>
    <t>AsyzAP市営住宅 PPP元キー:00000002-0000000993-1</t>
  </si>
  <si>
    <t>AsyzAP市営住宅 PPP元キー:00000002-0000000990-1</t>
  </si>
  <si>
    <t>AsyzAP市営住宅 PPP元キー:00000002-0000000988-1</t>
  </si>
  <si>
    <t>AsyzAP市営住宅 PPP元キー:00000002-0000000985-1</t>
  </si>
  <si>
    <t>2号棟外壁等改修</t>
  </si>
  <si>
    <t>2020/03/03</t>
  </si>
  <si>
    <t>AsyzAP市営住宅 PPP元キー:00000002-0000000984-1</t>
  </si>
  <si>
    <t>1号棟外壁等改修</t>
  </si>
  <si>
    <t>2019/08/27</t>
  </si>
  <si>
    <t>AsyzAP市営住宅 PPP元キー:00000002-0000000983-1</t>
  </si>
  <si>
    <t>AsyzAP市営住宅 PPP元キー:00000002-0000000981-1</t>
  </si>
  <si>
    <t>AsyzAP市営住宅 PPP元キー:00000002-0000000978-1</t>
  </si>
  <si>
    <t>001441:津山柳津四丁目住宅</t>
  </si>
  <si>
    <t>津山町柳津字本町67</t>
  </si>
  <si>
    <t>01_01_07:（１）土地及び建物　行政財産　公共用財産　公営住宅</t>
  </si>
  <si>
    <t>0170065</t>
  </si>
  <si>
    <t>AsyzAP市営住宅 PPP元キー:00000002-0000000977-1</t>
  </si>
  <si>
    <t>001443:津山横山本町住宅</t>
  </si>
  <si>
    <t>2009/03/19</t>
  </si>
  <si>
    <t>津山町横山字本町121-31</t>
  </si>
  <si>
    <t>0170059</t>
  </si>
  <si>
    <t>AsyzAP市営住宅 PPP元キー:00000002-0000000962-1</t>
  </si>
  <si>
    <t>AsyzAP市営住宅 PPP元キー:00000002-0000000961-1</t>
  </si>
  <si>
    <t>AsyzAP市営住宅 PPP元キー:00000002-0000000960-1</t>
  </si>
  <si>
    <t>AsyzAP市営住宅 PPP元キー:00000002-0000000959-1</t>
  </si>
  <si>
    <t>AsyzAP市営住宅 PPP元キー:00000002-0000000958-1</t>
  </si>
  <si>
    <t>AsyzAP市営住宅 PPP元キー:00000002-0000000957-1</t>
  </si>
  <si>
    <t>AsyzAP市営住宅 PPP元キー:00000002-0000000956-1</t>
  </si>
  <si>
    <t>0170057</t>
  </si>
  <si>
    <t>AsyzAP市営住宅 PPP元キー:00000002-0000000952-1</t>
  </si>
  <si>
    <t>AsyzAP市営住宅 PPP元キー:00000002-0000000951-1</t>
  </si>
  <si>
    <t>001434:南方高石住宅27号（H26）</t>
  </si>
  <si>
    <t>2015/03/31</t>
  </si>
  <si>
    <t>南方町山成前842-1</t>
  </si>
  <si>
    <t>0170050</t>
  </si>
  <si>
    <t>AsyzAP市営住宅 PPP元キー:00000002-0000000938-1</t>
  </si>
  <si>
    <t>C棟2号</t>
  </si>
  <si>
    <t>001433:南方高石住宅（H15）</t>
  </si>
  <si>
    <t>南方町山成前855-1</t>
  </si>
  <si>
    <t>0170049</t>
  </si>
  <si>
    <t>AsyzAP市営住宅 PPP元キー:00000002-0000000937-1</t>
  </si>
  <si>
    <t>C棟1号</t>
  </si>
  <si>
    <t>AsyzAP市営住宅 PPP元キー:00000002-0000000936-1</t>
  </si>
  <si>
    <t>B棟2号</t>
  </si>
  <si>
    <t>AsyzAP市営住宅 PPP元キー:00000002-0000000935-1</t>
  </si>
  <si>
    <t>B棟1号</t>
  </si>
  <si>
    <t>AsyzAP市営住宅 PPP元キー:00000002-0000000934-1</t>
  </si>
  <si>
    <t>A棟2号</t>
  </si>
  <si>
    <t>AsyzAP市営住宅 PPP元キー:00000002-0000000933-1</t>
  </si>
  <si>
    <t>A棟1号</t>
  </si>
  <si>
    <t>AsyzAP市営住宅 PPP元キー:00000002-0000000932-1</t>
  </si>
  <si>
    <t>001428:石越舘前住宅</t>
  </si>
  <si>
    <t>石越町南郷字舘前176-12</t>
  </si>
  <si>
    <t>0170044</t>
  </si>
  <si>
    <t>AsyzAP市営住宅 PPP元キー:00000002-0000000908-1</t>
  </si>
  <si>
    <t>AsyzAP市営住宅 PPP元キー:00000002-0000000907-1</t>
  </si>
  <si>
    <t>AsyzAP市営住宅 PPP元キー:00000002-0000000906-1</t>
  </si>
  <si>
    <t>D号棟</t>
  </si>
  <si>
    <t>001423:石越西門住宅</t>
  </si>
  <si>
    <t>石越町北郷字西門38-1</t>
  </si>
  <si>
    <t>0170039</t>
  </si>
  <si>
    <t>AsyzAP市営住宅 PPP元キー:00000002-0000000885-1</t>
  </si>
  <si>
    <t>C号棟</t>
  </si>
  <si>
    <t>AsyzAP市営住宅 PPP元キー:00000002-0000000884-1</t>
  </si>
  <si>
    <t>B号棟</t>
  </si>
  <si>
    <t>AsyzAP市営住宅 PPP元キー:00000002-0000000883-1</t>
  </si>
  <si>
    <t>A号棟</t>
  </si>
  <si>
    <t>AsyzAP市営住宅 PPP元キー:00000002-0000000882-1</t>
  </si>
  <si>
    <t>001422:米山清水第一住宅</t>
  </si>
  <si>
    <t>1983/09/20</t>
  </si>
  <si>
    <t>米山町中津山字清水32-2</t>
  </si>
  <si>
    <t>0170038</t>
  </si>
  <si>
    <t>AsyzAP市営住宅 PPP元キー:00000002-0000000881-1</t>
  </si>
  <si>
    <t>AsyzAP市営住宅 PPP元キー:00000002-0000000880-1</t>
  </si>
  <si>
    <t>001418:米山今泉住宅</t>
  </si>
  <si>
    <t>米山町字桜岡今泉39-2</t>
  </si>
  <si>
    <t>0170034</t>
  </si>
  <si>
    <t>AsyzAP市営住宅 PPP元キー:00000002-0000000857-1</t>
  </si>
  <si>
    <t>AsyzAP市営住宅 PPP元キー:00000002-0000000856-1</t>
  </si>
  <si>
    <t>001416:豊里下町第2住宅</t>
  </si>
  <si>
    <t>豊里町下屋浦301-6</t>
  </si>
  <si>
    <t>0170032</t>
  </si>
  <si>
    <t>AsyzAP市営住宅 PPP元キー:00000002-0000000850-1</t>
  </si>
  <si>
    <t>AsyzAP市営住宅 PPP元キー:00000002-0000000849-1</t>
  </si>
  <si>
    <t>AsyzAP市営住宅 PPP元キー:00000002-0000000848-1</t>
  </si>
  <si>
    <t>AsyzAP市営住宅 PPP元キー:00000002-0000000847-1</t>
  </si>
  <si>
    <t>AsyzAP市営住宅 PPP元キー:00000002-0000000846-1</t>
  </si>
  <si>
    <t>AsyzAP市営住宅 PPP元キー:00000002-0000000845-1</t>
  </si>
  <si>
    <t>12号棟</t>
  </si>
  <si>
    <t>001415:豊里下町住宅</t>
  </si>
  <si>
    <t>豊里町町浦301-1</t>
  </si>
  <si>
    <t>0170031</t>
  </si>
  <si>
    <t>AsyzAP市営住宅 PPP元キー:00000002-0000000844-1</t>
  </si>
  <si>
    <t>AsyzAP市営住宅 PPP元キー:00000002-0000000843-1</t>
  </si>
  <si>
    <t>AsyzAP市営住宅 PPP元キー:00000002-0000000842-1</t>
  </si>
  <si>
    <t>AsyzAP市営住宅 PPP元キー:00000002-0000000841-1</t>
  </si>
  <si>
    <t>AsyzAP市営住宅 PPP元キー:00000002-0000000840-1</t>
  </si>
  <si>
    <t>AsyzAP市営住宅 PPP元キー:00000002-0000000839-1</t>
  </si>
  <si>
    <t>AsyzAP市営住宅 PPP元キー:00000002-0000000838-1</t>
  </si>
  <si>
    <t>AsyzAP市営住宅 PPP元キー:00000002-0000000837-1</t>
  </si>
  <si>
    <t>AsyzAP市営住宅 PPP元キー:00000002-0000000836-1</t>
  </si>
  <si>
    <t>AsyzAP市営住宅 PPP元キー:00000002-0000000835-1</t>
  </si>
  <si>
    <t>AsyzAP市営住宅 PPP元キー:00000002-0000000834-1</t>
  </si>
  <si>
    <t>AsyzAP市営住宅 PPP元キー:00000002-0000000833-1</t>
  </si>
  <si>
    <t>001393:迫梅ノ木住宅</t>
  </si>
  <si>
    <t>迫町佐沼字八幡一丁目6-1</t>
  </si>
  <si>
    <t>0170009</t>
  </si>
  <si>
    <t>AsyzAP市営住宅 PPP元キー:00000002-0000000692-1</t>
  </si>
  <si>
    <t>AsyzAP市営住宅 PPP元キー:00000002-0000000691-1</t>
  </si>
  <si>
    <t>AsyzAP市営住宅 PPP元キー:00000002-0000000690-1</t>
  </si>
  <si>
    <t>３号棟</t>
  </si>
  <si>
    <t>001388:迫南元丁住宅</t>
  </si>
  <si>
    <t>火災により一部解体のため、解体後面積にて再登録　</t>
  </si>
  <si>
    <t>迫町佐沼字南元丁88-2</t>
  </si>
  <si>
    <t>0170004</t>
  </si>
  <si>
    <t>旧亘理邸</t>
  </si>
  <si>
    <t>001757:旧亘理邸</t>
  </si>
  <si>
    <t>1905/03/06</t>
  </si>
  <si>
    <t>迫町佐沼字内町12</t>
  </si>
  <si>
    <t>1905/04/01</t>
  </si>
  <si>
    <t>113</t>
  </si>
  <si>
    <t>0390012</t>
  </si>
  <si>
    <t>001421:米山西野第二住宅</t>
  </si>
  <si>
    <t>米山町西野字見通70-1</t>
  </si>
  <si>
    <t>0170037</t>
  </si>
  <si>
    <t>001429:南方茶臼森住宅</t>
  </si>
  <si>
    <t>南方町茶臼森前3-1</t>
  </si>
  <si>
    <t>0170045</t>
  </si>
  <si>
    <t>001403:登米遠見台第二住宅</t>
  </si>
  <si>
    <t>登米町寺池上町56-65</t>
  </si>
  <si>
    <t>0170019</t>
  </si>
  <si>
    <t>001399:登米金沢山第二住宅</t>
  </si>
  <si>
    <t>1969/03/31</t>
  </si>
  <si>
    <t>登米町寺池金沢山50</t>
  </si>
  <si>
    <t>0170015</t>
  </si>
  <si>
    <t>001396:登米薬師崎第一住宅</t>
  </si>
  <si>
    <t>1957/03/31</t>
  </si>
  <si>
    <t>登米町日野渡薬師崎44-2</t>
  </si>
  <si>
    <t>0170012</t>
  </si>
  <si>
    <t>001395:登米館山住宅</t>
  </si>
  <si>
    <t>1953/03/31</t>
  </si>
  <si>
    <t>登米町寺池上町32-1</t>
  </si>
  <si>
    <t>0170011</t>
  </si>
  <si>
    <t>001392:迫新下谷地住宅</t>
  </si>
  <si>
    <t>迫町北方字新下谷地114</t>
  </si>
  <si>
    <t>0170008</t>
  </si>
  <si>
    <t>001389:迫駒木袋住宅</t>
  </si>
  <si>
    <t>迫町佐沼字駒木袋20</t>
  </si>
  <si>
    <t>0170005</t>
  </si>
  <si>
    <t>002227:住宅</t>
  </si>
  <si>
    <t>南方町西山成前145-2</t>
  </si>
  <si>
    <t>0760198</t>
  </si>
  <si>
    <t>001405:東和町裏住宅</t>
  </si>
  <si>
    <t>1965/03/03</t>
  </si>
  <si>
    <t>東和町米川字町裏60-1</t>
  </si>
  <si>
    <t>0170062</t>
  </si>
  <si>
    <t>001445:東和古舘厚生住宅</t>
  </si>
  <si>
    <t>東和町米谷字古舘4-2</t>
  </si>
  <si>
    <t>0170061</t>
  </si>
  <si>
    <t>001442:津山横山北沢住宅</t>
  </si>
  <si>
    <t>津山町横山字本町121-30</t>
  </si>
  <si>
    <t>0170058</t>
  </si>
  <si>
    <t>001439:津山元町住宅</t>
  </si>
  <si>
    <t>0170055</t>
  </si>
  <si>
    <t>001437:津山宮町住宅</t>
  </si>
  <si>
    <t>1977/03/31</t>
  </si>
  <si>
    <t>津山町柳津字黄牛田高畑22-1</t>
  </si>
  <si>
    <t>0170053</t>
  </si>
  <si>
    <t>001436:南方大門住宅</t>
  </si>
  <si>
    <t>南方町宿畑63-5</t>
  </si>
  <si>
    <t>0170052</t>
  </si>
  <si>
    <t>001432:南方高石住宅（H2）</t>
  </si>
  <si>
    <t>0170048</t>
  </si>
  <si>
    <t>001431:南方高石住宅（S59）</t>
  </si>
  <si>
    <t>南方町山成前852-1</t>
  </si>
  <si>
    <t>0170047</t>
  </si>
  <si>
    <t>001430:南方新高石住宅</t>
  </si>
  <si>
    <t>1964/03/31</t>
  </si>
  <si>
    <t>南方町八の森52-2</t>
  </si>
  <si>
    <t>0170046</t>
  </si>
  <si>
    <t>001425:石越駅前住宅</t>
  </si>
  <si>
    <t>石越町南郷字小谷地前157-2</t>
  </si>
  <si>
    <t>0170041</t>
  </si>
  <si>
    <t>001424:石越田上住宅</t>
  </si>
  <si>
    <t>石越町南郷字芦倉101-5</t>
  </si>
  <si>
    <t>0170040</t>
  </si>
  <si>
    <t>001419:米山山吉田住宅</t>
  </si>
  <si>
    <t>米山町字小待井26-4</t>
  </si>
  <si>
    <t>0170035</t>
  </si>
  <si>
    <t>001417:米山桜岡住宅</t>
  </si>
  <si>
    <t>米山町字桜岡貝待井5-7</t>
  </si>
  <si>
    <t>0170033</t>
  </si>
  <si>
    <t>(2)5号棟</t>
  </si>
  <si>
    <t>001413:豊里新町住宅</t>
  </si>
  <si>
    <t>豊里町土手下57</t>
  </si>
  <si>
    <t>0170029</t>
  </si>
  <si>
    <t>(2)4号棟</t>
  </si>
  <si>
    <t>(2)3号棟</t>
  </si>
  <si>
    <t>(2)2号棟</t>
  </si>
  <si>
    <t>(2)1号棟</t>
  </si>
  <si>
    <t>(1)4号棟</t>
  </si>
  <si>
    <t>(1)3号棟</t>
  </si>
  <si>
    <t>(1)1号棟</t>
  </si>
  <si>
    <t>20号棟</t>
  </si>
  <si>
    <t>001410:中田大柳住宅</t>
  </si>
  <si>
    <t>1986/03/01</t>
  </si>
  <si>
    <t>中田町上沼字大柳119-5</t>
  </si>
  <si>
    <t>0170026</t>
  </si>
  <si>
    <t>19号棟</t>
  </si>
  <si>
    <t>18号棟</t>
  </si>
  <si>
    <t>17号棟</t>
  </si>
  <si>
    <t>16号棟</t>
  </si>
  <si>
    <t>15号棟</t>
  </si>
  <si>
    <t>14号棟</t>
  </si>
  <si>
    <t>13号棟</t>
  </si>
  <si>
    <t>001407:東和三六山第二住宅</t>
  </si>
  <si>
    <t>1971/03/31</t>
  </si>
  <si>
    <t>東和町米谷字日面65-2</t>
  </si>
  <si>
    <t>0170023</t>
  </si>
  <si>
    <t>001406:東和内山住宅</t>
  </si>
  <si>
    <t>1965/03/10</t>
  </si>
  <si>
    <t>東和町錦織字天沼54-10</t>
  </si>
  <si>
    <t>0170022</t>
  </si>
  <si>
    <t>0170021</t>
  </si>
  <si>
    <t>001404:東和三六山第一住宅</t>
  </si>
  <si>
    <t>東和町米谷字日面81-2</t>
  </si>
  <si>
    <t>0170020</t>
  </si>
  <si>
    <t>001397:登米薬師崎第二住宅</t>
  </si>
  <si>
    <t>1960/03/31</t>
  </si>
  <si>
    <t>登米町日野渡薬師崎47-1</t>
  </si>
  <si>
    <t>0170013</t>
  </si>
  <si>
    <t>001394:登米前舟橋住宅</t>
  </si>
  <si>
    <t>2018/08/24</t>
  </si>
  <si>
    <t>登米町寺池前舟橋11-6</t>
  </si>
  <si>
    <t>0170010</t>
  </si>
  <si>
    <t>001401:登米金沢山南第二住宅</t>
  </si>
  <si>
    <t>0170017</t>
  </si>
  <si>
    <t>001400:登米金沢山南第一住宅</t>
  </si>
  <si>
    <t>登米町寺池金沢山60-1</t>
  </si>
  <si>
    <t>0170016</t>
  </si>
  <si>
    <t>001398:登米金沢山第一住宅</t>
  </si>
  <si>
    <t>1958/03/31</t>
  </si>
  <si>
    <t>登米町寺池金沢山8</t>
  </si>
  <si>
    <t>1958/04/01</t>
  </si>
  <si>
    <t>58</t>
  </si>
  <si>
    <t>0170014</t>
  </si>
  <si>
    <t>1961/03/31</t>
  </si>
  <si>
    <t>1961/04/01</t>
  </si>
  <si>
    <t>AsyzAP PPP元キー:00000002-0000000336-1</t>
  </si>
  <si>
    <t>AsyzAP PPP元キー:00000002-0000000332-1</t>
  </si>
  <si>
    <t>防火シャッター危害防止装置取付工事</t>
  </si>
  <si>
    <t>2021/03/30</t>
  </si>
  <si>
    <t>AsyzAP PPP元キー:00000002-0000001423-1</t>
  </si>
  <si>
    <t>事務室エアコン（新設）</t>
  </si>
  <si>
    <t>AsyzAP PPP元キー:00000002-0000000320-1</t>
  </si>
  <si>
    <t>厨房内連続フライヤー改修</t>
  </si>
  <si>
    <t>18:前掲のもの以外のもの/金属製のもの</t>
  </si>
  <si>
    <t>AsyzAP PPP元キー:00000002-0000000319-1</t>
  </si>
  <si>
    <t>厨房機器改修工事</t>
  </si>
  <si>
    <t>2020/05/11</t>
  </si>
  <si>
    <t>AsyzAP PPP元キー:00000002-0000000314-1</t>
  </si>
  <si>
    <t>電解水生成装置更新</t>
  </si>
  <si>
    <t>2019/09/27</t>
  </si>
  <si>
    <t>AsyzAP PPP元キー:00000002-0000000313-1</t>
  </si>
  <si>
    <t>給湯用ミキシングバルブ</t>
  </si>
  <si>
    <t>AsyzAP PPP元キー:00000002-0000000312-1</t>
  </si>
  <si>
    <t>消防設備ポンプユニット</t>
  </si>
  <si>
    <t>2018/08/29</t>
  </si>
  <si>
    <t>AsyzAP PPP元キー:00000002-0000000311-1</t>
  </si>
  <si>
    <t>給食センター：受水槽（給排水設備）（改修）</t>
  </si>
  <si>
    <t>2017/09/25</t>
  </si>
  <si>
    <t>AsyzAP受水槽</t>
  </si>
  <si>
    <t>AsyzAP受水槽 PPP元キー:00000002-0000000303-1</t>
  </si>
  <si>
    <t>2019/12/26</t>
  </si>
  <si>
    <t>AsyzAP PPP元キー:00000002-0000001439-1</t>
  </si>
  <si>
    <t>本庁舎：電気設備（修繕）</t>
  </si>
  <si>
    <t>AsyzAP電気設備　高圧受電設備 PPP元キー:00000002-0000000294-1</t>
  </si>
  <si>
    <t>建物付属設備：消防防災設備（改修）</t>
  </si>
  <si>
    <t>2017/09/13</t>
  </si>
  <si>
    <t>AsyzAP消防防災設備　自動火災報知機・非常放送設備</t>
  </si>
  <si>
    <t>AsyzAP消防防災設備　自動火災報知機・非常放送設備 PPP元キー:00000002-0000001441-1</t>
  </si>
  <si>
    <t>2019/11/18</t>
  </si>
  <si>
    <t>AsyzAP PPP元キー:00000002-0000001447-1</t>
  </si>
  <si>
    <t>東和総合支所電話交換機等更新</t>
  </si>
  <si>
    <t>AsyzAP総務課の庁舎管理として更新</t>
  </si>
  <si>
    <t>AsyzAP総務課の庁舎管理として更新 PPP元キー:00000002-0000000288-1</t>
  </si>
  <si>
    <t>本庁舎：消防防災設備（更新）</t>
  </si>
  <si>
    <t>AsyzAP消防防災設備　自動火災報知機</t>
  </si>
  <si>
    <t>AsyzAP消防防災設備　自動火災報知機 PPP元キー:00000002-0000000287-1</t>
  </si>
  <si>
    <t>0440011</t>
  </si>
  <si>
    <t>AsyzAP PPP元キー:00000002-0000001453-1</t>
  </si>
  <si>
    <t>AsyzAP2台 PPP元キー:00000002-0000001467-1</t>
  </si>
  <si>
    <t>浸出水処理施設：電気設備（交換修繕）</t>
  </si>
  <si>
    <t>2017/10/20</t>
  </si>
  <si>
    <t>AsyzAP電気設備 PPP元キー:00000002-0000000258-1</t>
  </si>
  <si>
    <t>集会施設：給排水設備（修繕）</t>
  </si>
  <si>
    <t>AsyzAP給排水設備　浄化槽</t>
  </si>
  <si>
    <t>AsyzAP給排水設備　浄化槽 PPP元キー:00000002-0000001498-1</t>
  </si>
  <si>
    <t>高機能指令センター機器（更新）</t>
  </si>
  <si>
    <t>7010400000:消防本部指令課</t>
  </si>
  <si>
    <t>2020/02/27</t>
  </si>
  <si>
    <t>0020007</t>
  </si>
  <si>
    <t>AsyzAP PPP元キー:00000002-0000000035-1</t>
  </si>
  <si>
    <t>無停電電源装置</t>
  </si>
  <si>
    <t>2018/09/12</t>
  </si>
  <si>
    <t>1:電気設備/蓄電池電源設備</t>
  </si>
  <si>
    <t>AsyzAP PPP元キー:00000002-0000000034-1</t>
  </si>
  <si>
    <t>排煙窓開閉装置（修繕）</t>
  </si>
  <si>
    <t>2018/03/23</t>
  </si>
  <si>
    <t>AsyzAP PPP元キー:00000002-0000001503-1</t>
  </si>
  <si>
    <t>コミュニティセンター：電気設備（修繕）</t>
  </si>
  <si>
    <t>2017/11/30</t>
  </si>
  <si>
    <t>AsyzAP電気設備　高圧受電設備 PPP元キー:00000002-0000001507-1</t>
  </si>
  <si>
    <t>高圧気中開閉器交換工事</t>
  </si>
  <si>
    <t>2019/09/18</t>
  </si>
  <si>
    <t>AsyzAP PPP元キー:00000002-0000001523-1</t>
  </si>
  <si>
    <t>エレベーター制御装置等修繕工事</t>
  </si>
  <si>
    <t>2019/09/26</t>
  </si>
  <si>
    <t>AsyzAP PPP元キー:00000002-0000001524-1</t>
  </si>
  <si>
    <t>舞台機構設備ブレーキシュー改修工事</t>
  </si>
  <si>
    <t>2020/10/07</t>
  </si>
  <si>
    <t>AsyzAP PPP元キー:00000002-0000001525-1</t>
  </si>
  <si>
    <t>高圧受変電設備更新</t>
  </si>
  <si>
    <t>2017/12/26</t>
  </si>
  <si>
    <t>AsyzAP PPP元キー:00000002-0000000017-1</t>
  </si>
  <si>
    <t>本庁舎：高圧受変電設備更新</t>
  </si>
  <si>
    <t>2018/11/30</t>
  </si>
  <si>
    <t>AsyzAP PPP元キー:00000002-0000000016-1</t>
  </si>
  <si>
    <t>AsyzAP電気設備　高圧受電設備 PPP元キー:00000002-0000000015-1</t>
  </si>
  <si>
    <t>本庁舎：空調設備（交換）</t>
  </si>
  <si>
    <t>AsyzAP空調設備　膨張タンク</t>
  </si>
  <si>
    <t>AsyzAP空調設備　膨張タンク PPP元キー:00000002-0000000014-1</t>
  </si>
  <si>
    <t>本庁舎：機械設備（更新）</t>
  </si>
  <si>
    <t>AsyzAP機械設備　電話交換機</t>
  </si>
  <si>
    <t>AsyzAP機械設備　電話交換機 PPP元キー:00000002-0000000013-1</t>
  </si>
  <si>
    <t>花き園芸センター：電気設備（修繕）</t>
  </si>
  <si>
    <t>001839:花き園芸センター</t>
  </si>
  <si>
    <t>2017/12/01</t>
  </si>
  <si>
    <t>米山町西野字新遠田64-2</t>
  </si>
  <si>
    <t>0580001</t>
  </si>
  <si>
    <t>AsyzAP電気設備　受電設備 PPP元キー:00000002-0000001558-1</t>
  </si>
  <si>
    <t>トイレドア作製・改修（自動ドア化）</t>
  </si>
  <si>
    <t>2021/03/31</t>
  </si>
  <si>
    <t>12:エヤーカーテン又はドアー自動開閉</t>
  </si>
  <si>
    <t>AsyzAP PPP元キー:00000002-0000001561-1</t>
  </si>
  <si>
    <t>空調機設置工事（農村環境改善センター）</t>
  </si>
  <si>
    <t>AsyzAP2台 PPP元キー:00000002-0000001580-1</t>
  </si>
  <si>
    <t>屋外トイレドア改修（自動ドア化）</t>
  </si>
  <si>
    <t>2021/02/05</t>
  </si>
  <si>
    <t>AsyzAP PPP元キー:00000002-0000001588-1</t>
  </si>
  <si>
    <t>産地形成促進施設：電気設備（交換）</t>
  </si>
  <si>
    <t>2017/07/27</t>
  </si>
  <si>
    <t>AsyzAP電気設備　高圧気中開閉器、電力計</t>
  </si>
  <si>
    <t>AsyzAP電気設備　高圧気中開閉器、電力計 PPP元キー:00000002-0000001591-1</t>
  </si>
  <si>
    <t>産地形成促進施設：給排水設備（修繕）</t>
  </si>
  <si>
    <t>AsyzAP給排水設備　加圧水ポンプ</t>
  </si>
  <si>
    <t>AsyzAP給排水設備　加圧水ポンプ PPP元キー:00000002-0000001592-1</t>
  </si>
  <si>
    <t>便所：非常灯（設置）</t>
  </si>
  <si>
    <t>2018/03/29</t>
  </si>
  <si>
    <t>AsyzAP便所 PPP元キー:00000002-0000001593-1</t>
  </si>
  <si>
    <t>産地形成促進施設：パッケージエアコン入替え</t>
  </si>
  <si>
    <t>2020/08/24</t>
  </si>
  <si>
    <t>AsyzAP PPP元キー:00000002-0000001594-1</t>
  </si>
  <si>
    <t>直売所多目的トイレ、屋外トイレドア改修（自動ドア化）</t>
  </si>
  <si>
    <t>2021/01/20</t>
  </si>
  <si>
    <t>AsyzAP PPP元キー:00000002-0000001595-1</t>
  </si>
  <si>
    <t>多目的トイレドア改修（自動ドア化）</t>
  </si>
  <si>
    <t>2021/01/12</t>
  </si>
  <si>
    <t>AsyzAP PPP元キー:00000002-0000001600-1</t>
  </si>
  <si>
    <t>AsyzAP PPP元キー:00000002-0000001602-1</t>
  </si>
  <si>
    <t>トイレドア改修（自動ドア化）</t>
  </si>
  <si>
    <t>AsyzAP PPP元キー:00000002-0000001611-1</t>
  </si>
  <si>
    <t>バス停留所</t>
  </si>
  <si>
    <t>001898:登米総合産業高校前バス乗降場</t>
  </si>
  <si>
    <t>2015/01/28</t>
  </si>
  <si>
    <t>中田町上沼字北桜場219-1</t>
  </si>
  <si>
    <t>0710004</t>
  </si>
  <si>
    <t>AsyzAPその他の施設 PPP元キー:00000002-0000001637-1</t>
  </si>
  <si>
    <t>001899:佐沼高校正門前バス停留所上屋</t>
  </si>
  <si>
    <t>2015/03/28</t>
  </si>
  <si>
    <t>迫町佐沼字的場64-3</t>
  </si>
  <si>
    <t>13:アーケード又は日よけ設備/金属製のもの</t>
  </si>
  <si>
    <t>0710005</t>
  </si>
  <si>
    <t>AsyzAPその他の施設 PPP元キー:00000002-0000001638-1</t>
  </si>
  <si>
    <t>001900:佐沼高校北バス停留所上屋</t>
  </si>
  <si>
    <t>2016/03/17</t>
  </si>
  <si>
    <t>迫町佐沼字的場59-13</t>
  </si>
  <si>
    <t>0710006</t>
  </si>
  <si>
    <t>AsyzAPその他の施設 PPP元キー:00000002-0000001639-1</t>
  </si>
  <si>
    <t>001901:佐沼高校西門前バス停留所上屋</t>
  </si>
  <si>
    <t>迫町佐沼字末広4-2</t>
  </si>
  <si>
    <t>0710007</t>
  </si>
  <si>
    <t>AsyzAPその他の施設 PPP元キー:00000002-0000001640-1</t>
  </si>
  <si>
    <t>プール付属棟</t>
  </si>
  <si>
    <t>1962/03/31</t>
  </si>
  <si>
    <t>1990/06/30</t>
  </si>
  <si>
    <t>にぎわいセンター：空調設備（交換）</t>
  </si>
  <si>
    <t>001919:迫にぎわいセンター</t>
  </si>
  <si>
    <t>迫町佐沼字西佐沼70</t>
  </si>
  <si>
    <t>0710027</t>
  </si>
  <si>
    <t>AsyzAP空調設備 PPP元キー:00000002-0000001655-1</t>
  </si>
  <si>
    <t>空調機入替</t>
  </si>
  <si>
    <t>2020/10/02</t>
  </si>
  <si>
    <t>AsyzAP PPP元キー:00000002-0000001656-1</t>
  </si>
  <si>
    <t>AsyzAP PPP元キー:00000002-0000001669-1</t>
  </si>
  <si>
    <t>男子トイレ便器交換</t>
  </si>
  <si>
    <t>2019/04/26</t>
  </si>
  <si>
    <t>AsyzAP PPP元キー:00000002-0000001697-1</t>
  </si>
  <si>
    <t>バス停留所上屋</t>
  </si>
  <si>
    <t>001965:若草園前バス停上屋</t>
  </si>
  <si>
    <t>2016/12/09</t>
  </si>
  <si>
    <t>東和町米川字東綱木10-1</t>
  </si>
  <si>
    <t>14:アーケード又は日よけ設備/その他のもの</t>
  </si>
  <si>
    <t>0710073</t>
  </si>
  <si>
    <t>AsyzAPその他の施設 PPP元キー:00000002-0000001703-1</t>
  </si>
  <si>
    <t>001966:登米市民病院前バス停上屋</t>
  </si>
  <si>
    <t>2016/12/26</t>
  </si>
  <si>
    <t>迫町佐沼字下田中18-1</t>
  </si>
  <si>
    <t>0710074</t>
  </si>
  <si>
    <t>AsyzAPその他の施設 PPP元キー:00000002-0000001704-1</t>
  </si>
  <si>
    <t>豊里こども園（電気設備）</t>
  </si>
  <si>
    <t>001970:豊里こども園</t>
  </si>
  <si>
    <t>豊里町小口前73-1</t>
  </si>
  <si>
    <t>0710079</t>
  </si>
  <si>
    <t>AsyzAP PPP元キー:00000002-0000001708-1</t>
  </si>
  <si>
    <t>豊里こども園（機械設備）</t>
  </si>
  <si>
    <t>AsyzAP PPP元キー:00000002-0000001709-1</t>
  </si>
  <si>
    <t>中津山児童クラブ室エアコン設置工事</t>
  </si>
  <si>
    <t>001971:中津山児童クラブ（中津山小学校）</t>
  </si>
  <si>
    <t>0710080</t>
  </si>
  <si>
    <t>AsyzAP PPP元キー:00000002-0000001710-1</t>
  </si>
  <si>
    <t>1986/07/20</t>
  </si>
  <si>
    <t>津山こども園整備事業（電気設備）</t>
  </si>
  <si>
    <t>AsyzAP PPP元キー:00000002-0000001759-1</t>
  </si>
  <si>
    <t>津山こども園整備事業（機械設備）</t>
  </si>
  <si>
    <t>AsyzAP PPP元キー:00000002-0000001760-1</t>
  </si>
  <si>
    <t>保育所：電気設備（修繕）</t>
  </si>
  <si>
    <t>2017/09/26</t>
  </si>
  <si>
    <t>AsyzAP電気設備　高圧受電設備 PPP元キー:00000002-0000001829-1</t>
  </si>
  <si>
    <t>可燃ごみ施設：電気設備（交換修繕）</t>
  </si>
  <si>
    <t>AsyzAP電気設備　高圧気中開閉器</t>
  </si>
  <si>
    <t>AsyzAP電気設備　高圧気中開閉器 PPP元キー:00000002-0000001839-1</t>
  </si>
  <si>
    <t>AsyzAPプール付属棟 PPP元キー:00000002-0000000459-1</t>
  </si>
  <si>
    <t>AsyzAPプール付属棟 PPP元キー:00000002-0000000613-1</t>
  </si>
  <si>
    <t>1968/08/20</t>
  </si>
  <si>
    <t>1976/07/20</t>
  </si>
  <si>
    <t>バス待合所</t>
  </si>
  <si>
    <t>001926:東和道の駅施設内バス待合所</t>
  </si>
  <si>
    <t>1999/11/08</t>
  </si>
  <si>
    <t>東和町米川字六反56-1</t>
  </si>
  <si>
    <t>0710034</t>
  </si>
  <si>
    <t>001963:登米市民バス停留所上屋（佐沼病院前）</t>
  </si>
  <si>
    <t>2011/05/31</t>
  </si>
  <si>
    <t>迫町佐沼字下田中25-3</t>
  </si>
  <si>
    <t>0710071</t>
  </si>
  <si>
    <t>001964:登米市民バス停留所上屋（豊里病院前）</t>
  </si>
  <si>
    <t>2011/06/14</t>
  </si>
  <si>
    <t>豊里町土手下72-4</t>
  </si>
  <si>
    <t>0710072</t>
  </si>
  <si>
    <t>1975/06/20</t>
  </si>
  <si>
    <t>受水槽</t>
  </si>
  <si>
    <t>1969/07/20</t>
  </si>
  <si>
    <t>建物付属設備：給排水設備（交換）</t>
  </si>
  <si>
    <t>AsyzAP給排水設備　シャワー付風呂釜</t>
  </si>
  <si>
    <t>AsyzAP給排水設備　シャワー付風呂釜 PPP元キー:00000002-0000000998-1</t>
  </si>
  <si>
    <t>AsyzAP給排水設備　旧排水管取替</t>
  </si>
  <si>
    <t>AsyzAP給排水設備　旧排水管取替 PPP元キー:00000002-0000000989-1</t>
  </si>
  <si>
    <t>1982/07/31</t>
  </si>
  <si>
    <t>AsyzAPシャワー付風呂釜　シャワー付風呂釜</t>
  </si>
  <si>
    <t>AsyzAPシャワー付風呂釜　シャワー付風呂釜 PPP元キー:00000002-0000000982-1</t>
  </si>
  <si>
    <t>1982/03/02</t>
  </si>
  <si>
    <t>1981/03/20</t>
  </si>
  <si>
    <t>1976/07/31</t>
  </si>
  <si>
    <t>1989/08/31</t>
  </si>
  <si>
    <t>1970/05/31</t>
  </si>
  <si>
    <t>Ｈ29公営住宅火災報知器及び給水ポンプ改修費</t>
  </si>
  <si>
    <t>AsyzAP関連伝票：0067129001</t>
  </si>
  <si>
    <t>AsyzAP関連伝票：0067129001 PPP元キー:00000002-0000000824-1</t>
  </si>
  <si>
    <t>1993/08/31</t>
  </si>
  <si>
    <t>2020/06/23</t>
  </si>
  <si>
    <t>AsyzAP PPP元キー:00000002-0000000631-1</t>
  </si>
  <si>
    <t>AsyzAP PPP元キー:00000002-0000000630-1</t>
  </si>
  <si>
    <t>AsyzAP PPP元キー:00000002-0000000629-1</t>
  </si>
  <si>
    <t>校舎：機械設備（更新）</t>
  </si>
  <si>
    <t>AsyzAP機械設備　電話設備</t>
  </si>
  <si>
    <t>AsyzAP機械設備　電話設備 PPP元キー:00000002-0000000628-1</t>
  </si>
  <si>
    <t>AsyzAP PPP元キー:00000002-0000000624-1</t>
  </si>
  <si>
    <t>２階教室車いす対応手洗い器</t>
  </si>
  <si>
    <t>2020/03/31</t>
  </si>
  <si>
    <t>AsyzAP PPP元キー:00000002-0000000623-1</t>
  </si>
  <si>
    <t>AsyzAP PPP元キー:00000002-0000000616-1</t>
  </si>
  <si>
    <t>AsyzAP PPP元キー:00000002-0000000611-1</t>
  </si>
  <si>
    <t>AsyzAP電気設備 PPP元キー:00000002-0000000609-1</t>
  </si>
  <si>
    <t>AsyzAP PPP元キー:00000002-0000000601-1</t>
  </si>
  <si>
    <t>AsyzAP PPP元キー:00000002-0000000591-1</t>
  </si>
  <si>
    <t>空調設備（エアコン）</t>
  </si>
  <si>
    <t>AsyzAP PPP元キー:00000002-0000000590-1</t>
  </si>
  <si>
    <t>AsyzAP PPP元キー:00000002-0000000589-1</t>
  </si>
  <si>
    <t>校舎：給排水設備（改修）</t>
  </si>
  <si>
    <t>AsyzAP給排水設備　浄化槽排水用ポンプ</t>
  </si>
  <si>
    <t>AsyzAP給排水設備　浄化槽排水用ポンプ PPP元キー:00000002-0000000588-1</t>
  </si>
  <si>
    <t>2021/03/18</t>
  </si>
  <si>
    <t>AsyzAP PPP元キー:00000002-0000000581-1</t>
  </si>
  <si>
    <t>AsyzAP PPP元キー:00000002-0000000580-1</t>
  </si>
  <si>
    <t>電話設備改修</t>
  </si>
  <si>
    <t>AsyzAP PPP元キー:00000002-0000000579-1</t>
  </si>
  <si>
    <t>AsyzAP空調設備　Ａ重油タンク</t>
  </si>
  <si>
    <t>6:通風又はボイラー設備/冷暖房設備</t>
  </si>
  <si>
    <t>AsyzAP空調設備　Ａ重油タンク PPP元キー:00000002-0000000578-1</t>
  </si>
  <si>
    <t>AsyzAP PPP元キー:00000002-0000000571-1</t>
  </si>
  <si>
    <t>校舎：給排水設備（修繕）</t>
  </si>
  <si>
    <t>AsyzAP給排水設備　浄化槽 PPP元キー:00000002-0000000570-1</t>
  </si>
  <si>
    <t>AsyzAP PPP元キー:00000002-0000000561-1</t>
  </si>
  <si>
    <t>AsyzAP PPP元キー:00000002-0000000560-1</t>
  </si>
  <si>
    <t>2016/07/31</t>
  </si>
  <si>
    <t>AsyzAPプール付属棟</t>
  </si>
  <si>
    <t>AsyzAPプール付属棟 PPP元キー:00000002-0000000559-1</t>
  </si>
  <si>
    <t>AsyzAPプール付属棟 PPP元キー:00000002-0000000556-1</t>
  </si>
  <si>
    <t>2020/06/22</t>
  </si>
  <si>
    <t>AsyzAP PPP元キー:00000002-0000000546-1</t>
  </si>
  <si>
    <t>AsyzAP PPP元キー:00000002-0000000545-1</t>
  </si>
  <si>
    <t>AsyzAP PPP元キー:00000002-0000000544-1</t>
  </si>
  <si>
    <t>西郷児童クラブ室エアコン設置</t>
  </si>
  <si>
    <t>0150023</t>
  </si>
  <si>
    <t>AsyzAP PPP元キー:00000002-0000000537-1</t>
  </si>
  <si>
    <t>AsyzAP PPP元キー:00000002-0000000536-1</t>
  </si>
  <si>
    <t>AsyzAP機械設備　電話設備 PPP元キー:00000002-0000000535-1</t>
  </si>
  <si>
    <t>AsyzAP PPP元キー:00000002-0000000530-1</t>
  </si>
  <si>
    <t>AsyzAP電気設備 PPP元キー:00000002-0000000529-1</t>
  </si>
  <si>
    <t>2020/07/09</t>
  </si>
  <si>
    <t>AsyzAP PPP元キー:00000002-0000000518-1</t>
  </si>
  <si>
    <t>31:調査判明</t>
  </si>
  <si>
    <t>トイレドア改修工事</t>
  </si>
  <si>
    <t>2021/06/18</t>
  </si>
  <si>
    <t>AsyzAP令和２年度請第１０７号　柳津小学校外２施設トイレドア改修工事（小学校分）</t>
  </si>
  <si>
    <t>柳津小学校</t>
  </si>
  <si>
    <t>0:　</t>
  </si>
  <si>
    <t>01:新規</t>
  </si>
  <si>
    <t>02</t>
  </si>
  <si>
    <t>002</t>
  </si>
  <si>
    <t>000</t>
  </si>
  <si>
    <t>510015951</t>
  </si>
  <si>
    <t>12:式</t>
  </si>
  <si>
    <t>AsyzAP令和２年度請第１０７号　柳津小学校外２施設トイレドア改修工事（小学校分） PPP元キー:00000002-0000001907-1</t>
  </si>
  <si>
    <t>登米懐古館</t>
  </si>
  <si>
    <t>2019/09/03</t>
  </si>
  <si>
    <t>2021/06/11</t>
  </si>
  <si>
    <t>AsyzAP令和２年度請第１０１号　中津山小学校外３施設トイレドア改修工事（中学校分）</t>
  </si>
  <si>
    <t>米山中学校</t>
  </si>
  <si>
    <t>03</t>
  </si>
  <si>
    <t>510015944</t>
  </si>
  <si>
    <t>AsyzAP令和２年度請第１０１号　中津山小学校外３施設トイレドア改修工事（中学校分） PPP元キー:00000002-0000001905-1</t>
  </si>
  <si>
    <t>AsyzAP令和２年度請第１０１号　中津山小学校外３施設トイレドア改修工事（小学校分）</t>
  </si>
  <si>
    <t>米山東小学校</t>
  </si>
  <si>
    <t>510015943</t>
  </si>
  <si>
    <t>AsyzAP令和２年度請第１０１号　中津山小学校外３施設トイレドア改修工事（小学校分） PPP元キー:00000002-0000001904-1</t>
  </si>
  <si>
    <t>0:通常財産</t>
  </si>
  <si>
    <t>1:平方メートル</t>
  </si>
  <si>
    <t>米岡小学校</t>
  </si>
  <si>
    <t>AsyzAP令和２年度請第１０１号　中津山小学校外３施設トイレドア改修工事（小学校分） PPP元キー:00000002-0000001903-1</t>
  </si>
  <si>
    <t>中津山小学校</t>
  </si>
  <si>
    <t>AsyzAP令和２年度請第１０１号　中津山小学校外３施設トイレドア改修工事（小学校分） PPP元キー:00000002-0000001902-1</t>
  </si>
  <si>
    <t>AsyzAP令和２年度請第１０２号　石越小学校施設トイレドア改修工事</t>
  </si>
  <si>
    <t>石越小学校</t>
  </si>
  <si>
    <t>510015948</t>
  </si>
  <si>
    <t>AsyzAP令和２年度請第１０２号　石越小学校施設トイレドア改修工事 PPP元キー:00000002-0000001906-1</t>
  </si>
  <si>
    <t>AsyzAP令和２年度請第９９号　石森小学校外３施設トイレドア改修工事（中学校分）</t>
  </si>
  <si>
    <t>中田中学校</t>
  </si>
  <si>
    <t>510015941</t>
  </si>
  <si>
    <t>AsyzAP令和２年度請第９９号　石森小学校外３施設トイレドア改修工事（中学校分） PPP元キー:00000002-0000001901-1</t>
  </si>
  <si>
    <t>AsyzAP令和２年度請第９９号　石森小学校外３施設トイレドア改修工事（小学校分）</t>
  </si>
  <si>
    <t>石森小学校</t>
  </si>
  <si>
    <t>510015940</t>
  </si>
  <si>
    <t>AsyzAP令和２年度請第９９号　石森小学校外３施設トイレドア改修工事（小学校分） PPP元キー:00000002-0000001898-1</t>
  </si>
  <si>
    <t>加賀野小学校</t>
  </si>
  <si>
    <t>AsyzAP令和２年度請第９９号　石森小学校外３施設トイレドア改修工事（小学校分） PPP元キー:00000002-0000001899-1</t>
  </si>
  <si>
    <t>上沼小学校</t>
  </si>
  <si>
    <t>AsyzAP令和２年度請第９９号　石森小学校外３施設トイレドア改修工事（小学校分） PPP元キー:00000002-0000001900-1</t>
  </si>
  <si>
    <t>30:突合</t>
  </si>
  <si>
    <t>石越支団第1分団自動車班ポンプ置場</t>
  </si>
  <si>
    <t>001116:石越支団第1分団自動車班ポンプ置場</t>
  </si>
  <si>
    <t>石越町北郷字長根157-1</t>
  </si>
  <si>
    <t>0030224</t>
  </si>
  <si>
    <t>AsyzAP PPP元キー:00000002-0000000246-1</t>
  </si>
  <si>
    <t>08</t>
  </si>
  <si>
    <t>2023</t>
  </si>
  <si>
    <t>2023/04/01</t>
  </si>
  <si>
    <t>木質バイオマスボイラー建屋</t>
  </si>
  <si>
    <t>2022/03/24</t>
  </si>
  <si>
    <t>AsyzAP道の駅津山木質バイオマスボイラー建屋</t>
  </si>
  <si>
    <t>9860402</t>
  </si>
  <si>
    <t>宮城県登米市津山町横山細屋</t>
  </si>
  <si>
    <t>07</t>
  </si>
  <si>
    <t>510013946</t>
  </si>
  <si>
    <t>0102:補助事業</t>
  </si>
  <si>
    <t>01020102:国庫支出金（資本的）</t>
  </si>
  <si>
    <t>e:その他</t>
  </si>
  <si>
    <t>J:鉄骨造</t>
  </si>
  <si>
    <t>30:金属板葺</t>
  </si>
  <si>
    <t>2005/03/20</t>
  </si>
  <si>
    <t>AsyzAP車庫 PPP元キー:00000002-0000000020-1</t>
  </si>
  <si>
    <t>001925:とよま玄昌石の館</t>
  </si>
  <si>
    <t>0710033</t>
  </si>
  <si>
    <t>2021/09/10</t>
  </si>
  <si>
    <t>06</t>
  </si>
  <si>
    <t>建物/簡易宿所（改修）</t>
  </si>
  <si>
    <t>登米支団消防ポンプ置場</t>
  </si>
  <si>
    <t>001084:登米支団第4分団第8班ポンプ置場</t>
  </si>
  <si>
    <t>2023/04/14</t>
  </si>
  <si>
    <t>AsyzAP登米支団消防ポンプ置場</t>
  </si>
  <si>
    <t>登米町寺池仲町1番地</t>
  </si>
  <si>
    <t>2023/04/21</t>
  </si>
  <si>
    <t>09</t>
  </si>
  <si>
    <t>510040974</t>
  </si>
  <si>
    <t>車庫・倉庫</t>
  </si>
  <si>
    <t>2023/09/29</t>
  </si>
  <si>
    <t>AsyzAP校舎 PPP元キー:00000002-0000000476-1</t>
  </si>
  <si>
    <t>13:基</t>
  </si>
  <si>
    <t>迫支団第7分団第1班ポンプ置場</t>
  </si>
  <si>
    <t>001152:迫支団第7分団第1班ポンプ置場</t>
  </si>
  <si>
    <t>迫町北方字新土手90-2</t>
  </si>
  <si>
    <t>0030141</t>
  </si>
  <si>
    <t>AsyzAP PPP元キー:00000002-0000000155-1</t>
  </si>
  <si>
    <t>作業所</t>
  </si>
  <si>
    <t>001828:中田障害者地域活動支援センター（ばっけの家）</t>
  </si>
  <si>
    <t>1968/06/01</t>
  </si>
  <si>
    <t>AsyzAP小規模作業所施設R4用途廃止</t>
  </si>
  <si>
    <t>中田町宝江黒沼字下道67-3</t>
  </si>
  <si>
    <t>2022/05/31</t>
  </si>
  <si>
    <t>0560003</t>
  </si>
  <si>
    <t>特別支援教室改修工事</t>
  </si>
  <si>
    <t>2022/04/22</t>
  </si>
  <si>
    <t>AsyzAP錦織小学校特別支援教室改修工事</t>
  </si>
  <si>
    <t>錦織小学校</t>
  </si>
  <si>
    <t>510082252</t>
  </si>
  <si>
    <t>研修室</t>
  </si>
  <si>
    <t>0710035</t>
  </si>
  <si>
    <t>中田町上沼字新小塚前1</t>
  </si>
  <si>
    <t>中田児童館：渡り廊下（増築）</t>
  </si>
  <si>
    <t>001723:中田児童館</t>
  </si>
  <si>
    <t>2018/07/06</t>
  </si>
  <si>
    <t>AsyzAP渡り廊下</t>
  </si>
  <si>
    <t>中田町石森字加賀野一丁目17-3</t>
  </si>
  <si>
    <t>0350003</t>
  </si>
  <si>
    <t>AsyzAP渡り廊下 PPP元キー:00000002-0000001346-1</t>
  </si>
  <si>
    <t>2022/04/15</t>
  </si>
  <si>
    <t>AsyzAP加賀野小学校特別支援教室改修工事</t>
  </si>
  <si>
    <t>510077693</t>
  </si>
  <si>
    <t>米山児童館（倉庫）</t>
  </si>
  <si>
    <t>2022/04/01</t>
  </si>
  <si>
    <t>中田保育所（倉庫）</t>
  </si>
  <si>
    <t>1982/03/01</t>
  </si>
  <si>
    <t>AsyzAP倉庫・物置</t>
  </si>
  <si>
    <t>石越支団第1分団詰所</t>
  </si>
  <si>
    <t>001253:石越支団第1分団詰所</t>
  </si>
  <si>
    <t>AsyzAP消防団詰所</t>
  </si>
  <si>
    <t>石越町北郷字遠沢179-5</t>
  </si>
  <si>
    <t>0040016</t>
  </si>
  <si>
    <t>中田支団第7分団第2班ポンプ置場詰所</t>
  </si>
  <si>
    <t>001252:中田支団第7分団第2班ポンプ置場</t>
  </si>
  <si>
    <t>中田町上沼字要害53-4-借地</t>
  </si>
  <si>
    <t>0040015</t>
  </si>
  <si>
    <t>南方支団第7分団第2班ポンプ置場</t>
  </si>
  <si>
    <t>001212:南方支団第7分団第2班ポンプ置場</t>
  </si>
  <si>
    <t>南方町沼崎前167-11</t>
  </si>
  <si>
    <t>0030201</t>
  </si>
  <si>
    <t>南方支団第7分団第1班ポンプ置場</t>
  </si>
  <si>
    <t>001211:南方支団第7分団第1班ポンプ置場</t>
  </si>
  <si>
    <t>南方町中ノ口40-2</t>
  </si>
  <si>
    <t>0030200</t>
  </si>
  <si>
    <t>南方支団第6分団第2班ポンプ置場</t>
  </si>
  <si>
    <t>001210:南方支団第6分団第2班ポンプ置場</t>
  </si>
  <si>
    <t>南方町太田1-31</t>
  </si>
  <si>
    <t>0030199</t>
  </si>
  <si>
    <t>南方支団第6分団第1班ポンプ置場</t>
  </si>
  <si>
    <t>001209:南方支団第6分団第1班ポンプ置場</t>
  </si>
  <si>
    <t>南方町堤田1-2</t>
  </si>
  <si>
    <t>0030198</t>
  </si>
  <si>
    <t>南方支団第5分団第4班ポンプ置場</t>
  </si>
  <si>
    <t>001208:南方支団第5分団第4班ポンプ置場</t>
  </si>
  <si>
    <t>南方町実沢180</t>
  </si>
  <si>
    <t>0030197</t>
  </si>
  <si>
    <t>南方支団第5分団第1班ポンプ置場</t>
  </si>
  <si>
    <t>001206:南方支団第5分団第1班ポンプ置場</t>
  </si>
  <si>
    <t>南方町長根5-7</t>
  </si>
  <si>
    <t>0030195</t>
  </si>
  <si>
    <t>南方支団第4分団第2班ポンプ置場</t>
  </si>
  <si>
    <t>001205:南方支団第4分団第2班ポンプ置場</t>
  </si>
  <si>
    <t>南方町下砥落38-1-先</t>
  </si>
  <si>
    <t>0030194</t>
  </si>
  <si>
    <t>（旧ポンプ置場）南方支団第4分団第4班ポンプ置場</t>
  </si>
  <si>
    <t>001204:南方支団第4分団第4班旧ポンプ置場</t>
  </si>
  <si>
    <t>南方町西山成前71-12</t>
  </si>
  <si>
    <t>0030193</t>
  </si>
  <si>
    <t>（旧ポンプ置場）南方支団第3分団第2班ポンプ置場</t>
  </si>
  <si>
    <t>001202:南方支団第3分団第2班ポンプ置場</t>
  </si>
  <si>
    <t>南方町細川88-1</t>
  </si>
  <si>
    <t>0030191</t>
  </si>
  <si>
    <t>南方支団第2分団第3班ポンプ置場</t>
  </si>
  <si>
    <t>001201:南方支団第2分団第3班ポンプ置場</t>
  </si>
  <si>
    <t>南方町鴻ノ木178-1</t>
  </si>
  <si>
    <t>0030190</t>
  </si>
  <si>
    <t>南方支団第1分団第2班ポンプ置場</t>
  </si>
  <si>
    <t>001199:南方支団第1分団第2班ポンプ置場</t>
  </si>
  <si>
    <t>南方町沢田屋敷183-1</t>
  </si>
  <si>
    <t>0030188</t>
  </si>
  <si>
    <t>迫支団第13分団第1班ポンプ置場</t>
  </si>
  <si>
    <t>001198:迫支団第13分団第1班ポンプ置場</t>
  </si>
  <si>
    <t>迫町新田字山田43-借地</t>
  </si>
  <si>
    <t>0030187</t>
  </si>
  <si>
    <t>南方支団第4分団第1班ポンプ置場</t>
  </si>
  <si>
    <t>001197:南方支団第4分団第1班ポンプ置場</t>
  </si>
  <si>
    <t>0030186</t>
  </si>
  <si>
    <t>南方支団第3分団第3班ポンプ置場</t>
  </si>
  <si>
    <t>001196:南方支団第3分団第3班ポンプ置場</t>
  </si>
  <si>
    <t>南方町新田15-1</t>
  </si>
  <si>
    <t>0030185</t>
  </si>
  <si>
    <t>米山支団第9分団第2班ポンプ置場</t>
  </si>
  <si>
    <t>001195:米山支団第9分団第2班ポンプ置場</t>
  </si>
  <si>
    <t>米山町中津山字平潟234</t>
  </si>
  <si>
    <t>0030184</t>
  </si>
  <si>
    <t>米山支団第9分団第1班ポンプ置場</t>
  </si>
  <si>
    <t>001194:米山支団第9分団第1班ポンプ置場</t>
  </si>
  <si>
    <t>米山町中津山字壇ノ前7-1</t>
  </si>
  <si>
    <t>0030183</t>
  </si>
  <si>
    <t>米山支団第2分団第1班ポンプ置場</t>
  </si>
  <si>
    <t>001193:米山支団第2分団第1班ポンプ置場</t>
  </si>
  <si>
    <t>米山町字桜岡上待井259-7-地内</t>
  </si>
  <si>
    <t>0030182</t>
  </si>
  <si>
    <t>豊里支団第5班団第3班ポンプ置場</t>
  </si>
  <si>
    <t>001192:豊里支団第5分団第3班ポンプ置場</t>
  </si>
  <si>
    <t>豊里町鳥越145-1</t>
  </si>
  <si>
    <t>0030181</t>
  </si>
  <si>
    <t>豊里支団第3分団第2班・第3班ポンプ置場</t>
  </si>
  <si>
    <t>001191:豊里支団第3分団第2班・第3班ポンプ置場</t>
  </si>
  <si>
    <t>豊里町二ツ屋360-14</t>
  </si>
  <si>
    <t>0030180</t>
  </si>
  <si>
    <t>東和支団第1分団第2班ポンプ置場</t>
  </si>
  <si>
    <t>001190:東和支団第1分団第2班ポンプ置場</t>
  </si>
  <si>
    <t>東和町米谷字日面84-6-地内</t>
  </si>
  <si>
    <t>0030179</t>
  </si>
  <si>
    <t>津山支団第4分団第1班・第2班ポンプ置場兼詰所</t>
  </si>
  <si>
    <t>001189:津山支団第4分団第1班・第2班ポンプ置場</t>
  </si>
  <si>
    <t>津山町柳津字黄牛田高畑21-5</t>
  </si>
  <si>
    <t>0030178</t>
  </si>
  <si>
    <t>津山支団第5分団第3班ポンプ置場兼詰所</t>
  </si>
  <si>
    <t>001187:津山支団第5分団第3班ポンプ置場</t>
  </si>
  <si>
    <t>津山町柳津字町13-3</t>
  </si>
  <si>
    <t>0030176</t>
  </si>
  <si>
    <t>津山支団第5分団第2班ポンプ置場兼詰所</t>
  </si>
  <si>
    <t>001186:津山支団第5分団第2班ポンプ置場</t>
  </si>
  <si>
    <t>津山町柳津字入土45-1</t>
  </si>
  <si>
    <t>0030175</t>
  </si>
  <si>
    <t>米山支団第2分団第2班ポンプ置場</t>
  </si>
  <si>
    <t>001089:米山支団第2分団第2班ポンプ置場</t>
  </si>
  <si>
    <t>米山町字桜岡大又159-1</t>
  </si>
  <si>
    <t>0030078</t>
  </si>
  <si>
    <t>中田支団第3分団第2班ポンプ置場</t>
  </si>
  <si>
    <t>001055:中田支団第3分団第2班ポンプ置場</t>
  </si>
  <si>
    <t>2002/03/01</t>
  </si>
  <si>
    <t>中田町石森字蓬田208-1-地内</t>
  </si>
  <si>
    <t>0030044</t>
  </si>
  <si>
    <t>中田支団第10分団第3班ポンプ置場</t>
  </si>
  <si>
    <t>001054:中田支団第10分団第3班ポンプ置場</t>
  </si>
  <si>
    <t>中田町浅水字新田248-1-借地</t>
  </si>
  <si>
    <t>0030043</t>
  </si>
  <si>
    <t>中田支団第10分団第1班ポンプ置場</t>
  </si>
  <si>
    <t>001053:中田支団第10分団1班ポンプ置場</t>
  </si>
  <si>
    <t>中田町浅水字中川面25-1</t>
  </si>
  <si>
    <t>0030042</t>
  </si>
  <si>
    <t>中田支団第12分団第1班ポンプ置場</t>
  </si>
  <si>
    <t>001051:中田支団第12分団第1班ポンプ置場</t>
  </si>
  <si>
    <t>中田町浅水字小島443-1-借地</t>
  </si>
  <si>
    <t>0030040</t>
  </si>
  <si>
    <t>南方支団第3分団第１班ポンプ置場</t>
  </si>
  <si>
    <t>001047:南方支団第3分団第1班ポンプ置場</t>
  </si>
  <si>
    <t>2014/02/01</t>
  </si>
  <si>
    <t>南方町新大畑前126</t>
  </si>
  <si>
    <t>0030036</t>
  </si>
  <si>
    <t>AsyzAP消防ポンプ格納施設 PPP元キー:00000002-0000000040-1</t>
  </si>
  <si>
    <t>中田支団第9分団第3班ポンプ置場（大泉門畑）</t>
  </si>
  <si>
    <t>001046:中田支団第9分団第3班ポンプ置場</t>
  </si>
  <si>
    <t>中田町内</t>
  </si>
  <si>
    <t>0030035</t>
  </si>
  <si>
    <t>津山支団第5分団第1班ポンプ置場兼詰所</t>
  </si>
  <si>
    <t>001185:津山支団第5分団第1班ポンプ置場</t>
  </si>
  <si>
    <t>津山町柳津字堂前58-1</t>
  </si>
  <si>
    <t>0030174</t>
  </si>
  <si>
    <t>米山支団第4分団第4班ポンプ置場</t>
  </si>
  <si>
    <t>001098:米山支団第4分団第4班ポンプ置場</t>
  </si>
  <si>
    <t>米山町西野字平埣85-15</t>
  </si>
  <si>
    <t>0030087</t>
  </si>
  <si>
    <t>米山支団第5分団第1班ポンプ置場</t>
  </si>
  <si>
    <t>001097:米山支団第5分団第1班ポンプ置場</t>
  </si>
  <si>
    <t>0030086</t>
  </si>
  <si>
    <t>米山支団第4分団第1班ポンプ置場</t>
  </si>
  <si>
    <t>001096:米山支団第4分団第1班ポンプ置場</t>
  </si>
  <si>
    <t>米山町西野字中島134-1-の内</t>
  </si>
  <si>
    <t>0030085</t>
  </si>
  <si>
    <t>米山支団第5分団第2班ポンプ置場</t>
  </si>
  <si>
    <t>001095:米山支団第5分団第2班ポンプ置場</t>
  </si>
  <si>
    <t>米山町西野字的場181-1</t>
  </si>
  <si>
    <t>0030084</t>
  </si>
  <si>
    <t>米山支団第2分団第3班ポンプ置場</t>
  </si>
  <si>
    <t>001094:米山支団第2分団第3班ポンプ置場</t>
  </si>
  <si>
    <t>米山町字桜岡今泉256-2</t>
  </si>
  <si>
    <t>0030083</t>
  </si>
  <si>
    <t>登米中学校屋根改修工事</t>
  </si>
  <si>
    <t>2022/07/15</t>
  </si>
  <si>
    <t>AsyzAP登米中学校屋根改修工事</t>
  </si>
  <si>
    <t>登米町大字日根牛小川向１０</t>
  </si>
  <si>
    <t>2023/02/03</t>
  </si>
  <si>
    <t>510017591</t>
  </si>
  <si>
    <t>一式工事の為、数量の減少なし</t>
  </si>
  <si>
    <t>東和定住促進住宅外壁等改修工事</t>
  </si>
  <si>
    <t>2023/03/17</t>
  </si>
  <si>
    <t>AsyzAP東和定住促進住宅外壁等改修工事（１号棟・集会所）</t>
  </si>
  <si>
    <t>東和町米谷字越路 地内</t>
  </si>
  <si>
    <t>510048651</t>
  </si>
  <si>
    <t>金沢山南第二住宅１号棟屋上防水工事</t>
  </si>
  <si>
    <t>AsyzAP請第５３号　金沢山南第二住宅１号棟屋上防水工事：前払金</t>
  </si>
  <si>
    <t>2023/04/07</t>
  </si>
  <si>
    <t>510067074</t>
  </si>
  <si>
    <t>米山支団第1分団第1班ポンプ置場</t>
  </si>
  <si>
    <t>001093:米山支団第1分団第2班ポンプ置場</t>
  </si>
  <si>
    <t>米山町字桜岡畑崎37-2</t>
  </si>
  <si>
    <t>0030082</t>
  </si>
  <si>
    <t>米山支団第3分団第2班ポンプ置場</t>
  </si>
  <si>
    <t>001092:米山支団第3分団第2班ポンプ置場</t>
  </si>
  <si>
    <t>米山町字善王寺中新田56-1</t>
  </si>
  <si>
    <t>0030081</t>
  </si>
  <si>
    <t>米山支団第3分団第1班ポンプ置場</t>
  </si>
  <si>
    <t>001090:米山支団第3分団第1班ポンプ置場</t>
  </si>
  <si>
    <t>米山町字善王寺和道64-1</t>
  </si>
  <si>
    <t>0030079</t>
  </si>
  <si>
    <t>中田支団第2分団第2班ポンプ置場</t>
  </si>
  <si>
    <t>001057:中田支団第2分団第2班ポンプ置場</t>
  </si>
  <si>
    <t>0030046</t>
  </si>
  <si>
    <t>登米支団第3分団第6班旧ポンプ置場</t>
  </si>
  <si>
    <t>001087:登米支団第3分団第6班旧ポンプ置場</t>
  </si>
  <si>
    <t>登米町小島西針田65</t>
  </si>
  <si>
    <t>0030076</t>
  </si>
  <si>
    <t>登米支団第4分団7班ポンプ置場</t>
  </si>
  <si>
    <t>001086:登米支団第4分団第7班ポンプ置場</t>
  </si>
  <si>
    <t>登米町寺池前舟橋120-3</t>
  </si>
  <si>
    <t>0030075</t>
  </si>
  <si>
    <t>登米支団第2分団第4班ポンプ置場兼詰所</t>
  </si>
  <si>
    <t>001085:登米支団第2分団第4班ポンプ置場</t>
  </si>
  <si>
    <t>登米町寺池桜小路103-4</t>
  </si>
  <si>
    <t>0030074</t>
  </si>
  <si>
    <t>登米支団第4分団第4班旧ポンプ置場</t>
  </si>
  <si>
    <t>0030073</t>
  </si>
  <si>
    <t>登米支団第3分団第5班ポンプ置場</t>
  </si>
  <si>
    <t>001083:登米支団第3分団第5班ポンプ置場</t>
  </si>
  <si>
    <t>登米町寺池八丁田待井54</t>
  </si>
  <si>
    <t>0030072</t>
  </si>
  <si>
    <t>登米支団第2分団第3班ポンプ置場</t>
  </si>
  <si>
    <t>001082:登米支団第2分団第1班ポンプ置場</t>
  </si>
  <si>
    <t>登米町寺池荒町54-4-隣</t>
  </si>
  <si>
    <t>0030071</t>
  </si>
  <si>
    <t>登米支団第1分団第2班ポンプ置場</t>
  </si>
  <si>
    <t>001081:登米支団第1分団第2班ポンプ置場</t>
  </si>
  <si>
    <t>登米町大字日根牛五郎峯15</t>
  </si>
  <si>
    <t>0030070</t>
  </si>
  <si>
    <t>登米支団第1分団第1班ポンプ置場</t>
  </si>
  <si>
    <t>001080:登米支団第1分団第1班ポンプ置場</t>
  </si>
  <si>
    <t>登米町大字日根牛入谷68</t>
  </si>
  <si>
    <t>0030069</t>
  </si>
  <si>
    <t>登米児童館（倉庫）</t>
  </si>
  <si>
    <t>登米町寺池目子待井391-1</t>
  </si>
  <si>
    <t>0130010</t>
  </si>
  <si>
    <t>南方支団第1分団第1班ポンプ置場</t>
  </si>
  <si>
    <t>001079:南方支団第1分団第1班ポンプ置場</t>
  </si>
  <si>
    <t>南方町内</t>
  </si>
  <si>
    <t>0030068</t>
  </si>
  <si>
    <t>中田支団第4分団第１班ポンプ置場詰所</t>
  </si>
  <si>
    <t>001078:中田支団第4分団第1班ポンプ置場</t>
  </si>
  <si>
    <t>1992/08/01</t>
  </si>
  <si>
    <t>中田町宝江黒沼字町64-の内</t>
  </si>
  <si>
    <t>0030067</t>
  </si>
  <si>
    <t>中田支団第6分団第2班ポンプ置場</t>
  </si>
  <si>
    <t>001074:中田支団第6分団第2班ポンプ置場</t>
  </si>
  <si>
    <t>中田町宝江新井田字上待井31</t>
  </si>
  <si>
    <t>0030063</t>
  </si>
  <si>
    <t>津山支団第3分団第3班ポンプ置場兼詰所</t>
  </si>
  <si>
    <t>001184:津山支団第3分団第3班ポンプ置場</t>
  </si>
  <si>
    <t>津山町柳津字舘石94-2</t>
  </si>
  <si>
    <t>0030173</t>
  </si>
  <si>
    <t>中田支団第5分団第3班ポンプ置場</t>
  </si>
  <si>
    <t>001072:中田支団第5分団第3班ポンプ置場</t>
  </si>
  <si>
    <t>中田町宝江黒沼字葉ノ木立85-1-借地</t>
  </si>
  <si>
    <t>0030061</t>
  </si>
  <si>
    <t>中田支団第9分団第2班ポンプ置場</t>
  </si>
  <si>
    <t>001067:中田支団第9分団第2班ポンプ置場</t>
  </si>
  <si>
    <t>2001/03/01</t>
  </si>
  <si>
    <t>0030056</t>
  </si>
  <si>
    <t>510028086</t>
  </si>
  <si>
    <t>AsyzAP体育館 PPP元キー:00000002-0000001413-1</t>
  </si>
  <si>
    <t>中田支団第9分団第１班ポンプ置場</t>
  </si>
  <si>
    <t>001066:中田支団第9分団第1班ポンプ置場</t>
  </si>
  <si>
    <t>中田町上沼字長根23-3</t>
  </si>
  <si>
    <t>0030055</t>
  </si>
  <si>
    <t>中田支団第8分団第4班ポンプ置場</t>
  </si>
  <si>
    <t>001064:中田支団第8分団第4班ポンプ置場</t>
  </si>
  <si>
    <t>中田町上沼字弥勒寺中下22-2</t>
  </si>
  <si>
    <t>0030053</t>
  </si>
  <si>
    <t>津山支団第3分団第2班ポンプ置場兼詰所</t>
  </si>
  <si>
    <t>001183:津山支団第3分団第2班ポンプ置場</t>
  </si>
  <si>
    <t>津山町柳津字黄牛宇名31-2</t>
  </si>
  <si>
    <t>0030172</t>
  </si>
  <si>
    <t>津山支団第3分団第1班ポンプ置場兼詰所</t>
  </si>
  <si>
    <t>001182:津山支団第3分団第1班ポンプ置場</t>
  </si>
  <si>
    <t>津山町柳津字黄牛新岩前67-2</t>
  </si>
  <si>
    <t>0030171</t>
  </si>
  <si>
    <t>津山支団第2分団第2班ポンプ置場兼詰所</t>
  </si>
  <si>
    <t>001181:津山支団第2分団第2班ポンプ置場</t>
  </si>
  <si>
    <t>津山町横山字寺倉112-5</t>
  </si>
  <si>
    <t>0030170</t>
  </si>
  <si>
    <t>中田支団第1分団第１班ポンプ置場兼詰所</t>
  </si>
  <si>
    <t>001063:中田支団第1分団第1班ポンプ置場</t>
  </si>
  <si>
    <t>1995/03/01</t>
  </si>
  <si>
    <t>中田町石森字越戸9-1</t>
  </si>
  <si>
    <t>0030052</t>
  </si>
  <si>
    <t>津山支団第2分団第１班ポンプ置場兼詰所</t>
  </si>
  <si>
    <t>001180:津山支団第2分団第1班ポンプ置場</t>
  </si>
  <si>
    <t>津山町横山字久保82-7</t>
  </si>
  <si>
    <t>0030169</t>
  </si>
  <si>
    <t>津山支団第１分団第２班詰所兼水防倉庫</t>
  </si>
  <si>
    <t>001179:津山支団第1分団第2班詰所</t>
  </si>
  <si>
    <t>AsyzAP消防団詰所兼水防倉庫</t>
  </si>
  <si>
    <t>津山町横山字上鴻巣94</t>
  </si>
  <si>
    <t>0030168</t>
  </si>
  <si>
    <t>旧中田支団第2分団第2班ポンプ置場</t>
  </si>
  <si>
    <t>中田支団第11分団第3班ポンプ置場</t>
  </si>
  <si>
    <t>001049:中田支団第11分団第3班ポンプ置場</t>
  </si>
  <si>
    <t>中田町浅水字駒形195-6-の内</t>
  </si>
  <si>
    <t>0030038</t>
  </si>
  <si>
    <t>豊里支団第6分団第2班ポンプ置場</t>
  </si>
  <si>
    <t>001175:豊里支団第6分団第2班ポンプ置場</t>
  </si>
  <si>
    <t>豊里町小谷地304</t>
  </si>
  <si>
    <t>0030164</t>
  </si>
  <si>
    <t>豊里支団第6分団第1班ポンプ置場</t>
  </si>
  <si>
    <t>001173:豊里支団第6分団第1班ポンプ置場</t>
  </si>
  <si>
    <t>豊里町白鳥20-2</t>
  </si>
  <si>
    <t>0030162</t>
  </si>
  <si>
    <t>豊里支団第3分団第4班ポンプ置場</t>
  </si>
  <si>
    <t>001172:豊里支団第3分団第4班ポンプ置場</t>
  </si>
  <si>
    <t>1978/03/28</t>
  </si>
  <si>
    <t>豊里町上谷地3-2</t>
  </si>
  <si>
    <t>0030161</t>
  </si>
  <si>
    <t>豊里支団第3分団第5班ポンプ置場</t>
  </si>
  <si>
    <t>001168:豊里支団第3分団第5班ポンプ置場</t>
  </si>
  <si>
    <t>1990/03/30</t>
  </si>
  <si>
    <t>豊里町外五番江133-地内</t>
  </si>
  <si>
    <t>0030157</t>
  </si>
  <si>
    <t>豊里支団第5分団第2班ポンプ置場</t>
  </si>
  <si>
    <t>001167:豊里支団第5分団第2班ポンプ置場</t>
  </si>
  <si>
    <t>1982/03/30</t>
  </si>
  <si>
    <t>豊里町久寿田79-3</t>
  </si>
  <si>
    <t>0030156</t>
  </si>
  <si>
    <t>豊里支団第１分団第2班ポンプ置場</t>
  </si>
  <si>
    <t>001165:豊里支団第1分団第2班ポンプ置場</t>
  </si>
  <si>
    <t>豊里町下古屋12-1</t>
  </si>
  <si>
    <t>0030154</t>
  </si>
  <si>
    <t>迫支団第15分団第1班ポンプ置場</t>
  </si>
  <si>
    <t>001164:迫支団第15分団第1班ポンプ置場</t>
  </si>
  <si>
    <t>迫町森字新道360-4-借地</t>
  </si>
  <si>
    <t>0030153</t>
  </si>
  <si>
    <t>迫支団第15分団第2班ポンプ置場</t>
  </si>
  <si>
    <t>001163:迫支団第15分団第2班ポンプ置場</t>
  </si>
  <si>
    <t>迫町森字吐出421-2-借地</t>
  </si>
  <si>
    <t>0030152</t>
  </si>
  <si>
    <t>迫支団第14分団第1班ポンプ置場</t>
  </si>
  <si>
    <t>001162:迫支団第14分団第1班ポンプ置場</t>
  </si>
  <si>
    <t>迫町森字平柳119-2-借地</t>
  </si>
  <si>
    <t>0030151</t>
  </si>
  <si>
    <t>迫支団第13分団第2班ポンプ置場</t>
  </si>
  <si>
    <t>001161:迫支団第13分団第2班ポンプ置場</t>
  </si>
  <si>
    <t>迫町新田字大形173-4-借地</t>
  </si>
  <si>
    <t>0030150</t>
  </si>
  <si>
    <t>迫支団第12分団第1班ポンプ置場</t>
  </si>
  <si>
    <t>001160:迫支団第12分団第1班ポンプ置場</t>
  </si>
  <si>
    <t>迫町新田字前沼92-1-借地</t>
  </si>
  <si>
    <t>0030149</t>
  </si>
  <si>
    <t>迫支団第12分団第2班ポンプ置場</t>
  </si>
  <si>
    <t>001159:迫支団第12分団第2班ポンプ置場</t>
  </si>
  <si>
    <t>迫町新田字蒲3-2-借地</t>
  </si>
  <si>
    <t>0030148</t>
  </si>
  <si>
    <t>迫支団第11分団第2班ポンプ置場</t>
  </si>
  <si>
    <t>001158:迫支団第11分団第2班ポンプ置場</t>
  </si>
  <si>
    <t>迫町新田字山ノ神126-借地</t>
  </si>
  <si>
    <t>0030147</t>
  </si>
  <si>
    <t>豊里支団本部分団ポンプ庫</t>
  </si>
  <si>
    <t>001236:豊里支団本部分団ポンプ庫</t>
  </si>
  <si>
    <t>2020/06/03</t>
  </si>
  <si>
    <t>豊里町新町9-11</t>
  </si>
  <si>
    <t>0030225</t>
  </si>
  <si>
    <t>AsyzAP PPP元キー:00000002-0000000247-1</t>
  </si>
  <si>
    <t>米山支団第8分団第1班消防ポンプ置場</t>
  </si>
  <si>
    <t>001106:米山支団第8分団第1班ポンプ置場</t>
  </si>
  <si>
    <t>米山町中津山字東千貫47</t>
  </si>
  <si>
    <t>0030223</t>
  </si>
  <si>
    <t>AsyzAP消防ポンプ格納施設 PPP元キー:00000002-0000000245-1</t>
  </si>
  <si>
    <t>迫支団第10分団第2班ポンプ置場</t>
  </si>
  <si>
    <t>001157:迫支団第10分団第2班ポンプ置場</t>
  </si>
  <si>
    <t>迫町新田字彦道125-1-借地</t>
  </si>
  <si>
    <t>0030146</t>
  </si>
  <si>
    <t>迫支団第9分団第2班ポンプ置場</t>
  </si>
  <si>
    <t>001155:迫支団第9分団第2班ポンプ置場</t>
  </si>
  <si>
    <t>迫町新田字北立戸1-3-借地</t>
  </si>
  <si>
    <t>0030144</t>
  </si>
  <si>
    <t>迫支団第9分団第1班消防ポンプ置場</t>
  </si>
  <si>
    <t>001156:迫支団第9分団第1班ポンプ置場</t>
  </si>
  <si>
    <t>迫町新田字台所75-1</t>
  </si>
  <si>
    <t>0030221</t>
  </si>
  <si>
    <t>AsyzAP消防ポンプ格納施設 PPP元キー:00000002-0000000242-1</t>
  </si>
  <si>
    <t>米山支団だ4分団第2・3班ポンプ置場</t>
  </si>
  <si>
    <t>001231:米山支団第4分団第2・3班ポンプ置場</t>
  </si>
  <si>
    <t>2017/02/20</t>
  </si>
  <si>
    <t>米山町西野字下小路2-2</t>
  </si>
  <si>
    <t>0030220</t>
  </si>
  <si>
    <t>AsyzAP消防ポンプ格納施設 PPP元キー:00000002-0000000241-1</t>
  </si>
  <si>
    <t>米山支団第6分団第2班ポンプ置場</t>
  </si>
  <si>
    <t>001230:米山支団第6分団第2班ポンプ置場</t>
  </si>
  <si>
    <t>米山町中津山字弥蔵壇60</t>
  </si>
  <si>
    <t>0030219</t>
  </si>
  <si>
    <t>AsyzAP消防ポンプ格納施設 PPP元キー:00000002-0000000240-1</t>
  </si>
  <si>
    <t>南方支団第6分団第3班ポンプ置場</t>
  </si>
  <si>
    <t>001229:南方支団第6分団第3班ポンプ置場</t>
  </si>
  <si>
    <t>2016/02/22</t>
  </si>
  <si>
    <t>南方町畑岡2</t>
  </si>
  <si>
    <t>0030218</t>
  </si>
  <si>
    <t>AsyzAP消防ポンプ格納施設 PPP元キー:00000002-0000000239-1</t>
  </si>
  <si>
    <t>南方支団第1分団第3班ポンプ置場</t>
  </si>
  <si>
    <t>001228:南方支団第1分団第3班ポンプ置場</t>
  </si>
  <si>
    <t>南方町青島屋敷1</t>
  </si>
  <si>
    <t>0030217</t>
  </si>
  <si>
    <t>AsyzAP消防ポンプ格納施設 PPP元キー:00000002-0000000237-1</t>
  </si>
  <si>
    <t>豊里支団第2分団第3班ポンプ置場</t>
  </si>
  <si>
    <t>001226:豊里支団第2分団第3班ポンプ置場</t>
  </si>
  <si>
    <t>2015/03/17</t>
  </si>
  <si>
    <t>豊里町上屋浦214-4</t>
  </si>
  <si>
    <t>0030215</t>
  </si>
  <si>
    <t>AsyzAP消防ポンプ格納施設 PPP元キー:00000002-0000000234-1</t>
  </si>
  <si>
    <t>中田支団第11分団第１班ポンプ置場</t>
  </si>
  <si>
    <t>001225:中田支団第11分団第1班ポンプ置場</t>
  </si>
  <si>
    <t>中田町浅水字鮎川田216-1</t>
  </si>
  <si>
    <t>0030214</t>
  </si>
  <si>
    <t>AsyzAP消防ポンプ格納施設 PPP元キー:00000002-0000000233-1</t>
  </si>
  <si>
    <t>東和支団第3分団第4班ポンプ置場</t>
  </si>
  <si>
    <t>001224:東和支団第3分団第4班ポンプ置場</t>
  </si>
  <si>
    <t>東和町米谷字新大沢95-2</t>
  </si>
  <si>
    <t>0030213</t>
  </si>
  <si>
    <t>AsyzAP消防ポンプ格納施設 PPP元キー:00000002-0000000232-1</t>
  </si>
  <si>
    <t>南方支団第5分団第3班ポンプ置場</t>
  </si>
  <si>
    <t>001223:南方支団第5分団第3班ポンプ置場</t>
  </si>
  <si>
    <t>南方町板ケ沢32-2</t>
  </si>
  <si>
    <t>0030212</t>
  </si>
  <si>
    <t>AsyzAP消防ポンプ格納施設 PPP元キー:00000002-0000000231-1</t>
  </si>
  <si>
    <t>中田支団第6分団第3班ポンプ置場</t>
  </si>
  <si>
    <t>001222:中田支団第6分団第3班ポンプ置場</t>
  </si>
  <si>
    <t>2013/05/24</t>
  </si>
  <si>
    <t>中田町宝江新井田字要害142-1</t>
  </si>
  <si>
    <t>0030211</t>
  </si>
  <si>
    <t>AsyzAP消防ポンプ格納施設 PPP元キー:00000002-0000000230-1</t>
  </si>
  <si>
    <t>南方支団第3分団第4班ポンプ置場</t>
  </si>
  <si>
    <t>001221:南方支団第3分団第4班消防ポンプ置場</t>
  </si>
  <si>
    <t>2012/04/25</t>
  </si>
  <si>
    <t>南方町梶沼71-2</t>
  </si>
  <si>
    <t>0030210</t>
  </si>
  <si>
    <t>AsyzAP消防ポンプ格納施設 PPP元キー:00000002-0000000229-1</t>
  </si>
  <si>
    <t>南方支団第4分団第3班ポンプ置場</t>
  </si>
  <si>
    <t>001220:南方支団第4分団第3班消防ポンプ置場</t>
  </si>
  <si>
    <t>南方町大袋浦588</t>
  </si>
  <si>
    <t>0030209</t>
  </si>
  <si>
    <t>AsyzAP消防ポンプ格納施設 PPP元キー:00000002-0000000228-1</t>
  </si>
  <si>
    <t>南方支団第２分団第2班ポンプ置場</t>
  </si>
  <si>
    <t>001219:南方支団第2分団第2班消防ポンプ置場</t>
  </si>
  <si>
    <t>0030208</t>
  </si>
  <si>
    <t>AsyzAP消防ポンプ格納施設 PPP元キー:00000002-0000000227-1</t>
  </si>
  <si>
    <t>迫支団第4分団第2班ポンプ置場</t>
  </si>
  <si>
    <t>001218:迫支団第4分団第2班消防ポンプ置場</t>
  </si>
  <si>
    <t>0030207</t>
  </si>
  <si>
    <t>AsyzAP消防ポンプ格納施設 PPP元キー:00000002-0000000226-1</t>
  </si>
  <si>
    <t>東和支団第3分団第1班ポンプ置場</t>
  </si>
  <si>
    <t>001217:東和支団第3分団第1班ポンプ置場</t>
  </si>
  <si>
    <t>2011/03/15</t>
  </si>
  <si>
    <t>東和町米谷字南沢54-1</t>
  </si>
  <si>
    <t>0030206</t>
  </si>
  <si>
    <t>AsyzAP消防ポンプ格納施設 PPP元キー:00000002-0000000225-1</t>
  </si>
  <si>
    <t>南方支団第4分団第5班ポンプ置場</t>
  </si>
  <si>
    <t>001216:南方支団第4分団第5班ポンプ置場</t>
  </si>
  <si>
    <t>2011/02/22</t>
  </si>
  <si>
    <t>南方町中高石18-1</t>
  </si>
  <si>
    <t>0030205</t>
  </si>
  <si>
    <t>AsyzAP消防ポンプ格納施設 PPP元キー:00000002-0000000224-1</t>
  </si>
  <si>
    <t>登米支団第3分団第6班ポンプ置場</t>
  </si>
  <si>
    <t>001215:登米支団第3分団第6班ポンプ置場</t>
  </si>
  <si>
    <t>登米町小島木戸崎100-1</t>
  </si>
  <si>
    <t>0030204</t>
  </si>
  <si>
    <t>AsyzAP消防ポンプ格納施設 PPP元キー:00000002-0000000223-1</t>
  </si>
  <si>
    <t>001214:登米市消防団豊里支団第3分団第2・3班消防ポンプ庫</t>
  </si>
  <si>
    <t>2008/09/25</t>
  </si>
  <si>
    <t>0030203</t>
  </si>
  <si>
    <t>AsyzAP消防ポンプ格納施設 PPP元キー:00000002-0000000222-1</t>
  </si>
  <si>
    <t>南方支団第7分団第3班ポンプ置場</t>
  </si>
  <si>
    <t>001213:南方支団第7分団第3班ポンプ置場</t>
  </si>
  <si>
    <t>南方町三代前27-2</t>
  </si>
  <si>
    <t>0030202</t>
  </si>
  <si>
    <t>AsyzAP PPP元キー:00000002-0000000221-1</t>
  </si>
  <si>
    <t>津山支団第1分団第2班ポンプ置場</t>
  </si>
  <si>
    <t>001188:津山支団第1分団第2班ポンプ置場</t>
  </si>
  <si>
    <t>2008/03/28</t>
  </si>
  <si>
    <t>津山町横山字上の山41-1</t>
  </si>
  <si>
    <t>0030177</t>
  </si>
  <si>
    <t>AsyzAP消防ポンプ格納施設 PPP元キー:00000002-0000000195-1</t>
  </si>
  <si>
    <t>豊里支団第2分団第4班ポンプ置場</t>
  </si>
  <si>
    <t>001177:豊里支団第2分団第4班ポンプ置場</t>
  </si>
  <si>
    <t>豊里町浦軒46-6</t>
  </si>
  <si>
    <t>0030166</t>
  </si>
  <si>
    <t>AsyzAP消防ポンプ格納施設 PPP元キー:00000002-0000000184-1</t>
  </si>
  <si>
    <t>豊里支団第１分団第1班ポンプ置場</t>
  </si>
  <si>
    <t>001176:豊里支団第1分団第1班ポンプ置場</t>
  </si>
  <si>
    <t>豊里町長根浦250</t>
  </si>
  <si>
    <t>0030165</t>
  </si>
  <si>
    <t>AsyzAP消防ポンプ格納施設 PPP元キー:00000002-0000000183-1</t>
  </si>
  <si>
    <t>豊里支団第4分団第3班ポンプ置場</t>
  </si>
  <si>
    <t>001171:豊里支団第4分団第3班ポンプ置場</t>
  </si>
  <si>
    <t>2004/04/10</t>
  </si>
  <si>
    <t>豊里町内</t>
  </si>
  <si>
    <t>0030160</t>
  </si>
  <si>
    <t>AsyzAP消防ポンプ格納施設 PPP元キー:00000002-0000000176-1</t>
  </si>
  <si>
    <t>豊里支団第4分団第1班・第2班ポンプ置場</t>
  </si>
  <si>
    <t>AsyzAP消防ポンプ格納施設 PPP元キー:00000002-0000000175-1</t>
  </si>
  <si>
    <t>豊里支団第6分団第3班ポンプ置場</t>
  </si>
  <si>
    <t>001170:豊里支団第6分団第3班ポンプ置場</t>
  </si>
  <si>
    <t>豊里町沢尻166</t>
  </si>
  <si>
    <t>0030159</t>
  </si>
  <si>
    <t>AsyzAP消防ポンプ格納施設 PPP元キー:00000002-0000000174-1</t>
  </si>
  <si>
    <t>豊里支団第5分団第1班ポンプ置場</t>
  </si>
  <si>
    <t>001169:豊里支団第5分団第1班ポンプ置場</t>
  </si>
  <si>
    <t>2000/03/27</t>
  </si>
  <si>
    <t>豊里町中沼田69-1-地内</t>
  </si>
  <si>
    <t>0030158</t>
  </si>
  <si>
    <t>AsyzAP消防ポンプ格納施設 PPP元キー:00000002-0000000173-1</t>
  </si>
  <si>
    <t>迫支団第12分団第1班ポンプ置場（改修費）</t>
  </si>
  <si>
    <t>AsyzAP消防ポンプ格納施設 PPP元キー:00000002-0000000164-1</t>
  </si>
  <si>
    <t>迫支団第1分団第1班ポンプ置場（改修費）</t>
  </si>
  <si>
    <t>001143:迫支団第1分団第1班ポンプ置場</t>
  </si>
  <si>
    <t>迫町佐沼字下田中25-借地</t>
  </si>
  <si>
    <t>0030132</t>
  </si>
  <si>
    <t>AsyzAP消防ポンプ格納施設 PPP元キー:00000002-0000000145-1</t>
  </si>
  <si>
    <t>迫支団第11分団第1班ポンプ置場</t>
  </si>
  <si>
    <t>001142:迫支団第11分団第1班ポンプ置場</t>
  </si>
  <si>
    <t>迫町新田字倉崎190-2</t>
  </si>
  <si>
    <t>0030131</t>
  </si>
  <si>
    <t>AsyzAP PPP元キー:00000002-0000000143-1</t>
  </si>
  <si>
    <t>迫支団第8分団第2班ポンプ置場</t>
  </si>
  <si>
    <t>001140:迫支団第8分団第2班ポンプ置場</t>
  </si>
  <si>
    <t>迫町新田字下板橋56-24</t>
  </si>
  <si>
    <t>0030129</t>
  </si>
  <si>
    <t>AsyzAP消防ポンプ格納施設 PPP元キー:00000002-0000000140-1</t>
  </si>
  <si>
    <t>東和支団第2分団第3班・第4班ポンプ置場兼詰所</t>
  </si>
  <si>
    <t>001137:東和支団第2分団第3班・第4班ポンプ置場</t>
  </si>
  <si>
    <t>2001/01/29</t>
  </si>
  <si>
    <t>東和町米谷字宮ノ前413-地内</t>
  </si>
  <si>
    <t>0030126</t>
  </si>
  <si>
    <t>AsyzAP消防ポンプ格納施設 PPP元キー:00000002-0000000137-1</t>
  </si>
  <si>
    <t>東和支団第5分団第1班・第2班ポンプ置場</t>
  </si>
  <si>
    <t>001136:東和支団第5分団第1班・第2班ポンプ置場</t>
  </si>
  <si>
    <t>2000/03/28</t>
  </si>
  <si>
    <t>東和町錦織字小童子93-1-地内</t>
  </si>
  <si>
    <t>0030125</t>
  </si>
  <si>
    <t>AsyzAP消防ポンプ格納施設 PPP元キー:00000002-0000000136-1</t>
  </si>
  <si>
    <t>東和支団第8分団第1班ポンプ置場</t>
  </si>
  <si>
    <t>001135:東和支団第8分団第1班ポンプ置場</t>
  </si>
  <si>
    <t>1999/03/30</t>
  </si>
  <si>
    <t>東和町米川字六反85-1-地内</t>
  </si>
  <si>
    <t>0030124</t>
  </si>
  <si>
    <t>AsyzAP消防ポンプ格納施設 PPP元キー:00000002-0000000135-1</t>
  </si>
  <si>
    <t>東和支団第7分団第1班・第2班ポンプ置場</t>
  </si>
  <si>
    <t>001134:東和支団第7分団第1班・第2班ポンプ置場</t>
  </si>
  <si>
    <t>東和町米川字東綱木212-地内</t>
  </si>
  <si>
    <t>0030123</t>
  </si>
  <si>
    <t>AsyzAP消防ポンプ格納施設 PPP元キー:00000002-0000000133-1</t>
  </si>
  <si>
    <t>東和支団第6分団第1班ポンプ置場</t>
  </si>
  <si>
    <t>001130:東和支団第6分団第1班ポンプ置場</t>
  </si>
  <si>
    <t>2002/12/25</t>
  </si>
  <si>
    <t>東和町米川字中嶋25-6</t>
  </si>
  <si>
    <t>0030119</t>
  </si>
  <si>
    <t>AsyzAP消防ポンプ格納施設 PPP元キー:00000002-0000000128-1</t>
  </si>
  <si>
    <t>登米市電算室空調機設備更新</t>
  </si>
  <si>
    <t>001002:登米市電算室</t>
  </si>
  <si>
    <t>1015100000:まちづくり推進課</t>
  </si>
  <si>
    <t>2019/09/24</t>
  </si>
  <si>
    <t>0010002</t>
  </si>
  <si>
    <t>AsyzAP PPP元キー:00000002-0000000008-1</t>
  </si>
  <si>
    <t>登米市電算室無停電電源装置改修</t>
  </si>
  <si>
    <t>AsyzAP PPP元キー:00000002-0000000007-1</t>
  </si>
  <si>
    <t>東和支団第4分団第1班ポンプ置場</t>
  </si>
  <si>
    <t>001129:東和支団第4分団第1班ポンプ置場</t>
  </si>
  <si>
    <t>東和町錦織字石倉119-3</t>
  </si>
  <si>
    <t>0030118</t>
  </si>
  <si>
    <t>AsyzAP消防ポンプ格納施設 PPP元キー:00000002-0000000127-1</t>
  </si>
  <si>
    <t>東和支団第4分団第3班ポンプ置場兼詰所</t>
  </si>
  <si>
    <t>001127:東和支団第4分団第3班ポンプ置場（錦織詰所）</t>
  </si>
  <si>
    <t>2000/01/14</t>
  </si>
  <si>
    <t>0030116</t>
  </si>
  <si>
    <t>AsyzAP消防団詰所 PPP元キー:00000002-0000000125-1</t>
  </si>
  <si>
    <t>石越支団第1分団第2班ポンプ置場（改修費）</t>
  </si>
  <si>
    <t>001109:石越支団第1分団第3班ポンプ置場（海上連区）</t>
  </si>
  <si>
    <t>2018/03/20</t>
  </si>
  <si>
    <t>石越町東郷字蕪木272-1-地内</t>
  </si>
  <si>
    <t>0030098</t>
  </si>
  <si>
    <t>AsyzAP消防ポンプ格納施設 PPP元キー:00000002-0000000106-1</t>
  </si>
  <si>
    <t>002259:旧川端地区集会施設</t>
  </si>
  <si>
    <t>AsyzAP集会施設H29.3.29川端部落会へ譲渡（R4整備にて判明）</t>
  </si>
  <si>
    <t>東和町錦織字新川端</t>
  </si>
  <si>
    <t>0760232</t>
  </si>
  <si>
    <t>AsyzAP集会施設 PPP元キー:00000002-0000001751-1</t>
  </si>
  <si>
    <t>中田支団第6分団第１班ポンプ置場</t>
  </si>
  <si>
    <t>001077:中田支団第6分団第1班ポンプ置場</t>
  </si>
  <si>
    <t>中田町宝江新井田字新森六前25-2-の内</t>
  </si>
  <si>
    <t>0030066</t>
  </si>
  <si>
    <t>中田支団第4分団第3班ポンプ置場</t>
  </si>
  <si>
    <t>001076:中田支団第4分団第3班ポンプ置場</t>
  </si>
  <si>
    <t>中田町宝江新井田字舘79-借地</t>
  </si>
  <si>
    <t>0030065</t>
  </si>
  <si>
    <t>001933:及甚と源氏ボタル交流館</t>
  </si>
  <si>
    <t>東和町米川字軽米87-4-地内</t>
  </si>
  <si>
    <t>0710041</t>
  </si>
  <si>
    <t>にぎわいセンター</t>
  </si>
  <si>
    <t>AsyzAPその他の施設 PPP元キー:00000002-0000001654-1</t>
  </si>
  <si>
    <t>2023/09/20</t>
  </si>
  <si>
    <t>中田支団第4分団第2班ポンプ置場</t>
  </si>
  <si>
    <t>001075:中田支団第4分団第2班ポンプ置場</t>
  </si>
  <si>
    <t>中田町宝江新井田字荒谷239-2-の内</t>
  </si>
  <si>
    <t>0030064</t>
  </si>
  <si>
    <t>中田支団第５分団第１班ポンプ置場</t>
  </si>
  <si>
    <t>001073:中田支団第5分団第1班ポンプ置場</t>
  </si>
  <si>
    <t>2003/03/01</t>
  </si>
  <si>
    <t>中田町宝江黒沼字大海崎6-の内</t>
  </si>
  <si>
    <t>0030062</t>
  </si>
  <si>
    <t>石森長根集会所</t>
  </si>
  <si>
    <t>001808:石森長根集会所</t>
  </si>
  <si>
    <t>1970/09/01</t>
  </si>
  <si>
    <t>宮城県登米市中田町石森字小倉268番地１の内</t>
  </si>
  <si>
    <t>中田支団第7分団第3班ポンプ置場</t>
  </si>
  <si>
    <t>001071:中田支団第7分団第3班ポンプ置場</t>
  </si>
  <si>
    <t>中田町上沼字籠壇111-9-借地</t>
  </si>
  <si>
    <t>0030060</t>
  </si>
  <si>
    <t>中田支団第7分団第１班ポンプ置場</t>
  </si>
  <si>
    <t>001070:中田支団第7分団第1班ポンプ置場</t>
  </si>
  <si>
    <t>中田町上沼字大柳28-3</t>
  </si>
  <si>
    <t>0030059</t>
  </si>
  <si>
    <t>中田支団第8分団第2班ポンプ置場</t>
  </si>
  <si>
    <t>001069:中田支団第8分団第2班ポンプ置場</t>
  </si>
  <si>
    <t>中田町上沼字金谷80-1-借地</t>
  </si>
  <si>
    <t>0030058</t>
  </si>
  <si>
    <t>中田支団第8分団第１班ポンプ置場</t>
  </si>
  <si>
    <t>001068:中田支団第8分団第1班ポンプ置場</t>
  </si>
  <si>
    <t>2006/03/01</t>
  </si>
  <si>
    <t>中田町上沼字堀米30-1</t>
  </si>
  <si>
    <t>0030057</t>
  </si>
  <si>
    <t>中田支団第8分団第3班ポンプ置場</t>
  </si>
  <si>
    <t>001065:中田支団第8分団第3班ポンプ置場</t>
  </si>
  <si>
    <t>中田町上沼字弥勒寺宿29-2</t>
  </si>
  <si>
    <t>0030054</t>
  </si>
  <si>
    <t>林業活動センター</t>
  </si>
  <si>
    <t>AsyzAP林業活動センター</t>
  </si>
  <si>
    <t>510027511</t>
  </si>
  <si>
    <t>AsyzAP林業活動センター PPP元キー:00000002-0000001564-1</t>
  </si>
  <si>
    <t>中田支団第２分団第3班ポンプ置場</t>
  </si>
  <si>
    <t>001062:中田支団第2分団第3班ポンプ置場</t>
  </si>
  <si>
    <t>中田町石森字西小倉1-1-の内</t>
  </si>
  <si>
    <t>0030051</t>
  </si>
  <si>
    <t>中田支団第3分団第１班ポンプ置場</t>
  </si>
  <si>
    <t>001061:中田支団第3分団第1班ポンプ置場</t>
  </si>
  <si>
    <t>中田町石森字牡丹埣185-1-の内</t>
  </si>
  <si>
    <t>0030050</t>
  </si>
  <si>
    <t>中田支団第２分団第１班ポンプ置場</t>
  </si>
  <si>
    <t>001060:中田支団第2分団第1班ポンプ置場</t>
  </si>
  <si>
    <t>中田町石森字新茨島203-2-借地</t>
  </si>
  <si>
    <t>0030049</t>
  </si>
  <si>
    <t>中田支団第1分団第3班ポンプ置場</t>
  </si>
  <si>
    <t>001059:中田支団第1分団第3班ポンプ置場</t>
  </si>
  <si>
    <t>中田町石森字川前65-40-の内</t>
  </si>
  <si>
    <t>0030048</t>
  </si>
  <si>
    <t>中田支団第3分団第3班ポンプ置場</t>
  </si>
  <si>
    <t>001058:中田支団第3分団第3班ポンプ置場</t>
  </si>
  <si>
    <t>0030047</t>
  </si>
  <si>
    <t>迫支団第8分団第1班ポンプ置場</t>
  </si>
  <si>
    <t>001154:迫支団第8分団第1班ポンプ置場</t>
  </si>
  <si>
    <t>迫町新田字田上3-4-借地</t>
  </si>
  <si>
    <t>0030143</t>
  </si>
  <si>
    <t>迫支団第7分団第2班ポンプ置場</t>
  </si>
  <si>
    <t>001153:迫支団第7分団第2班ポンプ置場</t>
  </si>
  <si>
    <t>迫町北方字壇ノ浦34-1-借地</t>
  </si>
  <si>
    <t>0030142</t>
  </si>
  <si>
    <t>迫支団第7分団第3班ポンプ置場</t>
  </si>
  <si>
    <t>001151:迫支団第7分団第3班ポンプ置場</t>
  </si>
  <si>
    <t>迫町北方字新下谷地114-借地</t>
  </si>
  <si>
    <t>0030140</t>
  </si>
  <si>
    <t>迫支団第6分団第1班ポンプ置場</t>
  </si>
  <si>
    <t>001150:迫支団第6分団第1班ポンプ置場</t>
  </si>
  <si>
    <t>迫町北方字台52-40-借地</t>
  </si>
  <si>
    <t>0030139</t>
  </si>
  <si>
    <t>サンクチェアリーセンター</t>
  </si>
  <si>
    <t>1992/02/25</t>
  </si>
  <si>
    <t>AsyzAPサンクチェアリーセンター</t>
  </si>
  <si>
    <t>迫町新田字新前沼254</t>
  </si>
  <si>
    <t>510083636</t>
  </si>
  <si>
    <t>0550001</t>
  </si>
  <si>
    <t>AsyzAPサンクチェアリーセンター PPP元キー:00000002-0000001530-1</t>
  </si>
  <si>
    <t>迫支団第5分団第3班ポンプ置場</t>
  </si>
  <si>
    <t>001149:迫支団第5分団第3班ポンプ置場</t>
  </si>
  <si>
    <t>迫町北方字大洞2-3-借地</t>
  </si>
  <si>
    <t>0030138</t>
  </si>
  <si>
    <t>迫支団第5分団第2班ポンプ置場</t>
  </si>
  <si>
    <t>001148:迫支団第5分団第2班ポンプ置場</t>
  </si>
  <si>
    <t>迫町北方字金ケ森11-6-借地</t>
  </si>
  <si>
    <t>0030137</t>
  </si>
  <si>
    <t>迫支団第4分団第1班ポンプ置場</t>
  </si>
  <si>
    <t>001147:迫支団第4分団第1班ポンプ置場</t>
  </si>
  <si>
    <t>迫町北方字表52-2-借地</t>
  </si>
  <si>
    <t>0030136</t>
  </si>
  <si>
    <t>迫支団第3分団第1班ポンプ置場</t>
  </si>
  <si>
    <t>001146:迫支団第3分団第1班ポンプ置場</t>
  </si>
  <si>
    <t>迫町佐沼字末広1-2-借地</t>
  </si>
  <si>
    <t>0030135</t>
  </si>
  <si>
    <t>迫支団第3分団第2班ポンプ置場</t>
  </si>
  <si>
    <t>001145:迫支団第3分団第2班ポンプ置場</t>
  </si>
  <si>
    <t>迫町佐沼字錦108-借地</t>
  </si>
  <si>
    <t>0030134</t>
  </si>
  <si>
    <t>迫支団第2分団第2班ポンプ置場</t>
  </si>
  <si>
    <t>001144:迫支団第2分団第2班ポンプ置場</t>
  </si>
  <si>
    <t>迫町佐沼字大東54-借地</t>
  </si>
  <si>
    <t>0030133</t>
  </si>
  <si>
    <t>迫支団第1分団第1班ポンプ置場</t>
  </si>
  <si>
    <t>迫児童館</t>
  </si>
  <si>
    <t>001721:迫児童館</t>
  </si>
  <si>
    <t>2019/03/18</t>
  </si>
  <si>
    <t>AsyzAP児童館</t>
  </si>
  <si>
    <t>0350001</t>
  </si>
  <si>
    <t>AsyzAP PPP元キー:00000002-0000001341-1</t>
  </si>
  <si>
    <t>2021/12/24</t>
  </si>
  <si>
    <t>AsyzAP請第３０号　錦織小学校電気設備改修工事</t>
  </si>
  <si>
    <t>510029730</t>
  </si>
  <si>
    <t>AsyzAP請第３０号　錦織小学校電気設備改修工事 PPP元キー:00000002-0000001866-1</t>
  </si>
  <si>
    <t>電話設備更新</t>
  </si>
  <si>
    <t>2022/04/08</t>
  </si>
  <si>
    <t>AsyzAP宝江小学校電話設備更新工事</t>
  </si>
  <si>
    <t>宝江小学校</t>
  </si>
  <si>
    <t>510066928</t>
  </si>
  <si>
    <t>AsyzAP浅水小学校電話設備更新工事</t>
  </si>
  <si>
    <t>浅水小学校</t>
  </si>
  <si>
    <t>510066929</t>
  </si>
  <si>
    <t>AsyzAP中津山小学校電話設備更新工事</t>
  </si>
  <si>
    <t>510066930</t>
  </si>
  <si>
    <t>AsyzAP西郷小学校電話設備更新工事</t>
  </si>
  <si>
    <t>西郷小学校</t>
  </si>
  <si>
    <t>510066932</t>
  </si>
  <si>
    <t>米川児童クラブエアコン設置</t>
  </si>
  <si>
    <t>05</t>
  </si>
  <si>
    <t>510070120</t>
  </si>
  <si>
    <t>浅水児童クラブエアコン設置業務</t>
  </si>
  <si>
    <t>豊里児童クラブエアコン設置</t>
  </si>
  <si>
    <t>510078060</t>
  </si>
  <si>
    <t>迫支団第5分団第1班ポンプ置場</t>
  </si>
  <si>
    <t>001141:迫支団第5分団第1班ポンプ置場</t>
  </si>
  <si>
    <t>迫町北方字永田111-1</t>
  </si>
  <si>
    <t>0030130</t>
  </si>
  <si>
    <t>迫支団第9分団第3班ポンプ置場</t>
  </si>
  <si>
    <t>001139:迫支団第9分団第3班ポンプ置場</t>
  </si>
  <si>
    <t>迫町新田字駒林41-3</t>
  </si>
  <si>
    <t>0030128</t>
  </si>
  <si>
    <t>旧宮城県食肉公社宿舎</t>
  </si>
  <si>
    <t>002194:はんとく苑知的障害者グループホーム</t>
  </si>
  <si>
    <t>1981/03/30</t>
  </si>
  <si>
    <t>AsyzAP普通財産（はんとく苑貸付）</t>
  </si>
  <si>
    <t>0760165</t>
  </si>
  <si>
    <t>AsyzAP普通財産（貸付建物） PPP元キー:00000002-0000001740-1</t>
  </si>
  <si>
    <t>中田支団第9分団第3班ポンプ置場</t>
  </si>
  <si>
    <t>登米市登米総合支所</t>
  </si>
  <si>
    <t>2021/11/16</t>
  </si>
  <si>
    <t>2021/12/03</t>
  </si>
  <si>
    <t>AsyzAP【請第２６号】登米総合支所外壁補修工事</t>
  </si>
  <si>
    <t>510029492</t>
  </si>
  <si>
    <t>AsyzAP【請第２６号】登米総合支所外壁補修工事 PPP元キー:00000002-0000001875-1</t>
  </si>
  <si>
    <t>光ヶ丘球場スコアボード改修</t>
  </si>
  <si>
    <t>2023/02/24</t>
  </si>
  <si>
    <t>AsyzAP光ヶ丘球場スコアボード改修工事（前払金）</t>
  </si>
  <si>
    <t>登米市迫町佐沼字光ケ丘1番地</t>
  </si>
  <si>
    <t>510062523</t>
  </si>
  <si>
    <t>20:20年</t>
  </si>
  <si>
    <t>木質バイオマスボイラー空調設備</t>
  </si>
  <si>
    <t>1170000:事業用／その他</t>
  </si>
  <si>
    <t>33:熱供給業用設備</t>
  </si>
  <si>
    <t>1:熱供給業用設備</t>
  </si>
  <si>
    <t>豊里支団第5分団第4班ポンプ置場</t>
  </si>
  <si>
    <t>001174:豊里支団第5分団第4班ポンプ置場</t>
  </si>
  <si>
    <t>0030163</t>
  </si>
  <si>
    <t>迫支団第10分団第1班ポンプ置場</t>
  </si>
  <si>
    <t>001138:迫支団第10分団第1班ポンプ置場</t>
  </si>
  <si>
    <t>迫町新田字飯島53-1</t>
  </si>
  <si>
    <t>0030127</t>
  </si>
  <si>
    <t>東和支団第7分団第1班・第2班詰所</t>
  </si>
  <si>
    <t>001893:相川集落農園</t>
  </si>
  <si>
    <t>2011/08/26</t>
  </si>
  <si>
    <t>AsyzAP農業関連施設　旧台帳番号：605-54-1</t>
  </si>
  <si>
    <t>東和町米谷字沢尻90</t>
  </si>
  <si>
    <t>0700033</t>
  </si>
  <si>
    <t>中田支団第10分団第2班消防ポンプ置場</t>
  </si>
  <si>
    <t>001237:中田支団第10分団第2班ポンプ庫</t>
  </si>
  <si>
    <t>中田町浅水字西水越99</t>
  </si>
  <si>
    <t>0030226</t>
  </si>
  <si>
    <t>南あｋ他支団第5分団第2班ポンプ置場</t>
  </si>
  <si>
    <t>001207:南方支団第5分団第2班ポンプ置場</t>
  </si>
  <si>
    <t>南方町中須崎160-1</t>
  </si>
  <si>
    <t>0030196</t>
  </si>
  <si>
    <t>南方支団台分団第5班ポンプ置場</t>
  </si>
  <si>
    <t>001203:南方支団第3分団第5班ポンプ置場</t>
  </si>
  <si>
    <t>0030192</t>
  </si>
  <si>
    <t>001200:南方支団第2分団第1班ポンプ置場</t>
  </si>
  <si>
    <t>南方町照井251-1</t>
  </si>
  <si>
    <t>0030189</t>
  </si>
  <si>
    <t>津山支団第１分団第１班ポンプ置場</t>
  </si>
  <si>
    <t>001178:津山支団第1分団第1班ポンプ置場</t>
  </si>
  <si>
    <t>津山町横山字黒沢137-2</t>
  </si>
  <si>
    <t>0030167</t>
  </si>
  <si>
    <t>米山東児童クラブエアコン設置</t>
  </si>
  <si>
    <t>豊里支団第5分団第2班ポンプ置場改修費</t>
  </si>
  <si>
    <t>東和支団第5分団第3班ポンプ置場兼詰所</t>
  </si>
  <si>
    <t>001128:東和支団第5分団第3班ポンプ置場</t>
  </si>
  <si>
    <t>東和町錦織字中畑124-4</t>
  </si>
  <si>
    <t>0030117</t>
  </si>
  <si>
    <t>東和支団第8分団第2班ポンプ置場兼詰所</t>
  </si>
  <si>
    <t>001126:東和支団第8分団第2班ポンプ置場（手引き）</t>
  </si>
  <si>
    <t>1999/01/21</t>
  </si>
  <si>
    <t>東和町米川字城ノ内82-9</t>
  </si>
  <si>
    <t>0030115</t>
  </si>
  <si>
    <t>石越支団第3分団第2班ポンプ置場</t>
  </si>
  <si>
    <t>001119:石越支団第3分団第2班ポンプ置場（第7区）</t>
  </si>
  <si>
    <t>石越町北郷字小谷地126-7-地内</t>
  </si>
  <si>
    <t>0030108</t>
  </si>
  <si>
    <t>001967:横山駅前公衆トイレ</t>
  </si>
  <si>
    <t>津山町横山字本町117-1</t>
  </si>
  <si>
    <t>03:所管換え主管課</t>
  </si>
  <si>
    <t>1015200000</t>
  </si>
  <si>
    <t>0710075</t>
  </si>
  <si>
    <t>米山支団第3分団第3班</t>
  </si>
  <si>
    <t>001091:米山支団第3分団第3班ポンプ置場</t>
  </si>
  <si>
    <t>米山町字田畑西3-1</t>
  </si>
  <si>
    <t>0030080</t>
  </si>
  <si>
    <t>米山支団第１分団第2分団ポンプ置場</t>
  </si>
  <si>
    <t>001088:米山支団第1分団第3班ポンプ置場</t>
  </si>
  <si>
    <t>米山町字桜岡新東新田25-6</t>
  </si>
  <si>
    <t>0030077</t>
  </si>
  <si>
    <t>001052:中田支団第11分団第2班ポンプ置場</t>
  </si>
  <si>
    <t>中田町浅水字長谷山352-12</t>
  </si>
  <si>
    <t>0030041</t>
  </si>
  <si>
    <t>米山清水第一住宅給排水設備等改修工事</t>
  </si>
  <si>
    <t>2022/06/03</t>
  </si>
  <si>
    <t>AsyzAP登委第２号　米山清水第一住宅給排水設備等改修工事監理業務一式工事の為、財産の減少なし</t>
  </si>
  <si>
    <t>米山町中津山字清水　地内</t>
  </si>
  <si>
    <t>510013718</t>
  </si>
  <si>
    <t>産直なかだ愛菜館自動ドア交換</t>
  </si>
  <si>
    <t>AsyzAP産直なかだ愛菜館自動ドア修繕</t>
  </si>
  <si>
    <t>006</t>
  </si>
  <si>
    <t>510009587</t>
  </si>
  <si>
    <t>17:可動間仕切り/その他のもの</t>
  </si>
  <si>
    <t>登米総合支所空調設備</t>
  </si>
  <si>
    <t>2022/08/05</t>
  </si>
  <si>
    <t>AsyzAP登米総合支所空調設備修繕業務</t>
  </si>
  <si>
    <t>01_01_01:（１）土地及び建物　行政財産　公用財産　庁舎</t>
  </si>
  <si>
    <t>510021548</t>
  </si>
  <si>
    <t>中田支団第12分団第2班ポンプ</t>
  </si>
  <si>
    <t>001050:中田支団第12分団第2班ポンプ置場</t>
  </si>
  <si>
    <t>0030039</t>
  </si>
  <si>
    <t>南方庁舎非常用照明</t>
  </si>
  <si>
    <t>2022/10/14</t>
  </si>
  <si>
    <t>AsyzAP南方庁舎非常用照明修繕業務</t>
  </si>
  <si>
    <t>510030935</t>
  </si>
  <si>
    <t>中田支団第9分団第3班ポンプ置場（新本宮）</t>
  </si>
  <si>
    <t>中田町上沼字新本宮210－4</t>
  </si>
  <si>
    <t>迫支団第6分団第2班ポンプ置場</t>
  </si>
  <si>
    <t>001045:迫支団第6分団第2班ポンプ置場</t>
  </si>
  <si>
    <t>迫町北方字新土府51-3</t>
  </si>
  <si>
    <t>0030034</t>
  </si>
  <si>
    <t>AsyzAP西郷小学校　あおば教室（言語通級教室）エアコン設置工事</t>
  </si>
  <si>
    <t>510036659</t>
  </si>
  <si>
    <t>AsyzAP西郷小学校　あおば教室（言語通級教室）エアコン設置工事 PPP元キー:00000002-0000001868-1</t>
  </si>
  <si>
    <t>2021/10/08</t>
  </si>
  <si>
    <t>AsyzAP請第２０号　学校教育施設空調機設置工事（米山中学校）</t>
  </si>
  <si>
    <t>510029727</t>
  </si>
  <si>
    <t>AsyzAP請第２０号　学校教育施設空調機設置工事（米山中学校） PPP元キー:00000002-0000001864-1</t>
  </si>
  <si>
    <t>2021/10/29</t>
  </si>
  <si>
    <t>AsyzAP請第３１号　津山中学校電気設備改修工事</t>
  </si>
  <si>
    <t>津山中学校</t>
  </si>
  <si>
    <t>510029729</t>
  </si>
  <si>
    <t>AsyzAP請第３１号　津山中学校電気設備改修工事 PPP元キー:00000002-0000001865-1</t>
  </si>
  <si>
    <t>東和支団第7分団第3班・第4班詰所</t>
  </si>
  <si>
    <t>001133:東和支団第7分団第3班・第4班ポンプ置場</t>
  </si>
  <si>
    <t>東和町米川字北上沢176-2-地内</t>
  </si>
  <si>
    <t>0030122</t>
  </si>
  <si>
    <t>南方庁舎電気設備改修</t>
  </si>
  <si>
    <t>2022/10/21</t>
  </si>
  <si>
    <t>AsyzAP南方庁舎外電気設備改修工事</t>
  </si>
  <si>
    <t>510030938</t>
  </si>
  <si>
    <t>登米総合支所電気設備改修</t>
  </si>
  <si>
    <t>AsyzAP登米総合支所電気設備改修工事</t>
  </si>
  <si>
    <t>東和支団第7分団第3班・第4班ポンプ置場</t>
  </si>
  <si>
    <t>1991/03/30</t>
  </si>
  <si>
    <t>東和支団第5分団第4班ポンプ置場</t>
  </si>
  <si>
    <t>001132:東和支団第5分団第4班ポンプ置場</t>
  </si>
  <si>
    <t>東和町錦織字細野7-1-地内</t>
  </si>
  <si>
    <t>0030121</t>
  </si>
  <si>
    <t>東和支団第8分団第3班ポンプ置場</t>
  </si>
  <si>
    <t>001131:東和支団第8分団第3班ポンプ置場</t>
  </si>
  <si>
    <t>東和町米川字寺内55-10-地内</t>
  </si>
  <si>
    <t>0030120</t>
  </si>
  <si>
    <t>東和支団第6分団第2・3班ポンプ置場兼詰所</t>
  </si>
  <si>
    <t>001125:東和支団第6分団第2・3班ポンプ置場(米川詰所)</t>
  </si>
  <si>
    <t>東和町米川字町下7-1</t>
  </si>
  <si>
    <t>0030114</t>
  </si>
  <si>
    <t>東和支団第1分団第1班ポンプ置場兼詰所</t>
  </si>
  <si>
    <t>001124:東和支団第1分団第1班ポンプ置場(米谷詰所)</t>
  </si>
  <si>
    <t>東和町米谷字元町86</t>
  </si>
  <si>
    <t>0030113</t>
  </si>
  <si>
    <t>南方庁舎空調設備</t>
  </si>
  <si>
    <t>2022/12/02</t>
  </si>
  <si>
    <t>AsyzAP南方庁舎空調設備修繕業務</t>
  </si>
  <si>
    <t>510036403</t>
  </si>
  <si>
    <t>米谷児童活動センター</t>
  </si>
  <si>
    <t>1979/06/01</t>
  </si>
  <si>
    <t>AsyzAP児童活動センター</t>
  </si>
  <si>
    <t>中田保育所</t>
  </si>
  <si>
    <t>AsyzAP保育所 PPP元キー:00000002-0000001297-1</t>
  </si>
  <si>
    <t>（旧ポンプ置場）石越支団第4分団第4班ポンプ置場</t>
  </si>
  <si>
    <t>001123:石越支団第4分団第4班ポンプ置場（赤谷区）</t>
  </si>
  <si>
    <t>石越町北郷字赤谷105-8-地内</t>
  </si>
  <si>
    <t>0030112</t>
  </si>
  <si>
    <t>豊里こども園</t>
  </si>
  <si>
    <t>AsyzAP認定こども園</t>
  </si>
  <si>
    <t>AsyzAP PPP元キー:00000002-0000001707-1</t>
  </si>
  <si>
    <t>登米児童館</t>
  </si>
  <si>
    <t>2009/02/18</t>
  </si>
  <si>
    <t>AsyzAP児童館 PPP元キー:00000002-0000001342-1</t>
  </si>
  <si>
    <t>中田児童館</t>
  </si>
  <si>
    <t>AsyzAP児童館 PPP元キー:00000002-0000001344-1</t>
  </si>
  <si>
    <t>中田児童館（増築）</t>
  </si>
  <si>
    <t>2016/03/25</t>
  </si>
  <si>
    <t>AsyzAP児童館 PPP元キー:00000002-0000001345-1</t>
  </si>
  <si>
    <t>上沼児童活動センター</t>
  </si>
  <si>
    <t>001725:上沼児童活動センター</t>
  </si>
  <si>
    <t>2008/03/04</t>
  </si>
  <si>
    <t>0350005</t>
  </si>
  <si>
    <t>AsyzAP児童館 PPP元キー:00000002-0000001350-1</t>
  </si>
  <si>
    <t>石越支団第4分団第1班ポンプ置場兼詰所</t>
  </si>
  <si>
    <t>001120:石越支団第4分団詰所兼第1班ポンプ置場（芦倉区）</t>
  </si>
  <si>
    <t>石越町北郷字遠沢12-12</t>
  </si>
  <si>
    <t>0030109</t>
  </si>
  <si>
    <t>迫公民館軽運動場照明ＬＥＤ化</t>
  </si>
  <si>
    <t>AsyzAP迫公民館軽運動場照明ＬＥＤ化工事</t>
  </si>
  <si>
    <t>登米市迫町佐沼字中江二丁目6-1</t>
  </si>
  <si>
    <t>510053572</t>
  </si>
  <si>
    <t>中田庁舎受水槽揚水ポンプ　50BMSP25　3.7A</t>
  </si>
  <si>
    <t>2023/03/03</t>
  </si>
  <si>
    <t>AsyzAP中田庁舎受水槽揚水ポンプ修繕業務</t>
  </si>
  <si>
    <t>宮城県登米市中田町上沼字西桜場18番地</t>
  </si>
  <si>
    <t>510061399</t>
  </si>
  <si>
    <t>よねやま保育園</t>
  </si>
  <si>
    <t>2001/07/02</t>
  </si>
  <si>
    <t>AsyzAP保育所 PPP元キー:00000002-0000001306-1</t>
  </si>
  <si>
    <t>石越支団第3分団第1班ポンプ置場兼詰所</t>
  </si>
  <si>
    <t>001118:石越支団第3分団詰所兼第1班ポンプ置場（駅前区）</t>
  </si>
  <si>
    <t>石越町北郷字西門沖270-2</t>
  </si>
  <si>
    <t>0030107</t>
  </si>
  <si>
    <t>迫新田保育所</t>
  </si>
  <si>
    <t>001698:登米市迫新田保育所</t>
  </si>
  <si>
    <t>1982/02/28</t>
  </si>
  <si>
    <t>迫町新田字狼ノ欠28-5</t>
  </si>
  <si>
    <t>0280002</t>
  </si>
  <si>
    <t>AsyzAP保育所 PPP元キー:00000002-0000001293-1</t>
  </si>
  <si>
    <t>石越支団第1分団第1班ポンプ置場</t>
  </si>
  <si>
    <t>001117:石越支団第1分団第1班ポンプ置場（第1区）</t>
  </si>
  <si>
    <t>石越町北郷字長根85-18</t>
  </si>
  <si>
    <t>0030106</t>
  </si>
  <si>
    <t>米山児童館</t>
  </si>
  <si>
    <t>石越支団第3分団第4班ポンプ置場（班統合に伴う名称変更）</t>
  </si>
  <si>
    <t>001115:石越支団第3分団第5班ポンプ置場（渋川区）</t>
  </si>
  <si>
    <t>石越町南郷字前新田140-1</t>
  </si>
  <si>
    <t>0030104</t>
  </si>
  <si>
    <t>豊里小学校校舎：手摺</t>
  </si>
  <si>
    <t>AsyzAP豊里小中学校階段手摺設置工事</t>
  </si>
  <si>
    <t>豊里小学校</t>
  </si>
  <si>
    <t>510081263</t>
  </si>
  <si>
    <t>一式工事の為、資産減少なし</t>
  </si>
  <si>
    <t>19:前掲のもの以外のもの/その他のもの</t>
  </si>
  <si>
    <t>石越支団第3分団第3班ポンプ置場</t>
  </si>
  <si>
    <t>001113:石越支団第3分団第3班ポンプ置場（第3区）</t>
  </si>
  <si>
    <t>石越町南郷字松ケ崎前3-3</t>
  </si>
  <si>
    <t>0030102</t>
  </si>
  <si>
    <t>AsyzAP令和２年度請第１０７号　柳津小学校外２施設トイレドア改修工事（中学校分）</t>
  </si>
  <si>
    <t>510015952</t>
  </si>
  <si>
    <t>AsyzAP令和２年度請第１０７号　柳津小学校外２施設トイレドア改修工事（中学校分） PPP元キー:00000002-0000001909-1</t>
  </si>
  <si>
    <t>石越支団第2分団第2班ポンプ置場（班統合に伴う名称変更）</t>
  </si>
  <si>
    <t>001112:石越支団第2分団第3班ポンプ置場（第12区）</t>
  </si>
  <si>
    <t>石越町東郷字加慶43-地先</t>
  </si>
  <si>
    <t>0030101</t>
  </si>
  <si>
    <t>空調（エアコン）設置</t>
  </si>
  <si>
    <t>AsyzAP中津山小学校特別支援教室エアコン設置工事</t>
  </si>
  <si>
    <t>510078638</t>
  </si>
  <si>
    <t>（旧ポンプ置場）石越支団第2分団第2班ポンプ置場</t>
  </si>
  <si>
    <t>001111:石越支団第2分団第2班ポンプ置場（平町）</t>
  </si>
  <si>
    <t>石越町東郷字登戸13-6-の内</t>
  </si>
  <si>
    <t>0030100</t>
  </si>
  <si>
    <t>AsyzAP加賀野小学校特別支援教室エアコン設置工事</t>
  </si>
  <si>
    <t>510078644</t>
  </si>
  <si>
    <t>石越支団第2分団第1班ポンプ置場</t>
  </si>
  <si>
    <t>001110:石越支団第2分団第1班ポンプ置場（口梨）</t>
  </si>
  <si>
    <t>石越町東郷字山根前17-先</t>
  </si>
  <si>
    <t>0030099</t>
  </si>
  <si>
    <t>石越体育センタートイレ改修</t>
  </si>
  <si>
    <t>2022/09/30</t>
  </si>
  <si>
    <t>AsyzAP石越体育センタートイレ改修工事一式工事の為、減少資産なし</t>
  </si>
  <si>
    <t>登米市石越町南郷字矢作122番地2</t>
  </si>
  <si>
    <t>510015199</t>
  </si>
  <si>
    <t>石越支団第1分団第2班ポンプ置場（班統合に伴う名称変更）</t>
  </si>
  <si>
    <t>及甚と源氏ボタル交流館　倉庫</t>
  </si>
  <si>
    <t>（旧ポンプ置場）石越支団第1分団第2班ポンプ置場</t>
  </si>
  <si>
    <t>001108:石越支団第1分団第2班ポンプ置場（第10区）</t>
  </si>
  <si>
    <t>石越町東郷字千貫巻153-2</t>
  </si>
  <si>
    <t>0030097</t>
  </si>
  <si>
    <t>米山支団第9分団第3班ポンプ置場</t>
  </si>
  <si>
    <t>001107:米山支団第9分団第3班ポンプ置場</t>
  </si>
  <si>
    <t>米山町中津山字筒場埣265-3</t>
  </si>
  <si>
    <t>0030096</t>
  </si>
  <si>
    <t>登米市南方総合支所正面入口外側自動ドア扉交換（フロート仕様）</t>
  </si>
  <si>
    <t>登米市南方町新高石浦地内</t>
  </si>
  <si>
    <t>510082688</t>
  </si>
  <si>
    <t>米山支団第7分団第1班ポンプ置場</t>
  </si>
  <si>
    <t>001100:米山支団第7分団第1班ポンプ置場</t>
  </si>
  <si>
    <t>米山町中津山字清水11-4</t>
  </si>
  <si>
    <t>0030094</t>
  </si>
  <si>
    <t>2021/08/13</t>
  </si>
  <si>
    <t>AsyzAP西郷小学校　特別支援教室エアコン移設据付工事</t>
  </si>
  <si>
    <t>510022843</t>
  </si>
  <si>
    <t>AsyzAP西郷小学校　特別支援教室エアコン移設据付工事 PPP元キー:00000002-0000001863-1</t>
  </si>
  <si>
    <t>米山支団第8分団第2班ポンプ置場</t>
  </si>
  <si>
    <t>001104:米山支団第8分団第2班ポンプ置場</t>
  </si>
  <si>
    <t>米山町中津山字瀬ケ崎85-2</t>
  </si>
  <si>
    <t>0030093</t>
  </si>
  <si>
    <t>米山支団第8分団第3班ポンプ置場</t>
  </si>
  <si>
    <t>001103:米山支団第8分団第3班ポンプ置場</t>
  </si>
  <si>
    <t>米山町中津山字鍛冶屋敷2-1</t>
  </si>
  <si>
    <t>0030092</t>
  </si>
  <si>
    <t>空調（エアコン）移設設置</t>
  </si>
  <si>
    <t>2021/08/20</t>
  </si>
  <si>
    <t>AsyzAP豊里中学校　空調機移設設置工事</t>
  </si>
  <si>
    <t>豊里中学校</t>
  </si>
  <si>
    <t>510031566</t>
  </si>
  <si>
    <t>AsyzAP豊里中学校　空調機移設設置工事 PPP元キー:00000002-0000001867-1</t>
  </si>
  <si>
    <t>米山支団第6分団第3班ポンプ置場兼詰所</t>
  </si>
  <si>
    <t>001102:米山支団第6分団第3班ポンプ置場</t>
  </si>
  <si>
    <t>米山町中津山字清水11-81</t>
  </si>
  <si>
    <t>0030091</t>
  </si>
  <si>
    <t>横山不動尊　便所</t>
  </si>
  <si>
    <t>001932:横山不動尊トイレ</t>
  </si>
  <si>
    <t>津山町横山字本町18-13</t>
  </si>
  <si>
    <t>0710040</t>
  </si>
  <si>
    <t>及甚と源氏ボタル交流館　便所</t>
  </si>
  <si>
    <t>米山支団第6分団第1班ポンプ置場</t>
  </si>
  <si>
    <t>001101:米山支団第6分団第1班ポンプ置場</t>
  </si>
  <si>
    <t>米山町中津山字柳渕31-1</t>
  </si>
  <si>
    <t>0030090</t>
  </si>
  <si>
    <t>米山支団第7分団第2班ポンプ置場</t>
  </si>
  <si>
    <t>001105:米山支団第7分団第2班ポンプ置場</t>
  </si>
  <si>
    <t>米山町中津山字谷地渕33-1</t>
  </si>
  <si>
    <t>0030089</t>
  </si>
  <si>
    <t>米山支団第5分団第4班ポンプ置場</t>
  </si>
  <si>
    <t>001099:米山支団第5分団第4班ポンプ置場</t>
  </si>
  <si>
    <t>米山町西野字砥落2</t>
  </si>
  <si>
    <t>0030088</t>
  </si>
  <si>
    <t>大嶽山　便所</t>
  </si>
  <si>
    <t>001924:公衆便所（大嶽山山頂）</t>
  </si>
  <si>
    <t>南方町大嶽山35-1-借地</t>
  </si>
  <si>
    <t>0710032</t>
  </si>
  <si>
    <t>2021/07/09</t>
  </si>
  <si>
    <t>AsyzAP令和２年度請第９６号　佐沼小学校外４施設トイレドア改修工事（中学校分）</t>
  </si>
  <si>
    <t>佐沼中学校</t>
  </si>
  <si>
    <t>510015924</t>
  </si>
  <si>
    <t>AsyzAP令和２年度請第９６号　佐沼小学校外４施設トイレドア改修工事（中学校分） PPP元キー:00000002-0000001892-1</t>
  </si>
  <si>
    <t>新田中学校</t>
  </si>
  <si>
    <t>AsyzAP令和２年度請第９６号　佐沼小学校外４施設トイレドア改修工事（中学校分） PPP元キー:00000002-0000001893-1</t>
  </si>
  <si>
    <t>AsyzAP令和２年度請第９６号　佐沼小学校外４施設トイレドア改修工事（小学校分）</t>
  </si>
  <si>
    <t>新田小学校</t>
  </si>
  <si>
    <t>510015923</t>
  </si>
  <si>
    <t>AsyzAP令和２年度請第９６号　佐沼小学校外４施設トイレドア改修工事（小学校分） PPP元キー:00000002-0000001890-1</t>
  </si>
  <si>
    <t>北方小学校</t>
  </si>
  <si>
    <t>AsyzAP令和２年度請第９６号　佐沼小学校外４施設トイレドア改修工事（小学校分） PPP元キー:00000002-0000001891-1</t>
  </si>
  <si>
    <t>佐沼小学校</t>
  </si>
  <si>
    <t>AsyzAP令和２年度請第９６号　佐沼小学校外４施設トイレドア改修工事（小学校分） PPP元キー:00000002-0000001889-1</t>
  </si>
  <si>
    <t>2021/07/02</t>
  </si>
  <si>
    <t>AsyzAP令和２年度請第９８号　米谷小学校外１施設トイレドア改修工事（米谷小、錦織小）</t>
  </si>
  <si>
    <t>510015933</t>
  </si>
  <si>
    <t>AsyzAP令和２年度請第９８号　米谷小学校外１施設トイレドア改修工事（米谷小、錦織小） PPP元キー:00000002-0000001897-1</t>
  </si>
  <si>
    <t>米谷小学校</t>
  </si>
  <si>
    <t>AsyzAP令和２年度請第９８号　米谷小学校外１施設トイレドア改修工事（米谷小、錦織小） PPP元キー:00000002-0000001896-1</t>
  </si>
  <si>
    <t>AsyzAP令和２年度請第９７号　登米小学校外１施設トイレドア改修工事（中学校分）</t>
  </si>
  <si>
    <t>登米中学校</t>
  </si>
  <si>
    <t>510015928</t>
  </si>
  <si>
    <t>AsyzAP令和２年度請第９７号　登米小学校外１施設トイレドア改修工事（中学校分） PPP元キー:00000002-0000001895-1</t>
  </si>
  <si>
    <t>AsyzAP令和２年度請第９７号　登米小学校外１施設トイレドア改修工事（小学校分）</t>
  </si>
  <si>
    <t>登米小学校</t>
  </si>
  <si>
    <t>510015927</t>
  </si>
  <si>
    <t>AsyzAP令和２年度請第９７号　登米小学校外１施設トイレドア改修工事（小学校分） PPP元キー:00000002-0000001894-1</t>
  </si>
  <si>
    <t>トイレ室内自動点灯化工事</t>
  </si>
  <si>
    <t>AsyzAP令和２年度請第９０号　石森小学校外１３施設トイレ室内自動点灯化工事（小学校分）</t>
  </si>
  <si>
    <t>510015892</t>
  </si>
  <si>
    <t>AsyzAP令和２年度請第９０号　石森小学校外１３施設トイレ室内自動点灯化工事（小学校分） PPP元キー:00000002-0000001880-1</t>
  </si>
  <si>
    <t>AsyzAP令和２年度請第９０号　石森小学校外１３施設トイレ室内自動点灯化工事（小学校分） PPP元キー:00000002-0000001879-1</t>
  </si>
  <si>
    <t>AsyzAP令和２年度請第９０号　石森小学校外１３施設トイレ室内自動点灯化工事（小学校分） PPP元キー:00000002-0000001882-1</t>
  </si>
  <si>
    <t>AsyzAP令和２年度請第９０号　石森小学校外１３施設トイレ室内自動点灯化工事（小学校分） PPP元キー:00000002-0000001881-1</t>
  </si>
  <si>
    <t>AsyzAP令和２年度請第９０号　石森小学校外１３施設トイレ室内自動点灯化工事（小学校分） PPP元キー:00000002-0000001878-1</t>
  </si>
  <si>
    <t>トイレ自動水栓交換工事</t>
  </si>
  <si>
    <t>AsyzAP令和２年度請第７８号　佐沼小学校外１１施設トイレ自動水栓交換工事（中学校分）</t>
  </si>
  <si>
    <t>510015904</t>
  </si>
  <si>
    <t>AsyzAP令和２年度請第７８号　佐沼小学校外１１施設トイレ自動水栓交換工事（中学校分） PPP元キー:00000002-0000001887-1</t>
  </si>
  <si>
    <t>AsyzAP令和２年度請第７８号　佐沼小学校外１１施設トイレ自動水栓交換工事（中学校分） PPP元キー:00000002-0000001888-1</t>
  </si>
  <si>
    <t>電算室</t>
  </si>
  <si>
    <t>AsyzAP本庁舎 PPP元キー:00000002-0000000005-1</t>
  </si>
  <si>
    <t>AsyzAP令和２年度請第７８号　佐沼小学校外１１施設トイレ自動水栓交換工事（小学校分）</t>
  </si>
  <si>
    <t>510015903</t>
  </si>
  <si>
    <t>AsyzAP令和２年度請第７８号　佐沼小学校外１１施設トイレ自動水栓交換工事（小学校分） PPP元キー:00000002-0000001884-1</t>
  </si>
  <si>
    <t>電算室：屋根（改修）</t>
  </si>
  <si>
    <t>AsyzAP屋根 PPP元キー:00000002-0000000006-1</t>
  </si>
  <si>
    <t>1998/12/24</t>
  </si>
  <si>
    <t>AsyzAP本庁舎 PPP元キー:00000002-0000000277-1</t>
  </si>
  <si>
    <t>AsyzAP令和２年度請第７８号　佐沼小学校外１１施設トイレ自動水栓交換工事（小学校分） PPP元キー:00000002-0000001885-1</t>
  </si>
  <si>
    <t>AsyzAP令和２年度請第７８号　佐沼小学校外１１施設トイレ自動水栓交換工事（小学校分） PPP元キー:00000002-0000001886-1</t>
  </si>
  <si>
    <t>AsyzAP令和２年度請第９０号　石森小学校外１３施設トイレ室内自動点灯化工事（中学校分）</t>
  </si>
  <si>
    <t>510015893</t>
  </si>
  <si>
    <t>AsyzAP令和２年度請第９０号　石森小学校外１３施設トイレ室内自動点灯化工事（中学校分） PPP元キー:00000002-0000001883-1</t>
  </si>
  <si>
    <t>AsyzAP本庁舎 PPP元キー:00000002-0000000001-1</t>
  </si>
  <si>
    <t>横山小学校</t>
  </si>
  <si>
    <t>AsyzAP令和２年度請第１０７号　柳津小学校外２施設トイレドア改修工事（小学校分） PPP元キー:00000002-0000001908-1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</si>
</sst>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4" x14ac:knownFonts="1">
    <font>
      <sz val="11"/>
      <name val="Calibri"/>
    </font>
    <font>
      <sz val="11"/>
      <name val="ＭＳ ゴシック"/>
      <family val="3"/>
    </font>
    <font>
      <b/>
      <sz val="12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0EE9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Fill="1" applyBorder="1"/>
    <xf numFmtId="0" fontId="2" fillId="2" borderId="0" xfId="0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76" fontId="3" fillId="0" borderId="0" xfId="0" applyNumberFormat="1" applyFont="1" applyFill="1" applyBorder="1"/>
    <xf numFmtId="4" fontId="3" fillId="0" borderId="0" xfId="0" applyNumberFormat="1" applyFont="1" applyFill="1" applyBorder="1"/>
    <xf numFmtId="3" fontId="3" fillId="0" borderId="0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550"/>
  <sheetViews>
    <sheetView tabSelected="1" defaultGridColor="0" colorId="8" workbookViewId="0">
      <pane ySplit="1" topLeftCell="A2" activePane="bottomLeft" state="frozen"/>
      <selection pane="bottomLeft"/>
    </sheetView>
  </sheetViews>
  <sheetFormatPr defaultColWidth="2.7109375" defaultRowHeight="19.5" x14ac:dyDescent="0.4"/>
  <cols>
    <col min="1" max="2" width="21" style="5" bestFit="1" customWidth="1"/>
    <col min="3" max="3" width="26.140625" style="5" bestFit="1" customWidth="1"/>
    <col min="4" max="4" width="74.7109375" style="5" bestFit="1" customWidth="1"/>
    <col min="5" max="5" width="49.5703125" style="5" bestFit="1" customWidth="1"/>
    <col min="6" max="6" width="15.85546875" style="5" bestFit="1" customWidth="1"/>
    <col min="7" max="7" width="117.5703125" style="5" bestFit="1" customWidth="1"/>
    <col min="8" max="8" width="54.140625" style="6" bestFit="1" customWidth="1"/>
    <col min="9" max="9" width="78.140625" style="5" bestFit="1" customWidth="1"/>
    <col min="10" max="10" width="11.140625" style="8" bestFit="1" customWidth="1"/>
    <col min="11" max="11" width="20" style="5" bestFit="1" customWidth="1"/>
    <col min="12" max="12" width="17.28515625" style="8" bestFit="1" customWidth="1"/>
    <col min="13" max="13" width="23.5703125" style="8" bestFit="1" customWidth="1"/>
    <col min="14" max="14" width="18.42578125" style="6" bestFit="1" customWidth="1"/>
    <col min="15" max="16" width="15.85546875" style="5" bestFit="1" customWidth="1"/>
    <col min="17" max="17" width="21" style="8" bestFit="1" customWidth="1"/>
    <col min="18" max="18" width="23.5703125" style="8" bestFit="1" customWidth="1"/>
    <col min="19" max="19" width="25.140625" style="5" bestFit="1" customWidth="1"/>
    <col min="20" max="20" width="18.5703125" style="5" hidden="1" customWidth="1"/>
    <col min="21" max="22" width="10.5703125" style="5" hidden="1" customWidth="1"/>
    <col min="23" max="23" width="16.5703125" style="5" hidden="1" customWidth="1"/>
    <col min="24" max="24" width="45.7109375" style="5" hidden="1" customWidth="1"/>
    <col min="25" max="27" width="12.5703125" style="5" hidden="1" customWidth="1"/>
    <col min="28" max="28" width="28.42578125" style="5" hidden="1" customWidth="1"/>
    <col min="29" max="29" width="10.5703125" style="6" hidden="1" customWidth="1"/>
    <col min="30" max="30" width="14.5703125" style="6" hidden="1" customWidth="1"/>
    <col min="31" max="31" width="12.5703125" style="5" hidden="1" customWidth="1"/>
    <col min="32" max="33" width="10.5703125" style="6" hidden="1" customWidth="1"/>
    <col min="34" max="34" width="10.5703125" style="5" hidden="1" customWidth="1"/>
    <col min="35" max="36" width="8.5703125" style="5" hidden="1" customWidth="1"/>
    <col min="37" max="37" width="14.5703125" style="5" hidden="1" customWidth="1"/>
    <col min="38" max="38" width="12.5703125" style="5" hidden="1" customWidth="1"/>
    <col min="39" max="39" width="14.5703125" style="5" hidden="1" customWidth="1"/>
    <col min="40" max="41" width="12.5703125" style="5" hidden="1" customWidth="1"/>
    <col min="42" max="42" width="14.5703125" style="5" hidden="1" customWidth="1"/>
    <col min="43" max="43" width="12.5703125" style="5" hidden="1" customWidth="1"/>
    <col min="44" max="45" width="4.5703125" style="6" hidden="1" customWidth="1"/>
    <col min="46" max="46" width="11.85546875" style="6" hidden="1" customWidth="1"/>
    <col min="47" max="47" width="10.5703125" style="6" hidden="1" customWidth="1"/>
    <col min="48" max="48" width="10.5703125" style="5" hidden="1" customWidth="1"/>
    <col min="49" max="53" width="12.5703125" style="5" hidden="1" customWidth="1"/>
    <col min="54" max="54" width="10.5703125" style="5" hidden="1" customWidth="1"/>
    <col min="55" max="55" width="13.85546875" style="5" hidden="1" customWidth="1"/>
    <col min="56" max="56" width="14.5703125" style="5" hidden="1" customWidth="1"/>
    <col min="57" max="57" width="16.5703125" style="6" hidden="1" customWidth="1"/>
    <col min="58" max="58" width="60.28515625" style="5" hidden="1" customWidth="1"/>
    <col min="59" max="59" width="12.5703125" style="5" hidden="1" customWidth="1"/>
    <col min="60" max="60" width="8.5703125" style="5" hidden="1" customWidth="1"/>
    <col min="61" max="61" width="10.5703125" style="6" hidden="1" customWidth="1"/>
    <col min="62" max="62" width="18.5703125" style="5" hidden="1" customWidth="1"/>
    <col min="63" max="63" width="22.5703125" style="5" hidden="1" customWidth="1"/>
    <col min="64" max="64" width="12.5703125" style="5" hidden="1" customWidth="1"/>
    <col min="65" max="66" width="20" style="8" hidden="1" customWidth="1"/>
    <col min="67" max="67" width="10.5703125" style="5" hidden="1" customWidth="1"/>
    <col min="68" max="68" width="4.5703125" style="5" hidden="1" customWidth="1"/>
    <col min="69" max="71" width="12.5703125" style="5" hidden="1" customWidth="1"/>
    <col min="72" max="76" width="16.5703125" style="5" hidden="1" customWidth="1"/>
    <col min="77" max="77" width="9.5703125" style="6" hidden="1" customWidth="1"/>
    <col min="78" max="80" width="8.5703125" style="5" hidden="1" customWidth="1"/>
    <col min="81" max="81" width="10.5703125" style="5" hidden="1" customWidth="1"/>
    <col min="82" max="82" width="13.140625" style="5" hidden="1" customWidth="1"/>
    <col min="83" max="83" width="26.42578125" style="5" hidden="1" customWidth="1"/>
    <col min="84" max="84" width="34.42578125" style="5" hidden="1" customWidth="1"/>
    <col min="85" max="85" width="14.5703125" style="5" hidden="1" customWidth="1"/>
    <col min="86" max="86" width="18.5703125" style="5" hidden="1" customWidth="1"/>
    <col min="87" max="88" width="12.5703125" style="5" hidden="1" customWidth="1"/>
    <col min="89" max="89" width="6.5703125" style="5" hidden="1" customWidth="1"/>
    <col min="90" max="90" width="26.85546875" style="5" hidden="1" customWidth="1"/>
    <col min="91" max="91" width="14.5703125" style="5" hidden="1" customWidth="1"/>
    <col min="92" max="92" width="15.7109375" style="6" hidden="1" customWidth="1"/>
    <col min="93" max="94" width="15.7109375" style="5" hidden="1" customWidth="1"/>
    <col min="95" max="95" width="10.140625" style="5" hidden="1" customWidth="1"/>
    <col min="96" max="96" width="12.5703125" style="5" hidden="1" customWidth="1"/>
    <col min="97" max="97" width="10.5703125" style="5" hidden="1" customWidth="1"/>
    <col min="98" max="98" width="21.7109375" style="5" hidden="1" customWidth="1"/>
    <col min="99" max="99" width="24.28515625" style="5" hidden="1" customWidth="1"/>
    <col min="100" max="100" width="38.42578125" style="5" hidden="1" customWidth="1"/>
    <col min="101" max="101" width="20" style="7" hidden="1" customWidth="1"/>
    <col min="102" max="104" width="20" style="8" hidden="1" customWidth="1"/>
    <col min="105" max="105" width="8.5703125" style="5" hidden="1" customWidth="1"/>
    <col min="106" max="106" width="4.5703125" style="5" hidden="1" customWidth="1"/>
    <col min="107" max="108" width="8.5703125" style="5" hidden="1" customWidth="1"/>
    <col min="109" max="109" width="20" style="8" hidden="1" customWidth="1"/>
    <col min="110" max="110" width="6.5703125" style="6" hidden="1" customWidth="1"/>
    <col min="111" max="111" width="8.5703125" style="5" hidden="1" customWidth="1"/>
    <col min="112" max="112" width="8.28515625" style="5" hidden="1" customWidth="1"/>
    <col min="113" max="113" width="6.42578125" style="5" hidden="1" customWidth="1"/>
    <col min="114" max="114" width="11.140625" style="5" hidden="1" customWidth="1"/>
    <col min="115" max="116" width="8.5703125" style="5" hidden="1" customWidth="1"/>
    <col min="117" max="117" width="20" style="8" hidden="1" customWidth="1"/>
    <col min="118" max="118" width="4.5703125" style="5" hidden="1" customWidth="1"/>
    <col min="119" max="119" width="8.5703125" style="5" hidden="1" customWidth="1"/>
    <col min="120" max="123" width="4.5703125" style="5" hidden="1" customWidth="1"/>
    <col min="124" max="125" width="12.5703125" style="5" hidden="1" customWidth="1"/>
    <col min="126" max="132" width="10.5703125" style="5" hidden="1" customWidth="1"/>
    <col min="133" max="193" width="12.5703125" style="5" hidden="1" customWidth="1"/>
    <col min="194" max="194" width="100" style="5" hidden="1" customWidth="1"/>
    <col min="195" max="202" width="10.5703125" style="5" hidden="1" customWidth="1"/>
    <col min="203" max="223" width="12.5703125" style="5" hidden="1" customWidth="1"/>
    <col min="224" max="224" width="18.5703125" style="5" hidden="1" customWidth="1"/>
    <col min="225" max="225" width="16.5703125" style="5" hidden="1" customWidth="1"/>
    <col min="226" max="226" width="12.5703125" style="5" hidden="1" customWidth="1"/>
    <col min="227" max="227" width="10.5703125" style="5" hidden="1" customWidth="1"/>
    <col min="228" max="228" width="14.5703125" style="5" hidden="1" customWidth="1"/>
    <col min="229" max="229" width="6.5703125" style="5" hidden="1" customWidth="1"/>
    <col min="230" max="232" width="8.5703125" style="5" hidden="1" customWidth="1"/>
    <col min="233" max="233" width="16.5703125" style="5" hidden="1" customWidth="1"/>
    <col min="234" max="238" width="20.5703125" style="5" hidden="1" customWidth="1"/>
    <col min="239" max="239" width="2.7109375" style="5" customWidth="1"/>
    <col min="240" max="16384" width="2.7109375" style="5"/>
  </cols>
  <sheetData>
    <row r="1" spans="1:238" x14ac:dyDescent="0.4">
      <c r="A1" s="1" t="s">
        <v>0</v>
      </c>
      <c r="B1" s="1" t="s">
        <v>1</v>
      </c>
      <c r="C1" s="1" t="s">
        <v>2</v>
      </c>
      <c r="D1" s="1" t="s">
        <v>9</v>
      </c>
      <c r="E1" s="1" t="s">
        <v>14</v>
      </c>
      <c r="F1" s="1" t="s">
        <v>44</v>
      </c>
      <c r="G1" s="1" t="s">
        <v>22</v>
      </c>
      <c r="H1" s="2" t="s">
        <v>33</v>
      </c>
      <c r="I1" s="1" t="s">
        <v>6</v>
      </c>
      <c r="J1" s="3" t="s">
        <v>95</v>
      </c>
      <c r="K1" s="1" t="s">
        <v>96</v>
      </c>
      <c r="L1" s="3" t="s">
        <v>101</v>
      </c>
      <c r="M1" s="3" t="s">
        <v>102</v>
      </c>
      <c r="N1" s="2" t="s">
        <v>16</v>
      </c>
      <c r="O1" s="1" t="s">
        <v>92</v>
      </c>
      <c r="P1" s="1" t="s">
        <v>93</v>
      </c>
      <c r="Q1" s="3" t="s">
        <v>99</v>
      </c>
      <c r="R1" s="3" t="s">
        <v>98</v>
      </c>
      <c r="S1" s="1" t="s">
        <v>7</v>
      </c>
      <c r="T1" s="1" t="s">
        <v>3</v>
      </c>
      <c r="U1" s="1" t="s">
        <v>4</v>
      </c>
      <c r="V1" s="1" t="s">
        <v>5</v>
      </c>
      <c r="W1" s="1" t="s">
        <v>8</v>
      </c>
      <c r="X1" s="1" t="s">
        <v>10</v>
      </c>
      <c r="Y1" s="1" t="s">
        <v>11</v>
      </c>
      <c r="Z1" s="1" t="s">
        <v>12</v>
      </c>
      <c r="AA1" s="1" t="s">
        <v>13</v>
      </c>
      <c r="AB1" s="1" t="s">
        <v>15</v>
      </c>
      <c r="AC1" s="2" t="s">
        <v>17</v>
      </c>
      <c r="AD1" s="2" t="s">
        <v>18</v>
      </c>
      <c r="AE1" s="1" t="s">
        <v>19</v>
      </c>
      <c r="AF1" s="2" t="s">
        <v>20</v>
      </c>
      <c r="AG1" s="2" t="s">
        <v>21</v>
      </c>
      <c r="AH1" s="1" t="s">
        <v>23</v>
      </c>
      <c r="AI1" s="1" t="s">
        <v>24</v>
      </c>
      <c r="AJ1" s="1" t="s">
        <v>25</v>
      </c>
      <c r="AK1" s="1" t="s">
        <v>26</v>
      </c>
      <c r="AL1" s="1" t="s">
        <v>27</v>
      </c>
      <c r="AM1" s="1" t="s">
        <v>28</v>
      </c>
      <c r="AN1" s="1" t="s">
        <v>29</v>
      </c>
      <c r="AO1" s="1" t="s">
        <v>30</v>
      </c>
      <c r="AP1" s="1" t="s">
        <v>31</v>
      </c>
      <c r="AQ1" s="1" t="s">
        <v>32</v>
      </c>
      <c r="AR1" s="2" t="s">
        <v>34</v>
      </c>
      <c r="AS1" s="2" t="s">
        <v>35</v>
      </c>
      <c r="AT1" s="2" t="s">
        <v>36</v>
      </c>
      <c r="AU1" s="2" t="s">
        <v>37</v>
      </c>
      <c r="AV1" s="1" t="s">
        <v>38</v>
      </c>
      <c r="AW1" s="1" t="s">
        <v>39</v>
      </c>
      <c r="AX1" s="1" t="s">
        <v>40</v>
      </c>
      <c r="AY1" s="1" t="s">
        <v>41</v>
      </c>
      <c r="AZ1" s="1" t="s">
        <v>42</v>
      </c>
      <c r="BA1" s="1" t="s">
        <v>43</v>
      </c>
      <c r="BB1" s="1" t="s">
        <v>45</v>
      </c>
      <c r="BC1" s="1" t="s">
        <v>46</v>
      </c>
      <c r="BD1" s="1" t="s">
        <v>47</v>
      </c>
      <c r="BE1" s="2" t="s">
        <v>48</v>
      </c>
      <c r="BF1" s="1" t="s">
        <v>49</v>
      </c>
      <c r="BG1" s="1" t="s">
        <v>50</v>
      </c>
      <c r="BH1" s="1" t="s">
        <v>51</v>
      </c>
      <c r="BI1" s="2" t="s">
        <v>52</v>
      </c>
      <c r="BJ1" s="1" t="s">
        <v>53</v>
      </c>
      <c r="BK1" s="1" t="s">
        <v>54</v>
      </c>
      <c r="BL1" s="1" t="s">
        <v>55</v>
      </c>
      <c r="BM1" s="3" t="s">
        <v>56</v>
      </c>
      <c r="BN1" s="3" t="s">
        <v>57</v>
      </c>
      <c r="BO1" s="1" t="s">
        <v>58</v>
      </c>
      <c r="BP1" s="1" t="s">
        <v>59</v>
      </c>
      <c r="BQ1" s="1" t="s">
        <v>60</v>
      </c>
      <c r="BR1" s="1" t="s">
        <v>61</v>
      </c>
      <c r="BS1" s="1" t="s">
        <v>62</v>
      </c>
      <c r="BT1" s="1" t="s">
        <v>63</v>
      </c>
      <c r="BU1" s="1" t="s">
        <v>64</v>
      </c>
      <c r="BV1" s="1" t="s">
        <v>65</v>
      </c>
      <c r="BW1" s="1" t="s">
        <v>66</v>
      </c>
      <c r="BX1" s="1" t="s">
        <v>67</v>
      </c>
      <c r="BY1" s="2" t="s">
        <v>68</v>
      </c>
      <c r="BZ1" s="1" t="s">
        <v>69</v>
      </c>
      <c r="CA1" s="1" t="s">
        <v>70</v>
      </c>
      <c r="CB1" s="1" t="s">
        <v>71</v>
      </c>
      <c r="CC1" s="1" t="s">
        <v>72</v>
      </c>
      <c r="CD1" s="1" t="s">
        <v>73</v>
      </c>
      <c r="CE1" s="1" t="s">
        <v>74</v>
      </c>
      <c r="CF1" s="1" t="s">
        <v>75</v>
      </c>
      <c r="CG1" s="1" t="s">
        <v>76</v>
      </c>
      <c r="CH1" s="1" t="s">
        <v>77</v>
      </c>
      <c r="CI1" s="1" t="s">
        <v>78</v>
      </c>
      <c r="CJ1" s="1" t="s">
        <v>79</v>
      </c>
      <c r="CK1" s="1" t="s">
        <v>80</v>
      </c>
      <c r="CL1" s="1" t="s">
        <v>81</v>
      </c>
      <c r="CM1" s="1" t="s">
        <v>82</v>
      </c>
      <c r="CN1" s="2" t="s">
        <v>83</v>
      </c>
      <c r="CO1" s="1" t="s">
        <v>84</v>
      </c>
      <c r="CP1" s="1" t="s">
        <v>85</v>
      </c>
      <c r="CQ1" s="1" t="s">
        <v>86</v>
      </c>
      <c r="CR1" s="1" t="s">
        <v>87</v>
      </c>
      <c r="CS1" s="1" t="s">
        <v>88</v>
      </c>
      <c r="CT1" s="1" t="s">
        <v>89</v>
      </c>
      <c r="CU1" s="1" t="s">
        <v>90</v>
      </c>
      <c r="CV1" s="1" t="s">
        <v>91</v>
      </c>
      <c r="CW1" s="4" t="s">
        <v>94</v>
      </c>
      <c r="CX1" s="3" t="s">
        <v>97</v>
      </c>
      <c r="CY1" s="3" t="s">
        <v>100</v>
      </c>
      <c r="CZ1" s="3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3" t="s">
        <v>108</v>
      </c>
      <c r="DF1" s="2" t="s">
        <v>109</v>
      </c>
      <c r="DG1" s="1" t="s">
        <v>110</v>
      </c>
      <c r="DH1" s="1" t="s">
        <v>22</v>
      </c>
      <c r="DI1" s="1" t="s">
        <v>111</v>
      </c>
      <c r="DJ1" s="1" t="s">
        <v>112</v>
      </c>
      <c r="DK1" s="1" t="s">
        <v>113</v>
      </c>
      <c r="DL1" s="1" t="s">
        <v>114</v>
      </c>
      <c r="DM1" s="3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  <c r="EO1" s="1" t="s">
        <v>143</v>
      </c>
      <c r="EP1" s="1" t="s">
        <v>144</v>
      </c>
      <c r="EQ1" s="1" t="s">
        <v>145</v>
      </c>
      <c r="ER1" s="1" t="s">
        <v>146</v>
      </c>
      <c r="ES1" s="1" t="s">
        <v>147</v>
      </c>
      <c r="ET1" s="1" t="s">
        <v>148</v>
      </c>
      <c r="EU1" s="1" t="s">
        <v>149</v>
      </c>
      <c r="EV1" s="1" t="s">
        <v>150</v>
      </c>
      <c r="EW1" s="1" t="s">
        <v>151</v>
      </c>
      <c r="EX1" s="1" t="s">
        <v>152</v>
      </c>
      <c r="EY1" s="1" t="s">
        <v>153</v>
      </c>
      <c r="EZ1" s="1" t="s">
        <v>154</v>
      </c>
      <c r="FA1" s="1" t="s">
        <v>155</v>
      </c>
      <c r="FB1" s="1" t="s">
        <v>156</v>
      </c>
      <c r="FC1" s="1" t="s">
        <v>157</v>
      </c>
      <c r="FD1" s="1" t="s">
        <v>158</v>
      </c>
      <c r="FE1" s="1" t="s">
        <v>159</v>
      </c>
      <c r="FF1" s="1" t="s">
        <v>160</v>
      </c>
      <c r="FG1" s="1" t="s">
        <v>161</v>
      </c>
      <c r="FH1" s="1" t="s">
        <v>162</v>
      </c>
      <c r="FI1" s="1" t="s">
        <v>163</v>
      </c>
      <c r="FJ1" s="1" t="s">
        <v>164</v>
      </c>
      <c r="FK1" s="1" t="s">
        <v>165</v>
      </c>
      <c r="FL1" s="1" t="s">
        <v>166</v>
      </c>
      <c r="FM1" s="1" t="s">
        <v>167</v>
      </c>
      <c r="FN1" s="1" t="s">
        <v>168</v>
      </c>
      <c r="FO1" s="1" t="s">
        <v>169</v>
      </c>
      <c r="FP1" s="1" t="s">
        <v>170</v>
      </c>
      <c r="FQ1" s="1" t="s">
        <v>171</v>
      </c>
      <c r="FR1" s="1" t="s">
        <v>172</v>
      </c>
      <c r="FS1" s="1" t="s">
        <v>173</v>
      </c>
      <c r="FT1" s="1" t="s">
        <v>174</v>
      </c>
      <c r="FU1" s="1" t="s">
        <v>175</v>
      </c>
      <c r="FV1" s="1" t="s">
        <v>176</v>
      </c>
      <c r="FW1" s="1" t="s">
        <v>177</v>
      </c>
      <c r="FX1" s="1" t="s">
        <v>178</v>
      </c>
      <c r="FY1" s="1" t="s">
        <v>179</v>
      </c>
      <c r="FZ1" s="1" t="s">
        <v>180</v>
      </c>
      <c r="GA1" s="1" t="s">
        <v>181</v>
      </c>
      <c r="GB1" s="1" t="s">
        <v>182</v>
      </c>
      <c r="GC1" s="1" t="s">
        <v>183</v>
      </c>
      <c r="GD1" s="1" t="s">
        <v>184</v>
      </c>
      <c r="GE1" s="1" t="s">
        <v>185</v>
      </c>
      <c r="GF1" s="1" t="s">
        <v>186</v>
      </c>
      <c r="GG1" s="1" t="s">
        <v>187</v>
      </c>
      <c r="GH1" s="1" t="s">
        <v>188</v>
      </c>
      <c r="GI1" s="1" t="s">
        <v>189</v>
      </c>
      <c r="GJ1" s="1" t="s">
        <v>190</v>
      </c>
      <c r="GK1" s="1" t="s">
        <v>191</v>
      </c>
      <c r="GL1" s="1" t="s">
        <v>192</v>
      </c>
      <c r="GM1" s="1" t="s">
        <v>193</v>
      </c>
      <c r="GN1" s="1" t="s">
        <v>194</v>
      </c>
      <c r="GO1" s="1" t="s">
        <v>195</v>
      </c>
      <c r="GP1" s="1" t="s">
        <v>196</v>
      </c>
      <c r="GQ1" s="1" t="s">
        <v>197</v>
      </c>
      <c r="GR1" s="1" t="s">
        <v>198</v>
      </c>
      <c r="GS1" s="1" t="s">
        <v>199</v>
      </c>
      <c r="GT1" s="1" t="s">
        <v>200</v>
      </c>
      <c r="GU1" s="1" t="s">
        <v>201</v>
      </c>
      <c r="GV1" s="1" t="s">
        <v>202</v>
      </c>
      <c r="GW1" s="1" t="s">
        <v>203</v>
      </c>
      <c r="GX1" s="1" t="s">
        <v>204</v>
      </c>
      <c r="GY1" s="1" t="s">
        <v>205</v>
      </c>
      <c r="GZ1" s="1" t="s">
        <v>206</v>
      </c>
      <c r="HA1" s="1" t="s">
        <v>207</v>
      </c>
      <c r="HB1" s="1" t="s">
        <v>208</v>
      </c>
      <c r="HC1" s="1" t="s">
        <v>209</v>
      </c>
      <c r="HD1" s="1" t="s">
        <v>210</v>
      </c>
      <c r="HE1" s="1" t="s">
        <v>211</v>
      </c>
      <c r="HF1" s="1" t="s">
        <v>212</v>
      </c>
      <c r="HG1" s="1" t="s">
        <v>213</v>
      </c>
      <c r="HH1" s="1" t="s">
        <v>214</v>
      </c>
      <c r="HI1" s="1" t="s">
        <v>215</v>
      </c>
      <c r="HJ1" s="1" t="s">
        <v>216</v>
      </c>
      <c r="HK1" s="1" t="s">
        <v>217</v>
      </c>
      <c r="HL1" s="1" t="s">
        <v>218</v>
      </c>
      <c r="HM1" s="1" t="s">
        <v>219</v>
      </c>
      <c r="HN1" s="1" t="s">
        <v>220</v>
      </c>
      <c r="HO1" s="1" t="s">
        <v>221</v>
      </c>
      <c r="HP1" s="1" t="s">
        <v>222</v>
      </c>
      <c r="HQ1" s="1" t="s">
        <v>223</v>
      </c>
      <c r="HR1" s="1" t="s">
        <v>224</v>
      </c>
      <c r="HS1" s="1" t="s">
        <v>225</v>
      </c>
      <c r="HT1" s="1" t="s">
        <v>226</v>
      </c>
      <c r="HU1" s="1" t="s">
        <v>227</v>
      </c>
      <c r="HV1" s="1" t="s">
        <v>228</v>
      </c>
      <c r="HW1" s="1" t="s">
        <v>229</v>
      </c>
      <c r="HX1" s="1" t="s">
        <v>230</v>
      </c>
      <c r="HY1" s="1" t="s">
        <v>231</v>
      </c>
      <c r="HZ1" s="1" t="s">
        <v>232</v>
      </c>
      <c r="IA1" s="1" t="s">
        <v>233</v>
      </c>
      <c r="IB1" s="1" t="s">
        <v>234</v>
      </c>
      <c r="IC1" s="1" t="s">
        <v>235</v>
      </c>
      <c r="ID1" s="1" t="s">
        <v>236</v>
      </c>
    </row>
    <row r="2" spans="1:238" x14ac:dyDescent="0.4">
      <c r="A2" s="5">
        <v>1</v>
      </c>
      <c r="B2" s="5">
        <v>1</v>
      </c>
      <c r="C2" s="5">
        <v>4</v>
      </c>
      <c r="D2" s="5" t="s">
        <v>851</v>
      </c>
      <c r="E2" s="5" t="s">
        <v>852</v>
      </c>
      <c r="F2" s="5" t="s">
        <v>282</v>
      </c>
      <c r="G2" s="5" t="s">
        <v>302</v>
      </c>
      <c r="H2" s="6" t="s">
        <v>545</v>
      </c>
      <c r="I2" s="5" t="s">
        <v>298</v>
      </c>
      <c r="J2" s="7">
        <v>4847.72</v>
      </c>
      <c r="K2" s="5" t="s">
        <v>270</v>
      </c>
      <c r="L2" s="8">
        <f>40070664</f>
        <v>40070664</v>
      </c>
      <c r="M2" s="8">
        <f>1001766600</f>
        <v>1001766600</v>
      </c>
      <c r="N2" s="6" t="s">
        <v>1212</v>
      </c>
      <c r="O2" s="5" t="s">
        <v>279</v>
      </c>
      <c r="P2" s="5" t="s">
        <v>996</v>
      </c>
      <c r="R2" s="8">
        <f>961695936</f>
        <v>961695936</v>
      </c>
      <c r="S2" s="5" t="s">
        <v>240</v>
      </c>
      <c r="T2" s="5" t="s">
        <v>237</v>
      </c>
      <c r="W2" s="5" t="s">
        <v>241</v>
      </c>
      <c r="X2" s="5" t="s">
        <v>243</v>
      </c>
      <c r="Y2" s="5" t="s">
        <v>238</v>
      </c>
      <c r="AB2" s="5" t="s">
        <v>238</v>
      </c>
      <c r="AC2" s="6" t="s">
        <v>238</v>
      </c>
      <c r="AD2" s="6" t="s">
        <v>238</v>
      </c>
      <c r="AF2" s="6" t="s">
        <v>238</v>
      </c>
      <c r="AG2" s="6" t="s">
        <v>246</v>
      </c>
      <c r="AH2" s="5" t="s">
        <v>247</v>
      </c>
      <c r="AI2" s="5" t="s">
        <v>248</v>
      </c>
      <c r="AO2" s="5" t="s">
        <v>238</v>
      </c>
      <c r="AP2" s="5" t="s">
        <v>238</v>
      </c>
      <c r="AQ2" s="5" t="s">
        <v>238</v>
      </c>
      <c r="AR2" s="6" t="s">
        <v>238</v>
      </c>
      <c r="AS2" s="6" t="s">
        <v>238</v>
      </c>
      <c r="AT2" s="6" t="s">
        <v>238</v>
      </c>
      <c r="AW2" s="5" t="s">
        <v>304</v>
      </c>
      <c r="AX2" s="5" t="s">
        <v>304</v>
      </c>
      <c r="AY2" s="5" t="s">
        <v>250</v>
      </c>
      <c r="AZ2" s="5" t="s">
        <v>305</v>
      </c>
      <c r="BA2" s="5" t="s">
        <v>251</v>
      </c>
      <c r="BB2" s="5" t="s">
        <v>238</v>
      </c>
      <c r="BC2" s="5" t="s">
        <v>253</v>
      </c>
      <c r="BD2" s="5" t="s">
        <v>238</v>
      </c>
      <c r="BF2" s="5" t="s">
        <v>238</v>
      </c>
      <c r="BH2" s="5" t="s">
        <v>283</v>
      </c>
      <c r="BI2" s="6" t="s">
        <v>293</v>
      </c>
      <c r="BJ2" s="5" t="s">
        <v>294</v>
      </c>
      <c r="BK2" s="5" t="s">
        <v>294</v>
      </c>
      <c r="BL2" s="5" t="s">
        <v>238</v>
      </c>
      <c r="BM2" s="7">
        <f>0</f>
        <v>0</v>
      </c>
      <c r="BN2" s="8">
        <f>-20035332</f>
        <v>-20035332</v>
      </c>
      <c r="BO2" s="5" t="s">
        <v>257</v>
      </c>
      <c r="BP2" s="5" t="s">
        <v>258</v>
      </c>
      <c r="BQ2" s="5" t="s">
        <v>238</v>
      </c>
      <c r="BR2" s="5" t="s">
        <v>238</v>
      </c>
      <c r="BS2" s="5" t="s">
        <v>238</v>
      </c>
      <c r="BT2" s="5" t="s">
        <v>238</v>
      </c>
      <c r="CC2" s="5" t="s">
        <v>258</v>
      </c>
      <c r="CD2" s="5" t="s">
        <v>238</v>
      </c>
      <c r="CE2" s="5" t="s">
        <v>238</v>
      </c>
      <c r="CI2" s="5" t="s">
        <v>527</v>
      </c>
      <c r="CJ2" s="5" t="s">
        <v>260</v>
      </c>
      <c r="CK2" s="5" t="s">
        <v>238</v>
      </c>
      <c r="CM2" s="5" t="s">
        <v>964</v>
      </c>
      <c r="CN2" s="6" t="s">
        <v>262</v>
      </c>
      <c r="CO2" s="5" t="s">
        <v>263</v>
      </c>
      <c r="CP2" s="5" t="s">
        <v>264</v>
      </c>
      <c r="CQ2" s="5" t="s">
        <v>285</v>
      </c>
      <c r="CR2" s="5" t="s">
        <v>238</v>
      </c>
      <c r="CS2" s="5">
        <v>0</v>
      </c>
      <c r="CT2" s="5" t="s">
        <v>265</v>
      </c>
      <c r="CU2" s="5" t="s">
        <v>307</v>
      </c>
      <c r="CV2" s="5" t="s">
        <v>308</v>
      </c>
      <c r="CW2" s="7">
        <f>0</f>
        <v>0</v>
      </c>
      <c r="CX2" s="8">
        <f>1001766600</f>
        <v>1001766600</v>
      </c>
      <c r="CY2" s="8">
        <f>40070664</f>
        <v>40070664</v>
      </c>
      <c r="DA2" s="5" t="s">
        <v>238</v>
      </c>
      <c r="DB2" s="5" t="s">
        <v>238</v>
      </c>
      <c r="DD2" s="5" t="s">
        <v>238</v>
      </c>
      <c r="DE2" s="8">
        <f>0</f>
        <v>0</v>
      </c>
      <c r="DG2" s="5" t="s">
        <v>238</v>
      </c>
      <c r="DH2" s="5" t="s">
        <v>238</v>
      </c>
      <c r="DI2" s="5" t="s">
        <v>238</v>
      </c>
      <c r="DJ2" s="5" t="s">
        <v>238</v>
      </c>
      <c r="DK2" s="5" t="s">
        <v>356</v>
      </c>
      <c r="DL2" s="5" t="s">
        <v>272</v>
      </c>
      <c r="DM2" s="7">
        <f>5565.37</f>
        <v>5565.37</v>
      </c>
      <c r="DN2" s="5" t="s">
        <v>238</v>
      </c>
      <c r="DO2" s="5" t="s">
        <v>238</v>
      </c>
      <c r="DP2" s="5" t="s">
        <v>238</v>
      </c>
      <c r="DQ2" s="5" t="s">
        <v>238</v>
      </c>
      <c r="DT2" s="5" t="s">
        <v>854</v>
      </c>
      <c r="DU2" s="5" t="s">
        <v>271</v>
      </c>
      <c r="GL2" s="5" t="s">
        <v>4378</v>
      </c>
      <c r="HM2" s="5" t="s">
        <v>313</v>
      </c>
      <c r="HP2" s="5" t="s">
        <v>272</v>
      </c>
      <c r="HQ2" s="5" t="s">
        <v>272</v>
      </c>
      <c r="HR2" s="5" t="s">
        <v>238</v>
      </c>
      <c r="HS2" s="5" t="s">
        <v>238</v>
      </c>
      <c r="HT2" s="5" t="s">
        <v>238</v>
      </c>
      <c r="HU2" s="5" t="s">
        <v>238</v>
      </c>
      <c r="HV2" s="5" t="s">
        <v>238</v>
      </c>
      <c r="HW2" s="5" t="s">
        <v>238</v>
      </c>
      <c r="HX2" s="5" t="s">
        <v>238</v>
      </c>
      <c r="HY2" s="5" t="s">
        <v>238</v>
      </c>
      <c r="HZ2" s="5" t="s">
        <v>238</v>
      </c>
      <c r="IA2" s="5" t="s">
        <v>238</v>
      </c>
      <c r="IB2" s="5" t="s">
        <v>238</v>
      </c>
      <c r="IC2" s="5" t="s">
        <v>238</v>
      </c>
      <c r="ID2" s="5" t="s">
        <v>238</v>
      </c>
    </row>
    <row r="3" spans="1:238" x14ac:dyDescent="0.4">
      <c r="A3" s="5">
        <v>2</v>
      </c>
      <c r="B3" s="5">
        <v>1</v>
      </c>
      <c r="C3" s="5">
        <v>1</v>
      </c>
      <c r="D3" s="5" t="s">
        <v>851</v>
      </c>
      <c r="E3" s="5" t="s">
        <v>852</v>
      </c>
      <c r="F3" s="5" t="s">
        <v>282</v>
      </c>
      <c r="G3" s="5" t="s">
        <v>1181</v>
      </c>
      <c r="H3" s="6" t="s">
        <v>545</v>
      </c>
      <c r="I3" s="5" t="s">
        <v>1181</v>
      </c>
      <c r="J3" s="7">
        <f>111.6</f>
        <v>111.6</v>
      </c>
      <c r="K3" s="5" t="s">
        <v>270</v>
      </c>
      <c r="L3" s="8">
        <f>1</f>
        <v>1</v>
      </c>
      <c r="M3" s="8">
        <f>6696000</f>
        <v>6696000</v>
      </c>
      <c r="N3" s="6" t="s">
        <v>1212</v>
      </c>
      <c r="O3" s="5" t="s">
        <v>650</v>
      </c>
      <c r="P3" s="5" t="s">
        <v>965</v>
      </c>
      <c r="R3" s="8">
        <f>6695999</f>
        <v>6695999</v>
      </c>
      <c r="S3" s="5" t="s">
        <v>240</v>
      </c>
      <c r="T3" s="5" t="s">
        <v>237</v>
      </c>
      <c r="U3" s="5" t="s">
        <v>238</v>
      </c>
      <c r="V3" s="5" t="s">
        <v>238</v>
      </c>
      <c r="W3" s="5" t="s">
        <v>241</v>
      </c>
      <c r="X3" s="5" t="s">
        <v>243</v>
      </c>
      <c r="Y3" s="5" t="s">
        <v>238</v>
      </c>
      <c r="AB3" s="5" t="s">
        <v>238</v>
      </c>
      <c r="AD3" s="6" t="s">
        <v>238</v>
      </c>
      <c r="AG3" s="6" t="s">
        <v>246</v>
      </c>
      <c r="AH3" s="5" t="s">
        <v>247</v>
      </c>
      <c r="AI3" s="5" t="s">
        <v>248</v>
      </c>
      <c r="AY3" s="5" t="s">
        <v>250</v>
      </c>
      <c r="AZ3" s="5" t="s">
        <v>238</v>
      </c>
      <c r="BA3" s="5" t="s">
        <v>251</v>
      </c>
      <c r="BB3" s="5" t="s">
        <v>238</v>
      </c>
      <c r="BC3" s="5" t="s">
        <v>253</v>
      </c>
      <c r="BD3" s="5" t="s">
        <v>238</v>
      </c>
      <c r="BF3" s="5" t="s">
        <v>238</v>
      </c>
      <c r="BH3" s="5" t="s">
        <v>859</v>
      </c>
      <c r="BI3" s="6" t="s">
        <v>368</v>
      </c>
      <c r="BJ3" s="5" t="s">
        <v>255</v>
      </c>
      <c r="BK3" s="5" t="s">
        <v>256</v>
      </c>
      <c r="BL3" s="5" t="s">
        <v>238</v>
      </c>
      <c r="BM3" s="7">
        <f>0</f>
        <v>0</v>
      </c>
      <c r="BN3" s="8">
        <f>0</f>
        <v>0</v>
      </c>
      <c r="BO3" s="5" t="s">
        <v>257</v>
      </c>
      <c r="BP3" s="5" t="s">
        <v>258</v>
      </c>
      <c r="CD3" s="5" t="s">
        <v>238</v>
      </c>
      <c r="CE3" s="5" t="s">
        <v>238</v>
      </c>
      <c r="CI3" s="5" t="s">
        <v>527</v>
      </c>
      <c r="CJ3" s="5" t="s">
        <v>260</v>
      </c>
      <c r="CK3" s="5" t="s">
        <v>238</v>
      </c>
      <c r="CM3" s="5" t="s">
        <v>964</v>
      </c>
      <c r="CN3" s="6" t="s">
        <v>262</v>
      </c>
      <c r="CO3" s="5" t="s">
        <v>263</v>
      </c>
      <c r="CP3" s="5" t="s">
        <v>264</v>
      </c>
      <c r="CQ3" s="5" t="s">
        <v>238</v>
      </c>
      <c r="CR3" s="5" t="s">
        <v>238</v>
      </c>
      <c r="CS3" s="5">
        <v>0</v>
      </c>
      <c r="CT3" s="5" t="s">
        <v>265</v>
      </c>
      <c r="CU3" s="5" t="s">
        <v>1187</v>
      </c>
      <c r="CV3" s="5" t="s">
        <v>649</v>
      </c>
      <c r="CX3" s="8">
        <f>6696000</f>
        <v>6696000</v>
      </c>
      <c r="CY3" s="8">
        <f>0</f>
        <v>0</v>
      </c>
      <c r="DA3" s="5" t="s">
        <v>238</v>
      </c>
      <c r="DB3" s="5" t="s">
        <v>238</v>
      </c>
      <c r="DD3" s="5" t="s">
        <v>238</v>
      </c>
      <c r="DG3" s="5" t="s">
        <v>238</v>
      </c>
      <c r="DH3" s="5" t="s">
        <v>238</v>
      </c>
      <c r="DI3" s="5" t="s">
        <v>238</v>
      </c>
      <c r="DJ3" s="5" t="s">
        <v>238</v>
      </c>
      <c r="DK3" s="5" t="s">
        <v>271</v>
      </c>
      <c r="DL3" s="5" t="s">
        <v>272</v>
      </c>
      <c r="DM3" s="7">
        <f>111.6</f>
        <v>111.6</v>
      </c>
      <c r="DN3" s="5" t="s">
        <v>238</v>
      </c>
      <c r="DO3" s="5" t="s">
        <v>238</v>
      </c>
      <c r="DP3" s="5" t="s">
        <v>238</v>
      </c>
      <c r="DQ3" s="5" t="s">
        <v>238</v>
      </c>
      <c r="DT3" s="5" t="s">
        <v>854</v>
      </c>
      <c r="DU3" s="5" t="s">
        <v>274</v>
      </c>
      <c r="HM3" s="5" t="s">
        <v>271</v>
      </c>
      <c r="HP3" s="5" t="s">
        <v>272</v>
      </c>
      <c r="HQ3" s="5" t="s">
        <v>272</v>
      </c>
    </row>
    <row r="4" spans="1:238" x14ac:dyDescent="0.4">
      <c r="A4" s="5">
        <v>3</v>
      </c>
      <c r="B4" s="5">
        <v>1</v>
      </c>
      <c r="C4" s="5">
        <v>1</v>
      </c>
      <c r="D4" s="5" t="s">
        <v>851</v>
      </c>
      <c r="E4" s="5" t="s">
        <v>852</v>
      </c>
      <c r="F4" s="5" t="s">
        <v>282</v>
      </c>
      <c r="G4" s="5" t="s">
        <v>1181</v>
      </c>
      <c r="H4" s="6" t="s">
        <v>545</v>
      </c>
      <c r="I4" s="5" t="s">
        <v>1181</v>
      </c>
      <c r="J4" s="7">
        <f>163.95</f>
        <v>163.95</v>
      </c>
      <c r="K4" s="5" t="s">
        <v>270</v>
      </c>
      <c r="L4" s="8">
        <f>1</f>
        <v>1</v>
      </c>
      <c r="M4" s="8">
        <f>9837000</f>
        <v>9837000</v>
      </c>
      <c r="N4" s="6" t="s">
        <v>1212</v>
      </c>
      <c r="O4" s="5" t="s">
        <v>650</v>
      </c>
      <c r="P4" s="5" t="s">
        <v>965</v>
      </c>
      <c r="R4" s="8">
        <f>9836999</f>
        <v>9836999</v>
      </c>
      <c r="S4" s="5" t="s">
        <v>240</v>
      </c>
      <c r="T4" s="5" t="s">
        <v>237</v>
      </c>
      <c r="U4" s="5" t="s">
        <v>238</v>
      </c>
      <c r="V4" s="5" t="s">
        <v>238</v>
      </c>
      <c r="W4" s="5" t="s">
        <v>241</v>
      </c>
      <c r="X4" s="5" t="s">
        <v>243</v>
      </c>
      <c r="Y4" s="5" t="s">
        <v>238</v>
      </c>
      <c r="AB4" s="5" t="s">
        <v>238</v>
      </c>
      <c r="AD4" s="6" t="s">
        <v>238</v>
      </c>
      <c r="AG4" s="6" t="s">
        <v>246</v>
      </c>
      <c r="AH4" s="5" t="s">
        <v>247</v>
      </c>
      <c r="AI4" s="5" t="s">
        <v>248</v>
      </c>
      <c r="AY4" s="5" t="s">
        <v>250</v>
      </c>
      <c r="AZ4" s="5" t="s">
        <v>238</v>
      </c>
      <c r="BA4" s="5" t="s">
        <v>251</v>
      </c>
      <c r="BB4" s="5" t="s">
        <v>238</v>
      </c>
      <c r="BC4" s="5" t="s">
        <v>253</v>
      </c>
      <c r="BD4" s="5" t="s">
        <v>238</v>
      </c>
      <c r="BF4" s="5" t="s">
        <v>238</v>
      </c>
      <c r="BH4" s="5" t="s">
        <v>697</v>
      </c>
      <c r="BI4" s="6" t="s">
        <v>698</v>
      </c>
      <c r="BJ4" s="5" t="s">
        <v>255</v>
      </c>
      <c r="BK4" s="5" t="s">
        <v>256</v>
      </c>
      <c r="BL4" s="5" t="s">
        <v>238</v>
      </c>
      <c r="BM4" s="7">
        <f>0</f>
        <v>0</v>
      </c>
      <c r="BN4" s="8">
        <f>0</f>
        <v>0</v>
      </c>
      <c r="BO4" s="5" t="s">
        <v>257</v>
      </c>
      <c r="BP4" s="5" t="s">
        <v>258</v>
      </c>
      <c r="CD4" s="5" t="s">
        <v>238</v>
      </c>
      <c r="CE4" s="5" t="s">
        <v>238</v>
      </c>
      <c r="CI4" s="5" t="s">
        <v>527</v>
      </c>
      <c r="CJ4" s="5" t="s">
        <v>260</v>
      </c>
      <c r="CK4" s="5" t="s">
        <v>238</v>
      </c>
      <c r="CM4" s="5" t="s">
        <v>964</v>
      </c>
      <c r="CN4" s="6" t="s">
        <v>262</v>
      </c>
      <c r="CO4" s="5" t="s">
        <v>263</v>
      </c>
      <c r="CP4" s="5" t="s">
        <v>264</v>
      </c>
      <c r="CQ4" s="5" t="s">
        <v>238</v>
      </c>
      <c r="CR4" s="5" t="s">
        <v>238</v>
      </c>
      <c r="CS4" s="5">
        <v>0</v>
      </c>
      <c r="CT4" s="5" t="s">
        <v>265</v>
      </c>
      <c r="CU4" s="5" t="s">
        <v>1187</v>
      </c>
      <c r="CV4" s="5" t="s">
        <v>649</v>
      </c>
      <c r="CX4" s="8">
        <f>9837000</f>
        <v>9837000</v>
      </c>
      <c r="CY4" s="8">
        <f>0</f>
        <v>0</v>
      </c>
      <c r="DA4" s="5" t="s">
        <v>238</v>
      </c>
      <c r="DB4" s="5" t="s">
        <v>238</v>
      </c>
      <c r="DD4" s="5" t="s">
        <v>238</v>
      </c>
      <c r="DG4" s="5" t="s">
        <v>238</v>
      </c>
      <c r="DH4" s="5" t="s">
        <v>238</v>
      </c>
      <c r="DI4" s="5" t="s">
        <v>238</v>
      </c>
      <c r="DJ4" s="5" t="s">
        <v>238</v>
      </c>
      <c r="DK4" s="5" t="s">
        <v>271</v>
      </c>
      <c r="DL4" s="5" t="s">
        <v>272</v>
      </c>
      <c r="DM4" s="7">
        <f>163.95</f>
        <v>163.95</v>
      </c>
      <c r="DN4" s="5" t="s">
        <v>238</v>
      </c>
      <c r="DO4" s="5" t="s">
        <v>238</v>
      </c>
      <c r="DP4" s="5" t="s">
        <v>238</v>
      </c>
      <c r="DQ4" s="5" t="s">
        <v>238</v>
      </c>
      <c r="DT4" s="5" t="s">
        <v>854</v>
      </c>
      <c r="DU4" s="5" t="s">
        <v>356</v>
      </c>
      <c r="HM4" s="5" t="s">
        <v>271</v>
      </c>
      <c r="HP4" s="5" t="s">
        <v>272</v>
      </c>
      <c r="HQ4" s="5" t="s">
        <v>272</v>
      </c>
    </row>
    <row r="5" spans="1:238" x14ac:dyDescent="0.4">
      <c r="A5" s="5">
        <v>4</v>
      </c>
      <c r="B5" s="5">
        <v>1</v>
      </c>
      <c r="C5" s="5">
        <v>8</v>
      </c>
      <c r="D5" s="5" t="s">
        <v>851</v>
      </c>
      <c r="E5" s="5" t="s">
        <v>852</v>
      </c>
      <c r="F5" s="5" t="s">
        <v>282</v>
      </c>
      <c r="G5" s="5" t="s">
        <v>646</v>
      </c>
      <c r="H5" s="6" t="s">
        <v>545</v>
      </c>
      <c r="I5" s="5" t="s">
        <v>239</v>
      </c>
      <c r="J5" s="7">
        <f>447.04</f>
        <v>447.04</v>
      </c>
      <c r="K5" s="5" t="s">
        <v>270</v>
      </c>
      <c r="L5" s="8">
        <f>13037930</f>
        <v>13037930</v>
      </c>
      <c r="M5" s="8">
        <f>42468800</f>
        <v>42468800</v>
      </c>
      <c r="N5" s="6" t="s">
        <v>853</v>
      </c>
      <c r="O5" s="5" t="s">
        <v>650</v>
      </c>
      <c r="P5" s="5" t="s">
        <v>658</v>
      </c>
      <c r="Q5" s="8">
        <f>1401470</f>
        <v>1401470</v>
      </c>
      <c r="R5" s="8">
        <f>29430870</f>
        <v>29430870</v>
      </c>
      <c r="S5" s="5" t="s">
        <v>240</v>
      </c>
      <c r="T5" s="5" t="s">
        <v>237</v>
      </c>
      <c r="U5" s="5" t="s">
        <v>238</v>
      </c>
      <c r="V5" s="5" t="s">
        <v>238</v>
      </c>
      <c r="W5" s="5" t="s">
        <v>241</v>
      </c>
      <c r="X5" s="5" t="s">
        <v>243</v>
      </c>
      <c r="Y5" s="5" t="s">
        <v>238</v>
      </c>
      <c r="AB5" s="5" t="s">
        <v>238</v>
      </c>
      <c r="AC5" s="6" t="s">
        <v>238</v>
      </c>
      <c r="AD5" s="6" t="s">
        <v>238</v>
      </c>
      <c r="AF5" s="6" t="s">
        <v>238</v>
      </c>
      <c r="AG5" s="6" t="s">
        <v>246</v>
      </c>
      <c r="AH5" s="5" t="s">
        <v>247</v>
      </c>
      <c r="AI5" s="5" t="s">
        <v>248</v>
      </c>
      <c r="AO5" s="5" t="s">
        <v>238</v>
      </c>
      <c r="AP5" s="5" t="s">
        <v>238</v>
      </c>
      <c r="AQ5" s="5" t="s">
        <v>238</v>
      </c>
      <c r="AR5" s="6" t="s">
        <v>238</v>
      </c>
      <c r="AS5" s="6" t="s">
        <v>238</v>
      </c>
      <c r="AT5" s="6" t="s">
        <v>238</v>
      </c>
      <c r="AW5" s="5" t="s">
        <v>304</v>
      </c>
      <c r="AX5" s="5" t="s">
        <v>304</v>
      </c>
      <c r="AY5" s="5" t="s">
        <v>250</v>
      </c>
      <c r="AZ5" s="5" t="s">
        <v>305</v>
      </c>
      <c r="BA5" s="5" t="s">
        <v>251</v>
      </c>
      <c r="BB5" s="5" t="s">
        <v>238</v>
      </c>
      <c r="BC5" s="5" t="s">
        <v>253</v>
      </c>
      <c r="BD5" s="5" t="s">
        <v>238</v>
      </c>
      <c r="BF5" s="5" t="s">
        <v>238</v>
      </c>
      <c r="BH5" s="5" t="s">
        <v>283</v>
      </c>
      <c r="BI5" s="6" t="s">
        <v>293</v>
      </c>
      <c r="BJ5" s="5" t="s">
        <v>294</v>
      </c>
      <c r="BK5" s="5" t="s">
        <v>294</v>
      </c>
      <c r="BL5" s="5" t="s">
        <v>238</v>
      </c>
      <c r="BM5" s="7">
        <f>0</f>
        <v>0</v>
      </c>
      <c r="BN5" s="8">
        <f>-1401470</f>
        <v>-1401470</v>
      </c>
      <c r="BO5" s="5" t="s">
        <v>257</v>
      </c>
      <c r="BP5" s="5" t="s">
        <v>258</v>
      </c>
      <c r="BQ5" s="5" t="s">
        <v>238</v>
      </c>
      <c r="BR5" s="5" t="s">
        <v>238</v>
      </c>
      <c r="BS5" s="5" t="s">
        <v>238</v>
      </c>
      <c r="BT5" s="5" t="s">
        <v>238</v>
      </c>
      <c r="CC5" s="5" t="s">
        <v>258</v>
      </c>
      <c r="CD5" s="5" t="s">
        <v>238</v>
      </c>
      <c r="CE5" s="5" t="s">
        <v>238</v>
      </c>
      <c r="CI5" s="5" t="s">
        <v>259</v>
      </c>
      <c r="CJ5" s="5" t="s">
        <v>260</v>
      </c>
      <c r="CK5" s="5" t="s">
        <v>238</v>
      </c>
      <c r="CM5" s="5" t="s">
        <v>657</v>
      </c>
      <c r="CN5" s="6" t="s">
        <v>262</v>
      </c>
      <c r="CO5" s="5" t="s">
        <v>263</v>
      </c>
      <c r="CP5" s="5" t="s">
        <v>264</v>
      </c>
      <c r="CQ5" s="5" t="s">
        <v>285</v>
      </c>
      <c r="CR5" s="5" t="s">
        <v>238</v>
      </c>
      <c r="CS5" s="5">
        <v>3.3000000000000002E-2</v>
      </c>
      <c r="CT5" s="5" t="s">
        <v>265</v>
      </c>
      <c r="CU5" s="5" t="s">
        <v>266</v>
      </c>
      <c r="CV5" s="5" t="s">
        <v>649</v>
      </c>
      <c r="CW5" s="7">
        <f>0</f>
        <v>0</v>
      </c>
      <c r="CX5" s="8">
        <f>42468800</f>
        <v>42468800</v>
      </c>
      <c r="CY5" s="8">
        <f>14439400</f>
        <v>14439400</v>
      </c>
      <c r="DA5" s="5" t="s">
        <v>238</v>
      </c>
      <c r="DB5" s="5" t="s">
        <v>238</v>
      </c>
      <c r="DD5" s="5" t="s">
        <v>238</v>
      </c>
      <c r="DE5" s="8">
        <f>0</f>
        <v>0</v>
      </c>
      <c r="DG5" s="5" t="s">
        <v>238</v>
      </c>
      <c r="DH5" s="5" t="s">
        <v>238</v>
      </c>
      <c r="DI5" s="5" t="s">
        <v>238</v>
      </c>
      <c r="DJ5" s="5" t="s">
        <v>238</v>
      </c>
      <c r="DK5" s="5" t="s">
        <v>271</v>
      </c>
      <c r="DL5" s="5" t="s">
        <v>272</v>
      </c>
      <c r="DM5" s="7">
        <f>447.04</f>
        <v>447.04</v>
      </c>
      <c r="DN5" s="5" t="s">
        <v>238</v>
      </c>
      <c r="DO5" s="5" t="s">
        <v>238</v>
      </c>
      <c r="DP5" s="5" t="s">
        <v>238</v>
      </c>
      <c r="DQ5" s="5" t="s">
        <v>238</v>
      </c>
      <c r="DT5" s="5" t="s">
        <v>854</v>
      </c>
      <c r="DU5" s="5" t="s">
        <v>310</v>
      </c>
      <c r="GL5" s="5" t="s">
        <v>855</v>
      </c>
      <c r="HM5" s="5" t="s">
        <v>313</v>
      </c>
      <c r="HP5" s="5" t="s">
        <v>272</v>
      </c>
      <c r="HQ5" s="5" t="s">
        <v>272</v>
      </c>
      <c r="HR5" s="5" t="s">
        <v>238</v>
      </c>
      <c r="HS5" s="5" t="s">
        <v>238</v>
      </c>
      <c r="HT5" s="5" t="s">
        <v>238</v>
      </c>
      <c r="HU5" s="5" t="s">
        <v>238</v>
      </c>
      <c r="HV5" s="5" t="s">
        <v>238</v>
      </c>
      <c r="HW5" s="5" t="s">
        <v>238</v>
      </c>
      <c r="HX5" s="5" t="s">
        <v>238</v>
      </c>
      <c r="HY5" s="5" t="s">
        <v>238</v>
      </c>
      <c r="HZ5" s="5" t="s">
        <v>238</v>
      </c>
      <c r="IA5" s="5" t="s">
        <v>238</v>
      </c>
      <c r="IB5" s="5" t="s">
        <v>238</v>
      </c>
      <c r="IC5" s="5" t="s">
        <v>238</v>
      </c>
      <c r="ID5" s="5" t="s">
        <v>238</v>
      </c>
    </row>
    <row r="6" spans="1:238" x14ac:dyDescent="0.4">
      <c r="A6" s="5">
        <v>5</v>
      </c>
      <c r="B6" s="5">
        <v>1</v>
      </c>
      <c r="C6" s="5">
        <v>5</v>
      </c>
      <c r="D6" s="5" t="s">
        <v>238</v>
      </c>
      <c r="E6" s="5" t="s">
        <v>3827</v>
      </c>
      <c r="F6" s="5" t="s">
        <v>282</v>
      </c>
      <c r="G6" s="5" t="s">
        <v>302</v>
      </c>
      <c r="H6" s="6" t="s">
        <v>545</v>
      </c>
      <c r="I6" s="5" t="s">
        <v>4364</v>
      </c>
      <c r="J6" s="7">
        <f>159.5</f>
        <v>159.5</v>
      </c>
      <c r="K6" s="5" t="s">
        <v>270</v>
      </c>
      <c r="L6" s="8">
        <f>2296800</f>
        <v>2296800</v>
      </c>
      <c r="M6" s="8">
        <f>28710000</f>
        <v>28710000</v>
      </c>
      <c r="N6" s="6" t="s">
        <v>1634</v>
      </c>
      <c r="O6" s="5" t="s">
        <v>279</v>
      </c>
      <c r="P6" s="5" t="s">
        <v>1098</v>
      </c>
      <c r="Q6" s="8">
        <f>574200</f>
        <v>574200</v>
      </c>
      <c r="R6" s="8">
        <f>26413200</f>
        <v>26413200</v>
      </c>
      <c r="S6" s="5" t="s">
        <v>240</v>
      </c>
      <c r="T6" s="5" t="s">
        <v>237</v>
      </c>
      <c r="W6" s="5" t="s">
        <v>241</v>
      </c>
      <c r="X6" s="5" t="s">
        <v>243</v>
      </c>
      <c r="Y6" s="5" t="s">
        <v>238</v>
      </c>
      <c r="AB6" s="5" t="s">
        <v>238</v>
      </c>
      <c r="AC6" s="6" t="s">
        <v>238</v>
      </c>
      <c r="AD6" s="6" t="s">
        <v>238</v>
      </c>
      <c r="AF6" s="6" t="s">
        <v>238</v>
      </c>
      <c r="AG6" s="6" t="s">
        <v>246</v>
      </c>
      <c r="AH6" s="5" t="s">
        <v>247</v>
      </c>
      <c r="AI6" s="5" t="s">
        <v>248</v>
      </c>
      <c r="AO6" s="5" t="s">
        <v>238</v>
      </c>
      <c r="AP6" s="5" t="s">
        <v>238</v>
      </c>
      <c r="AQ6" s="5" t="s">
        <v>238</v>
      </c>
      <c r="AR6" s="6" t="s">
        <v>238</v>
      </c>
      <c r="AS6" s="6" t="s">
        <v>238</v>
      </c>
      <c r="AT6" s="6" t="s">
        <v>238</v>
      </c>
      <c r="AW6" s="5" t="s">
        <v>304</v>
      </c>
      <c r="AX6" s="5" t="s">
        <v>304</v>
      </c>
      <c r="AY6" s="5" t="s">
        <v>250</v>
      </c>
      <c r="AZ6" s="5" t="s">
        <v>305</v>
      </c>
      <c r="BA6" s="5" t="s">
        <v>251</v>
      </c>
      <c r="BB6" s="5" t="s">
        <v>238</v>
      </c>
      <c r="BC6" s="5" t="s">
        <v>253</v>
      </c>
      <c r="BD6" s="5" t="s">
        <v>238</v>
      </c>
      <c r="BF6" s="5" t="s">
        <v>4108</v>
      </c>
      <c r="BH6" s="5" t="s">
        <v>283</v>
      </c>
      <c r="BI6" s="6" t="s">
        <v>293</v>
      </c>
      <c r="BJ6" s="5" t="s">
        <v>294</v>
      </c>
      <c r="BK6" s="5" t="s">
        <v>294</v>
      </c>
      <c r="BL6" s="5" t="s">
        <v>238</v>
      </c>
      <c r="BM6" s="7">
        <f>0</f>
        <v>0</v>
      </c>
      <c r="BN6" s="8">
        <f>-574200</f>
        <v>-574200</v>
      </c>
      <c r="BO6" s="5" t="s">
        <v>257</v>
      </c>
      <c r="BP6" s="5" t="s">
        <v>258</v>
      </c>
      <c r="BQ6" s="5" t="s">
        <v>238</v>
      </c>
      <c r="BR6" s="5" t="s">
        <v>238</v>
      </c>
      <c r="BS6" s="5" t="s">
        <v>238</v>
      </c>
      <c r="BT6" s="5" t="s">
        <v>238</v>
      </c>
      <c r="CC6" s="5" t="s">
        <v>258</v>
      </c>
      <c r="CD6" s="5" t="s">
        <v>238</v>
      </c>
      <c r="CE6" s="5" t="s">
        <v>238</v>
      </c>
      <c r="CI6" s="5" t="s">
        <v>527</v>
      </c>
      <c r="CJ6" s="5" t="s">
        <v>260</v>
      </c>
      <c r="CK6" s="5" t="s">
        <v>238</v>
      </c>
      <c r="CM6" s="5" t="s">
        <v>974</v>
      </c>
      <c r="CN6" s="6" t="s">
        <v>262</v>
      </c>
      <c r="CO6" s="5" t="s">
        <v>263</v>
      </c>
      <c r="CP6" s="5" t="s">
        <v>264</v>
      </c>
      <c r="CQ6" s="5" t="s">
        <v>285</v>
      </c>
      <c r="CR6" s="5" t="s">
        <v>238</v>
      </c>
      <c r="CS6" s="5">
        <v>0.02</v>
      </c>
      <c r="CT6" s="5" t="s">
        <v>265</v>
      </c>
      <c r="CU6" s="5" t="s">
        <v>307</v>
      </c>
      <c r="CV6" s="5" t="s">
        <v>308</v>
      </c>
      <c r="CW6" s="7">
        <f>0</f>
        <v>0</v>
      </c>
      <c r="CX6" s="8">
        <f>28710000</f>
        <v>28710000</v>
      </c>
      <c r="CY6" s="8">
        <f>2871000</f>
        <v>2871000</v>
      </c>
      <c r="DA6" s="5" t="s">
        <v>238</v>
      </c>
      <c r="DB6" s="5" t="s">
        <v>238</v>
      </c>
      <c r="DD6" s="5" t="s">
        <v>238</v>
      </c>
      <c r="DE6" s="8">
        <f>0</f>
        <v>0</v>
      </c>
      <c r="DG6" s="5" t="s">
        <v>238</v>
      </c>
      <c r="DH6" s="5" t="s">
        <v>238</v>
      </c>
      <c r="DI6" s="5" t="s">
        <v>238</v>
      </c>
      <c r="DJ6" s="5" t="s">
        <v>238</v>
      </c>
      <c r="DK6" s="5" t="s">
        <v>271</v>
      </c>
      <c r="DL6" s="5" t="s">
        <v>272</v>
      </c>
      <c r="DM6" s="7">
        <f>159.5</f>
        <v>159.5</v>
      </c>
      <c r="DN6" s="5" t="s">
        <v>238</v>
      </c>
      <c r="DO6" s="5" t="s">
        <v>238</v>
      </c>
      <c r="DP6" s="5" t="s">
        <v>238</v>
      </c>
      <c r="DQ6" s="5" t="s">
        <v>238</v>
      </c>
      <c r="DT6" s="5" t="s">
        <v>3829</v>
      </c>
      <c r="DU6" s="5" t="s">
        <v>271</v>
      </c>
      <c r="GL6" s="5" t="s">
        <v>4365</v>
      </c>
      <c r="HM6" s="5" t="s">
        <v>389</v>
      </c>
      <c r="HP6" s="5" t="s">
        <v>272</v>
      </c>
      <c r="HQ6" s="5" t="s">
        <v>272</v>
      </c>
      <c r="HR6" s="5" t="s">
        <v>238</v>
      </c>
      <c r="HS6" s="5" t="s">
        <v>238</v>
      </c>
      <c r="HT6" s="5" t="s">
        <v>238</v>
      </c>
      <c r="HU6" s="5" t="s">
        <v>238</v>
      </c>
      <c r="HV6" s="5" t="s">
        <v>238</v>
      </c>
      <c r="HW6" s="5" t="s">
        <v>238</v>
      </c>
      <c r="HX6" s="5" t="s">
        <v>238</v>
      </c>
      <c r="HY6" s="5" t="s">
        <v>238</v>
      </c>
      <c r="HZ6" s="5" t="s">
        <v>238</v>
      </c>
      <c r="IA6" s="5" t="s">
        <v>238</v>
      </c>
      <c r="IB6" s="5" t="s">
        <v>238</v>
      </c>
      <c r="IC6" s="5" t="s">
        <v>238</v>
      </c>
      <c r="ID6" s="5" t="s">
        <v>238</v>
      </c>
    </row>
    <row r="7" spans="1:238" x14ac:dyDescent="0.4">
      <c r="A7" s="5">
        <v>6</v>
      </c>
      <c r="B7" s="5">
        <v>1</v>
      </c>
      <c r="C7" s="5">
        <v>5</v>
      </c>
      <c r="D7" s="5" t="s">
        <v>3826</v>
      </c>
      <c r="E7" s="5" t="s">
        <v>3827</v>
      </c>
      <c r="F7" s="5" t="s">
        <v>282</v>
      </c>
      <c r="G7" s="5" t="s">
        <v>1278</v>
      </c>
      <c r="H7" s="6" t="s">
        <v>545</v>
      </c>
      <c r="I7" s="5" t="s">
        <v>4369</v>
      </c>
      <c r="J7" s="7">
        <f>0</f>
        <v>0</v>
      </c>
      <c r="K7" s="5" t="s">
        <v>270</v>
      </c>
      <c r="L7" s="8">
        <f>3236760</f>
        <v>3236760</v>
      </c>
      <c r="M7" s="8">
        <f>3596400</f>
        <v>3596400</v>
      </c>
      <c r="N7" s="6" t="s">
        <v>2957</v>
      </c>
      <c r="O7" s="5" t="s">
        <v>279</v>
      </c>
      <c r="P7" s="5" t="s">
        <v>356</v>
      </c>
      <c r="Q7" s="8">
        <f>71928</f>
        <v>71928</v>
      </c>
      <c r="R7" s="8">
        <f>359640</f>
        <v>359640</v>
      </c>
      <c r="S7" s="5" t="s">
        <v>240</v>
      </c>
      <c r="T7" s="5" t="s">
        <v>287</v>
      </c>
      <c r="W7" s="5" t="s">
        <v>241</v>
      </c>
      <c r="X7" s="5" t="s">
        <v>243</v>
      </c>
      <c r="Y7" s="5" t="s">
        <v>238</v>
      </c>
      <c r="AB7" s="5" t="s">
        <v>238</v>
      </c>
      <c r="AC7" s="6" t="s">
        <v>238</v>
      </c>
      <c r="AD7" s="6" t="s">
        <v>238</v>
      </c>
      <c r="AF7" s="6" t="s">
        <v>238</v>
      </c>
      <c r="AG7" s="6" t="s">
        <v>246</v>
      </c>
      <c r="AH7" s="5" t="s">
        <v>247</v>
      </c>
      <c r="AI7" s="5" t="s">
        <v>248</v>
      </c>
      <c r="AO7" s="5" t="s">
        <v>238</v>
      </c>
      <c r="AP7" s="5" t="s">
        <v>238</v>
      </c>
      <c r="AQ7" s="5" t="s">
        <v>238</v>
      </c>
      <c r="AR7" s="6" t="s">
        <v>238</v>
      </c>
      <c r="AS7" s="6" t="s">
        <v>238</v>
      </c>
      <c r="AT7" s="6" t="s">
        <v>238</v>
      </c>
      <c r="AW7" s="5" t="s">
        <v>304</v>
      </c>
      <c r="AX7" s="5" t="s">
        <v>304</v>
      </c>
      <c r="AY7" s="5" t="s">
        <v>250</v>
      </c>
      <c r="AZ7" s="5" t="s">
        <v>305</v>
      </c>
      <c r="BA7" s="5" t="s">
        <v>251</v>
      </c>
      <c r="BB7" s="5" t="s">
        <v>238</v>
      </c>
      <c r="BC7" s="5" t="s">
        <v>253</v>
      </c>
      <c r="BD7" s="5" t="s">
        <v>238</v>
      </c>
      <c r="BF7" s="5" t="s">
        <v>238</v>
      </c>
      <c r="BH7" s="5" t="s">
        <v>283</v>
      </c>
      <c r="BI7" s="6" t="s">
        <v>293</v>
      </c>
      <c r="BJ7" s="5" t="s">
        <v>294</v>
      </c>
      <c r="BK7" s="5" t="s">
        <v>294</v>
      </c>
      <c r="BL7" s="5" t="s">
        <v>238</v>
      </c>
      <c r="BM7" s="7">
        <f>0</f>
        <v>0</v>
      </c>
      <c r="BN7" s="8">
        <f>-71928</f>
        <v>-71928</v>
      </c>
      <c r="BO7" s="5" t="s">
        <v>257</v>
      </c>
      <c r="BP7" s="5" t="s">
        <v>258</v>
      </c>
      <c r="BQ7" s="5" t="s">
        <v>238</v>
      </c>
      <c r="BR7" s="5" t="s">
        <v>238</v>
      </c>
      <c r="BS7" s="5" t="s">
        <v>238</v>
      </c>
      <c r="BT7" s="5" t="s">
        <v>238</v>
      </c>
      <c r="CC7" s="5" t="s">
        <v>258</v>
      </c>
      <c r="CD7" s="5" t="s">
        <v>238</v>
      </c>
      <c r="CE7" s="5" t="s">
        <v>238</v>
      </c>
      <c r="CI7" s="5" t="s">
        <v>259</v>
      </c>
      <c r="CJ7" s="5" t="s">
        <v>260</v>
      </c>
      <c r="CK7" s="5" t="s">
        <v>238</v>
      </c>
      <c r="CM7" s="5" t="s">
        <v>376</v>
      </c>
      <c r="CN7" s="6" t="s">
        <v>262</v>
      </c>
      <c r="CO7" s="5" t="s">
        <v>263</v>
      </c>
      <c r="CP7" s="5" t="s">
        <v>264</v>
      </c>
      <c r="CQ7" s="5" t="s">
        <v>285</v>
      </c>
      <c r="CR7" s="5" t="s">
        <v>238</v>
      </c>
      <c r="CS7" s="5">
        <v>0.02</v>
      </c>
      <c r="CT7" s="5" t="s">
        <v>265</v>
      </c>
      <c r="CU7" s="5" t="s">
        <v>307</v>
      </c>
      <c r="CV7" s="5" t="s">
        <v>308</v>
      </c>
      <c r="CW7" s="7">
        <f>0</f>
        <v>0</v>
      </c>
      <c r="CX7" s="8">
        <f>3596400</f>
        <v>3596400</v>
      </c>
      <c r="CY7" s="8">
        <f>3236760</f>
        <v>3236760</v>
      </c>
      <c r="DA7" s="5" t="s">
        <v>238</v>
      </c>
      <c r="DB7" s="5" t="s">
        <v>238</v>
      </c>
      <c r="DD7" s="5" t="s">
        <v>238</v>
      </c>
      <c r="DE7" s="8">
        <f>0</f>
        <v>0</v>
      </c>
      <c r="DG7" s="5" t="s">
        <v>238</v>
      </c>
      <c r="DH7" s="5" t="s">
        <v>238</v>
      </c>
      <c r="DI7" s="5" t="s">
        <v>238</v>
      </c>
      <c r="DJ7" s="5" t="s">
        <v>238</v>
      </c>
      <c r="DK7" s="5" t="s">
        <v>272</v>
      </c>
      <c r="DL7" s="5" t="s">
        <v>272</v>
      </c>
      <c r="DM7" s="8" t="s">
        <v>238</v>
      </c>
      <c r="DN7" s="5" t="s">
        <v>238</v>
      </c>
      <c r="DO7" s="5" t="s">
        <v>238</v>
      </c>
      <c r="DP7" s="5" t="s">
        <v>238</v>
      </c>
      <c r="DQ7" s="5" t="s">
        <v>238</v>
      </c>
      <c r="DT7" s="5" t="s">
        <v>3829</v>
      </c>
      <c r="DU7" s="5" t="s">
        <v>274</v>
      </c>
      <c r="GL7" s="5" t="s">
        <v>4370</v>
      </c>
      <c r="HM7" s="5" t="s">
        <v>313</v>
      </c>
      <c r="HP7" s="5" t="s">
        <v>272</v>
      </c>
      <c r="HQ7" s="5" t="s">
        <v>272</v>
      </c>
      <c r="HR7" s="5" t="s">
        <v>238</v>
      </c>
      <c r="HS7" s="5" t="s">
        <v>238</v>
      </c>
      <c r="HT7" s="5" t="s">
        <v>238</v>
      </c>
      <c r="HU7" s="5" t="s">
        <v>238</v>
      </c>
      <c r="HV7" s="5" t="s">
        <v>238</v>
      </c>
      <c r="HW7" s="5" t="s">
        <v>238</v>
      </c>
      <c r="HX7" s="5" t="s">
        <v>238</v>
      </c>
      <c r="HY7" s="5" t="s">
        <v>238</v>
      </c>
      <c r="HZ7" s="5" t="s">
        <v>238</v>
      </c>
      <c r="IA7" s="5" t="s">
        <v>238</v>
      </c>
      <c r="IB7" s="5" t="s">
        <v>238</v>
      </c>
      <c r="IC7" s="5" t="s">
        <v>238</v>
      </c>
      <c r="ID7" s="5" t="s">
        <v>238</v>
      </c>
    </row>
    <row r="8" spans="1:238" x14ac:dyDescent="0.4">
      <c r="A8" s="5">
        <v>7</v>
      </c>
      <c r="B8" s="5">
        <v>1</v>
      </c>
      <c r="C8" s="5">
        <v>5</v>
      </c>
      <c r="D8" s="5" t="s">
        <v>3826</v>
      </c>
      <c r="E8" s="5" t="s">
        <v>3827</v>
      </c>
      <c r="F8" s="5" t="s">
        <v>282</v>
      </c>
      <c r="G8" s="5" t="s">
        <v>349</v>
      </c>
      <c r="H8" s="6" t="s">
        <v>545</v>
      </c>
      <c r="I8" s="5" t="s">
        <v>3831</v>
      </c>
      <c r="J8" s="7">
        <f>0</f>
        <v>0</v>
      </c>
      <c r="K8" s="5" t="s">
        <v>270</v>
      </c>
      <c r="L8" s="8">
        <f>2760912</f>
        <v>2760912</v>
      </c>
      <c r="M8" s="8">
        <f>8316000</f>
        <v>8316000</v>
      </c>
      <c r="N8" s="6" t="s">
        <v>1176</v>
      </c>
      <c r="O8" s="5" t="s">
        <v>313</v>
      </c>
      <c r="P8" s="5" t="s">
        <v>274</v>
      </c>
      <c r="Q8" s="8">
        <f>1388772</f>
        <v>1388772</v>
      </c>
      <c r="R8" s="8">
        <f>5555088</f>
        <v>5555088</v>
      </c>
      <c r="S8" s="5" t="s">
        <v>240</v>
      </c>
      <c r="T8" s="5" t="s">
        <v>287</v>
      </c>
      <c r="W8" s="5" t="s">
        <v>241</v>
      </c>
      <c r="X8" s="5" t="s">
        <v>238</v>
      </c>
      <c r="Y8" s="5" t="s">
        <v>238</v>
      </c>
      <c r="AB8" s="5" t="s">
        <v>238</v>
      </c>
      <c r="AC8" s="6" t="s">
        <v>238</v>
      </c>
      <c r="AD8" s="6" t="s">
        <v>238</v>
      </c>
      <c r="AF8" s="6" t="s">
        <v>238</v>
      </c>
      <c r="AG8" s="6" t="s">
        <v>246</v>
      </c>
      <c r="AH8" s="5" t="s">
        <v>247</v>
      </c>
      <c r="AI8" s="5" t="s">
        <v>248</v>
      </c>
      <c r="AO8" s="5" t="s">
        <v>238</v>
      </c>
      <c r="AP8" s="5" t="s">
        <v>238</v>
      </c>
      <c r="AQ8" s="5" t="s">
        <v>238</v>
      </c>
      <c r="AR8" s="6" t="s">
        <v>238</v>
      </c>
      <c r="AS8" s="6" t="s">
        <v>238</v>
      </c>
      <c r="AT8" s="6" t="s">
        <v>238</v>
      </c>
      <c r="AW8" s="5" t="s">
        <v>304</v>
      </c>
      <c r="AX8" s="5" t="s">
        <v>304</v>
      </c>
      <c r="AY8" s="5" t="s">
        <v>250</v>
      </c>
      <c r="AZ8" s="5" t="s">
        <v>305</v>
      </c>
      <c r="BA8" s="5" t="s">
        <v>251</v>
      </c>
      <c r="BB8" s="5" t="s">
        <v>238</v>
      </c>
      <c r="BC8" s="5" t="s">
        <v>253</v>
      </c>
      <c r="BD8" s="5" t="s">
        <v>238</v>
      </c>
      <c r="BF8" s="5" t="s">
        <v>238</v>
      </c>
      <c r="BH8" s="5" t="s">
        <v>283</v>
      </c>
      <c r="BI8" s="6" t="s">
        <v>293</v>
      </c>
      <c r="BJ8" s="5" t="s">
        <v>294</v>
      </c>
      <c r="BK8" s="5" t="s">
        <v>294</v>
      </c>
      <c r="BL8" s="5" t="s">
        <v>238</v>
      </c>
      <c r="BM8" s="7">
        <f>0</f>
        <v>0</v>
      </c>
      <c r="BN8" s="8">
        <f>-1388772</f>
        <v>-1388772</v>
      </c>
      <c r="BO8" s="5" t="s">
        <v>257</v>
      </c>
      <c r="BP8" s="5" t="s">
        <v>258</v>
      </c>
      <c r="BQ8" s="5" t="s">
        <v>238</v>
      </c>
      <c r="BR8" s="5" t="s">
        <v>238</v>
      </c>
      <c r="BS8" s="5" t="s">
        <v>238</v>
      </c>
      <c r="BT8" s="5" t="s">
        <v>238</v>
      </c>
      <c r="CC8" s="5" t="s">
        <v>258</v>
      </c>
      <c r="CD8" s="5" t="s">
        <v>238</v>
      </c>
      <c r="CE8" s="5" t="s">
        <v>238</v>
      </c>
      <c r="CI8" s="5" t="s">
        <v>259</v>
      </c>
      <c r="CJ8" s="5" t="s">
        <v>260</v>
      </c>
      <c r="CK8" s="5" t="s">
        <v>238</v>
      </c>
      <c r="CM8" s="5" t="s">
        <v>402</v>
      </c>
      <c r="CN8" s="6" t="s">
        <v>262</v>
      </c>
      <c r="CO8" s="5" t="s">
        <v>263</v>
      </c>
      <c r="CP8" s="5" t="s">
        <v>264</v>
      </c>
      <c r="CQ8" s="5" t="s">
        <v>285</v>
      </c>
      <c r="CR8" s="5" t="s">
        <v>238</v>
      </c>
      <c r="CS8" s="5">
        <v>0.16700000000000001</v>
      </c>
      <c r="CT8" s="5" t="s">
        <v>265</v>
      </c>
      <c r="CU8" s="5" t="s">
        <v>351</v>
      </c>
      <c r="CV8" s="5" t="s">
        <v>2939</v>
      </c>
      <c r="CW8" s="7">
        <f>0</f>
        <v>0</v>
      </c>
      <c r="CX8" s="8">
        <f>8316000</f>
        <v>8316000</v>
      </c>
      <c r="CY8" s="8">
        <f>2760912</f>
        <v>2760912</v>
      </c>
      <c r="DA8" s="5" t="s">
        <v>238</v>
      </c>
      <c r="DB8" s="5" t="s">
        <v>238</v>
      </c>
      <c r="DD8" s="5" t="s">
        <v>238</v>
      </c>
      <c r="DE8" s="8">
        <f>0</f>
        <v>0</v>
      </c>
      <c r="DG8" s="5" t="s">
        <v>238</v>
      </c>
      <c r="DH8" s="5" t="s">
        <v>238</v>
      </c>
      <c r="DI8" s="5" t="s">
        <v>238</v>
      </c>
      <c r="DJ8" s="5" t="s">
        <v>238</v>
      </c>
      <c r="DK8" s="5" t="s">
        <v>272</v>
      </c>
      <c r="DL8" s="5" t="s">
        <v>272</v>
      </c>
      <c r="DM8" s="8" t="s">
        <v>238</v>
      </c>
      <c r="DN8" s="5" t="s">
        <v>238</v>
      </c>
      <c r="DO8" s="5" t="s">
        <v>238</v>
      </c>
      <c r="DP8" s="5" t="s">
        <v>238</v>
      </c>
      <c r="DQ8" s="5" t="s">
        <v>238</v>
      </c>
      <c r="DT8" s="5" t="s">
        <v>3829</v>
      </c>
      <c r="DU8" s="5" t="s">
        <v>356</v>
      </c>
      <c r="GL8" s="5" t="s">
        <v>3832</v>
      </c>
      <c r="HM8" s="5" t="s">
        <v>379</v>
      </c>
      <c r="HP8" s="5" t="s">
        <v>272</v>
      </c>
      <c r="HQ8" s="5" t="s">
        <v>272</v>
      </c>
      <c r="HR8" s="5" t="s">
        <v>238</v>
      </c>
      <c r="HS8" s="5" t="s">
        <v>238</v>
      </c>
      <c r="HT8" s="5" t="s">
        <v>238</v>
      </c>
      <c r="HU8" s="5" t="s">
        <v>238</v>
      </c>
      <c r="HV8" s="5" t="s">
        <v>238</v>
      </c>
      <c r="HW8" s="5" t="s">
        <v>238</v>
      </c>
      <c r="HX8" s="5" t="s">
        <v>238</v>
      </c>
      <c r="HY8" s="5" t="s">
        <v>238</v>
      </c>
      <c r="HZ8" s="5" t="s">
        <v>238</v>
      </c>
      <c r="IA8" s="5" t="s">
        <v>238</v>
      </c>
      <c r="IB8" s="5" t="s">
        <v>238</v>
      </c>
      <c r="IC8" s="5" t="s">
        <v>238</v>
      </c>
      <c r="ID8" s="5" t="s">
        <v>238</v>
      </c>
    </row>
    <row r="9" spans="1:238" x14ac:dyDescent="0.4">
      <c r="A9" s="5">
        <v>8</v>
      </c>
      <c r="B9" s="5">
        <v>1</v>
      </c>
      <c r="C9" s="5">
        <v>5</v>
      </c>
      <c r="D9" s="5" t="s">
        <v>3826</v>
      </c>
      <c r="E9" s="5" t="s">
        <v>3827</v>
      </c>
      <c r="F9" s="5" t="s">
        <v>282</v>
      </c>
      <c r="G9" s="5" t="s">
        <v>349</v>
      </c>
      <c r="H9" s="6" t="s">
        <v>545</v>
      </c>
      <c r="I9" s="5" t="s">
        <v>3825</v>
      </c>
      <c r="J9" s="7">
        <f>0</f>
        <v>0</v>
      </c>
      <c r="K9" s="5" t="s">
        <v>270</v>
      </c>
      <c r="L9" s="8">
        <f>4650912</f>
        <v>4650912</v>
      </c>
      <c r="M9" s="8">
        <f>6048000</f>
        <v>6048000</v>
      </c>
      <c r="N9" s="6" t="s">
        <v>3828</v>
      </c>
      <c r="O9" s="5" t="s">
        <v>319</v>
      </c>
      <c r="P9" s="5" t="s">
        <v>271</v>
      </c>
      <c r="Q9" s="8">
        <f>465696</f>
        <v>465696</v>
      </c>
      <c r="R9" s="8">
        <f>1397088</f>
        <v>1397088</v>
      </c>
      <c r="S9" s="5" t="s">
        <v>240</v>
      </c>
      <c r="T9" s="5" t="s">
        <v>287</v>
      </c>
      <c r="W9" s="5" t="s">
        <v>241</v>
      </c>
      <c r="X9" s="5" t="s">
        <v>238</v>
      </c>
      <c r="Y9" s="5" t="s">
        <v>238</v>
      </c>
      <c r="AB9" s="5" t="s">
        <v>238</v>
      </c>
      <c r="AC9" s="6" t="s">
        <v>238</v>
      </c>
      <c r="AD9" s="6" t="s">
        <v>238</v>
      </c>
      <c r="AF9" s="6" t="s">
        <v>238</v>
      </c>
      <c r="AG9" s="6" t="s">
        <v>246</v>
      </c>
      <c r="AH9" s="5" t="s">
        <v>247</v>
      </c>
      <c r="AI9" s="5" t="s">
        <v>248</v>
      </c>
      <c r="AO9" s="5" t="s">
        <v>238</v>
      </c>
      <c r="AP9" s="5" t="s">
        <v>238</v>
      </c>
      <c r="AQ9" s="5" t="s">
        <v>238</v>
      </c>
      <c r="AR9" s="6" t="s">
        <v>238</v>
      </c>
      <c r="AS9" s="6" t="s">
        <v>238</v>
      </c>
      <c r="AT9" s="6" t="s">
        <v>238</v>
      </c>
      <c r="AW9" s="5" t="s">
        <v>304</v>
      </c>
      <c r="AX9" s="5" t="s">
        <v>304</v>
      </c>
      <c r="AY9" s="5" t="s">
        <v>250</v>
      </c>
      <c r="AZ9" s="5" t="s">
        <v>305</v>
      </c>
      <c r="BA9" s="5" t="s">
        <v>251</v>
      </c>
      <c r="BB9" s="5" t="s">
        <v>238</v>
      </c>
      <c r="BC9" s="5" t="s">
        <v>253</v>
      </c>
      <c r="BD9" s="5" t="s">
        <v>238</v>
      </c>
      <c r="BF9" s="5" t="s">
        <v>238</v>
      </c>
      <c r="BH9" s="5" t="s">
        <v>283</v>
      </c>
      <c r="BI9" s="6" t="s">
        <v>293</v>
      </c>
      <c r="BJ9" s="5" t="s">
        <v>294</v>
      </c>
      <c r="BK9" s="5" t="s">
        <v>294</v>
      </c>
      <c r="BL9" s="5" t="s">
        <v>238</v>
      </c>
      <c r="BM9" s="7">
        <f>0</f>
        <v>0</v>
      </c>
      <c r="BN9" s="8">
        <f>-465696</f>
        <v>-465696</v>
      </c>
      <c r="BO9" s="5" t="s">
        <v>257</v>
      </c>
      <c r="BP9" s="5" t="s">
        <v>258</v>
      </c>
      <c r="BQ9" s="5" t="s">
        <v>238</v>
      </c>
      <c r="BR9" s="5" t="s">
        <v>238</v>
      </c>
      <c r="BS9" s="5" t="s">
        <v>238</v>
      </c>
      <c r="BT9" s="5" t="s">
        <v>238</v>
      </c>
      <c r="CC9" s="5" t="s">
        <v>258</v>
      </c>
      <c r="CD9" s="5" t="s">
        <v>238</v>
      </c>
      <c r="CE9" s="5" t="s">
        <v>238</v>
      </c>
      <c r="CI9" s="5" t="s">
        <v>259</v>
      </c>
      <c r="CJ9" s="5" t="s">
        <v>260</v>
      </c>
      <c r="CK9" s="5" t="s">
        <v>238</v>
      </c>
      <c r="CM9" s="5" t="s">
        <v>291</v>
      </c>
      <c r="CN9" s="6" t="s">
        <v>262</v>
      </c>
      <c r="CO9" s="5" t="s">
        <v>263</v>
      </c>
      <c r="CP9" s="5" t="s">
        <v>264</v>
      </c>
      <c r="CQ9" s="5" t="s">
        <v>285</v>
      </c>
      <c r="CR9" s="5" t="s">
        <v>238</v>
      </c>
      <c r="CS9" s="5">
        <v>7.6999999999999999E-2</v>
      </c>
      <c r="CT9" s="5" t="s">
        <v>265</v>
      </c>
      <c r="CU9" s="5" t="s">
        <v>351</v>
      </c>
      <c r="CV9" s="5" t="s">
        <v>352</v>
      </c>
      <c r="CW9" s="7">
        <f>0</f>
        <v>0</v>
      </c>
      <c r="CX9" s="8">
        <f>6048000</f>
        <v>6048000</v>
      </c>
      <c r="CY9" s="8">
        <f>4650912</f>
        <v>4650912</v>
      </c>
      <c r="DA9" s="5" t="s">
        <v>238</v>
      </c>
      <c r="DB9" s="5" t="s">
        <v>238</v>
      </c>
      <c r="DD9" s="5" t="s">
        <v>238</v>
      </c>
      <c r="DE9" s="8">
        <f>0</f>
        <v>0</v>
      </c>
      <c r="DG9" s="5" t="s">
        <v>238</v>
      </c>
      <c r="DH9" s="5" t="s">
        <v>238</v>
      </c>
      <c r="DI9" s="5" t="s">
        <v>238</v>
      </c>
      <c r="DJ9" s="5" t="s">
        <v>238</v>
      </c>
      <c r="DK9" s="5" t="s">
        <v>272</v>
      </c>
      <c r="DL9" s="5" t="s">
        <v>272</v>
      </c>
      <c r="DM9" s="8" t="s">
        <v>238</v>
      </c>
      <c r="DN9" s="5" t="s">
        <v>238</v>
      </c>
      <c r="DO9" s="5" t="s">
        <v>238</v>
      </c>
      <c r="DP9" s="5" t="s">
        <v>238</v>
      </c>
      <c r="DQ9" s="5" t="s">
        <v>238</v>
      </c>
      <c r="DT9" s="5" t="s">
        <v>3829</v>
      </c>
      <c r="DU9" s="5" t="s">
        <v>310</v>
      </c>
      <c r="GL9" s="5" t="s">
        <v>3830</v>
      </c>
      <c r="HM9" s="5" t="s">
        <v>310</v>
      </c>
      <c r="HP9" s="5" t="s">
        <v>272</v>
      </c>
      <c r="HQ9" s="5" t="s">
        <v>272</v>
      </c>
      <c r="HR9" s="5" t="s">
        <v>238</v>
      </c>
      <c r="HS9" s="5" t="s">
        <v>238</v>
      </c>
      <c r="HT9" s="5" t="s">
        <v>238</v>
      </c>
      <c r="HU9" s="5" t="s">
        <v>238</v>
      </c>
      <c r="HV9" s="5" t="s">
        <v>238</v>
      </c>
      <c r="HW9" s="5" t="s">
        <v>238</v>
      </c>
      <c r="HX9" s="5" t="s">
        <v>238</v>
      </c>
      <c r="HY9" s="5" t="s">
        <v>238</v>
      </c>
      <c r="HZ9" s="5" t="s">
        <v>238</v>
      </c>
      <c r="IA9" s="5" t="s">
        <v>238</v>
      </c>
      <c r="IB9" s="5" t="s">
        <v>238</v>
      </c>
      <c r="IC9" s="5" t="s">
        <v>238</v>
      </c>
      <c r="ID9" s="5" t="s">
        <v>238</v>
      </c>
    </row>
    <row r="10" spans="1:238" x14ac:dyDescent="0.4">
      <c r="A10" s="5">
        <v>9</v>
      </c>
      <c r="B10" s="5">
        <v>1</v>
      </c>
      <c r="C10" s="5">
        <v>4</v>
      </c>
      <c r="D10" s="5" t="s">
        <v>299</v>
      </c>
      <c r="E10" s="5" t="s">
        <v>300</v>
      </c>
      <c r="F10" s="5" t="s">
        <v>282</v>
      </c>
      <c r="G10" s="5" t="s">
        <v>302</v>
      </c>
      <c r="H10" s="6" t="s">
        <v>303</v>
      </c>
      <c r="I10" s="5" t="s">
        <v>298</v>
      </c>
      <c r="J10" s="7">
        <f>4624.78</f>
        <v>4624.78</v>
      </c>
      <c r="K10" s="5" t="s">
        <v>270</v>
      </c>
      <c r="L10" s="8">
        <f>352408250</f>
        <v>352408250</v>
      </c>
      <c r="M10" s="8">
        <f>1174694120</f>
        <v>1174694120</v>
      </c>
      <c r="N10" s="6" t="s">
        <v>301</v>
      </c>
      <c r="O10" s="5" t="s">
        <v>279</v>
      </c>
      <c r="P10" s="5" t="s">
        <v>309</v>
      </c>
      <c r="Q10" s="8">
        <f>23493882</f>
        <v>23493882</v>
      </c>
      <c r="R10" s="8">
        <f>822285870</f>
        <v>822285870</v>
      </c>
      <c r="S10" s="5" t="s">
        <v>240</v>
      </c>
      <c r="T10" s="5" t="s">
        <v>237</v>
      </c>
      <c r="U10" s="5" t="s">
        <v>238</v>
      </c>
      <c r="V10" s="5" t="s">
        <v>238</v>
      </c>
      <c r="W10" s="5" t="s">
        <v>241</v>
      </c>
      <c r="X10" s="5" t="s">
        <v>243</v>
      </c>
      <c r="Y10" s="5" t="s">
        <v>238</v>
      </c>
      <c r="AB10" s="5" t="s">
        <v>238</v>
      </c>
      <c r="AC10" s="6" t="s">
        <v>238</v>
      </c>
      <c r="AD10" s="6" t="s">
        <v>238</v>
      </c>
      <c r="AF10" s="6" t="s">
        <v>238</v>
      </c>
      <c r="AG10" s="6" t="s">
        <v>246</v>
      </c>
      <c r="AH10" s="5" t="s">
        <v>247</v>
      </c>
      <c r="AI10" s="5" t="s">
        <v>248</v>
      </c>
      <c r="AO10" s="5" t="s">
        <v>238</v>
      </c>
      <c r="AP10" s="5" t="s">
        <v>238</v>
      </c>
      <c r="AQ10" s="5" t="s">
        <v>238</v>
      </c>
      <c r="AR10" s="6" t="s">
        <v>238</v>
      </c>
      <c r="AS10" s="6" t="s">
        <v>238</v>
      </c>
      <c r="AT10" s="6" t="s">
        <v>238</v>
      </c>
      <c r="AW10" s="5" t="s">
        <v>304</v>
      </c>
      <c r="AX10" s="5" t="s">
        <v>304</v>
      </c>
      <c r="AY10" s="5" t="s">
        <v>250</v>
      </c>
      <c r="AZ10" s="5" t="s">
        <v>305</v>
      </c>
      <c r="BA10" s="5" t="s">
        <v>251</v>
      </c>
      <c r="BB10" s="5" t="s">
        <v>238</v>
      </c>
      <c r="BC10" s="5" t="s">
        <v>253</v>
      </c>
      <c r="BD10" s="5" t="s">
        <v>238</v>
      </c>
      <c r="BF10" s="5" t="s">
        <v>238</v>
      </c>
      <c r="BH10" s="5" t="s">
        <v>283</v>
      </c>
      <c r="BI10" s="6" t="s">
        <v>293</v>
      </c>
      <c r="BJ10" s="5" t="s">
        <v>294</v>
      </c>
      <c r="BK10" s="5" t="s">
        <v>294</v>
      </c>
      <c r="BL10" s="5" t="s">
        <v>238</v>
      </c>
      <c r="BM10" s="7">
        <f>0</f>
        <v>0</v>
      </c>
      <c r="BN10" s="8">
        <f>-23493882</f>
        <v>-23493882</v>
      </c>
      <c r="BO10" s="5" t="s">
        <v>257</v>
      </c>
      <c r="BP10" s="5" t="s">
        <v>258</v>
      </c>
      <c r="BQ10" s="5" t="s">
        <v>238</v>
      </c>
      <c r="BR10" s="5" t="s">
        <v>238</v>
      </c>
      <c r="BS10" s="5" t="s">
        <v>238</v>
      </c>
      <c r="BT10" s="5" t="s">
        <v>238</v>
      </c>
      <c r="CC10" s="5" t="s">
        <v>258</v>
      </c>
      <c r="CD10" s="5" t="s">
        <v>238</v>
      </c>
      <c r="CE10" s="5" t="s">
        <v>238</v>
      </c>
      <c r="CI10" s="5" t="s">
        <v>259</v>
      </c>
      <c r="CJ10" s="5" t="s">
        <v>260</v>
      </c>
      <c r="CK10" s="5" t="s">
        <v>238</v>
      </c>
      <c r="CM10" s="5" t="s">
        <v>306</v>
      </c>
      <c r="CN10" s="6" t="s">
        <v>262</v>
      </c>
      <c r="CO10" s="5" t="s">
        <v>263</v>
      </c>
      <c r="CP10" s="5" t="s">
        <v>264</v>
      </c>
      <c r="CQ10" s="5" t="s">
        <v>285</v>
      </c>
      <c r="CR10" s="5" t="s">
        <v>238</v>
      </c>
      <c r="CS10" s="5">
        <v>0.02</v>
      </c>
      <c r="CT10" s="5" t="s">
        <v>265</v>
      </c>
      <c r="CU10" s="5" t="s">
        <v>307</v>
      </c>
      <c r="CV10" s="5" t="s">
        <v>308</v>
      </c>
      <c r="CW10" s="7">
        <f>0</f>
        <v>0</v>
      </c>
      <c r="CX10" s="8">
        <f>1174694120</f>
        <v>1174694120</v>
      </c>
      <c r="CY10" s="8">
        <f>375902132</f>
        <v>375902132</v>
      </c>
      <c r="DA10" s="5" t="s">
        <v>238</v>
      </c>
      <c r="DB10" s="5" t="s">
        <v>238</v>
      </c>
      <c r="DD10" s="5" t="s">
        <v>238</v>
      </c>
      <c r="DE10" s="8">
        <f>0</f>
        <v>0</v>
      </c>
      <c r="DG10" s="5" t="s">
        <v>238</v>
      </c>
      <c r="DH10" s="5" t="s">
        <v>238</v>
      </c>
      <c r="DI10" s="5" t="s">
        <v>238</v>
      </c>
      <c r="DJ10" s="5" t="s">
        <v>238</v>
      </c>
      <c r="DK10" s="5" t="s">
        <v>310</v>
      </c>
      <c r="DL10" s="5" t="s">
        <v>272</v>
      </c>
      <c r="DM10" s="7">
        <f>4624.78</f>
        <v>4624.78</v>
      </c>
      <c r="DN10" s="5" t="s">
        <v>238</v>
      </c>
      <c r="DO10" s="5" t="s">
        <v>238</v>
      </c>
      <c r="DP10" s="5" t="s">
        <v>238</v>
      </c>
      <c r="DQ10" s="5" t="s">
        <v>238</v>
      </c>
      <c r="DT10" s="5" t="s">
        <v>311</v>
      </c>
      <c r="DU10" s="5" t="s">
        <v>271</v>
      </c>
      <c r="GL10" s="5" t="s">
        <v>312</v>
      </c>
      <c r="HM10" s="5" t="s">
        <v>313</v>
      </c>
      <c r="HP10" s="5" t="s">
        <v>272</v>
      </c>
      <c r="HQ10" s="5" t="s">
        <v>272</v>
      </c>
      <c r="HR10" s="5" t="s">
        <v>238</v>
      </c>
      <c r="HS10" s="5" t="s">
        <v>238</v>
      </c>
      <c r="HT10" s="5" t="s">
        <v>238</v>
      </c>
      <c r="HU10" s="5" t="s">
        <v>238</v>
      </c>
      <c r="HV10" s="5" t="s">
        <v>238</v>
      </c>
      <c r="HW10" s="5" t="s">
        <v>238</v>
      </c>
      <c r="HX10" s="5" t="s">
        <v>238</v>
      </c>
      <c r="HY10" s="5" t="s">
        <v>238</v>
      </c>
      <c r="HZ10" s="5" t="s">
        <v>238</v>
      </c>
      <c r="IA10" s="5" t="s">
        <v>238</v>
      </c>
      <c r="IB10" s="5" t="s">
        <v>238</v>
      </c>
      <c r="IC10" s="5" t="s">
        <v>238</v>
      </c>
      <c r="ID10" s="5" t="s">
        <v>238</v>
      </c>
    </row>
    <row r="11" spans="1:238" x14ac:dyDescent="0.4">
      <c r="A11" s="5">
        <v>10</v>
      </c>
      <c r="B11" s="5">
        <v>1</v>
      </c>
      <c r="C11" s="5">
        <v>1</v>
      </c>
      <c r="D11" s="5" t="s">
        <v>299</v>
      </c>
      <c r="E11" s="5" t="s">
        <v>300</v>
      </c>
      <c r="F11" s="5" t="s">
        <v>282</v>
      </c>
      <c r="G11" s="5" t="s">
        <v>1181</v>
      </c>
      <c r="H11" s="6" t="s">
        <v>303</v>
      </c>
      <c r="I11" s="5" t="s">
        <v>3248</v>
      </c>
      <c r="J11" s="7">
        <f>906.85</f>
        <v>906.85</v>
      </c>
      <c r="K11" s="5" t="s">
        <v>3191</v>
      </c>
      <c r="L11" s="8">
        <f>1</f>
        <v>1</v>
      </c>
      <c r="M11" s="8">
        <f>225805650</f>
        <v>225805650</v>
      </c>
      <c r="N11" s="6" t="s">
        <v>301</v>
      </c>
      <c r="O11" s="5" t="s">
        <v>650</v>
      </c>
      <c r="P11" s="5" t="s">
        <v>650</v>
      </c>
      <c r="Q11" s="8" t="s">
        <v>238</v>
      </c>
      <c r="R11" s="8">
        <f>225805649</f>
        <v>225805649</v>
      </c>
      <c r="S11" s="5" t="s">
        <v>240</v>
      </c>
      <c r="T11" s="5" t="s">
        <v>237</v>
      </c>
      <c r="W11" s="5" t="s">
        <v>241</v>
      </c>
      <c r="X11" s="5" t="s">
        <v>243</v>
      </c>
      <c r="Y11" s="5" t="s">
        <v>238</v>
      </c>
      <c r="AB11" s="5" t="s">
        <v>238</v>
      </c>
      <c r="AC11" s="6" t="s">
        <v>238</v>
      </c>
      <c r="AD11" s="6" t="s">
        <v>238</v>
      </c>
      <c r="AE11" s="5" t="s">
        <v>238</v>
      </c>
      <c r="AF11" s="6" t="s">
        <v>238</v>
      </c>
      <c r="AG11" s="6" t="s">
        <v>246</v>
      </c>
      <c r="AH11" s="5" t="s">
        <v>247</v>
      </c>
      <c r="AI11" s="5" t="s">
        <v>248</v>
      </c>
      <c r="AO11" s="5" t="s">
        <v>238</v>
      </c>
      <c r="AP11" s="5" t="s">
        <v>238</v>
      </c>
      <c r="AQ11" s="5" t="s">
        <v>238</v>
      </c>
      <c r="AR11" s="6" t="s">
        <v>238</v>
      </c>
      <c r="AS11" s="6" t="s">
        <v>238</v>
      </c>
      <c r="AY11" s="5" t="s">
        <v>250</v>
      </c>
      <c r="AZ11" s="5" t="s">
        <v>238</v>
      </c>
      <c r="BA11" s="5" t="s">
        <v>251</v>
      </c>
      <c r="BB11" s="5" t="s">
        <v>238</v>
      </c>
      <c r="BC11" s="5" t="s">
        <v>253</v>
      </c>
      <c r="BD11" s="5" t="s">
        <v>3170</v>
      </c>
      <c r="BF11" s="5" t="s">
        <v>238</v>
      </c>
      <c r="BH11" s="5" t="s">
        <v>798</v>
      </c>
      <c r="BI11" s="6" t="s">
        <v>3249</v>
      </c>
      <c r="BJ11" s="5" t="s">
        <v>255</v>
      </c>
      <c r="BK11" s="5" t="s">
        <v>294</v>
      </c>
      <c r="BL11" s="5" t="s">
        <v>238</v>
      </c>
      <c r="BM11" s="7">
        <f>0</f>
        <v>0</v>
      </c>
      <c r="BN11" s="8">
        <f>0</f>
        <v>0</v>
      </c>
      <c r="BO11" s="5" t="s">
        <v>257</v>
      </c>
      <c r="BP11" s="5" t="s">
        <v>258</v>
      </c>
      <c r="BY11" s="6" t="s">
        <v>238</v>
      </c>
      <c r="BZ11" s="5" t="s">
        <v>238</v>
      </c>
      <c r="CA11" s="5" t="s">
        <v>238</v>
      </c>
      <c r="CB11" s="5" t="s">
        <v>238</v>
      </c>
      <c r="CD11" s="5" t="s">
        <v>238</v>
      </c>
      <c r="CE11" s="5" t="s">
        <v>238</v>
      </c>
      <c r="CI11" s="5" t="s">
        <v>259</v>
      </c>
      <c r="CJ11" s="5" t="s">
        <v>260</v>
      </c>
      <c r="CK11" s="5" t="s">
        <v>272</v>
      </c>
      <c r="CM11" s="5" t="s">
        <v>306</v>
      </c>
      <c r="CN11" s="6" t="s">
        <v>262</v>
      </c>
      <c r="CO11" s="5" t="s">
        <v>263</v>
      </c>
      <c r="CP11" s="5" t="s">
        <v>264</v>
      </c>
      <c r="CQ11" s="5" t="s">
        <v>238</v>
      </c>
      <c r="CR11" s="5" t="s">
        <v>238</v>
      </c>
      <c r="CS11" s="5">
        <v>0</v>
      </c>
      <c r="CT11" s="5" t="s">
        <v>265</v>
      </c>
      <c r="CU11" s="5" t="s">
        <v>1187</v>
      </c>
      <c r="CV11" s="5" t="s">
        <v>649</v>
      </c>
      <c r="CW11" s="7" t="s">
        <v>238</v>
      </c>
      <c r="CX11" s="8">
        <f>225805650</f>
        <v>225805650</v>
      </c>
      <c r="CY11" s="8">
        <f>0</f>
        <v>0</v>
      </c>
      <c r="CZ11" s="8" t="s">
        <v>238</v>
      </c>
      <c r="DA11" s="5" t="s">
        <v>238</v>
      </c>
      <c r="DB11" s="5" t="s">
        <v>238</v>
      </c>
      <c r="DD11" s="5" t="s">
        <v>238</v>
      </c>
      <c r="DE11" s="8" t="s">
        <v>238</v>
      </c>
      <c r="DF11" s="6" t="s">
        <v>238</v>
      </c>
      <c r="DG11" s="5" t="s">
        <v>238</v>
      </c>
      <c r="DH11" s="5" t="s">
        <v>238</v>
      </c>
      <c r="DI11" s="5" t="s">
        <v>238</v>
      </c>
      <c r="DJ11" s="5" t="s">
        <v>238</v>
      </c>
      <c r="DK11" s="5" t="s">
        <v>271</v>
      </c>
      <c r="DL11" s="5" t="s">
        <v>272</v>
      </c>
      <c r="DM11" s="7">
        <f>906.85</f>
        <v>906.85</v>
      </c>
      <c r="DN11" s="5" t="s">
        <v>238</v>
      </c>
      <c r="DO11" s="5" t="s">
        <v>247</v>
      </c>
      <c r="DP11" s="5" t="s">
        <v>3170</v>
      </c>
      <c r="DQ11" s="5" t="s">
        <v>3170</v>
      </c>
      <c r="DR11" s="5" t="s">
        <v>238</v>
      </c>
      <c r="DS11" s="5" t="s">
        <v>238</v>
      </c>
      <c r="DT11" s="5" t="s">
        <v>311</v>
      </c>
      <c r="DU11" s="5" t="s">
        <v>274</v>
      </c>
      <c r="HP11" s="5" t="s">
        <v>272</v>
      </c>
      <c r="HQ11" s="5" t="s">
        <v>272</v>
      </c>
    </row>
    <row r="12" spans="1:238" x14ac:dyDescent="0.4">
      <c r="A12" s="5">
        <v>11</v>
      </c>
      <c r="B12" s="5">
        <v>1</v>
      </c>
      <c r="C12" s="5">
        <v>1</v>
      </c>
      <c r="D12" s="5" t="s">
        <v>299</v>
      </c>
      <c r="E12" s="5" t="s">
        <v>300</v>
      </c>
      <c r="F12" s="5" t="s">
        <v>282</v>
      </c>
      <c r="G12" s="5" t="s">
        <v>695</v>
      </c>
      <c r="H12" s="6" t="s">
        <v>303</v>
      </c>
      <c r="I12" s="5" t="s">
        <v>695</v>
      </c>
      <c r="J12" s="7">
        <f>44.64</f>
        <v>44.64</v>
      </c>
      <c r="K12" s="5" t="s">
        <v>270</v>
      </c>
      <c r="L12" s="8">
        <f>1</f>
        <v>1</v>
      </c>
      <c r="M12" s="8">
        <f>10713600</f>
        <v>10713600</v>
      </c>
      <c r="N12" s="6" t="s">
        <v>301</v>
      </c>
      <c r="O12" s="5" t="s">
        <v>268</v>
      </c>
      <c r="P12" s="5" t="s">
        <v>1091</v>
      </c>
      <c r="R12" s="8">
        <f>10713599</f>
        <v>10713599</v>
      </c>
      <c r="S12" s="5" t="s">
        <v>240</v>
      </c>
      <c r="T12" s="5" t="s">
        <v>237</v>
      </c>
      <c r="U12" s="5" t="s">
        <v>238</v>
      </c>
      <c r="V12" s="5" t="s">
        <v>238</v>
      </c>
      <c r="W12" s="5" t="s">
        <v>241</v>
      </c>
      <c r="X12" s="5" t="s">
        <v>243</v>
      </c>
      <c r="Y12" s="5" t="s">
        <v>238</v>
      </c>
      <c r="AB12" s="5" t="s">
        <v>238</v>
      </c>
      <c r="AD12" s="6" t="s">
        <v>238</v>
      </c>
      <c r="AG12" s="6" t="s">
        <v>246</v>
      </c>
      <c r="AH12" s="5" t="s">
        <v>247</v>
      </c>
      <c r="AI12" s="5" t="s">
        <v>248</v>
      </c>
      <c r="AY12" s="5" t="s">
        <v>250</v>
      </c>
      <c r="AZ12" s="5" t="s">
        <v>238</v>
      </c>
      <c r="BA12" s="5" t="s">
        <v>251</v>
      </c>
      <c r="BB12" s="5" t="s">
        <v>238</v>
      </c>
      <c r="BC12" s="5" t="s">
        <v>253</v>
      </c>
      <c r="BD12" s="5" t="s">
        <v>238</v>
      </c>
      <c r="BF12" s="5" t="s">
        <v>238</v>
      </c>
      <c r="BH12" s="5" t="s">
        <v>254</v>
      </c>
      <c r="BI12" s="6" t="s">
        <v>246</v>
      </c>
      <c r="BJ12" s="5" t="s">
        <v>255</v>
      </c>
      <c r="BK12" s="5" t="s">
        <v>256</v>
      </c>
      <c r="BL12" s="5" t="s">
        <v>238</v>
      </c>
      <c r="BM12" s="7">
        <f>0</f>
        <v>0</v>
      </c>
      <c r="BN12" s="8">
        <f>0</f>
        <v>0</v>
      </c>
      <c r="BO12" s="5" t="s">
        <v>257</v>
      </c>
      <c r="BP12" s="5" t="s">
        <v>258</v>
      </c>
      <c r="CD12" s="5" t="s">
        <v>238</v>
      </c>
      <c r="CE12" s="5" t="s">
        <v>238</v>
      </c>
      <c r="CI12" s="5" t="s">
        <v>259</v>
      </c>
      <c r="CJ12" s="5" t="s">
        <v>260</v>
      </c>
      <c r="CK12" s="5" t="s">
        <v>238</v>
      </c>
      <c r="CM12" s="5" t="s">
        <v>306</v>
      </c>
      <c r="CN12" s="6" t="s">
        <v>262</v>
      </c>
      <c r="CO12" s="5" t="s">
        <v>263</v>
      </c>
      <c r="CP12" s="5" t="s">
        <v>264</v>
      </c>
      <c r="CQ12" s="5" t="s">
        <v>238</v>
      </c>
      <c r="CR12" s="5" t="s">
        <v>238</v>
      </c>
      <c r="CS12" s="5">
        <v>0</v>
      </c>
      <c r="CT12" s="5" t="s">
        <v>265</v>
      </c>
      <c r="CU12" s="5" t="s">
        <v>351</v>
      </c>
      <c r="CV12" s="5" t="s">
        <v>394</v>
      </c>
      <c r="CX12" s="8">
        <f>10713600</f>
        <v>10713600</v>
      </c>
      <c r="CY12" s="8">
        <f>0</f>
        <v>0</v>
      </c>
      <c r="DA12" s="5" t="s">
        <v>238</v>
      </c>
      <c r="DB12" s="5" t="s">
        <v>238</v>
      </c>
      <c r="DD12" s="5" t="s">
        <v>238</v>
      </c>
      <c r="DG12" s="5" t="s">
        <v>238</v>
      </c>
      <c r="DH12" s="5" t="s">
        <v>238</v>
      </c>
      <c r="DI12" s="5" t="s">
        <v>238</v>
      </c>
      <c r="DJ12" s="5" t="s">
        <v>238</v>
      </c>
      <c r="DK12" s="5" t="s">
        <v>271</v>
      </c>
      <c r="DL12" s="5" t="s">
        <v>272</v>
      </c>
      <c r="DM12" s="7">
        <f>44.64</f>
        <v>44.64</v>
      </c>
      <c r="DN12" s="5" t="s">
        <v>238</v>
      </c>
      <c r="DO12" s="5" t="s">
        <v>238</v>
      </c>
      <c r="DP12" s="5" t="s">
        <v>238</v>
      </c>
      <c r="DQ12" s="5" t="s">
        <v>238</v>
      </c>
      <c r="DT12" s="5" t="s">
        <v>311</v>
      </c>
      <c r="DU12" s="5" t="s">
        <v>356</v>
      </c>
      <c r="HM12" s="5" t="s">
        <v>271</v>
      </c>
      <c r="HP12" s="5" t="s">
        <v>272</v>
      </c>
      <c r="HQ12" s="5" t="s">
        <v>272</v>
      </c>
    </row>
    <row r="13" spans="1:238" x14ac:dyDescent="0.4">
      <c r="A13" s="5">
        <v>12</v>
      </c>
      <c r="B13" s="5">
        <v>1</v>
      </c>
      <c r="C13" s="5">
        <v>4</v>
      </c>
      <c r="D13" s="5" t="s">
        <v>299</v>
      </c>
      <c r="E13" s="5" t="s">
        <v>300</v>
      </c>
      <c r="F13" s="5" t="s">
        <v>282</v>
      </c>
      <c r="G13" s="5" t="s">
        <v>1161</v>
      </c>
      <c r="H13" s="6" t="s">
        <v>303</v>
      </c>
      <c r="I13" s="5" t="s">
        <v>1158</v>
      </c>
      <c r="J13" s="7">
        <f>42</f>
        <v>42</v>
      </c>
      <c r="K13" s="5" t="s">
        <v>270</v>
      </c>
      <c r="L13" s="8">
        <f>270270</f>
        <v>270270</v>
      </c>
      <c r="M13" s="8">
        <f>4914000</f>
        <v>4914000</v>
      </c>
      <c r="N13" s="6" t="s">
        <v>301</v>
      </c>
      <c r="O13" s="5" t="s">
        <v>639</v>
      </c>
      <c r="P13" s="5" t="s">
        <v>309</v>
      </c>
      <c r="Q13" s="8">
        <f>132678</f>
        <v>132678</v>
      </c>
      <c r="R13" s="8">
        <f>4643730</f>
        <v>4643730</v>
      </c>
      <c r="S13" s="5" t="s">
        <v>240</v>
      </c>
      <c r="T13" s="5" t="s">
        <v>237</v>
      </c>
      <c r="U13" s="5" t="s">
        <v>238</v>
      </c>
      <c r="V13" s="5" t="s">
        <v>238</v>
      </c>
      <c r="W13" s="5" t="s">
        <v>241</v>
      </c>
      <c r="X13" s="5" t="s">
        <v>243</v>
      </c>
      <c r="Y13" s="5" t="s">
        <v>238</v>
      </c>
      <c r="AB13" s="5" t="s">
        <v>238</v>
      </c>
      <c r="AC13" s="6" t="s">
        <v>238</v>
      </c>
      <c r="AD13" s="6" t="s">
        <v>238</v>
      </c>
      <c r="AF13" s="6" t="s">
        <v>238</v>
      </c>
      <c r="AG13" s="6" t="s">
        <v>246</v>
      </c>
      <c r="AH13" s="5" t="s">
        <v>247</v>
      </c>
      <c r="AI13" s="5" t="s">
        <v>248</v>
      </c>
      <c r="AO13" s="5" t="s">
        <v>238</v>
      </c>
      <c r="AP13" s="5" t="s">
        <v>238</v>
      </c>
      <c r="AQ13" s="5" t="s">
        <v>238</v>
      </c>
      <c r="AR13" s="6" t="s">
        <v>238</v>
      </c>
      <c r="AS13" s="6" t="s">
        <v>238</v>
      </c>
      <c r="AT13" s="6" t="s">
        <v>238</v>
      </c>
      <c r="AW13" s="5" t="s">
        <v>304</v>
      </c>
      <c r="AX13" s="5" t="s">
        <v>304</v>
      </c>
      <c r="AY13" s="5" t="s">
        <v>250</v>
      </c>
      <c r="AZ13" s="5" t="s">
        <v>305</v>
      </c>
      <c r="BA13" s="5" t="s">
        <v>251</v>
      </c>
      <c r="BB13" s="5" t="s">
        <v>238</v>
      </c>
      <c r="BC13" s="5" t="s">
        <v>253</v>
      </c>
      <c r="BD13" s="5" t="s">
        <v>238</v>
      </c>
      <c r="BF13" s="5" t="s">
        <v>238</v>
      </c>
      <c r="BH13" s="5" t="s">
        <v>283</v>
      </c>
      <c r="BI13" s="6" t="s">
        <v>293</v>
      </c>
      <c r="BJ13" s="5" t="s">
        <v>294</v>
      </c>
      <c r="BK13" s="5" t="s">
        <v>294</v>
      </c>
      <c r="BL13" s="5" t="s">
        <v>238</v>
      </c>
      <c r="BM13" s="7">
        <f>0</f>
        <v>0</v>
      </c>
      <c r="BN13" s="8">
        <f>-132678</f>
        <v>-132678</v>
      </c>
      <c r="BO13" s="5" t="s">
        <v>257</v>
      </c>
      <c r="BP13" s="5" t="s">
        <v>258</v>
      </c>
      <c r="BQ13" s="5" t="s">
        <v>238</v>
      </c>
      <c r="BR13" s="5" t="s">
        <v>238</v>
      </c>
      <c r="BS13" s="5" t="s">
        <v>238</v>
      </c>
      <c r="BT13" s="5" t="s">
        <v>238</v>
      </c>
      <c r="CC13" s="5" t="s">
        <v>258</v>
      </c>
      <c r="CD13" s="5" t="s">
        <v>238</v>
      </c>
      <c r="CE13" s="5" t="s">
        <v>238</v>
      </c>
      <c r="CI13" s="5" t="s">
        <v>259</v>
      </c>
      <c r="CJ13" s="5" t="s">
        <v>260</v>
      </c>
      <c r="CK13" s="5" t="s">
        <v>238</v>
      </c>
      <c r="CM13" s="5" t="s">
        <v>306</v>
      </c>
      <c r="CN13" s="6" t="s">
        <v>262</v>
      </c>
      <c r="CO13" s="5" t="s">
        <v>263</v>
      </c>
      <c r="CP13" s="5" t="s">
        <v>264</v>
      </c>
      <c r="CQ13" s="5" t="s">
        <v>285</v>
      </c>
      <c r="CR13" s="5" t="s">
        <v>238</v>
      </c>
      <c r="CS13" s="5">
        <v>2.7E-2</v>
      </c>
      <c r="CT13" s="5" t="s">
        <v>265</v>
      </c>
      <c r="CU13" s="5" t="s">
        <v>1159</v>
      </c>
      <c r="CV13" s="5" t="s">
        <v>308</v>
      </c>
      <c r="CW13" s="7">
        <f>0</f>
        <v>0</v>
      </c>
      <c r="CX13" s="8">
        <f>4914000</f>
        <v>4914000</v>
      </c>
      <c r="CY13" s="8">
        <f>402948</f>
        <v>402948</v>
      </c>
      <c r="DA13" s="5" t="s">
        <v>238</v>
      </c>
      <c r="DB13" s="5" t="s">
        <v>238</v>
      </c>
      <c r="DD13" s="5" t="s">
        <v>238</v>
      </c>
      <c r="DE13" s="8">
        <f>0</f>
        <v>0</v>
      </c>
      <c r="DG13" s="5" t="s">
        <v>238</v>
      </c>
      <c r="DH13" s="5" t="s">
        <v>238</v>
      </c>
      <c r="DI13" s="5" t="s">
        <v>238</v>
      </c>
      <c r="DJ13" s="5" t="s">
        <v>238</v>
      </c>
      <c r="DK13" s="5" t="s">
        <v>271</v>
      </c>
      <c r="DL13" s="5" t="s">
        <v>272</v>
      </c>
      <c r="DM13" s="7">
        <f>42</f>
        <v>42</v>
      </c>
      <c r="DN13" s="5" t="s">
        <v>238</v>
      </c>
      <c r="DO13" s="5" t="s">
        <v>238</v>
      </c>
      <c r="DP13" s="5" t="s">
        <v>238</v>
      </c>
      <c r="DQ13" s="5" t="s">
        <v>238</v>
      </c>
      <c r="DT13" s="5" t="s">
        <v>311</v>
      </c>
      <c r="DU13" s="5" t="s">
        <v>310</v>
      </c>
      <c r="GL13" s="5" t="s">
        <v>1168</v>
      </c>
      <c r="HM13" s="5" t="s">
        <v>313</v>
      </c>
      <c r="HP13" s="5" t="s">
        <v>272</v>
      </c>
      <c r="HQ13" s="5" t="s">
        <v>272</v>
      </c>
      <c r="HR13" s="5" t="s">
        <v>238</v>
      </c>
      <c r="HS13" s="5" t="s">
        <v>238</v>
      </c>
      <c r="HT13" s="5" t="s">
        <v>238</v>
      </c>
      <c r="HU13" s="5" t="s">
        <v>238</v>
      </c>
      <c r="HV13" s="5" t="s">
        <v>238</v>
      </c>
      <c r="HW13" s="5" t="s">
        <v>238</v>
      </c>
      <c r="HX13" s="5" t="s">
        <v>238</v>
      </c>
      <c r="HY13" s="5" t="s">
        <v>238</v>
      </c>
      <c r="HZ13" s="5" t="s">
        <v>238</v>
      </c>
      <c r="IA13" s="5" t="s">
        <v>238</v>
      </c>
      <c r="IB13" s="5" t="s">
        <v>238</v>
      </c>
      <c r="IC13" s="5" t="s">
        <v>238</v>
      </c>
      <c r="ID13" s="5" t="s">
        <v>238</v>
      </c>
    </row>
    <row r="14" spans="1:238" x14ac:dyDescent="0.4">
      <c r="A14" s="5">
        <v>13</v>
      </c>
      <c r="B14" s="5">
        <v>1</v>
      </c>
      <c r="C14" s="5">
        <v>4</v>
      </c>
      <c r="D14" s="5" t="s">
        <v>299</v>
      </c>
      <c r="E14" s="5" t="s">
        <v>300</v>
      </c>
      <c r="F14" s="5" t="s">
        <v>282</v>
      </c>
      <c r="G14" s="5" t="s">
        <v>2967</v>
      </c>
      <c r="H14" s="6" t="s">
        <v>303</v>
      </c>
      <c r="I14" s="5" t="s">
        <v>2966</v>
      </c>
      <c r="J14" s="7">
        <f>0</f>
        <v>0</v>
      </c>
      <c r="K14" s="5" t="s">
        <v>270</v>
      </c>
      <c r="L14" s="8">
        <f>9174600</f>
        <v>9174600</v>
      </c>
      <c r="M14" s="8">
        <f>18349200</f>
        <v>18349200</v>
      </c>
      <c r="N14" s="6" t="s">
        <v>2034</v>
      </c>
      <c r="O14" s="5" t="s">
        <v>377</v>
      </c>
      <c r="P14" s="5" t="s">
        <v>356</v>
      </c>
      <c r="Q14" s="8">
        <f>1834920</f>
        <v>1834920</v>
      </c>
      <c r="R14" s="8">
        <f>9174600</f>
        <v>9174600</v>
      </c>
      <c r="S14" s="5" t="s">
        <v>240</v>
      </c>
      <c r="T14" s="5" t="s">
        <v>287</v>
      </c>
      <c r="U14" s="5" t="s">
        <v>238</v>
      </c>
      <c r="V14" s="5" t="s">
        <v>238</v>
      </c>
      <c r="W14" s="5" t="s">
        <v>241</v>
      </c>
      <c r="X14" s="5" t="s">
        <v>243</v>
      </c>
      <c r="Y14" s="5" t="s">
        <v>238</v>
      </c>
      <c r="AB14" s="5" t="s">
        <v>238</v>
      </c>
      <c r="AC14" s="6" t="s">
        <v>238</v>
      </c>
      <c r="AD14" s="6" t="s">
        <v>238</v>
      </c>
      <c r="AF14" s="6" t="s">
        <v>238</v>
      </c>
      <c r="AG14" s="6" t="s">
        <v>246</v>
      </c>
      <c r="AH14" s="5" t="s">
        <v>247</v>
      </c>
      <c r="AI14" s="5" t="s">
        <v>248</v>
      </c>
      <c r="AO14" s="5" t="s">
        <v>238</v>
      </c>
      <c r="AP14" s="5" t="s">
        <v>238</v>
      </c>
      <c r="AQ14" s="5" t="s">
        <v>238</v>
      </c>
      <c r="AR14" s="6" t="s">
        <v>238</v>
      </c>
      <c r="AS14" s="6" t="s">
        <v>238</v>
      </c>
      <c r="AT14" s="6" t="s">
        <v>238</v>
      </c>
      <c r="AW14" s="5" t="s">
        <v>304</v>
      </c>
      <c r="AX14" s="5" t="s">
        <v>304</v>
      </c>
      <c r="AY14" s="5" t="s">
        <v>250</v>
      </c>
      <c r="AZ14" s="5" t="s">
        <v>305</v>
      </c>
      <c r="BA14" s="5" t="s">
        <v>251</v>
      </c>
      <c r="BB14" s="5" t="s">
        <v>238</v>
      </c>
      <c r="BC14" s="5" t="s">
        <v>253</v>
      </c>
      <c r="BD14" s="5" t="s">
        <v>238</v>
      </c>
      <c r="BF14" s="5" t="s">
        <v>238</v>
      </c>
      <c r="BH14" s="5" t="s">
        <v>283</v>
      </c>
      <c r="BI14" s="6" t="s">
        <v>293</v>
      </c>
      <c r="BJ14" s="5" t="s">
        <v>294</v>
      </c>
      <c r="BK14" s="5" t="s">
        <v>294</v>
      </c>
      <c r="BL14" s="5" t="s">
        <v>238</v>
      </c>
      <c r="BM14" s="7">
        <f>0</f>
        <v>0</v>
      </c>
      <c r="BN14" s="8">
        <f>-1834920</f>
        <v>-1834920</v>
      </c>
      <c r="BO14" s="5" t="s">
        <v>257</v>
      </c>
      <c r="BP14" s="5" t="s">
        <v>258</v>
      </c>
      <c r="BQ14" s="5" t="s">
        <v>238</v>
      </c>
      <c r="BR14" s="5" t="s">
        <v>238</v>
      </c>
      <c r="BS14" s="5" t="s">
        <v>238</v>
      </c>
      <c r="BT14" s="5" t="s">
        <v>238</v>
      </c>
      <c r="CC14" s="5" t="s">
        <v>258</v>
      </c>
      <c r="CD14" s="5" t="s">
        <v>238</v>
      </c>
      <c r="CE14" s="5" t="s">
        <v>238</v>
      </c>
      <c r="CI14" s="5" t="s">
        <v>259</v>
      </c>
      <c r="CJ14" s="5" t="s">
        <v>260</v>
      </c>
      <c r="CK14" s="5" t="s">
        <v>238</v>
      </c>
      <c r="CM14" s="5" t="s">
        <v>376</v>
      </c>
      <c r="CN14" s="6" t="s">
        <v>262</v>
      </c>
      <c r="CO14" s="5" t="s">
        <v>263</v>
      </c>
      <c r="CP14" s="5" t="s">
        <v>264</v>
      </c>
      <c r="CQ14" s="5" t="s">
        <v>285</v>
      </c>
      <c r="CR14" s="5" t="s">
        <v>238</v>
      </c>
      <c r="CS14" s="5">
        <v>0.1</v>
      </c>
      <c r="CT14" s="5" t="s">
        <v>265</v>
      </c>
      <c r="CU14" s="5" t="s">
        <v>351</v>
      </c>
      <c r="CV14" s="5" t="s">
        <v>458</v>
      </c>
      <c r="CW14" s="7">
        <f>0</f>
        <v>0</v>
      </c>
      <c r="CX14" s="8">
        <f>18349200</f>
        <v>18349200</v>
      </c>
      <c r="CY14" s="8">
        <f>11009520</f>
        <v>11009520</v>
      </c>
      <c r="DA14" s="5" t="s">
        <v>238</v>
      </c>
      <c r="DB14" s="5" t="s">
        <v>238</v>
      </c>
      <c r="DD14" s="5" t="s">
        <v>238</v>
      </c>
      <c r="DE14" s="8">
        <f>0</f>
        <v>0</v>
      </c>
      <c r="DG14" s="5" t="s">
        <v>238</v>
      </c>
      <c r="DH14" s="5" t="s">
        <v>238</v>
      </c>
      <c r="DI14" s="5" t="s">
        <v>238</v>
      </c>
      <c r="DJ14" s="5" t="s">
        <v>238</v>
      </c>
      <c r="DK14" s="5" t="s">
        <v>272</v>
      </c>
      <c r="DL14" s="5" t="s">
        <v>272</v>
      </c>
      <c r="DM14" s="8" t="s">
        <v>238</v>
      </c>
      <c r="DN14" s="5" t="s">
        <v>238</v>
      </c>
      <c r="DO14" s="5" t="s">
        <v>238</v>
      </c>
      <c r="DP14" s="5" t="s">
        <v>238</v>
      </c>
      <c r="DQ14" s="5" t="s">
        <v>238</v>
      </c>
      <c r="DT14" s="5" t="s">
        <v>311</v>
      </c>
      <c r="DU14" s="5" t="s">
        <v>379</v>
      </c>
      <c r="GL14" s="5" t="s">
        <v>2968</v>
      </c>
      <c r="HM14" s="5" t="s">
        <v>379</v>
      </c>
      <c r="HP14" s="5" t="s">
        <v>272</v>
      </c>
      <c r="HQ14" s="5" t="s">
        <v>272</v>
      </c>
      <c r="HR14" s="5" t="s">
        <v>238</v>
      </c>
      <c r="HS14" s="5" t="s">
        <v>238</v>
      </c>
      <c r="HT14" s="5" t="s">
        <v>238</v>
      </c>
      <c r="HU14" s="5" t="s">
        <v>238</v>
      </c>
      <c r="HV14" s="5" t="s">
        <v>238</v>
      </c>
      <c r="HW14" s="5" t="s">
        <v>238</v>
      </c>
      <c r="HX14" s="5" t="s">
        <v>238</v>
      </c>
      <c r="HY14" s="5" t="s">
        <v>238</v>
      </c>
      <c r="HZ14" s="5" t="s">
        <v>238</v>
      </c>
      <c r="IA14" s="5" t="s">
        <v>238</v>
      </c>
      <c r="IB14" s="5" t="s">
        <v>238</v>
      </c>
      <c r="IC14" s="5" t="s">
        <v>238</v>
      </c>
      <c r="ID14" s="5" t="s">
        <v>238</v>
      </c>
    </row>
    <row r="15" spans="1:238" x14ac:dyDescent="0.4">
      <c r="A15" s="5">
        <v>14</v>
      </c>
      <c r="B15" s="5">
        <v>1</v>
      </c>
      <c r="C15" s="5">
        <v>4</v>
      </c>
      <c r="D15" s="5" t="s">
        <v>299</v>
      </c>
      <c r="E15" s="5" t="s">
        <v>300</v>
      </c>
      <c r="F15" s="5" t="s">
        <v>282</v>
      </c>
      <c r="G15" s="5" t="s">
        <v>2964</v>
      </c>
      <c r="H15" s="6" t="s">
        <v>303</v>
      </c>
      <c r="I15" s="5" t="s">
        <v>2963</v>
      </c>
      <c r="J15" s="7">
        <f>0</f>
        <v>0</v>
      </c>
      <c r="K15" s="5" t="s">
        <v>270</v>
      </c>
      <c r="L15" s="8">
        <f>662875</f>
        <v>662875</v>
      </c>
      <c r="M15" s="8">
        <f>1077840</f>
        <v>1077840</v>
      </c>
      <c r="N15" s="6" t="s">
        <v>2945</v>
      </c>
      <c r="O15" s="5" t="s">
        <v>319</v>
      </c>
      <c r="P15" s="5" t="s">
        <v>356</v>
      </c>
      <c r="Q15" s="8">
        <f>82993</f>
        <v>82993</v>
      </c>
      <c r="R15" s="8">
        <f>414965</f>
        <v>414965</v>
      </c>
      <c r="S15" s="5" t="s">
        <v>240</v>
      </c>
      <c r="T15" s="5" t="s">
        <v>287</v>
      </c>
      <c r="U15" s="5" t="s">
        <v>238</v>
      </c>
      <c r="V15" s="5" t="s">
        <v>238</v>
      </c>
      <c r="W15" s="5" t="s">
        <v>241</v>
      </c>
      <c r="X15" s="5" t="s">
        <v>243</v>
      </c>
      <c r="Y15" s="5" t="s">
        <v>238</v>
      </c>
      <c r="AB15" s="5" t="s">
        <v>238</v>
      </c>
      <c r="AC15" s="6" t="s">
        <v>238</v>
      </c>
      <c r="AD15" s="6" t="s">
        <v>238</v>
      </c>
      <c r="AF15" s="6" t="s">
        <v>238</v>
      </c>
      <c r="AG15" s="6" t="s">
        <v>246</v>
      </c>
      <c r="AH15" s="5" t="s">
        <v>247</v>
      </c>
      <c r="AI15" s="5" t="s">
        <v>248</v>
      </c>
      <c r="AO15" s="5" t="s">
        <v>238</v>
      </c>
      <c r="AP15" s="5" t="s">
        <v>238</v>
      </c>
      <c r="AQ15" s="5" t="s">
        <v>238</v>
      </c>
      <c r="AR15" s="6" t="s">
        <v>238</v>
      </c>
      <c r="AS15" s="6" t="s">
        <v>238</v>
      </c>
      <c r="AT15" s="6" t="s">
        <v>238</v>
      </c>
      <c r="AW15" s="5" t="s">
        <v>304</v>
      </c>
      <c r="AX15" s="5" t="s">
        <v>304</v>
      </c>
      <c r="AY15" s="5" t="s">
        <v>250</v>
      </c>
      <c r="AZ15" s="5" t="s">
        <v>305</v>
      </c>
      <c r="BA15" s="5" t="s">
        <v>251</v>
      </c>
      <c r="BB15" s="5" t="s">
        <v>238</v>
      </c>
      <c r="BC15" s="5" t="s">
        <v>253</v>
      </c>
      <c r="BD15" s="5" t="s">
        <v>238</v>
      </c>
      <c r="BF15" s="5" t="s">
        <v>238</v>
      </c>
      <c r="BH15" s="5" t="s">
        <v>283</v>
      </c>
      <c r="BI15" s="6" t="s">
        <v>293</v>
      </c>
      <c r="BJ15" s="5" t="s">
        <v>294</v>
      </c>
      <c r="BK15" s="5" t="s">
        <v>294</v>
      </c>
      <c r="BL15" s="5" t="s">
        <v>238</v>
      </c>
      <c r="BM15" s="7">
        <f>0</f>
        <v>0</v>
      </c>
      <c r="BN15" s="8">
        <f>-82993</f>
        <v>-82993</v>
      </c>
      <c r="BO15" s="5" t="s">
        <v>257</v>
      </c>
      <c r="BP15" s="5" t="s">
        <v>258</v>
      </c>
      <c r="BQ15" s="5" t="s">
        <v>238</v>
      </c>
      <c r="BR15" s="5" t="s">
        <v>238</v>
      </c>
      <c r="BS15" s="5" t="s">
        <v>238</v>
      </c>
      <c r="BT15" s="5" t="s">
        <v>238</v>
      </c>
      <c r="CC15" s="5" t="s">
        <v>258</v>
      </c>
      <c r="CD15" s="5" t="s">
        <v>238</v>
      </c>
      <c r="CE15" s="5" t="s">
        <v>238</v>
      </c>
      <c r="CI15" s="5" t="s">
        <v>259</v>
      </c>
      <c r="CJ15" s="5" t="s">
        <v>260</v>
      </c>
      <c r="CK15" s="5" t="s">
        <v>238</v>
      </c>
      <c r="CM15" s="5" t="s">
        <v>376</v>
      </c>
      <c r="CN15" s="6" t="s">
        <v>262</v>
      </c>
      <c r="CO15" s="5" t="s">
        <v>263</v>
      </c>
      <c r="CP15" s="5" t="s">
        <v>264</v>
      </c>
      <c r="CQ15" s="5" t="s">
        <v>285</v>
      </c>
      <c r="CR15" s="5" t="s">
        <v>238</v>
      </c>
      <c r="CS15" s="5">
        <v>7.6999999999999999E-2</v>
      </c>
      <c r="CT15" s="5" t="s">
        <v>265</v>
      </c>
      <c r="CU15" s="5" t="s">
        <v>351</v>
      </c>
      <c r="CV15" s="5" t="s">
        <v>352</v>
      </c>
      <c r="CW15" s="7">
        <f>0</f>
        <v>0</v>
      </c>
      <c r="CX15" s="8">
        <f>1077840</f>
        <v>1077840</v>
      </c>
      <c r="CY15" s="8">
        <f>745868</f>
        <v>745868</v>
      </c>
      <c r="DA15" s="5" t="s">
        <v>238</v>
      </c>
      <c r="DB15" s="5" t="s">
        <v>238</v>
      </c>
      <c r="DD15" s="5" t="s">
        <v>238</v>
      </c>
      <c r="DE15" s="8">
        <f>0</f>
        <v>0</v>
      </c>
      <c r="DG15" s="5" t="s">
        <v>238</v>
      </c>
      <c r="DH15" s="5" t="s">
        <v>238</v>
      </c>
      <c r="DI15" s="5" t="s">
        <v>238</v>
      </c>
      <c r="DJ15" s="5" t="s">
        <v>238</v>
      </c>
      <c r="DK15" s="5" t="s">
        <v>272</v>
      </c>
      <c r="DL15" s="5" t="s">
        <v>272</v>
      </c>
      <c r="DM15" s="8" t="s">
        <v>238</v>
      </c>
      <c r="DN15" s="5" t="s">
        <v>238</v>
      </c>
      <c r="DO15" s="5" t="s">
        <v>238</v>
      </c>
      <c r="DP15" s="5" t="s">
        <v>238</v>
      </c>
      <c r="DQ15" s="5" t="s">
        <v>238</v>
      </c>
      <c r="DT15" s="5" t="s">
        <v>311</v>
      </c>
      <c r="DU15" s="5" t="s">
        <v>313</v>
      </c>
      <c r="GL15" s="5" t="s">
        <v>2965</v>
      </c>
      <c r="HM15" s="5" t="s">
        <v>379</v>
      </c>
      <c r="HP15" s="5" t="s">
        <v>272</v>
      </c>
      <c r="HQ15" s="5" t="s">
        <v>272</v>
      </c>
      <c r="HR15" s="5" t="s">
        <v>238</v>
      </c>
      <c r="HS15" s="5" t="s">
        <v>238</v>
      </c>
      <c r="HT15" s="5" t="s">
        <v>238</v>
      </c>
      <c r="HU15" s="5" t="s">
        <v>238</v>
      </c>
      <c r="HV15" s="5" t="s">
        <v>238</v>
      </c>
      <c r="HW15" s="5" t="s">
        <v>238</v>
      </c>
      <c r="HX15" s="5" t="s">
        <v>238</v>
      </c>
      <c r="HY15" s="5" t="s">
        <v>238</v>
      </c>
      <c r="HZ15" s="5" t="s">
        <v>238</v>
      </c>
      <c r="IA15" s="5" t="s">
        <v>238</v>
      </c>
      <c r="IB15" s="5" t="s">
        <v>238</v>
      </c>
      <c r="IC15" s="5" t="s">
        <v>238</v>
      </c>
      <c r="ID15" s="5" t="s">
        <v>238</v>
      </c>
    </row>
    <row r="16" spans="1:238" x14ac:dyDescent="0.4">
      <c r="A16" s="5">
        <v>15</v>
      </c>
      <c r="B16" s="5">
        <v>1</v>
      </c>
      <c r="C16" s="5">
        <v>4</v>
      </c>
      <c r="D16" s="5" t="s">
        <v>299</v>
      </c>
      <c r="E16" s="5" t="s">
        <v>300</v>
      </c>
      <c r="F16" s="5" t="s">
        <v>282</v>
      </c>
      <c r="G16" s="5" t="s">
        <v>505</v>
      </c>
      <c r="H16" s="6" t="s">
        <v>303</v>
      </c>
      <c r="I16" s="5" t="s">
        <v>2909</v>
      </c>
      <c r="J16" s="7">
        <f>0</f>
        <v>0</v>
      </c>
      <c r="K16" s="5" t="s">
        <v>270</v>
      </c>
      <c r="L16" s="8">
        <f>858250</f>
        <v>858250</v>
      </c>
      <c r="M16" s="8">
        <f>1290600</f>
        <v>1290600</v>
      </c>
      <c r="N16" s="6" t="s">
        <v>1474</v>
      </c>
      <c r="O16" s="5" t="s">
        <v>268</v>
      </c>
      <c r="P16" s="5" t="s">
        <v>356</v>
      </c>
      <c r="Q16" s="8">
        <f>86470</f>
        <v>86470</v>
      </c>
      <c r="R16" s="8">
        <f>432350</f>
        <v>432350</v>
      </c>
      <c r="S16" s="5" t="s">
        <v>240</v>
      </c>
      <c r="T16" s="5" t="s">
        <v>287</v>
      </c>
      <c r="U16" s="5" t="s">
        <v>238</v>
      </c>
      <c r="V16" s="5" t="s">
        <v>238</v>
      </c>
      <c r="W16" s="5" t="s">
        <v>241</v>
      </c>
      <c r="X16" s="5" t="s">
        <v>243</v>
      </c>
      <c r="Y16" s="5" t="s">
        <v>238</v>
      </c>
      <c r="AB16" s="5" t="s">
        <v>238</v>
      </c>
      <c r="AC16" s="6" t="s">
        <v>238</v>
      </c>
      <c r="AD16" s="6" t="s">
        <v>238</v>
      </c>
      <c r="AF16" s="6" t="s">
        <v>238</v>
      </c>
      <c r="AG16" s="6" t="s">
        <v>2957</v>
      </c>
      <c r="AH16" s="5" t="s">
        <v>247</v>
      </c>
      <c r="AI16" s="5" t="s">
        <v>248</v>
      </c>
      <c r="AO16" s="5" t="s">
        <v>238</v>
      </c>
      <c r="AP16" s="5" t="s">
        <v>238</v>
      </c>
      <c r="AQ16" s="5" t="s">
        <v>238</v>
      </c>
      <c r="AR16" s="6" t="s">
        <v>238</v>
      </c>
      <c r="AS16" s="6" t="s">
        <v>238</v>
      </c>
      <c r="AT16" s="6" t="s">
        <v>238</v>
      </c>
      <c r="AW16" s="5" t="s">
        <v>304</v>
      </c>
      <c r="AX16" s="5" t="s">
        <v>304</v>
      </c>
      <c r="AY16" s="5" t="s">
        <v>250</v>
      </c>
      <c r="AZ16" s="5" t="s">
        <v>305</v>
      </c>
      <c r="BA16" s="5" t="s">
        <v>251</v>
      </c>
      <c r="BB16" s="5" t="s">
        <v>238</v>
      </c>
      <c r="BC16" s="5" t="s">
        <v>253</v>
      </c>
      <c r="BD16" s="5" t="s">
        <v>238</v>
      </c>
      <c r="BF16" s="5" t="s">
        <v>238</v>
      </c>
      <c r="BH16" s="5" t="s">
        <v>283</v>
      </c>
      <c r="BI16" s="6" t="s">
        <v>293</v>
      </c>
      <c r="BJ16" s="5" t="s">
        <v>294</v>
      </c>
      <c r="BK16" s="5" t="s">
        <v>294</v>
      </c>
      <c r="BL16" s="5" t="s">
        <v>238</v>
      </c>
      <c r="BM16" s="7">
        <f>0</f>
        <v>0</v>
      </c>
      <c r="BN16" s="8">
        <f>-86470</f>
        <v>-86470</v>
      </c>
      <c r="BO16" s="5" t="s">
        <v>257</v>
      </c>
      <c r="BP16" s="5" t="s">
        <v>258</v>
      </c>
      <c r="BQ16" s="5" t="s">
        <v>238</v>
      </c>
      <c r="BR16" s="5" t="s">
        <v>238</v>
      </c>
      <c r="BS16" s="5" t="s">
        <v>238</v>
      </c>
      <c r="BT16" s="5" t="s">
        <v>238</v>
      </c>
      <c r="CC16" s="5" t="s">
        <v>258</v>
      </c>
      <c r="CD16" s="5" t="s">
        <v>238</v>
      </c>
      <c r="CE16" s="5" t="s">
        <v>238</v>
      </c>
      <c r="CI16" s="5" t="s">
        <v>259</v>
      </c>
      <c r="CJ16" s="5" t="s">
        <v>260</v>
      </c>
      <c r="CK16" s="5" t="s">
        <v>238</v>
      </c>
      <c r="CM16" s="5" t="s">
        <v>376</v>
      </c>
      <c r="CN16" s="6" t="s">
        <v>262</v>
      </c>
      <c r="CO16" s="5" t="s">
        <v>263</v>
      </c>
      <c r="CP16" s="5" t="s">
        <v>264</v>
      </c>
      <c r="CQ16" s="5" t="s">
        <v>285</v>
      </c>
      <c r="CR16" s="5" t="s">
        <v>238</v>
      </c>
      <c r="CS16" s="5">
        <v>6.7000000000000004E-2</v>
      </c>
      <c r="CT16" s="5" t="s">
        <v>265</v>
      </c>
      <c r="CU16" s="5" t="s">
        <v>351</v>
      </c>
      <c r="CV16" s="5" t="s">
        <v>365</v>
      </c>
      <c r="CW16" s="7">
        <f>0</f>
        <v>0</v>
      </c>
      <c r="CX16" s="8">
        <f>1290600</f>
        <v>1290600</v>
      </c>
      <c r="CY16" s="8">
        <f>944720</f>
        <v>944720</v>
      </c>
      <c r="DA16" s="5" t="s">
        <v>238</v>
      </c>
      <c r="DB16" s="5" t="s">
        <v>238</v>
      </c>
      <c r="DD16" s="5" t="s">
        <v>238</v>
      </c>
      <c r="DE16" s="8">
        <f>0</f>
        <v>0</v>
      </c>
      <c r="DG16" s="5" t="s">
        <v>238</v>
      </c>
      <c r="DH16" s="5" t="s">
        <v>238</v>
      </c>
      <c r="DI16" s="5" t="s">
        <v>238</v>
      </c>
      <c r="DJ16" s="5" t="s">
        <v>238</v>
      </c>
      <c r="DK16" s="5" t="s">
        <v>272</v>
      </c>
      <c r="DL16" s="5" t="s">
        <v>272</v>
      </c>
      <c r="DM16" s="8" t="s">
        <v>238</v>
      </c>
      <c r="DN16" s="5" t="s">
        <v>238</v>
      </c>
      <c r="DO16" s="5" t="s">
        <v>238</v>
      </c>
      <c r="DP16" s="5" t="s">
        <v>238</v>
      </c>
      <c r="DQ16" s="5" t="s">
        <v>238</v>
      </c>
      <c r="DT16" s="5" t="s">
        <v>311</v>
      </c>
      <c r="DU16" s="5" t="s">
        <v>389</v>
      </c>
      <c r="GL16" s="5" t="s">
        <v>2962</v>
      </c>
      <c r="HM16" s="5" t="s">
        <v>379</v>
      </c>
      <c r="HP16" s="5" t="s">
        <v>272</v>
      </c>
      <c r="HQ16" s="5" t="s">
        <v>272</v>
      </c>
      <c r="HR16" s="5" t="s">
        <v>238</v>
      </c>
      <c r="HS16" s="5" t="s">
        <v>238</v>
      </c>
      <c r="HT16" s="5" t="s">
        <v>238</v>
      </c>
      <c r="HU16" s="5" t="s">
        <v>238</v>
      </c>
      <c r="HV16" s="5" t="s">
        <v>238</v>
      </c>
      <c r="HW16" s="5" t="s">
        <v>238</v>
      </c>
      <c r="HX16" s="5" t="s">
        <v>238</v>
      </c>
      <c r="HY16" s="5" t="s">
        <v>238</v>
      </c>
      <c r="HZ16" s="5" t="s">
        <v>238</v>
      </c>
      <c r="IA16" s="5" t="s">
        <v>238</v>
      </c>
      <c r="IB16" s="5" t="s">
        <v>238</v>
      </c>
      <c r="IC16" s="5" t="s">
        <v>238</v>
      </c>
      <c r="ID16" s="5" t="s">
        <v>238</v>
      </c>
    </row>
    <row r="17" spans="1:238" x14ac:dyDescent="0.4">
      <c r="A17" s="5">
        <v>16</v>
      </c>
      <c r="B17" s="5">
        <v>1</v>
      </c>
      <c r="C17" s="5">
        <v>4</v>
      </c>
      <c r="D17" s="5" t="s">
        <v>299</v>
      </c>
      <c r="E17" s="5" t="s">
        <v>300</v>
      </c>
      <c r="F17" s="5" t="s">
        <v>282</v>
      </c>
      <c r="G17" s="5" t="s">
        <v>349</v>
      </c>
      <c r="H17" s="6" t="s">
        <v>303</v>
      </c>
      <c r="I17" s="5" t="s">
        <v>2959</v>
      </c>
      <c r="J17" s="7">
        <f>0</f>
        <v>0</v>
      </c>
      <c r="K17" s="5" t="s">
        <v>270</v>
      </c>
      <c r="L17" s="8">
        <f>553392</f>
        <v>553392</v>
      </c>
      <c r="M17" s="8">
        <f>756000</f>
        <v>756000</v>
      </c>
      <c r="N17" s="6" t="s">
        <v>2960</v>
      </c>
      <c r="O17" s="5" t="s">
        <v>268</v>
      </c>
      <c r="P17" s="5" t="s">
        <v>274</v>
      </c>
      <c r="Q17" s="8">
        <f>50652</f>
        <v>50652</v>
      </c>
      <c r="R17" s="8">
        <f>202608</f>
        <v>202608</v>
      </c>
      <c r="S17" s="5" t="s">
        <v>240</v>
      </c>
      <c r="T17" s="5" t="s">
        <v>287</v>
      </c>
      <c r="U17" s="5" t="s">
        <v>238</v>
      </c>
      <c r="V17" s="5" t="s">
        <v>238</v>
      </c>
      <c r="W17" s="5" t="s">
        <v>241</v>
      </c>
      <c r="X17" s="5" t="s">
        <v>238</v>
      </c>
      <c r="Y17" s="5" t="s">
        <v>238</v>
      </c>
      <c r="AB17" s="5" t="s">
        <v>238</v>
      </c>
      <c r="AC17" s="6" t="s">
        <v>238</v>
      </c>
      <c r="AD17" s="6" t="s">
        <v>238</v>
      </c>
      <c r="AF17" s="6" t="s">
        <v>238</v>
      </c>
      <c r="AG17" s="6" t="s">
        <v>2957</v>
      </c>
      <c r="AH17" s="5" t="s">
        <v>247</v>
      </c>
      <c r="AI17" s="5" t="s">
        <v>248</v>
      </c>
      <c r="AO17" s="5" t="s">
        <v>238</v>
      </c>
      <c r="AP17" s="5" t="s">
        <v>238</v>
      </c>
      <c r="AQ17" s="5" t="s">
        <v>238</v>
      </c>
      <c r="AR17" s="6" t="s">
        <v>238</v>
      </c>
      <c r="AS17" s="6" t="s">
        <v>238</v>
      </c>
      <c r="AT17" s="6" t="s">
        <v>238</v>
      </c>
      <c r="AW17" s="5" t="s">
        <v>304</v>
      </c>
      <c r="AX17" s="5" t="s">
        <v>304</v>
      </c>
      <c r="AY17" s="5" t="s">
        <v>250</v>
      </c>
      <c r="AZ17" s="5" t="s">
        <v>305</v>
      </c>
      <c r="BA17" s="5" t="s">
        <v>251</v>
      </c>
      <c r="BB17" s="5" t="s">
        <v>238</v>
      </c>
      <c r="BC17" s="5" t="s">
        <v>253</v>
      </c>
      <c r="BD17" s="5" t="s">
        <v>238</v>
      </c>
      <c r="BF17" s="5" t="s">
        <v>238</v>
      </c>
      <c r="BH17" s="5" t="s">
        <v>283</v>
      </c>
      <c r="BI17" s="6" t="s">
        <v>293</v>
      </c>
      <c r="BJ17" s="5" t="s">
        <v>294</v>
      </c>
      <c r="BK17" s="5" t="s">
        <v>294</v>
      </c>
      <c r="BL17" s="5" t="s">
        <v>238</v>
      </c>
      <c r="BM17" s="7">
        <f>0</f>
        <v>0</v>
      </c>
      <c r="BN17" s="8">
        <f>-50652</f>
        <v>-50652</v>
      </c>
      <c r="BO17" s="5" t="s">
        <v>257</v>
      </c>
      <c r="BP17" s="5" t="s">
        <v>258</v>
      </c>
      <c r="BQ17" s="5" t="s">
        <v>238</v>
      </c>
      <c r="BR17" s="5" t="s">
        <v>238</v>
      </c>
      <c r="BS17" s="5" t="s">
        <v>238</v>
      </c>
      <c r="BT17" s="5" t="s">
        <v>238</v>
      </c>
      <c r="CC17" s="5" t="s">
        <v>258</v>
      </c>
      <c r="CD17" s="5" t="s">
        <v>238</v>
      </c>
      <c r="CE17" s="5" t="s">
        <v>238</v>
      </c>
      <c r="CI17" s="5" t="s">
        <v>259</v>
      </c>
      <c r="CJ17" s="5" t="s">
        <v>260</v>
      </c>
      <c r="CK17" s="5" t="s">
        <v>238</v>
      </c>
      <c r="CM17" s="5" t="s">
        <v>402</v>
      </c>
      <c r="CN17" s="6" t="s">
        <v>262</v>
      </c>
      <c r="CO17" s="5" t="s">
        <v>263</v>
      </c>
      <c r="CP17" s="5" t="s">
        <v>264</v>
      </c>
      <c r="CQ17" s="5" t="s">
        <v>285</v>
      </c>
      <c r="CR17" s="5" t="s">
        <v>238</v>
      </c>
      <c r="CS17" s="5">
        <v>6.7000000000000004E-2</v>
      </c>
      <c r="CT17" s="5" t="s">
        <v>265</v>
      </c>
      <c r="CU17" s="5" t="s">
        <v>351</v>
      </c>
      <c r="CV17" s="5" t="s">
        <v>365</v>
      </c>
      <c r="CW17" s="7">
        <f>0</f>
        <v>0</v>
      </c>
      <c r="CX17" s="8">
        <f>756000</f>
        <v>756000</v>
      </c>
      <c r="CY17" s="8">
        <f>604044</f>
        <v>604044</v>
      </c>
      <c r="DA17" s="5" t="s">
        <v>238</v>
      </c>
      <c r="DB17" s="5" t="s">
        <v>238</v>
      </c>
      <c r="DD17" s="5" t="s">
        <v>238</v>
      </c>
      <c r="DE17" s="8">
        <f>0</f>
        <v>0</v>
      </c>
      <c r="DG17" s="5" t="s">
        <v>238</v>
      </c>
      <c r="DH17" s="5" t="s">
        <v>238</v>
      </c>
      <c r="DI17" s="5" t="s">
        <v>238</v>
      </c>
      <c r="DJ17" s="5" t="s">
        <v>238</v>
      </c>
      <c r="DK17" s="5" t="s">
        <v>272</v>
      </c>
      <c r="DL17" s="5" t="s">
        <v>272</v>
      </c>
      <c r="DM17" s="8" t="s">
        <v>238</v>
      </c>
      <c r="DN17" s="5" t="s">
        <v>238</v>
      </c>
      <c r="DO17" s="5" t="s">
        <v>238</v>
      </c>
      <c r="DP17" s="5" t="s">
        <v>238</v>
      </c>
      <c r="DQ17" s="5" t="s">
        <v>238</v>
      </c>
      <c r="DT17" s="5" t="s">
        <v>311</v>
      </c>
      <c r="DU17" s="5" t="s">
        <v>354</v>
      </c>
      <c r="GL17" s="5" t="s">
        <v>2961</v>
      </c>
      <c r="HM17" s="5" t="s">
        <v>310</v>
      </c>
      <c r="HP17" s="5" t="s">
        <v>272</v>
      </c>
      <c r="HQ17" s="5" t="s">
        <v>272</v>
      </c>
      <c r="HR17" s="5" t="s">
        <v>238</v>
      </c>
      <c r="HS17" s="5" t="s">
        <v>238</v>
      </c>
      <c r="HT17" s="5" t="s">
        <v>238</v>
      </c>
      <c r="HU17" s="5" t="s">
        <v>238</v>
      </c>
      <c r="HV17" s="5" t="s">
        <v>238</v>
      </c>
      <c r="HW17" s="5" t="s">
        <v>238</v>
      </c>
      <c r="HX17" s="5" t="s">
        <v>238</v>
      </c>
      <c r="HY17" s="5" t="s">
        <v>238</v>
      </c>
      <c r="HZ17" s="5" t="s">
        <v>238</v>
      </c>
      <c r="IA17" s="5" t="s">
        <v>238</v>
      </c>
      <c r="IB17" s="5" t="s">
        <v>238</v>
      </c>
      <c r="IC17" s="5" t="s">
        <v>238</v>
      </c>
      <c r="ID17" s="5" t="s">
        <v>238</v>
      </c>
    </row>
    <row r="18" spans="1:238" x14ac:dyDescent="0.4">
      <c r="A18" s="5">
        <v>17</v>
      </c>
      <c r="B18" s="5">
        <v>1</v>
      </c>
      <c r="C18" s="5">
        <v>4</v>
      </c>
      <c r="D18" s="5" t="s">
        <v>299</v>
      </c>
      <c r="E18" s="5" t="s">
        <v>300</v>
      </c>
      <c r="F18" s="5" t="s">
        <v>282</v>
      </c>
      <c r="G18" s="5" t="s">
        <v>349</v>
      </c>
      <c r="H18" s="6" t="s">
        <v>303</v>
      </c>
      <c r="I18" s="5" t="s">
        <v>2956</v>
      </c>
      <c r="J18" s="7">
        <f>0</f>
        <v>0</v>
      </c>
      <c r="K18" s="5" t="s">
        <v>270</v>
      </c>
      <c r="L18" s="8">
        <f>4107501</f>
        <v>4107501</v>
      </c>
      <c r="M18" s="8">
        <f>5140800</f>
        <v>5140800</v>
      </c>
      <c r="N18" s="6" t="s">
        <v>2896</v>
      </c>
      <c r="O18" s="5" t="s">
        <v>268</v>
      </c>
      <c r="P18" s="5" t="s">
        <v>271</v>
      </c>
      <c r="Q18" s="8">
        <f>344433</f>
        <v>344433</v>
      </c>
      <c r="R18" s="8">
        <f>1033299</f>
        <v>1033299</v>
      </c>
      <c r="S18" s="5" t="s">
        <v>240</v>
      </c>
      <c r="T18" s="5" t="s">
        <v>287</v>
      </c>
      <c r="U18" s="5" t="s">
        <v>238</v>
      </c>
      <c r="V18" s="5" t="s">
        <v>238</v>
      </c>
      <c r="W18" s="5" t="s">
        <v>241</v>
      </c>
      <c r="X18" s="5" t="s">
        <v>238</v>
      </c>
      <c r="Y18" s="5" t="s">
        <v>238</v>
      </c>
      <c r="AB18" s="5" t="s">
        <v>238</v>
      </c>
      <c r="AC18" s="6" t="s">
        <v>238</v>
      </c>
      <c r="AD18" s="6" t="s">
        <v>238</v>
      </c>
      <c r="AF18" s="6" t="s">
        <v>238</v>
      </c>
      <c r="AG18" s="6" t="s">
        <v>2957</v>
      </c>
      <c r="AH18" s="5" t="s">
        <v>247</v>
      </c>
      <c r="AI18" s="5" t="s">
        <v>248</v>
      </c>
      <c r="AO18" s="5" t="s">
        <v>238</v>
      </c>
      <c r="AP18" s="5" t="s">
        <v>238</v>
      </c>
      <c r="AQ18" s="5" t="s">
        <v>238</v>
      </c>
      <c r="AR18" s="6" t="s">
        <v>238</v>
      </c>
      <c r="AS18" s="6" t="s">
        <v>238</v>
      </c>
      <c r="AT18" s="6" t="s">
        <v>238</v>
      </c>
      <c r="AW18" s="5" t="s">
        <v>304</v>
      </c>
      <c r="AX18" s="5" t="s">
        <v>304</v>
      </c>
      <c r="AY18" s="5" t="s">
        <v>250</v>
      </c>
      <c r="AZ18" s="5" t="s">
        <v>305</v>
      </c>
      <c r="BA18" s="5" t="s">
        <v>251</v>
      </c>
      <c r="BB18" s="5" t="s">
        <v>238</v>
      </c>
      <c r="BC18" s="5" t="s">
        <v>253</v>
      </c>
      <c r="BD18" s="5" t="s">
        <v>238</v>
      </c>
      <c r="BF18" s="5" t="s">
        <v>238</v>
      </c>
      <c r="BH18" s="5" t="s">
        <v>283</v>
      </c>
      <c r="BI18" s="6" t="s">
        <v>293</v>
      </c>
      <c r="BJ18" s="5" t="s">
        <v>294</v>
      </c>
      <c r="BK18" s="5" t="s">
        <v>294</v>
      </c>
      <c r="BL18" s="5" t="s">
        <v>238</v>
      </c>
      <c r="BM18" s="7">
        <f>0</f>
        <v>0</v>
      </c>
      <c r="BN18" s="8">
        <f>-344433</f>
        <v>-344433</v>
      </c>
      <c r="BO18" s="5" t="s">
        <v>257</v>
      </c>
      <c r="BP18" s="5" t="s">
        <v>258</v>
      </c>
      <c r="BQ18" s="5" t="s">
        <v>238</v>
      </c>
      <c r="BR18" s="5" t="s">
        <v>238</v>
      </c>
      <c r="BS18" s="5" t="s">
        <v>238</v>
      </c>
      <c r="BT18" s="5" t="s">
        <v>238</v>
      </c>
      <c r="CC18" s="5" t="s">
        <v>258</v>
      </c>
      <c r="CD18" s="5" t="s">
        <v>238</v>
      </c>
      <c r="CE18" s="5" t="s">
        <v>238</v>
      </c>
      <c r="CI18" s="5" t="s">
        <v>259</v>
      </c>
      <c r="CJ18" s="5" t="s">
        <v>260</v>
      </c>
      <c r="CK18" s="5" t="s">
        <v>238</v>
      </c>
      <c r="CM18" s="5" t="s">
        <v>291</v>
      </c>
      <c r="CN18" s="6" t="s">
        <v>262</v>
      </c>
      <c r="CO18" s="5" t="s">
        <v>263</v>
      </c>
      <c r="CP18" s="5" t="s">
        <v>264</v>
      </c>
      <c r="CQ18" s="5" t="s">
        <v>285</v>
      </c>
      <c r="CR18" s="5" t="s">
        <v>238</v>
      </c>
      <c r="CS18" s="5">
        <v>6.7000000000000004E-2</v>
      </c>
      <c r="CT18" s="5" t="s">
        <v>265</v>
      </c>
      <c r="CU18" s="5" t="s">
        <v>351</v>
      </c>
      <c r="CV18" s="5" t="s">
        <v>365</v>
      </c>
      <c r="CW18" s="7">
        <f>0</f>
        <v>0</v>
      </c>
      <c r="CX18" s="8">
        <f>5140800</f>
        <v>5140800</v>
      </c>
      <c r="CY18" s="8">
        <f>4451934</f>
        <v>4451934</v>
      </c>
      <c r="DA18" s="5" t="s">
        <v>238</v>
      </c>
      <c r="DB18" s="5" t="s">
        <v>238</v>
      </c>
      <c r="DD18" s="5" t="s">
        <v>238</v>
      </c>
      <c r="DE18" s="8">
        <f>0</f>
        <v>0</v>
      </c>
      <c r="DG18" s="5" t="s">
        <v>238</v>
      </c>
      <c r="DH18" s="5" t="s">
        <v>238</v>
      </c>
      <c r="DI18" s="5" t="s">
        <v>238</v>
      </c>
      <c r="DJ18" s="5" t="s">
        <v>238</v>
      </c>
      <c r="DK18" s="5" t="s">
        <v>272</v>
      </c>
      <c r="DL18" s="5" t="s">
        <v>272</v>
      </c>
      <c r="DM18" s="8" t="s">
        <v>238</v>
      </c>
      <c r="DN18" s="5" t="s">
        <v>238</v>
      </c>
      <c r="DO18" s="5" t="s">
        <v>238</v>
      </c>
      <c r="DP18" s="5" t="s">
        <v>238</v>
      </c>
      <c r="DQ18" s="5" t="s">
        <v>238</v>
      </c>
      <c r="DT18" s="5" t="s">
        <v>311</v>
      </c>
      <c r="DU18" s="5" t="s">
        <v>361</v>
      </c>
      <c r="GL18" s="5" t="s">
        <v>2958</v>
      </c>
      <c r="HM18" s="5" t="s">
        <v>356</v>
      </c>
      <c r="HP18" s="5" t="s">
        <v>272</v>
      </c>
      <c r="HQ18" s="5" t="s">
        <v>272</v>
      </c>
      <c r="HR18" s="5" t="s">
        <v>238</v>
      </c>
      <c r="HS18" s="5" t="s">
        <v>238</v>
      </c>
      <c r="HT18" s="5" t="s">
        <v>238</v>
      </c>
      <c r="HU18" s="5" t="s">
        <v>238</v>
      </c>
      <c r="HV18" s="5" t="s">
        <v>238</v>
      </c>
      <c r="HW18" s="5" t="s">
        <v>238</v>
      </c>
      <c r="HX18" s="5" t="s">
        <v>238</v>
      </c>
      <c r="HY18" s="5" t="s">
        <v>238</v>
      </c>
      <c r="HZ18" s="5" t="s">
        <v>238</v>
      </c>
      <c r="IA18" s="5" t="s">
        <v>238</v>
      </c>
      <c r="IB18" s="5" t="s">
        <v>238</v>
      </c>
      <c r="IC18" s="5" t="s">
        <v>238</v>
      </c>
      <c r="ID18" s="5" t="s">
        <v>238</v>
      </c>
    </row>
    <row r="19" spans="1:238" x14ac:dyDescent="0.4">
      <c r="A19" s="5">
        <v>18</v>
      </c>
      <c r="B19" s="5">
        <v>1</v>
      </c>
      <c r="C19" s="5">
        <v>4</v>
      </c>
      <c r="D19" s="5" t="s">
        <v>1174</v>
      </c>
      <c r="E19" s="5" t="s">
        <v>993</v>
      </c>
      <c r="F19" s="5" t="s">
        <v>282</v>
      </c>
      <c r="G19" s="5" t="s">
        <v>1177</v>
      </c>
      <c r="H19" s="6" t="s">
        <v>1178</v>
      </c>
      <c r="I19" s="5" t="s">
        <v>1170</v>
      </c>
      <c r="J19" s="7">
        <f>115.94</f>
        <v>115.94</v>
      </c>
      <c r="K19" s="5" t="s">
        <v>270</v>
      </c>
      <c r="L19" s="8">
        <f>3140124</f>
        <v>3140124</v>
      </c>
      <c r="M19" s="8">
        <f>12869340</f>
        <v>12869340</v>
      </c>
      <c r="N19" s="6" t="s">
        <v>1175</v>
      </c>
      <c r="O19" s="5" t="s">
        <v>651</v>
      </c>
      <c r="P19" s="5" t="s">
        <v>269</v>
      </c>
      <c r="Q19" s="8">
        <f>540512</f>
        <v>540512</v>
      </c>
      <c r="R19" s="8">
        <f>9729216</f>
        <v>9729216</v>
      </c>
      <c r="S19" s="5" t="s">
        <v>240</v>
      </c>
      <c r="T19" s="5" t="s">
        <v>237</v>
      </c>
      <c r="U19" s="5" t="s">
        <v>238</v>
      </c>
      <c r="V19" s="5" t="s">
        <v>238</v>
      </c>
      <c r="W19" s="5" t="s">
        <v>241</v>
      </c>
      <c r="X19" s="5" t="s">
        <v>243</v>
      </c>
      <c r="Y19" s="5" t="s">
        <v>238</v>
      </c>
      <c r="AB19" s="5" t="s">
        <v>238</v>
      </c>
      <c r="AC19" s="6" t="s">
        <v>238</v>
      </c>
      <c r="AD19" s="6" t="s">
        <v>238</v>
      </c>
      <c r="AF19" s="6" t="s">
        <v>238</v>
      </c>
      <c r="AG19" s="6" t="s">
        <v>1176</v>
      </c>
      <c r="AH19" s="5" t="s">
        <v>247</v>
      </c>
      <c r="AI19" s="5" t="s">
        <v>248</v>
      </c>
      <c r="AO19" s="5" t="s">
        <v>238</v>
      </c>
      <c r="AP19" s="5" t="s">
        <v>238</v>
      </c>
      <c r="AQ19" s="5" t="s">
        <v>238</v>
      </c>
      <c r="AR19" s="6" t="s">
        <v>238</v>
      </c>
      <c r="AS19" s="6" t="s">
        <v>238</v>
      </c>
      <c r="AT19" s="6" t="s">
        <v>238</v>
      </c>
      <c r="AW19" s="5" t="s">
        <v>304</v>
      </c>
      <c r="AX19" s="5" t="s">
        <v>304</v>
      </c>
      <c r="AY19" s="5" t="s">
        <v>250</v>
      </c>
      <c r="AZ19" s="5" t="s">
        <v>305</v>
      </c>
      <c r="BA19" s="5" t="s">
        <v>251</v>
      </c>
      <c r="BB19" s="5" t="s">
        <v>238</v>
      </c>
      <c r="BC19" s="5" t="s">
        <v>253</v>
      </c>
      <c r="BD19" s="5" t="s">
        <v>238</v>
      </c>
      <c r="BF19" s="5" t="s">
        <v>238</v>
      </c>
      <c r="BH19" s="5" t="s">
        <v>283</v>
      </c>
      <c r="BI19" s="6" t="s">
        <v>293</v>
      </c>
      <c r="BJ19" s="5" t="s">
        <v>294</v>
      </c>
      <c r="BK19" s="5" t="s">
        <v>294</v>
      </c>
      <c r="BL19" s="5" t="s">
        <v>238</v>
      </c>
      <c r="BM19" s="7">
        <f>0</f>
        <v>0</v>
      </c>
      <c r="BN19" s="8">
        <f>-540512</f>
        <v>-540512</v>
      </c>
      <c r="BO19" s="5" t="s">
        <v>257</v>
      </c>
      <c r="BP19" s="5" t="s">
        <v>258</v>
      </c>
      <c r="BQ19" s="5" t="s">
        <v>238</v>
      </c>
      <c r="BR19" s="5" t="s">
        <v>238</v>
      </c>
      <c r="BS19" s="5" t="s">
        <v>238</v>
      </c>
      <c r="BT19" s="5" t="s">
        <v>238</v>
      </c>
      <c r="CC19" s="5" t="s">
        <v>258</v>
      </c>
      <c r="CD19" s="5" t="s">
        <v>238</v>
      </c>
      <c r="CE19" s="5" t="s">
        <v>238</v>
      </c>
      <c r="CI19" s="5" t="s">
        <v>259</v>
      </c>
      <c r="CJ19" s="5" t="s">
        <v>260</v>
      </c>
      <c r="CK19" s="5" t="s">
        <v>238</v>
      </c>
      <c r="CM19" s="5" t="s">
        <v>682</v>
      </c>
      <c r="CN19" s="6" t="s">
        <v>262</v>
      </c>
      <c r="CO19" s="5" t="s">
        <v>263</v>
      </c>
      <c r="CP19" s="5" t="s">
        <v>264</v>
      </c>
      <c r="CQ19" s="5" t="s">
        <v>285</v>
      </c>
      <c r="CR19" s="5" t="s">
        <v>238</v>
      </c>
      <c r="CS19" s="5">
        <v>4.2000000000000003E-2</v>
      </c>
      <c r="CT19" s="5" t="s">
        <v>265</v>
      </c>
      <c r="CU19" s="5" t="s">
        <v>1172</v>
      </c>
      <c r="CV19" s="5" t="s">
        <v>267</v>
      </c>
      <c r="CW19" s="7">
        <f>0</f>
        <v>0</v>
      </c>
      <c r="CX19" s="8">
        <f>12869340</f>
        <v>12869340</v>
      </c>
      <c r="CY19" s="8">
        <f>3680636</f>
        <v>3680636</v>
      </c>
      <c r="DA19" s="5" t="s">
        <v>238</v>
      </c>
      <c r="DB19" s="5" t="s">
        <v>238</v>
      </c>
      <c r="DD19" s="5" t="s">
        <v>238</v>
      </c>
      <c r="DE19" s="8">
        <f>0</f>
        <v>0</v>
      </c>
      <c r="DG19" s="5" t="s">
        <v>238</v>
      </c>
      <c r="DH19" s="5" t="s">
        <v>238</v>
      </c>
      <c r="DI19" s="5" t="s">
        <v>238</v>
      </c>
      <c r="DJ19" s="5" t="s">
        <v>238</v>
      </c>
      <c r="DK19" s="5" t="s">
        <v>271</v>
      </c>
      <c r="DL19" s="5" t="s">
        <v>272</v>
      </c>
      <c r="DM19" s="7">
        <f>115.94</f>
        <v>115.94</v>
      </c>
      <c r="DN19" s="5" t="s">
        <v>238</v>
      </c>
      <c r="DO19" s="5" t="s">
        <v>238</v>
      </c>
      <c r="DP19" s="5" t="s">
        <v>238</v>
      </c>
      <c r="DQ19" s="5" t="s">
        <v>238</v>
      </c>
      <c r="DT19" s="5" t="s">
        <v>1179</v>
      </c>
      <c r="DU19" s="5" t="s">
        <v>271</v>
      </c>
      <c r="GL19" s="5" t="s">
        <v>1180</v>
      </c>
      <c r="HM19" s="5" t="s">
        <v>313</v>
      </c>
      <c r="HP19" s="5" t="s">
        <v>272</v>
      </c>
      <c r="HQ19" s="5" t="s">
        <v>272</v>
      </c>
      <c r="HR19" s="5" t="s">
        <v>238</v>
      </c>
      <c r="HS19" s="5" t="s">
        <v>238</v>
      </c>
      <c r="HT19" s="5" t="s">
        <v>238</v>
      </c>
      <c r="HU19" s="5" t="s">
        <v>238</v>
      </c>
      <c r="HV19" s="5" t="s">
        <v>238</v>
      </c>
      <c r="HW19" s="5" t="s">
        <v>238</v>
      </c>
      <c r="HX19" s="5" t="s">
        <v>238</v>
      </c>
      <c r="HY19" s="5" t="s">
        <v>238</v>
      </c>
      <c r="HZ19" s="5" t="s">
        <v>238</v>
      </c>
      <c r="IA19" s="5" t="s">
        <v>238</v>
      </c>
      <c r="IB19" s="5" t="s">
        <v>238</v>
      </c>
      <c r="IC19" s="5" t="s">
        <v>238</v>
      </c>
      <c r="ID19" s="5" t="s">
        <v>238</v>
      </c>
    </row>
    <row r="20" spans="1:238" x14ac:dyDescent="0.4">
      <c r="A20" s="5">
        <v>19</v>
      </c>
      <c r="B20" s="5">
        <v>1</v>
      </c>
      <c r="C20" s="5">
        <v>4</v>
      </c>
      <c r="D20" s="5" t="s">
        <v>1174</v>
      </c>
      <c r="E20" s="5" t="s">
        <v>993</v>
      </c>
      <c r="F20" s="5" t="s">
        <v>282</v>
      </c>
      <c r="G20" s="5" t="s">
        <v>302</v>
      </c>
      <c r="H20" s="6" t="s">
        <v>1178</v>
      </c>
      <c r="I20" s="5" t="s">
        <v>298</v>
      </c>
      <c r="J20" s="7">
        <f>3722.28</f>
        <v>3722.28</v>
      </c>
      <c r="K20" s="5" t="s">
        <v>270</v>
      </c>
      <c r="L20" s="8">
        <f>507011766</f>
        <v>507011766</v>
      </c>
      <c r="M20" s="8">
        <f>986404200</f>
        <v>986404200</v>
      </c>
      <c r="N20" s="6" t="s">
        <v>1175</v>
      </c>
      <c r="O20" s="5" t="s">
        <v>639</v>
      </c>
      <c r="P20" s="5" t="s">
        <v>269</v>
      </c>
      <c r="Q20" s="8">
        <f>26632913</f>
        <v>26632913</v>
      </c>
      <c r="R20" s="8">
        <f>479392434</f>
        <v>479392434</v>
      </c>
      <c r="S20" s="5" t="s">
        <v>240</v>
      </c>
      <c r="T20" s="5" t="s">
        <v>237</v>
      </c>
      <c r="U20" s="5" t="s">
        <v>238</v>
      </c>
      <c r="V20" s="5" t="s">
        <v>238</v>
      </c>
      <c r="W20" s="5" t="s">
        <v>241</v>
      </c>
      <c r="X20" s="5" t="s">
        <v>243</v>
      </c>
      <c r="Y20" s="5" t="s">
        <v>238</v>
      </c>
      <c r="AB20" s="5" t="s">
        <v>238</v>
      </c>
      <c r="AC20" s="6" t="s">
        <v>238</v>
      </c>
      <c r="AD20" s="6" t="s">
        <v>238</v>
      </c>
      <c r="AF20" s="6" t="s">
        <v>238</v>
      </c>
      <c r="AG20" s="6" t="s">
        <v>1176</v>
      </c>
      <c r="AH20" s="5" t="s">
        <v>247</v>
      </c>
      <c r="AI20" s="5" t="s">
        <v>248</v>
      </c>
      <c r="AO20" s="5" t="s">
        <v>238</v>
      </c>
      <c r="AP20" s="5" t="s">
        <v>238</v>
      </c>
      <c r="AQ20" s="5" t="s">
        <v>238</v>
      </c>
      <c r="AR20" s="6" t="s">
        <v>238</v>
      </c>
      <c r="AS20" s="6" t="s">
        <v>238</v>
      </c>
      <c r="AT20" s="6" t="s">
        <v>238</v>
      </c>
      <c r="AW20" s="5" t="s">
        <v>304</v>
      </c>
      <c r="AX20" s="5" t="s">
        <v>304</v>
      </c>
      <c r="AY20" s="5" t="s">
        <v>250</v>
      </c>
      <c r="AZ20" s="5" t="s">
        <v>305</v>
      </c>
      <c r="BA20" s="5" t="s">
        <v>251</v>
      </c>
      <c r="BB20" s="5" t="s">
        <v>238</v>
      </c>
      <c r="BC20" s="5" t="s">
        <v>253</v>
      </c>
      <c r="BD20" s="5" t="s">
        <v>238</v>
      </c>
      <c r="BF20" s="5" t="s">
        <v>238</v>
      </c>
      <c r="BH20" s="5" t="s">
        <v>283</v>
      </c>
      <c r="BI20" s="6" t="s">
        <v>293</v>
      </c>
      <c r="BJ20" s="5" t="s">
        <v>294</v>
      </c>
      <c r="BK20" s="5" t="s">
        <v>294</v>
      </c>
      <c r="BL20" s="5" t="s">
        <v>238</v>
      </c>
      <c r="BM20" s="7">
        <f>0</f>
        <v>0</v>
      </c>
      <c r="BN20" s="8">
        <f>-26632913</f>
        <v>-26632913</v>
      </c>
      <c r="BO20" s="5" t="s">
        <v>257</v>
      </c>
      <c r="BP20" s="5" t="s">
        <v>258</v>
      </c>
      <c r="BQ20" s="5" t="s">
        <v>238</v>
      </c>
      <c r="BR20" s="5" t="s">
        <v>238</v>
      </c>
      <c r="BS20" s="5" t="s">
        <v>238</v>
      </c>
      <c r="BT20" s="5" t="s">
        <v>238</v>
      </c>
      <c r="CC20" s="5" t="s">
        <v>258</v>
      </c>
      <c r="CD20" s="5" t="s">
        <v>238</v>
      </c>
      <c r="CE20" s="5" t="s">
        <v>238</v>
      </c>
      <c r="CI20" s="5" t="s">
        <v>259</v>
      </c>
      <c r="CJ20" s="5" t="s">
        <v>260</v>
      </c>
      <c r="CK20" s="5" t="s">
        <v>238</v>
      </c>
      <c r="CM20" s="5" t="s">
        <v>682</v>
      </c>
      <c r="CN20" s="6" t="s">
        <v>262</v>
      </c>
      <c r="CO20" s="5" t="s">
        <v>263</v>
      </c>
      <c r="CP20" s="5" t="s">
        <v>264</v>
      </c>
      <c r="CQ20" s="5" t="s">
        <v>285</v>
      </c>
      <c r="CR20" s="5" t="s">
        <v>238</v>
      </c>
      <c r="CS20" s="5">
        <v>2.7E-2</v>
      </c>
      <c r="CT20" s="5" t="s">
        <v>265</v>
      </c>
      <c r="CU20" s="5" t="s">
        <v>307</v>
      </c>
      <c r="CV20" s="5" t="s">
        <v>649</v>
      </c>
      <c r="CW20" s="7">
        <f>0</f>
        <v>0</v>
      </c>
      <c r="CX20" s="8">
        <f>986404200</f>
        <v>986404200</v>
      </c>
      <c r="CY20" s="8">
        <f>533644679</f>
        <v>533644679</v>
      </c>
      <c r="DA20" s="5" t="s">
        <v>238</v>
      </c>
      <c r="DB20" s="5" t="s">
        <v>238</v>
      </c>
      <c r="DD20" s="5" t="s">
        <v>238</v>
      </c>
      <c r="DE20" s="8">
        <f>0</f>
        <v>0</v>
      </c>
      <c r="DG20" s="5" t="s">
        <v>238</v>
      </c>
      <c r="DH20" s="5" t="s">
        <v>238</v>
      </c>
      <c r="DI20" s="5" t="s">
        <v>238</v>
      </c>
      <c r="DJ20" s="5" t="s">
        <v>238</v>
      </c>
      <c r="DK20" s="5" t="s">
        <v>274</v>
      </c>
      <c r="DL20" s="5" t="s">
        <v>272</v>
      </c>
      <c r="DM20" s="7">
        <f>3722.28</f>
        <v>3722.28</v>
      </c>
      <c r="DN20" s="5" t="s">
        <v>238</v>
      </c>
      <c r="DO20" s="5" t="s">
        <v>238</v>
      </c>
      <c r="DP20" s="5" t="s">
        <v>238</v>
      </c>
      <c r="DQ20" s="5" t="s">
        <v>238</v>
      </c>
      <c r="DT20" s="5" t="s">
        <v>1179</v>
      </c>
      <c r="DU20" s="5" t="s">
        <v>274</v>
      </c>
      <c r="GL20" s="5" t="s">
        <v>1363</v>
      </c>
      <c r="HM20" s="5" t="s">
        <v>313</v>
      </c>
      <c r="HP20" s="5" t="s">
        <v>272</v>
      </c>
      <c r="HQ20" s="5" t="s">
        <v>272</v>
      </c>
      <c r="HR20" s="5" t="s">
        <v>238</v>
      </c>
      <c r="HS20" s="5" t="s">
        <v>238</v>
      </c>
      <c r="HT20" s="5" t="s">
        <v>238</v>
      </c>
      <c r="HU20" s="5" t="s">
        <v>238</v>
      </c>
      <c r="HV20" s="5" t="s">
        <v>238</v>
      </c>
      <c r="HW20" s="5" t="s">
        <v>238</v>
      </c>
      <c r="HX20" s="5" t="s">
        <v>238</v>
      </c>
      <c r="HY20" s="5" t="s">
        <v>238</v>
      </c>
      <c r="HZ20" s="5" t="s">
        <v>238</v>
      </c>
      <c r="IA20" s="5" t="s">
        <v>238</v>
      </c>
      <c r="IB20" s="5" t="s">
        <v>238</v>
      </c>
      <c r="IC20" s="5" t="s">
        <v>238</v>
      </c>
      <c r="ID20" s="5" t="s">
        <v>238</v>
      </c>
    </row>
    <row r="21" spans="1:238" x14ac:dyDescent="0.4">
      <c r="A21" s="5">
        <v>20</v>
      </c>
      <c r="B21" s="5">
        <v>1</v>
      </c>
      <c r="C21" s="5">
        <v>3</v>
      </c>
      <c r="D21" s="5" t="s">
        <v>238</v>
      </c>
      <c r="E21" s="5" t="s">
        <v>993</v>
      </c>
      <c r="F21" s="5" t="s">
        <v>282</v>
      </c>
      <c r="G21" s="5" t="s">
        <v>1185</v>
      </c>
      <c r="H21" s="6" t="s">
        <v>1178</v>
      </c>
      <c r="I21" s="5" t="s">
        <v>1181</v>
      </c>
      <c r="J21" s="7">
        <f>830.02</f>
        <v>830.02</v>
      </c>
      <c r="K21" s="5" t="s">
        <v>270</v>
      </c>
      <c r="L21" s="8">
        <f>89301868</f>
        <v>89301868</v>
      </c>
      <c r="M21" s="8">
        <f>219955300</f>
        <v>219955300</v>
      </c>
      <c r="N21" s="6" t="s">
        <v>3233</v>
      </c>
      <c r="O21" s="5" t="s">
        <v>650</v>
      </c>
      <c r="P21" s="5" t="s">
        <v>269</v>
      </c>
      <c r="R21" s="8">
        <f>130653432</f>
        <v>130653432</v>
      </c>
      <c r="S21" s="5" t="s">
        <v>240</v>
      </c>
      <c r="T21" s="5" t="s">
        <v>237</v>
      </c>
      <c r="W21" s="5" t="s">
        <v>241</v>
      </c>
      <c r="X21" s="5" t="s">
        <v>243</v>
      </c>
      <c r="Y21" s="5" t="s">
        <v>238</v>
      </c>
      <c r="AB21" s="5" t="s">
        <v>238</v>
      </c>
      <c r="AC21" s="6" t="s">
        <v>238</v>
      </c>
      <c r="AD21" s="6" t="s">
        <v>238</v>
      </c>
      <c r="AF21" s="6" t="s">
        <v>238</v>
      </c>
      <c r="AG21" s="6" t="s">
        <v>246</v>
      </c>
      <c r="AH21" s="5" t="s">
        <v>247</v>
      </c>
      <c r="AI21" s="5" t="s">
        <v>248</v>
      </c>
      <c r="AO21" s="5" t="s">
        <v>238</v>
      </c>
      <c r="AP21" s="5" t="s">
        <v>238</v>
      </c>
      <c r="AQ21" s="5" t="s">
        <v>238</v>
      </c>
      <c r="AR21" s="6" t="s">
        <v>238</v>
      </c>
      <c r="AS21" s="6" t="s">
        <v>238</v>
      </c>
      <c r="AT21" s="6" t="s">
        <v>238</v>
      </c>
      <c r="AW21" s="5" t="s">
        <v>304</v>
      </c>
      <c r="AX21" s="5" t="s">
        <v>304</v>
      </c>
      <c r="AY21" s="5" t="s">
        <v>250</v>
      </c>
      <c r="AZ21" s="5" t="s">
        <v>305</v>
      </c>
      <c r="BA21" s="5" t="s">
        <v>251</v>
      </c>
      <c r="BB21" s="5" t="s">
        <v>238</v>
      </c>
      <c r="BC21" s="5" t="s">
        <v>253</v>
      </c>
      <c r="BD21" s="5" t="s">
        <v>238</v>
      </c>
      <c r="BF21" s="5" t="s">
        <v>238</v>
      </c>
      <c r="BH21" s="5" t="s">
        <v>283</v>
      </c>
      <c r="BI21" s="6" t="s">
        <v>293</v>
      </c>
      <c r="BJ21" s="5" t="s">
        <v>294</v>
      </c>
      <c r="BK21" s="5" t="s">
        <v>294</v>
      </c>
      <c r="BL21" s="5" t="s">
        <v>238</v>
      </c>
      <c r="BM21" s="7">
        <f>0</f>
        <v>0</v>
      </c>
      <c r="BN21" s="8">
        <f>-7258524</f>
        <v>-7258524</v>
      </c>
      <c r="BO21" s="5" t="s">
        <v>257</v>
      </c>
      <c r="BP21" s="5" t="s">
        <v>258</v>
      </c>
      <c r="BQ21" s="5" t="s">
        <v>238</v>
      </c>
      <c r="BR21" s="5" t="s">
        <v>238</v>
      </c>
      <c r="BS21" s="5" t="s">
        <v>238</v>
      </c>
      <c r="BT21" s="5" t="s">
        <v>238</v>
      </c>
      <c r="CC21" s="5" t="s">
        <v>258</v>
      </c>
      <c r="CD21" s="5" t="s">
        <v>238</v>
      </c>
      <c r="CE21" s="5" t="s">
        <v>238</v>
      </c>
      <c r="CI21" s="5" t="s">
        <v>259</v>
      </c>
      <c r="CJ21" s="5" t="s">
        <v>260</v>
      </c>
      <c r="CK21" s="5" t="s">
        <v>238</v>
      </c>
      <c r="CM21" s="5" t="s">
        <v>682</v>
      </c>
      <c r="CN21" s="6" t="s">
        <v>262</v>
      </c>
      <c r="CO21" s="5" t="s">
        <v>263</v>
      </c>
      <c r="CP21" s="5" t="s">
        <v>264</v>
      </c>
      <c r="CQ21" s="5" t="s">
        <v>285</v>
      </c>
      <c r="CR21" s="5" t="s">
        <v>238</v>
      </c>
      <c r="CS21" s="5">
        <v>0</v>
      </c>
      <c r="CT21" s="5" t="s">
        <v>265</v>
      </c>
      <c r="CU21" s="5" t="s">
        <v>1187</v>
      </c>
      <c r="CV21" s="5" t="s">
        <v>649</v>
      </c>
      <c r="CW21" s="7">
        <f>0</f>
        <v>0</v>
      </c>
      <c r="CX21" s="8">
        <f>219955300</f>
        <v>219955300</v>
      </c>
      <c r="CY21" s="8">
        <f>96560392</f>
        <v>96560392</v>
      </c>
      <c r="DA21" s="5" t="s">
        <v>238</v>
      </c>
      <c r="DB21" s="5" t="s">
        <v>238</v>
      </c>
      <c r="DD21" s="5" t="s">
        <v>238</v>
      </c>
      <c r="DE21" s="8">
        <f>0</f>
        <v>0</v>
      </c>
      <c r="DG21" s="5" t="s">
        <v>238</v>
      </c>
      <c r="DH21" s="5" t="s">
        <v>238</v>
      </c>
      <c r="DI21" s="5" t="s">
        <v>238</v>
      </c>
      <c r="DJ21" s="5" t="s">
        <v>238</v>
      </c>
      <c r="DK21" s="5" t="s">
        <v>271</v>
      </c>
      <c r="DL21" s="5" t="s">
        <v>272</v>
      </c>
      <c r="DM21" s="7">
        <f>830.02</f>
        <v>830.02</v>
      </c>
      <c r="DN21" s="5" t="s">
        <v>238</v>
      </c>
      <c r="DO21" s="5" t="s">
        <v>238</v>
      </c>
      <c r="DP21" s="5" t="s">
        <v>238</v>
      </c>
      <c r="DQ21" s="5" t="s">
        <v>238</v>
      </c>
      <c r="DT21" s="5" t="s">
        <v>1179</v>
      </c>
      <c r="DU21" s="5" t="s">
        <v>356</v>
      </c>
      <c r="GL21" s="5" t="s">
        <v>3234</v>
      </c>
      <c r="HM21" s="5" t="s">
        <v>313</v>
      </c>
      <c r="HP21" s="5" t="s">
        <v>272</v>
      </c>
      <c r="HQ21" s="5" t="s">
        <v>272</v>
      </c>
      <c r="HR21" s="5" t="s">
        <v>238</v>
      </c>
      <c r="HS21" s="5" t="s">
        <v>238</v>
      </c>
      <c r="HT21" s="5" t="s">
        <v>238</v>
      </c>
      <c r="HU21" s="5" t="s">
        <v>238</v>
      </c>
      <c r="HV21" s="5" t="s">
        <v>238</v>
      </c>
      <c r="HW21" s="5" t="s">
        <v>238</v>
      </c>
      <c r="HX21" s="5" t="s">
        <v>238</v>
      </c>
      <c r="HY21" s="5" t="s">
        <v>238</v>
      </c>
      <c r="HZ21" s="5" t="s">
        <v>238</v>
      </c>
      <c r="IA21" s="5" t="s">
        <v>238</v>
      </c>
      <c r="IB21" s="5" t="s">
        <v>238</v>
      </c>
      <c r="IC21" s="5" t="s">
        <v>238</v>
      </c>
      <c r="ID21" s="5" t="s">
        <v>238</v>
      </c>
    </row>
    <row r="22" spans="1:238" x14ac:dyDescent="0.4">
      <c r="A22" s="5">
        <v>21</v>
      </c>
      <c r="B22" s="5">
        <v>1</v>
      </c>
      <c r="C22" s="5">
        <v>4</v>
      </c>
      <c r="D22" s="5" t="s">
        <v>1174</v>
      </c>
      <c r="E22" s="5" t="s">
        <v>993</v>
      </c>
      <c r="F22" s="5" t="s">
        <v>282</v>
      </c>
      <c r="G22" s="5" t="s">
        <v>1331</v>
      </c>
      <c r="H22" s="6" t="s">
        <v>1178</v>
      </c>
      <c r="I22" s="5" t="s">
        <v>1334</v>
      </c>
      <c r="J22" s="7">
        <f>145.74</f>
        <v>145.74</v>
      </c>
      <c r="K22" s="5" t="s">
        <v>270</v>
      </c>
      <c r="L22" s="8">
        <f>8986912</f>
        <v>8986912</v>
      </c>
      <c r="M22" s="8">
        <f>27399120</f>
        <v>27399120</v>
      </c>
      <c r="N22" s="6" t="s">
        <v>2055</v>
      </c>
      <c r="O22" s="5" t="s">
        <v>651</v>
      </c>
      <c r="P22" s="5" t="s">
        <v>1114</v>
      </c>
      <c r="Q22" s="8">
        <f>1150763</f>
        <v>1150763</v>
      </c>
      <c r="R22" s="8">
        <f>18412208</f>
        <v>18412208</v>
      </c>
      <c r="S22" s="5" t="s">
        <v>240</v>
      </c>
      <c r="T22" s="5" t="s">
        <v>237</v>
      </c>
      <c r="U22" s="5" t="s">
        <v>238</v>
      </c>
      <c r="V22" s="5" t="s">
        <v>238</v>
      </c>
      <c r="W22" s="5" t="s">
        <v>241</v>
      </c>
      <c r="X22" s="5" t="s">
        <v>243</v>
      </c>
      <c r="Y22" s="5" t="s">
        <v>238</v>
      </c>
      <c r="AB22" s="5" t="s">
        <v>238</v>
      </c>
      <c r="AC22" s="6" t="s">
        <v>238</v>
      </c>
      <c r="AD22" s="6" t="s">
        <v>238</v>
      </c>
      <c r="AF22" s="6" t="s">
        <v>238</v>
      </c>
      <c r="AG22" s="6" t="s">
        <v>246</v>
      </c>
      <c r="AH22" s="5" t="s">
        <v>247</v>
      </c>
      <c r="AI22" s="5" t="s">
        <v>248</v>
      </c>
      <c r="AO22" s="5" t="s">
        <v>238</v>
      </c>
      <c r="AP22" s="5" t="s">
        <v>238</v>
      </c>
      <c r="AQ22" s="5" t="s">
        <v>238</v>
      </c>
      <c r="AR22" s="6" t="s">
        <v>238</v>
      </c>
      <c r="AS22" s="6" t="s">
        <v>238</v>
      </c>
      <c r="AT22" s="6" t="s">
        <v>238</v>
      </c>
      <c r="AW22" s="5" t="s">
        <v>304</v>
      </c>
      <c r="AX22" s="5" t="s">
        <v>304</v>
      </c>
      <c r="AY22" s="5" t="s">
        <v>250</v>
      </c>
      <c r="AZ22" s="5" t="s">
        <v>305</v>
      </c>
      <c r="BA22" s="5" t="s">
        <v>251</v>
      </c>
      <c r="BB22" s="5" t="s">
        <v>238</v>
      </c>
      <c r="BC22" s="5" t="s">
        <v>253</v>
      </c>
      <c r="BD22" s="5" t="s">
        <v>238</v>
      </c>
      <c r="BF22" s="5" t="s">
        <v>238</v>
      </c>
      <c r="BH22" s="5" t="s">
        <v>283</v>
      </c>
      <c r="BI22" s="6" t="s">
        <v>293</v>
      </c>
      <c r="BJ22" s="5" t="s">
        <v>294</v>
      </c>
      <c r="BK22" s="5" t="s">
        <v>294</v>
      </c>
      <c r="BL22" s="5" t="s">
        <v>238</v>
      </c>
      <c r="BM22" s="7">
        <f>0</f>
        <v>0</v>
      </c>
      <c r="BN22" s="8">
        <f>-1150763</f>
        <v>-1150763</v>
      </c>
      <c r="BO22" s="5" t="s">
        <v>257</v>
      </c>
      <c r="BP22" s="5" t="s">
        <v>258</v>
      </c>
      <c r="BQ22" s="5" t="s">
        <v>238</v>
      </c>
      <c r="BR22" s="5" t="s">
        <v>238</v>
      </c>
      <c r="BS22" s="5" t="s">
        <v>238</v>
      </c>
      <c r="BT22" s="5" t="s">
        <v>238</v>
      </c>
      <c r="CC22" s="5" t="s">
        <v>258</v>
      </c>
      <c r="CD22" s="5" t="s">
        <v>238</v>
      </c>
      <c r="CE22" s="5" t="s">
        <v>238</v>
      </c>
      <c r="CI22" s="5" t="s">
        <v>259</v>
      </c>
      <c r="CJ22" s="5" t="s">
        <v>260</v>
      </c>
      <c r="CK22" s="5" t="s">
        <v>238</v>
      </c>
      <c r="CM22" s="5" t="s">
        <v>1113</v>
      </c>
      <c r="CN22" s="6" t="s">
        <v>262</v>
      </c>
      <c r="CO22" s="5" t="s">
        <v>263</v>
      </c>
      <c r="CP22" s="5" t="s">
        <v>264</v>
      </c>
      <c r="CQ22" s="5" t="s">
        <v>285</v>
      </c>
      <c r="CR22" s="5" t="s">
        <v>238</v>
      </c>
      <c r="CS22" s="5">
        <v>4.2000000000000003E-2</v>
      </c>
      <c r="CT22" s="5" t="s">
        <v>265</v>
      </c>
      <c r="CU22" s="5" t="s">
        <v>1333</v>
      </c>
      <c r="CV22" s="5" t="s">
        <v>267</v>
      </c>
      <c r="CW22" s="7">
        <f>0</f>
        <v>0</v>
      </c>
      <c r="CX22" s="8">
        <f>27399120</f>
        <v>27399120</v>
      </c>
      <c r="CY22" s="8">
        <f>10137675</f>
        <v>10137675</v>
      </c>
      <c r="DA22" s="5" t="s">
        <v>238</v>
      </c>
      <c r="DB22" s="5" t="s">
        <v>238</v>
      </c>
      <c r="DD22" s="5" t="s">
        <v>238</v>
      </c>
      <c r="DE22" s="8">
        <f>0</f>
        <v>0</v>
      </c>
      <c r="DG22" s="5" t="s">
        <v>238</v>
      </c>
      <c r="DH22" s="5" t="s">
        <v>238</v>
      </c>
      <c r="DI22" s="5" t="s">
        <v>238</v>
      </c>
      <c r="DJ22" s="5" t="s">
        <v>238</v>
      </c>
      <c r="DK22" s="5" t="s">
        <v>271</v>
      </c>
      <c r="DL22" s="5" t="s">
        <v>272</v>
      </c>
      <c r="DM22" s="7">
        <f>145.74</f>
        <v>145.74</v>
      </c>
      <c r="DN22" s="5" t="s">
        <v>238</v>
      </c>
      <c r="DO22" s="5" t="s">
        <v>238</v>
      </c>
      <c r="DP22" s="5" t="s">
        <v>238</v>
      </c>
      <c r="DQ22" s="5" t="s">
        <v>238</v>
      </c>
      <c r="DT22" s="5" t="s">
        <v>1179</v>
      </c>
      <c r="DU22" s="5" t="s">
        <v>310</v>
      </c>
      <c r="GL22" s="5" t="s">
        <v>2059</v>
      </c>
      <c r="HM22" s="5" t="s">
        <v>313</v>
      </c>
      <c r="HP22" s="5" t="s">
        <v>272</v>
      </c>
      <c r="HQ22" s="5" t="s">
        <v>272</v>
      </c>
      <c r="HR22" s="5" t="s">
        <v>238</v>
      </c>
      <c r="HS22" s="5" t="s">
        <v>238</v>
      </c>
      <c r="HT22" s="5" t="s">
        <v>238</v>
      </c>
      <c r="HU22" s="5" t="s">
        <v>238</v>
      </c>
      <c r="HV22" s="5" t="s">
        <v>238</v>
      </c>
      <c r="HW22" s="5" t="s">
        <v>238</v>
      </c>
      <c r="HX22" s="5" t="s">
        <v>238</v>
      </c>
      <c r="HY22" s="5" t="s">
        <v>238</v>
      </c>
      <c r="HZ22" s="5" t="s">
        <v>238</v>
      </c>
      <c r="IA22" s="5" t="s">
        <v>238</v>
      </c>
      <c r="IB22" s="5" t="s">
        <v>238</v>
      </c>
      <c r="IC22" s="5" t="s">
        <v>238</v>
      </c>
      <c r="ID22" s="5" t="s">
        <v>238</v>
      </c>
    </row>
    <row r="23" spans="1:238" x14ac:dyDescent="0.4">
      <c r="A23" s="5">
        <v>22</v>
      </c>
      <c r="B23" s="5">
        <v>1</v>
      </c>
      <c r="C23" s="5">
        <v>4</v>
      </c>
      <c r="D23" s="5" t="s">
        <v>1174</v>
      </c>
      <c r="E23" s="5" t="s">
        <v>993</v>
      </c>
      <c r="F23" s="5" t="s">
        <v>282</v>
      </c>
      <c r="G23" s="5" t="s">
        <v>1341</v>
      </c>
      <c r="H23" s="6" t="s">
        <v>1178</v>
      </c>
      <c r="I23" s="5" t="s">
        <v>1309</v>
      </c>
      <c r="J23" s="7">
        <f>31.15</f>
        <v>31.15</v>
      </c>
      <c r="K23" s="5" t="s">
        <v>270</v>
      </c>
      <c r="L23" s="8">
        <f>6016232</f>
        <v>6016232</v>
      </c>
      <c r="M23" s="8">
        <f>11120550</f>
        <v>11120550</v>
      </c>
      <c r="N23" s="6" t="s">
        <v>2219</v>
      </c>
      <c r="O23" s="5" t="s">
        <v>639</v>
      </c>
      <c r="P23" s="5" t="s">
        <v>268</v>
      </c>
      <c r="Q23" s="8">
        <f>300254</f>
        <v>300254</v>
      </c>
      <c r="R23" s="8">
        <f>5104318</f>
        <v>5104318</v>
      </c>
      <c r="S23" s="5" t="s">
        <v>240</v>
      </c>
      <c r="T23" s="5" t="s">
        <v>237</v>
      </c>
      <c r="U23" s="5" t="s">
        <v>238</v>
      </c>
      <c r="V23" s="5" t="s">
        <v>238</v>
      </c>
      <c r="W23" s="5" t="s">
        <v>241</v>
      </c>
      <c r="X23" s="5" t="s">
        <v>243</v>
      </c>
      <c r="Y23" s="5" t="s">
        <v>238</v>
      </c>
      <c r="AB23" s="5" t="s">
        <v>238</v>
      </c>
      <c r="AC23" s="6" t="s">
        <v>238</v>
      </c>
      <c r="AD23" s="6" t="s">
        <v>238</v>
      </c>
      <c r="AF23" s="6" t="s">
        <v>238</v>
      </c>
      <c r="AG23" s="6" t="s">
        <v>246</v>
      </c>
      <c r="AH23" s="5" t="s">
        <v>247</v>
      </c>
      <c r="AI23" s="5" t="s">
        <v>248</v>
      </c>
      <c r="AO23" s="5" t="s">
        <v>238</v>
      </c>
      <c r="AP23" s="5" t="s">
        <v>238</v>
      </c>
      <c r="AQ23" s="5" t="s">
        <v>238</v>
      </c>
      <c r="AR23" s="6" t="s">
        <v>238</v>
      </c>
      <c r="AS23" s="6" t="s">
        <v>238</v>
      </c>
      <c r="AT23" s="6" t="s">
        <v>238</v>
      </c>
      <c r="AW23" s="5" t="s">
        <v>304</v>
      </c>
      <c r="AX23" s="5" t="s">
        <v>304</v>
      </c>
      <c r="AY23" s="5" t="s">
        <v>250</v>
      </c>
      <c r="AZ23" s="5" t="s">
        <v>305</v>
      </c>
      <c r="BA23" s="5" t="s">
        <v>251</v>
      </c>
      <c r="BB23" s="5" t="s">
        <v>238</v>
      </c>
      <c r="BC23" s="5" t="s">
        <v>253</v>
      </c>
      <c r="BD23" s="5" t="s">
        <v>238</v>
      </c>
      <c r="BF23" s="5" t="s">
        <v>238</v>
      </c>
      <c r="BH23" s="5" t="s">
        <v>283</v>
      </c>
      <c r="BI23" s="6" t="s">
        <v>293</v>
      </c>
      <c r="BJ23" s="5" t="s">
        <v>294</v>
      </c>
      <c r="BK23" s="5" t="s">
        <v>294</v>
      </c>
      <c r="BL23" s="5" t="s">
        <v>238</v>
      </c>
      <c r="BM23" s="7">
        <f>0</f>
        <v>0</v>
      </c>
      <c r="BN23" s="8">
        <f>-300254</f>
        <v>-300254</v>
      </c>
      <c r="BO23" s="5" t="s">
        <v>257</v>
      </c>
      <c r="BP23" s="5" t="s">
        <v>258</v>
      </c>
      <c r="BQ23" s="5" t="s">
        <v>238</v>
      </c>
      <c r="BR23" s="5" t="s">
        <v>238</v>
      </c>
      <c r="BS23" s="5" t="s">
        <v>238</v>
      </c>
      <c r="BT23" s="5" t="s">
        <v>238</v>
      </c>
      <c r="CC23" s="5" t="s">
        <v>258</v>
      </c>
      <c r="CD23" s="5" t="s">
        <v>238</v>
      </c>
      <c r="CE23" s="5" t="s">
        <v>238</v>
      </c>
      <c r="CI23" s="5" t="s">
        <v>259</v>
      </c>
      <c r="CJ23" s="5" t="s">
        <v>260</v>
      </c>
      <c r="CK23" s="5" t="s">
        <v>238</v>
      </c>
      <c r="CM23" s="5" t="s">
        <v>845</v>
      </c>
      <c r="CN23" s="6" t="s">
        <v>262</v>
      </c>
      <c r="CO23" s="5" t="s">
        <v>263</v>
      </c>
      <c r="CP23" s="5" t="s">
        <v>264</v>
      </c>
      <c r="CQ23" s="5" t="s">
        <v>285</v>
      </c>
      <c r="CR23" s="5" t="s">
        <v>238</v>
      </c>
      <c r="CS23" s="5">
        <v>2.7E-2</v>
      </c>
      <c r="CT23" s="5" t="s">
        <v>265</v>
      </c>
      <c r="CU23" s="5" t="s">
        <v>1342</v>
      </c>
      <c r="CV23" s="5" t="s">
        <v>308</v>
      </c>
      <c r="CW23" s="7">
        <f>0</f>
        <v>0</v>
      </c>
      <c r="CX23" s="8">
        <f>11120550</f>
        <v>11120550</v>
      </c>
      <c r="CY23" s="8">
        <f>6316486</f>
        <v>6316486</v>
      </c>
      <c r="DA23" s="5" t="s">
        <v>238</v>
      </c>
      <c r="DB23" s="5" t="s">
        <v>238</v>
      </c>
      <c r="DD23" s="5" t="s">
        <v>238</v>
      </c>
      <c r="DE23" s="8">
        <f>0</f>
        <v>0</v>
      </c>
      <c r="DG23" s="5" t="s">
        <v>238</v>
      </c>
      <c r="DH23" s="5" t="s">
        <v>238</v>
      </c>
      <c r="DI23" s="5" t="s">
        <v>238</v>
      </c>
      <c r="DJ23" s="5" t="s">
        <v>238</v>
      </c>
      <c r="DK23" s="5" t="s">
        <v>271</v>
      </c>
      <c r="DL23" s="5" t="s">
        <v>272</v>
      </c>
      <c r="DM23" s="7">
        <f>31.15</f>
        <v>31.15</v>
      </c>
      <c r="DN23" s="5" t="s">
        <v>238</v>
      </c>
      <c r="DO23" s="5" t="s">
        <v>238</v>
      </c>
      <c r="DP23" s="5" t="s">
        <v>238</v>
      </c>
      <c r="DQ23" s="5" t="s">
        <v>238</v>
      </c>
      <c r="DT23" s="5" t="s">
        <v>1179</v>
      </c>
      <c r="DU23" s="5" t="s">
        <v>379</v>
      </c>
      <c r="GL23" s="5" t="s">
        <v>2220</v>
      </c>
      <c r="HM23" s="5" t="s">
        <v>313</v>
      </c>
      <c r="HP23" s="5" t="s">
        <v>272</v>
      </c>
      <c r="HQ23" s="5" t="s">
        <v>272</v>
      </c>
      <c r="HR23" s="5" t="s">
        <v>238</v>
      </c>
      <c r="HS23" s="5" t="s">
        <v>238</v>
      </c>
      <c r="HT23" s="5" t="s">
        <v>238</v>
      </c>
      <c r="HU23" s="5" t="s">
        <v>238</v>
      </c>
      <c r="HV23" s="5" t="s">
        <v>238</v>
      </c>
      <c r="HW23" s="5" t="s">
        <v>238</v>
      </c>
      <c r="HX23" s="5" t="s">
        <v>238</v>
      </c>
      <c r="HY23" s="5" t="s">
        <v>238</v>
      </c>
      <c r="HZ23" s="5" t="s">
        <v>238</v>
      </c>
      <c r="IA23" s="5" t="s">
        <v>238</v>
      </c>
      <c r="IB23" s="5" t="s">
        <v>238</v>
      </c>
      <c r="IC23" s="5" t="s">
        <v>238</v>
      </c>
      <c r="ID23" s="5" t="s">
        <v>238</v>
      </c>
    </row>
    <row r="24" spans="1:238" x14ac:dyDescent="0.4">
      <c r="A24" s="5">
        <v>23</v>
      </c>
      <c r="B24" s="5">
        <v>1</v>
      </c>
      <c r="C24" s="5">
        <v>4</v>
      </c>
      <c r="D24" s="5" t="s">
        <v>788</v>
      </c>
      <c r="E24" s="5" t="s">
        <v>773</v>
      </c>
      <c r="F24" s="5" t="s">
        <v>282</v>
      </c>
      <c r="G24" s="5" t="s">
        <v>775</v>
      </c>
      <c r="H24" s="6" t="s">
        <v>790</v>
      </c>
      <c r="I24" s="5" t="s">
        <v>1921</v>
      </c>
      <c r="J24" s="7">
        <f>4120.56</f>
        <v>4120.5600000000004</v>
      </c>
      <c r="K24" s="5" t="s">
        <v>270</v>
      </c>
      <c r="L24" s="8">
        <f>793207800</f>
        <v>793207800</v>
      </c>
      <c r="M24" s="8">
        <f>1133154000</f>
        <v>1133154000</v>
      </c>
      <c r="N24" s="6" t="s">
        <v>789</v>
      </c>
      <c r="O24" s="5" t="s">
        <v>279</v>
      </c>
      <c r="P24" s="5" t="s">
        <v>319</v>
      </c>
      <c r="Q24" s="8">
        <f>22663080</f>
        <v>22663080</v>
      </c>
      <c r="R24" s="8">
        <f>339946200</f>
        <v>339946200</v>
      </c>
      <c r="S24" s="5" t="s">
        <v>240</v>
      </c>
      <c r="T24" s="5" t="s">
        <v>237</v>
      </c>
      <c r="U24" s="5" t="s">
        <v>238</v>
      </c>
      <c r="V24" s="5" t="s">
        <v>238</v>
      </c>
      <c r="W24" s="5" t="s">
        <v>241</v>
      </c>
      <c r="X24" s="5" t="s">
        <v>750</v>
      </c>
      <c r="Y24" s="5" t="s">
        <v>238</v>
      </c>
      <c r="AB24" s="5" t="s">
        <v>238</v>
      </c>
      <c r="AC24" s="6" t="s">
        <v>238</v>
      </c>
      <c r="AD24" s="6" t="s">
        <v>238</v>
      </c>
      <c r="AF24" s="6" t="s">
        <v>238</v>
      </c>
      <c r="AG24" s="6" t="s">
        <v>246</v>
      </c>
      <c r="AH24" s="5" t="s">
        <v>247</v>
      </c>
      <c r="AI24" s="5" t="s">
        <v>248</v>
      </c>
      <c r="AO24" s="5" t="s">
        <v>238</v>
      </c>
      <c r="AP24" s="5" t="s">
        <v>238</v>
      </c>
      <c r="AQ24" s="5" t="s">
        <v>238</v>
      </c>
      <c r="AR24" s="6" t="s">
        <v>238</v>
      </c>
      <c r="AS24" s="6" t="s">
        <v>238</v>
      </c>
      <c r="AT24" s="6" t="s">
        <v>238</v>
      </c>
      <c r="AW24" s="5" t="s">
        <v>304</v>
      </c>
      <c r="AX24" s="5" t="s">
        <v>304</v>
      </c>
      <c r="AY24" s="5" t="s">
        <v>250</v>
      </c>
      <c r="AZ24" s="5" t="s">
        <v>305</v>
      </c>
      <c r="BA24" s="5" t="s">
        <v>251</v>
      </c>
      <c r="BB24" s="5" t="s">
        <v>238</v>
      </c>
      <c r="BC24" s="5" t="s">
        <v>253</v>
      </c>
      <c r="BD24" s="5" t="s">
        <v>238</v>
      </c>
      <c r="BF24" s="5" t="s">
        <v>238</v>
      </c>
      <c r="BH24" s="5" t="s">
        <v>283</v>
      </c>
      <c r="BI24" s="6" t="s">
        <v>293</v>
      </c>
      <c r="BJ24" s="5" t="s">
        <v>294</v>
      </c>
      <c r="BK24" s="5" t="s">
        <v>294</v>
      </c>
      <c r="BL24" s="5" t="s">
        <v>238</v>
      </c>
      <c r="BM24" s="7">
        <f>0</f>
        <v>0</v>
      </c>
      <c r="BN24" s="8">
        <f>-22663080</f>
        <v>-22663080</v>
      </c>
      <c r="BO24" s="5" t="s">
        <v>257</v>
      </c>
      <c r="BP24" s="5" t="s">
        <v>258</v>
      </c>
      <c r="BQ24" s="5" t="s">
        <v>238</v>
      </c>
      <c r="BR24" s="5" t="s">
        <v>238</v>
      </c>
      <c r="BS24" s="5" t="s">
        <v>238</v>
      </c>
      <c r="BT24" s="5" t="s">
        <v>238</v>
      </c>
      <c r="CC24" s="5" t="s">
        <v>258</v>
      </c>
      <c r="CD24" s="5" t="s">
        <v>238</v>
      </c>
      <c r="CE24" s="5" t="s">
        <v>238</v>
      </c>
      <c r="CI24" s="5" t="s">
        <v>259</v>
      </c>
      <c r="CJ24" s="5" t="s">
        <v>260</v>
      </c>
      <c r="CK24" s="5" t="s">
        <v>238</v>
      </c>
      <c r="CM24" s="5" t="s">
        <v>318</v>
      </c>
      <c r="CN24" s="6" t="s">
        <v>262</v>
      </c>
      <c r="CO24" s="5" t="s">
        <v>263</v>
      </c>
      <c r="CP24" s="5" t="s">
        <v>264</v>
      </c>
      <c r="CQ24" s="5" t="s">
        <v>285</v>
      </c>
      <c r="CR24" s="5" t="s">
        <v>238</v>
      </c>
      <c r="CS24" s="5">
        <v>0.02</v>
      </c>
      <c r="CT24" s="5" t="s">
        <v>265</v>
      </c>
      <c r="CU24" s="5" t="s">
        <v>1333</v>
      </c>
      <c r="CV24" s="5" t="s">
        <v>308</v>
      </c>
      <c r="CW24" s="7">
        <f>0</f>
        <v>0</v>
      </c>
      <c r="CX24" s="8">
        <f>1133154000</f>
        <v>1133154000</v>
      </c>
      <c r="CY24" s="8">
        <f>815870880</f>
        <v>815870880</v>
      </c>
      <c r="DA24" s="5" t="s">
        <v>238</v>
      </c>
      <c r="DB24" s="5" t="s">
        <v>238</v>
      </c>
      <c r="DD24" s="5" t="s">
        <v>238</v>
      </c>
      <c r="DE24" s="8">
        <f>0</f>
        <v>0</v>
      </c>
      <c r="DG24" s="5" t="s">
        <v>238</v>
      </c>
      <c r="DH24" s="5" t="s">
        <v>238</v>
      </c>
      <c r="DI24" s="5" t="s">
        <v>238</v>
      </c>
      <c r="DJ24" s="5" t="s">
        <v>238</v>
      </c>
      <c r="DK24" s="5" t="s">
        <v>356</v>
      </c>
      <c r="DL24" s="5" t="s">
        <v>272</v>
      </c>
      <c r="DM24" s="7">
        <f>4120.56</f>
        <v>4120.5600000000004</v>
      </c>
      <c r="DN24" s="5" t="s">
        <v>238</v>
      </c>
      <c r="DO24" s="5" t="s">
        <v>238</v>
      </c>
      <c r="DP24" s="5" t="s">
        <v>238</v>
      </c>
      <c r="DQ24" s="5" t="s">
        <v>238</v>
      </c>
      <c r="DT24" s="5" t="s">
        <v>791</v>
      </c>
      <c r="DU24" s="5" t="s">
        <v>271</v>
      </c>
      <c r="GL24" s="5" t="s">
        <v>1922</v>
      </c>
      <c r="HM24" s="5" t="s">
        <v>313</v>
      </c>
      <c r="HP24" s="5" t="s">
        <v>272</v>
      </c>
      <c r="HQ24" s="5" t="s">
        <v>272</v>
      </c>
      <c r="HR24" s="5" t="s">
        <v>238</v>
      </c>
      <c r="HS24" s="5" t="s">
        <v>238</v>
      </c>
      <c r="HT24" s="5" t="s">
        <v>238</v>
      </c>
      <c r="HU24" s="5" t="s">
        <v>238</v>
      </c>
      <c r="HV24" s="5" t="s">
        <v>238</v>
      </c>
      <c r="HW24" s="5" t="s">
        <v>238</v>
      </c>
      <c r="HX24" s="5" t="s">
        <v>238</v>
      </c>
      <c r="HY24" s="5" t="s">
        <v>238</v>
      </c>
      <c r="HZ24" s="5" t="s">
        <v>238</v>
      </c>
      <c r="IA24" s="5" t="s">
        <v>238</v>
      </c>
      <c r="IB24" s="5" t="s">
        <v>238</v>
      </c>
      <c r="IC24" s="5" t="s">
        <v>238</v>
      </c>
      <c r="ID24" s="5" t="s">
        <v>238</v>
      </c>
    </row>
    <row r="25" spans="1:238" x14ac:dyDescent="0.4">
      <c r="A25" s="5">
        <v>24</v>
      </c>
      <c r="B25" s="5">
        <v>1</v>
      </c>
      <c r="C25" s="5">
        <v>4</v>
      </c>
      <c r="D25" s="5" t="s">
        <v>788</v>
      </c>
      <c r="E25" s="5" t="s">
        <v>773</v>
      </c>
      <c r="F25" s="5" t="s">
        <v>282</v>
      </c>
      <c r="G25" s="5" t="s">
        <v>775</v>
      </c>
      <c r="H25" s="6" t="s">
        <v>790</v>
      </c>
      <c r="I25" s="5" t="s">
        <v>795</v>
      </c>
      <c r="J25" s="7">
        <f>207.73</f>
        <v>207.73</v>
      </c>
      <c r="K25" s="5" t="s">
        <v>270</v>
      </c>
      <c r="L25" s="8">
        <f>33989825</f>
        <v>33989825</v>
      </c>
      <c r="M25" s="8">
        <f>57125750</f>
        <v>57125750</v>
      </c>
      <c r="N25" s="6" t="s">
        <v>789</v>
      </c>
      <c r="O25" s="5" t="s">
        <v>639</v>
      </c>
      <c r="P25" s="5" t="s">
        <v>319</v>
      </c>
      <c r="Q25" s="8">
        <f>1542395</f>
        <v>1542395</v>
      </c>
      <c r="R25" s="8">
        <f>23135925</f>
        <v>23135925</v>
      </c>
      <c r="S25" s="5" t="s">
        <v>240</v>
      </c>
      <c r="T25" s="5" t="s">
        <v>237</v>
      </c>
      <c r="U25" s="5" t="s">
        <v>238</v>
      </c>
      <c r="V25" s="5" t="s">
        <v>238</v>
      </c>
      <c r="W25" s="5" t="s">
        <v>241</v>
      </c>
      <c r="X25" s="5" t="s">
        <v>750</v>
      </c>
      <c r="Y25" s="5" t="s">
        <v>238</v>
      </c>
      <c r="AB25" s="5" t="s">
        <v>238</v>
      </c>
      <c r="AC25" s="6" t="s">
        <v>238</v>
      </c>
      <c r="AD25" s="6" t="s">
        <v>238</v>
      </c>
      <c r="AF25" s="6" t="s">
        <v>238</v>
      </c>
      <c r="AG25" s="6" t="s">
        <v>246</v>
      </c>
      <c r="AH25" s="5" t="s">
        <v>247</v>
      </c>
      <c r="AI25" s="5" t="s">
        <v>248</v>
      </c>
      <c r="AO25" s="5" t="s">
        <v>238</v>
      </c>
      <c r="AP25" s="5" t="s">
        <v>238</v>
      </c>
      <c r="AQ25" s="5" t="s">
        <v>238</v>
      </c>
      <c r="AR25" s="6" t="s">
        <v>238</v>
      </c>
      <c r="AS25" s="6" t="s">
        <v>238</v>
      </c>
      <c r="AT25" s="6" t="s">
        <v>238</v>
      </c>
      <c r="AW25" s="5" t="s">
        <v>304</v>
      </c>
      <c r="AX25" s="5" t="s">
        <v>304</v>
      </c>
      <c r="AY25" s="5" t="s">
        <v>250</v>
      </c>
      <c r="AZ25" s="5" t="s">
        <v>305</v>
      </c>
      <c r="BA25" s="5" t="s">
        <v>251</v>
      </c>
      <c r="BB25" s="5" t="s">
        <v>238</v>
      </c>
      <c r="BC25" s="5" t="s">
        <v>253</v>
      </c>
      <c r="BD25" s="5" t="s">
        <v>238</v>
      </c>
      <c r="BF25" s="5" t="s">
        <v>238</v>
      </c>
      <c r="BH25" s="5" t="s">
        <v>283</v>
      </c>
      <c r="BI25" s="6" t="s">
        <v>293</v>
      </c>
      <c r="BJ25" s="5" t="s">
        <v>294</v>
      </c>
      <c r="BK25" s="5" t="s">
        <v>294</v>
      </c>
      <c r="BL25" s="5" t="s">
        <v>238</v>
      </c>
      <c r="BM25" s="7">
        <f>0</f>
        <v>0</v>
      </c>
      <c r="BN25" s="8">
        <f>-1542395</f>
        <v>-1542395</v>
      </c>
      <c r="BO25" s="5" t="s">
        <v>257</v>
      </c>
      <c r="BP25" s="5" t="s">
        <v>258</v>
      </c>
      <c r="BQ25" s="5" t="s">
        <v>238</v>
      </c>
      <c r="BR25" s="5" t="s">
        <v>238</v>
      </c>
      <c r="BS25" s="5" t="s">
        <v>238</v>
      </c>
      <c r="BT25" s="5" t="s">
        <v>238</v>
      </c>
      <c r="CC25" s="5" t="s">
        <v>258</v>
      </c>
      <c r="CD25" s="5" t="s">
        <v>238</v>
      </c>
      <c r="CE25" s="5" t="s">
        <v>238</v>
      </c>
      <c r="CI25" s="5" t="s">
        <v>259</v>
      </c>
      <c r="CJ25" s="5" t="s">
        <v>260</v>
      </c>
      <c r="CK25" s="5" t="s">
        <v>238</v>
      </c>
      <c r="CM25" s="5" t="s">
        <v>318</v>
      </c>
      <c r="CN25" s="6" t="s">
        <v>262</v>
      </c>
      <c r="CO25" s="5" t="s">
        <v>263</v>
      </c>
      <c r="CP25" s="5" t="s">
        <v>264</v>
      </c>
      <c r="CQ25" s="5" t="s">
        <v>285</v>
      </c>
      <c r="CR25" s="5" t="s">
        <v>238</v>
      </c>
      <c r="CS25" s="5">
        <v>2.7E-2</v>
      </c>
      <c r="CT25" s="5" t="s">
        <v>265</v>
      </c>
      <c r="CU25" s="5" t="s">
        <v>266</v>
      </c>
      <c r="CV25" s="5" t="s">
        <v>308</v>
      </c>
      <c r="CW25" s="7">
        <f>0</f>
        <v>0</v>
      </c>
      <c r="CX25" s="8">
        <f>57125750</f>
        <v>57125750</v>
      </c>
      <c r="CY25" s="8">
        <f>35532220</f>
        <v>35532220</v>
      </c>
      <c r="DA25" s="5" t="s">
        <v>238</v>
      </c>
      <c r="DB25" s="5" t="s">
        <v>238</v>
      </c>
      <c r="DD25" s="5" t="s">
        <v>238</v>
      </c>
      <c r="DE25" s="8">
        <f>0</f>
        <v>0</v>
      </c>
      <c r="DG25" s="5" t="s">
        <v>238</v>
      </c>
      <c r="DH25" s="5" t="s">
        <v>238</v>
      </c>
      <c r="DI25" s="5" t="s">
        <v>238</v>
      </c>
      <c r="DJ25" s="5" t="s">
        <v>238</v>
      </c>
      <c r="DK25" s="5" t="s">
        <v>379</v>
      </c>
      <c r="DL25" s="5" t="s">
        <v>272</v>
      </c>
      <c r="DM25" s="7">
        <f>207.73</f>
        <v>207.73</v>
      </c>
      <c r="DN25" s="5" t="s">
        <v>238</v>
      </c>
      <c r="DO25" s="5" t="s">
        <v>238</v>
      </c>
      <c r="DP25" s="5" t="s">
        <v>238</v>
      </c>
      <c r="DQ25" s="5" t="s">
        <v>238</v>
      </c>
      <c r="DT25" s="5" t="s">
        <v>791</v>
      </c>
      <c r="DU25" s="5" t="s">
        <v>274</v>
      </c>
      <c r="GL25" s="5" t="s">
        <v>796</v>
      </c>
      <c r="HM25" s="5" t="s">
        <v>389</v>
      </c>
      <c r="HP25" s="5" t="s">
        <v>272</v>
      </c>
      <c r="HQ25" s="5" t="s">
        <v>272</v>
      </c>
      <c r="HR25" s="5" t="s">
        <v>238</v>
      </c>
      <c r="HS25" s="5" t="s">
        <v>238</v>
      </c>
      <c r="HT25" s="5" t="s">
        <v>238</v>
      </c>
      <c r="HU25" s="5" t="s">
        <v>238</v>
      </c>
      <c r="HV25" s="5" t="s">
        <v>238</v>
      </c>
      <c r="HW25" s="5" t="s">
        <v>238</v>
      </c>
      <c r="HX25" s="5" t="s">
        <v>238</v>
      </c>
      <c r="HY25" s="5" t="s">
        <v>238</v>
      </c>
      <c r="HZ25" s="5" t="s">
        <v>238</v>
      </c>
      <c r="IA25" s="5" t="s">
        <v>238</v>
      </c>
      <c r="IB25" s="5" t="s">
        <v>238</v>
      </c>
      <c r="IC25" s="5" t="s">
        <v>238</v>
      </c>
      <c r="ID25" s="5" t="s">
        <v>238</v>
      </c>
    </row>
    <row r="26" spans="1:238" x14ac:dyDescent="0.4">
      <c r="A26" s="5">
        <v>25</v>
      </c>
      <c r="B26" s="5">
        <v>1</v>
      </c>
      <c r="C26" s="5">
        <v>4</v>
      </c>
      <c r="D26" s="5" t="s">
        <v>788</v>
      </c>
      <c r="E26" s="5" t="s">
        <v>773</v>
      </c>
      <c r="F26" s="5" t="s">
        <v>282</v>
      </c>
      <c r="G26" s="5" t="s">
        <v>775</v>
      </c>
      <c r="H26" s="6" t="s">
        <v>790</v>
      </c>
      <c r="I26" s="5" t="s">
        <v>793</v>
      </c>
      <c r="J26" s="7">
        <f>339.38</f>
        <v>339.38</v>
      </c>
      <c r="K26" s="5" t="s">
        <v>270</v>
      </c>
      <c r="L26" s="8">
        <f>55531060</f>
        <v>55531060</v>
      </c>
      <c r="M26" s="8">
        <f>93329500</f>
        <v>93329500</v>
      </c>
      <c r="N26" s="6" t="s">
        <v>789</v>
      </c>
      <c r="O26" s="5" t="s">
        <v>639</v>
      </c>
      <c r="P26" s="5" t="s">
        <v>319</v>
      </c>
      <c r="Q26" s="8">
        <f>2519896</f>
        <v>2519896</v>
      </c>
      <c r="R26" s="8">
        <f>37798440</f>
        <v>37798440</v>
      </c>
      <c r="S26" s="5" t="s">
        <v>240</v>
      </c>
      <c r="T26" s="5" t="s">
        <v>237</v>
      </c>
      <c r="U26" s="5" t="s">
        <v>238</v>
      </c>
      <c r="V26" s="5" t="s">
        <v>238</v>
      </c>
      <c r="W26" s="5" t="s">
        <v>241</v>
      </c>
      <c r="X26" s="5" t="s">
        <v>750</v>
      </c>
      <c r="Y26" s="5" t="s">
        <v>238</v>
      </c>
      <c r="AB26" s="5" t="s">
        <v>238</v>
      </c>
      <c r="AC26" s="6" t="s">
        <v>238</v>
      </c>
      <c r="AD26" s="6" t="s">
        <v>238</v>
      </c>
      <c r="AF26" s="6" t="s">
        <v>238</v>
      </c>
      <c r="AG26" s="6" t="s">
        <v>246</v>
      </c>
      <c r="AH26" s="5" t="s">
        <v>247</v>
      </c>
      <c r="AI26" s="5" t="s">
        <v>248</v>
      </c>
      <c r="AO26" s="5" t="s">
        <v>238</v>
      </c>
      <c r="AP26" s="5" t="s">
        <v>238</v>
      </c>
      <c r="AQ26" s="5" t="s">
        <v>238</v>
      </c>
      <c r="AR26" s="6" t="s">
        <v>238</v>
      </c>
      <c r="AS26" s="6" t="s">
        <v>238</v>
      </c>
      <c r="AT26" s="6" t="s">
        <v>238</v>
      </c>
      <c r="AW26" s="5" t="s">
        <v>304</v>
      </c>
      <c r="AX26" s="5" t="s">
        <v>304</v>
      </c>
      <c r="AY26" s="5" t="s">
        <v>250</v>
      </c>
      <c r="AZ26" s="5" t="s">
        <v>305</v>
      </c>
      <c r="BA26" s="5" t="s">
        <v>251</v>
      </c>
      <c r="BB26" s="5" t="s">
        <v>238</v>
      </c>
      <c r="BC26" s="5" t="s">
        <v>253</v>
      </c>
      <c r="BD26" s="5" t="s">
        <v>238</v>
      </c>
      <c r="BF26" s="5" t="s">
        <v>238</v>
      </c>
      <c r="BH26" s="5" t="s">
        <v>283</v>
      </c>
      <c r="BI26" s="6" t="s">
        <v>293</v>
      </c>
      <c r="BJ26" s="5" t="s">
        <v>294</v>
      </c>
      <c r="BK26" s="5" t="s">
        <v>294</v>
      </c>
      <c r="BL26" s="5" t="s">
        <v>238</v>
      </c>
      <c r="BM26" s="7">
        <f>0</f>
        <v>0</v>
      </c>
      <c r="BN26" s="8">
        <f>-2519896</f>
        <v>-2519896</v>
      </c>
      <c r="BO26" s="5" t="s">
        <v>257</v>
      </c>
      <c r="BP26" s="5" t="s">
        <v>258</v>
      </c>
      <c r="BQ26" s="5" t="s">
        <v>238</v>
      </c>
      <c r="BR26" s="5" t="s">
        <v>238</v>
      </c>
      <c r="BS26" s="5" t="s">
        <v>238</v>
      </c>
      <c r="BT26" s="5" t="s">
        <v>238</v>
      </c>
      <c r="CC26" s="5" t="s">
        <v>258</v>
      </c>
      <c r="CD26" s="5" t="s">
        <v>238</v>
      </c>
      <c r="CE26" s="5" t="s">
        <v>238</v>
      </c>
      <c r="CI26" s="5" t="s">
        <v>259</v>
      </c>
      <c r="CJ26" s="5" t="s">
        <v>260</v>
      </c>
      <c r="CK26" s="5" t="s">
        <v>238</v>
      </c>
      <c r="CM26" s="5" t="s">
        <v>318</v>
      </c>
      <c r="CN26" s="6" t="s">
        <v>262</v>
      </c>
      <c r="CO26" s="5" t="s">
        <v>263</v>
      </c>
      <c r="CP26" s="5" t="s">
        <v>264</v>
      </c>
      <c r="CQ26" s="5" t="s">
        <v>285</v>
      </c>
      <c r="CR26" s="5" t="s">
        <v>238</v>
      </c>
      <c r="CS26" s="5">
        <v>2.7E-2</v>
      </c>
      <c r="CT26" s="5" t="s">
        <v>265</v>
      </c>
      <c r="CU26" s="5" t="s">
        <v>266</v>
      </c>
      <c r="CV26" s="5" t="s">
        <v>308</v>
      </c>
      <c r="CW26" s="7">
        <f>0</f>
        <v>0</v>
      </c>
      <c r="CX26" s="8">
        <f>93329500</f>
        <v>93329500</v>
      </c>
      <c r="CY26" s="8">
        <f>58050956</f>
        <v>58050956</v>
      </c>
      <c r="DA26" s="5" t="s">
        <v>238</v>
      </c>
      <c r="DB26" s="5" t="s">
        <v>238</v>
      </c>
      <c r="DD26" s="5" t="s">
        <v>238</v>
      </c>
      <c r="DE26" s="8">
        <f>0</f>
        <v>0</v>
      </c>
      <c r="DG26" s="5" t="s">
        <v>238</v>
      </c>
      <c r="DH26" s="5" t="s">
        <v>238</v>
      </c>
      <c r="DI26" s="5" t="s">
        <v>238</v>
      </c>
      <c r="DJ26" s="5" t="s">
        <v>238</v>
      </c>
      <c r="DK26" s="5" t="s">
        <v>356</v>
      </c>
      <c r="DL26" s="5" t="s">
        <v>272</v>
      </c>
      <c r="DM26" s="7">
        <f>339.38</f>
        <v>339.38</v>
      </c>
      <c r="DN26" s="5" t="s">
        <v>238</v>
      </c>
      <c r="DO26" s="5" t="s">
        <v>238</v>
      </c>
      <c r="DP26" s="5" t="s">
        <v>238</v>
      </c>
      <c r="DQ26" s="5" t="s">
        <v>238</v>
      </c>
      <c r="DT26" s="5" t="s">
        <v>791</v>
      </c>
      <c r="DU26" s="5" t="s">
        <v>356</v>
      </c>
      <c r="GL26" s="5" t="s">
        <v>794</v>
      </c>
      <c r="HM26" s="5" t="s">
        <v>389</v>
      </c>
      <c r="HP26" s="5" t="s">
        <v>272</v>
      </c>
      <c r="HQ26" s="5" t="s">
        <v>272</v>
      </c>
      <c r="HR26" s="5" t="s">
        <v>238</v>
      </c>
      <c r="HS26" s="5" t="s">
        <v>238</v>
      </c>
      <c r="HT26" s="5" t="s">
        <v>238</v>
      </c>
      <c r="HU26" s="5" t="s">
        <v>238</v>
      </c>
      <c r="HV26" s="5" t="s">
        <v>238</v>
      </c>
      <c r="HW26" s="5" t="s">
        <v>238</v>
      </c>
      <c r="HX26" s="5" t="s">
        <v>238</v>
      </c>
      <c r="HY26" s="5" t="s">
        <v>238</v>
      </c>
      <c r="HZ26" s="5" t="s">
        <v>238</v>
      </c>
      <c r="IA26" s="5" t="s">
        <v>238</v>
      </c>
      <c r="IB26" s="5" t="s">
        <v>238</v>
      </c>
      <c r="IC26" s="5" t="s">
        <v>238</v>
      </c>
      <c r="ID26" s="5" t="s">
        <v>238</v>
      </c>
    </row>
    <row r="27" spans="1:238" x14ac:dyDescent="0.4">
      <c r="A27" s="5">
        <v>26</v>
      </c>
      <c r="B27" s="5">
        <v>1</v>
      </c>
      <c r="C27" s="5">
        <v>4</v>
      </c>
      <c r="D27" s="5" t="s">
        <v>788</v>
      </c>
      <c r="E27" s="5" t="s">
        <v>773</v>
      </c>
      <c r="F27" s="5" t="s">
        <v>282</v>
      </c>
      <c r="G27" s="5" t="s">
        <v>775</v>
      </c>
      <c r="H27" s="6" t="s">
        <v>790</v>
      </c>
      <c r="I27" s="5" t="s">
        <v>787</v>
      </c>
      <c r="J27" s="7">
        <f>126</f>
        <v>126</v>
      </c>
      <c r="K27" s="5" t="s">
        <v>270</v>
      </c>
      <c r="L27" s="8">
        <f>20616750</f>
        <v>20616750</v>
      </c>
      <c r="M27" s="8">
        <f>34650000</f>
        <v>34650000</v>
      </c>
      <c r="N27" s="6" t="s">
        <v>789</v>
      </c>
      <c r="O27" s="5" t="s">
        <v>639</v>
      </c>
      <c r="P27" s="5" t="s">
        <v>319</v>
      </c>
      <c r="Q27" s="8">
        <f>935550</f>
        <v>935550</v>
      </c>
      <c r="R27" s="8">
        <f>14033250</f>
        <v>14033250</v>
      </c>
      <c r="S27" s="5" t="s">
        <v>240</v>
      </c>
      <c r="T27" s="5" t="s">
        <v>237</v>
      </c>
      <c r="U27" s="5" t="s">
        <v>238</v>
      </c>
      <c r="V27" s="5" t="s">
        <v>238</v>
      </c>
      <c r="W27" s="5" t="s">
        <v>241</v>
      </c>
      <c r="X27" s="5" t="s">
        <v>750</v>
      </c>
      <c r="Y27" s="5" t="s">
        <v>238</v>
      </c>
      <c r="AB27" s="5" t="s">
        <v>238</v>
      </c>
      <c r="AC27" s="6" t="s">
        <v>238</v>
      </c>
      <c r="AD27" s="6" t="s">
        <v>238</v>
      </c>
      <c r="AF27" s="6" t="s">
        <v>238</v>
      </c>
      <c r="AG27" s="6" t="s">
        <v>246</v>
      </c>
      <c r="AH27" s="5" t="s">
        <v>247</v>
      </c>
      <c r="AI27" s="5" t="s">
        <v>248</v>
      </c>
      <c r="AO27" s="5" t="s">
        <v>238</v>
      </c>
      <c r="AP27" s="5" t="s">
        <v>238</v>
      </c>
      <c r="AQ27" s="5" t="s">
        <v>238</v>
      </c>
      <c r="AR27" s="6" t="s">
        <v>238</v>
      </c>
      <c r="AS27" s="6" t="s">
        <v>238</v>
      </c>
      <c r="AT27" s="6" t="s">
        <v>238</v>
      </c>
      <c r="AW27" s="5" t="s">
        <v>304</v>
      </c>
      <c r="AX27" s="5" t="s">
        <v>304</v>
      </c>
      <c r="AY27" s="5" t="s">
        <v>250</v>
      </c>
      <c r="AZ27" s="5" t="s">
        <v>305</v>
      </c>
      <c r="BA27" s="5" t="s">
        <v>251</v>
      </c>
      <c r="BB27" s="5" t="s">
        <v>238</v>
      </c>
      <c r="BC27" s="5" t="s">
        <v>253</v>
      </c>
      <c r="BD27" s="5" t="s">
        <v>238</v>
      </c>
      <c r="BF27" s="5" t="s">
        <v>238</v>
      </c>
      <c r="BH27" s="5" t="s">
        <v>283</v>
      </c>
      <c r="BI27" s="6" t="s">
        <v>293</v>
      </c>
      <c r="BJ27" s="5" t="s">
        <v>294</v>
      </c>
      <c r="BK27" s="5" t="s">
        <v>294</v>
      </c>
      <c r="BL27" s="5" t="s">
        <v>238</v>
      </c>
      <c r="BM27" s="7">
        <f>0</f>
        <v>0</v>
      </c>
      <c r="BN27" s="8">
        <f>-935550</f>
        <v>-935550</v>
      </c>
      <c r="BO27" s="5" t="s">
        <v>257</v>
      </c>
      <c r="BP27" s="5" t="s">
        <v>258</v>
      </c>
      <c r="BQ27" s="5" t="s">
        <v>238</v>
      </c>
      <c r="BR27" s="5" t="s">
        <v>238</v>
      </c>
      <c r="BS27" s="5" t="s">
        <v>238</v>
      </c>
      <c r="BT27" s="5" t="s">
        <v>238</v>
      </c>
      <c r="CC27" s="5" t="s">
        <v>258</v>
      </c>
      <c r="CD27" s="5" t="s">
        <v>238</v>
      </c>
      <c r="CE27" s="5" t="s">
        <v>238</v>
      </c>
      <c r="CI27" s="5" t="s">
        <v>259</v>
      </c>
      <c r="CJ27" s="5" t="s">
        <v>260</v>
      </c>
      <c r="CK27" s="5" t="s">
        <v>238</v>
      </c>
      <c r="CM27" s="5" t="s">
        <v>318</v>
      </c>
      <c r="CN27" s="6" t="s">
        <v>262</v>
      </c>
      <c r="CO27" s="5" t="s">
        <v>263</v>
      </c>
      <c r="CP27" s="5" t="s">
        <v>264</v>
      </c>
      <c r="CQ27" s="5" t="s">
        <v>285</v>
      </c>
      <c r="CR27" s="5" t="s">
        <v>238</v>
      </c>
      <c r="CS27" s="5">
        <v>2.7E-2</v>
      </c>
      <c r="CT27" s="5" t="s">
        <v>265</v>
      </c>
      <c r="CU27" s="5" t="s">
        <v>266</v>
      </c>
      <c r="CV27" s="5" t="s">
        <v>308</v>
      </c>
      <c r="CW27" s="7">
        <f>0</f>
        <v>0</v>
      </c>
      <c r="CX27" s="8">
        <f>34650000</f>
        <v>34650000</v>
      </c>
      <c r="CY27" s="8">
        <f>21552300</f>
        <v>21552300</v>
      </c>
      <c r="DA27" s="5" t="s">
        <v>238</v>
      </c>
      <c r="DB27" s="5" t="s">
        <v>238</v>
      </c>
      <c r="DD27" s="5" t="s">
        <v>238</v>
      </c>
      <c r="DE27" s="8">
        <f>0</f>
        <v>0</v>
      </c>
      <c r="DG27" s="5" t="s">
        <v>238</v>
      </c>
      <c r="DH27" s="5" t="s">
        <v>238</v>
      </c>
      <c r="DI27" s="5" t="s">
        <v>238</v>
      </c>
      <c r="DJ27" s="5" t="s">
        <v>238</v>
      </c>
      <c r="DK27" s="5" t="s">
        <v>356</v>
      </c>
      <c r="DL27" s="5" t="s">
        <v>272</v>
      </c>
      <c r="DM27" s="7">
        <f>126</f>
        <v>126</v>
      </c>
      <c r="DN27" s="5" t="s">
        <v>238</v>
      </c>
      <c r="DO27" s="5" t="s">
        <v>238</v>
      </c>
      <c r="DP27" s="5" t="s">
        <v>238</v>
      </c>
      <c r="DQ27" s="5" t="s">
        <v>238</v>
      </c>
      <c r="DT27" s="5" t="s">
        <v>791</v>
      </c>
      <c r="DU27" s="5" t="s">
        <v>310</v>
      </c>
      <c r="GL27" s="5" t="s">
        <v>792</v>
      </c>
      <c r="HM27" s="5" t="s">
        <v>313</v>
      </c>
      <c r="HP27" s="5" t="s">
        <v>272</v>
      </c>
      <c r="HQ27" s="5" t="s">
        <v>272</v>
      </c>
      <c r="HR27" s="5" t="s">
        <v>238</v>
      </c>
      <c r="HS27" s="5" t="s">
        <v>238</v>
      </c>
      <c r="HT27" s="5" t="s">
        <v>238</v>
      </c>
      <c r="HU27" s="5" t="s">
        <v>238</v>
      </c>
      <c r="HV27" s="5" t="s">
        <v>238</v>
      </c>
      <c r="HW27" s="5" t="s">
        <v>238</v>
      </c>
      <c r="HX27" s="5" t="s">
        <v>238</v>
      </c>
      <c r="HY27" s="5" t="s">
        <v>238</v>
      </c>
      <c r="HZ27" s="5" t="s">
        <v>238</v>
      </c>
      <c r="IA27" s="5" t="s">
        <v>238</v>
      </c>
      <c r="IB27" s="5" t="s">
        <v>238</v>
      </c>
      <c r="IC27" s="5" t="s">
        <v>238</v>
      </c>
      <c r="ID27" s="5" t="s">
        <v>238</v>
      </c>
    </row>
    <row r="28" spans="1:238" x14ac:dyDescent="0.4">
      <c r="A28" s="5">
        <v>27</v>
      </c>
      <c r="B28" s="5">
        <v>1</v>
      </c>
      <c r="C28" s="5">
        <v>4</v>
      </c>
      <c r="D28" s="5" t="s">
        <v>772</v>
      </c>
      <c r="E28" s="5" t="s">
        <v>773</v>
      </c>
      <c r="F28" s="5" t="s">
        <v>282</v>
      </c>
      <c r="G28" s="5" t="s">
        <v>775</v>
      </c>
      <c r="H28" s="6" t="s">
        <v>776</v>
      </c>
      <c r="I28" s="5" t="s">
        <v>1941</v>
      </c>
      <c r="J28" s="7">
        <f>497.2</f>
        <v>497.2</v>
      </c>
      <c r="K28" s="5" t="s">
        <v>270</v>
      </c>
      <c r="L28" s="8">
        <f>153738480</f>
        <v>153738480</v>
      </c>
      <c r="M28" s="8">
        <f>196095000</f>
        <v>196095000</v>
      </c>
      <c r="N28" s="6" t="s">
        <v>774</v>
      </c>
      <c r="O28" s="5" t="s">
        <v>639</v>
      </c>
      <c r="P28" s="5" t="s">
        <v>313</v>
      </c>
      <c r="Q28" s="8">
        <f>5294565</f>
        <v>5294565</v>
      </c>
      <c r="R28" s="8">
        <f>42356520</f>
        <v>42356520</v>
      </c>
      <c r="S28" s="5" t="s">
        <v>240</v>
      </c>
      <c r="T28" s="5" t="s">
        <v>237</v>
      </c>
      <c r="U28" s="5" t="s">
        <v>238</v>
      </c>
      <c r="V28" s="5" t="s">
        <v>238</v>
      </c>
      <c r="W28" s="5" t="s">
        <v>241</v>
      </c>
      <c r="X28" s="5" t="s">
        <v>750</v>
      </c>
      <c r="Y28" s="5" t="s">
        <v>238</v>
      </c>
      <c r="AB28" s="5" t="s">
        <v>238</v>
      </c>
      <c r="AC28" s="6" t="s">
        <v>238</v>
      </c>
      <c r="AD28" s="6" t="s">
        <v>238</v>
      </c>
      <c r="AF28" s="6" t="s">
        <v>238</v>
      </c>
      <c r="AG28" s="6" t="s">
        <v>246</v>
      </c>
      <c r="AH28" s="5" t="s">
        <v>247</v>
      </c>
      <c r="AI28" s="5" t="s">
        <v>248</v>
      </c>
      <c r="AO28" s="5" t="s">
        <v>238</v>
      </c>
      <c r="AP28" s="5" t="s">
        <v>238</v>
      </c>
      <c r="AQ28" s="5" t="s">
        <v>238</v>
      </c>
      <c r="AR28" s="6" t="s">
        <v>238</v>
      </c>
      <c r="AS28" s="6" t="s">
        <v>238</v>
      </c>
      <c r="AT28" s="6" t="s">
        <v>238</v>
      </c>
      <c r="AW28" s="5" t="s">
        <v>304</v>
      </c>
      <c r="AX28" s="5" t="s">
        <v>304</v>
      </c>
      <c r="AY28" s="5" t="s">
        <v>250</v>
      </c>
      <c r="AZ28" s="5" t="s">
        <v>305</v>
      </c>
      <c r="BA28" s="5" t="s">
        <v>251</v>
      </c>
      <c r="BB28" s="5" t="s">
        <v>238</v>
      </c>
      <c r="BC28" s="5" t="s">
        <v>253</v>
      </c>
      <c r="BD28" s="5" t="s">
        <v>238</v>
      </c>
      <c r="BF28" s="5" t="s">
        <v>760</v>
      </c>
      <c r="BH28" s="5" t="s">
        <v>283</v>
      </c>
      <c r="BI28" s="6" t="s">
        <v>293</v>
      </c>
      <c r="BJ28" s="5" t="s">
        <v>294</v>
      </c>
      <c r="BK28" s="5" t="s">
        <v>294</v>
      </c>
      <c r="BL28" s="5" t="s">
        <v>238</v>
      </c>
      <c r="BM28" s="7">
        <f>0</f>
        <v>0</v>
      </c>
      <c r="BN28" s="8">
        <f>-5294565</f>
        <v>-5294565</v>
      </c>
      <c r="BO28" s="5" t="s">
        <v>257</v>
      </c>
      <c r="BP28" s="5" t="s">
        <v>258</v>
      </c>
      <c r="BQ28" s="5" t="s">
        <v>238</v>
      </c>
      <c r="BR28" s="5" t="s">
        <v>238</v>
      </c>
      <c r="BS28" s="5" t="s">
        <v>238</v>
      </c>
      <c r="BT28" s="5" t="s">
        <v>238</v>
      </c>
      <c r="CC28" s="5" t="s">
        <v>258</v>
      </c>
      <c r="CD28" s="5" t="s">
        <v>238</v>
      </c>
      <c r="CE28" s="5" t="s">
        <v>238</v>
      </c>
      <c r="CI28" s="5" t="s">
        <v>259</v>
      </c>
      <c r="CJ28" s="5" t="s">
        <v>260</v>
      </c>
      <c r="CK28" s="5" t="s">
        <v>238</v>
      </c>
      <c r="CM28" s="5" t="s">
        <v>723</v>
      </c>
      <c r="CN28" s="6" t="s">
        <v>262</v>
      </c>
      <c r="CO28" s="5" t="s">
        <v>263</v>
      </c>
      <c r="CP28" s="5" t="s">
        <v>264</v>
      </c>
      <c r="CQ28" s="5" t="s">
        <v>285</v>
      </c>
      <c r="CR28" s="5" t="s">
        <v>238</v>
      </c>
      <c r="CS28" s="5">
        <v>2.7E-2</v>
      </c>
      <c r="CT28" s="5" t="s">
        <v>265</v>
      </c>
      <c r="CU28" s="5" t="s">
        <v>1333</v>
      </c>
      <c r="CV28" s="5" t="s">
        <v>649</v>
      </c>
      <c r="CW28" s="7">
        <f>0</f>
        <v>0</v>
      </c>
      <c r="CX28" s="8">
        <f>196095000</f>
        <v>196095000</v>
      </c>
      <c r="CY28" s="8">
        <f>159033045</f>
        <v>159033045</v>
      </c>
      <c r="DA28" s="5" t="s">
        <v>238</v>
      </c>
      <c r="DB28" s="5" t="s">
        <v>238</v>
      </c>
      <c r="DD28" s="5" t="s">
        <v>238</v>
      </c>
      <c r="DE28" s="8">
        <f>0</f>
        <v>0</v>
      </c>
      <c r="DG28" s="5" t="s">
        <v>238</v>
      </c>
      <c r="DH28" s="5" t="s">
        <v>238</v>
      </c>
      <c r="DI28" s="5" t="s">
        <v>238</v>
      </c>
      <c r="DJ28" s="5" t="s">
        <v>238</v>
      </c>
      <c r="DK28" s="5" t="s">
        <v>271</v>
      </c>
      <c r="DL28" s="5" t="s">
        <v>272</v>
      </c>
      <c r="DM28" s="7">
        <f>497.2</f>
        <v>497.2</v>
      </c>
      <c r="DN28" s="5" t="s">
        <v>238</v>
      </c>
      <c r="DO28" s="5" t="s">
        <v>238</v>
      </c>
      <c r="DP28" s="5" t="s">
        <v>238</v>
      </c>
      <c r="DQ28" s="5" t="s">
        <v>238</v>
      </c>
      <c r="DT28" s="5" t="s">
        <v>777</v>
      </c>
      <c r="DU28" s="5" t="s">
        <v>271</v>
      </c>
      <c r="GL28" s="5" t="s">
        <v>1942</v>
      </c>
      <c r="HM28" s="5" t="s">
        <v>313</v>
      </c>
      <c r="HP28" s="5" t="s">
        <v>272</v>
      </c>
      <c r="HQ28" s="5" t="s">
        <v>272</v>
      </c>
      <c r="HR28" s="5" t="s">
        <v>238</v>
      </c>
      <c r="HS28" s="5" t="s">
        <v>238</v>
      </c>
      <c r="HT28" s="5" t="s">
        <v>238</v>
      </c>
      <c r="HU28" s="5" t="s">
        <v>238</v>
      </c>
      <c r="HV28" s="5" t="s">
        <v>238</v>
      </c>
      <c r="HW28" s="5" t="s">
        <v>238</v>
      </c>
      <c r="HX28" s="5" t="s">
        <v>238</v>
      </c>
      <c r="HY28" s="5" t="s">
        <v>238</v>
      </c>
      <c r="HZ28" s="5" t="s">
        <v>238</v>
      </c>
      <c r="IA28" s="5" t="s">
        <v>238</v>
      </c>
      <c r="IB28" s="5" t="s">
        <v>238</v>
      </c>
      <c r="IC28" s="5" t="s">
        <v>238</v>
      </c>
      <c r="ID28" s="5" t="s">
        <v>238</v>
      </c>
    </row>
    <row r="29" spans="1:238" x14ac:dyDescent="0.4">
      <c r="A29" s="5">
        <v>28</v>
      </c>
      <c r="B29" s="5">
        <v>1</v>
      </c>
      <c r="C29" s="5">
        <v>4</v>
      </c>
      <c r="D29" s="5" t="s">
        <v>772</v>
      </c>
      <c r="E29" s="5" t="s">
        <v>773</v>
      </c>
      <c r="F29" s="5" t="s">
        <v>282</v>
      </c>
      <c r="G29" s="5" t="s">
        <v>775</v>
      </c>
      <c r="H29" s="6" t="s">
        <v>776</v>
      </c>
      <c r="I29" s="5" t="s">
        <v>771</v>
      </c>
      <c r="J29" s="7">
        <f>9.9</f>
        <v>9.9</v>
      </c>
      <c r="K29" s="5" t="s">
        <v>270</v>
      </c>
      <c r="L29" s="8">
        <f>3074064</f>
        <v>3074064</v>
      </c>
      <c r="M29" s="8">
        <f>3921000</f>
        <v>3921000</v>
      </c>
      <c r="N29" s="6" t="s">
        <v>774</v>
      </c>
      <c r="O29" s="5" t="s">
        <v>639</v>
      </c>
      <c r="P29" s="5" t="s">
        <v>313</v>
      </c>
      <c r="Q29" s="8">
        <f>105867</f>
        <v>105867</v>
      </c>
      <c r="R29" s="8">
        <f>846936</f>
        <v>846936</v>
      </c>
      <c r="S29" s="5" t="s">
        <v>240</v>
      </c>
      <c r="T29" s="5" t="s">
        <v>237</v>
      </c>
      <c r="U29" s="5" t="s">
        <v>238</v>
      </c>
      <c r="V29" s="5" t="s">
        <v>238</v>
      </c>
      <c r="W29" s="5" t="s">
        <v>241</v>
      </c>
      <c r="X29" s="5" t="s">
        <v>750</v>
      </c>
      <c r="Y29" s="5" t="s">
        <v>238</v>
      </c>
      <c r="AB29" s="5" t="s">
        <v>238</v>
      </c>
      <c r="AC29" s="6" t="s">
        <v>238</v>
      </c>
      <c r="AD29" s="6" t="s">
        <v>238</v>
      </c>
      <c r="AF29" s="6" t="s">
        <v>238</v>
      </c>
      <c r="AG29" s="6" t="s">
        <v>246</v>
      </c>
      <c r="AH29" s="5" t="s">
        <v>247</v>
      </c>
      <c r="AI29" s="5" t="s">
        <v>248</v>
      </c>
      <c r="AO29" s="5" t="s">
        <v>238</v>
      </c>
      <c r="AP29" s="5" t="s">
        <v>238</v>
      </c>
      <c r="AQ29" s="5" t="s">
        <v>238</v>
      </c>
      <c r="AR29" s="6" t="s">
        <v>238</v>
      </c>
      <c r="AS29" s="6" t="s">
        <v>238</v>
      </c>
      <c r="AT29" s="6" t="s">
        <v>238</v>
      </c>
      <c r="AW29" s="5" t="s">
        <v>304</v>
      </c>
      <c r="AX29" s="5" t="s">
        <v>304</v>
      </c>
      <c r="AY29" s="5" t="s">
        <v>250</v>
      </c>
      <c r="AZ29" s="5" t="s">
        <v>305</v>
      </c>
      <c r="BA29" s="5" t="s">
        <v>251</v>
      </c>
      <c r="BB29" s="5" t="s">
        <v>238</v>
      </c>
      <c r="BC29" s="5" t="s">
        <v>253</v>
      </c>
      <c r="BD29" s="5" t="s">
        <v>238</v>
      </c>
      <c r="BF29" s="5" t="s">
        <v>238</v>
      </c>
      <c r="BH29" s="5" t="s">
        <v>283</v>
      </c>
      <c r="BI29" s="6" t="s">
        <v>293</v>
      </c>
      <c r="BJ29" s="5" t="s">
        <v>294</v>
      </c>
      <c r="BK29" s="5" t="s">
        <v>294</v>
      </c>
      <c r="BL29" s="5" t="s">
        <v>238</v>
      </c>
      <c r="BM29" s="7">
        <f>0</f>
        <v>0</v>
      </c>
      <c r="BN29" s="8">
        <f>-105867</f>
        <v>-105867</v>
      </c>
      <c r="BO29" s="5" t="s">
        <v>257</v>
      </c>
      <c r="BP29" s="5" t="s">
        <v>258</v>
      </c>
      <c r="BQ29" s="5" t="s">
        <v>238</v>
      </c>
      <c r="BR29" s="5" t="s">
        <v>238</v>
      </c>
      <c r="BS29" s="5" t="s">
        <v>238</v>
      </c>
      <c r="BT29" s="5" t="s">
        <v>238</v>
      </c>
      <c r="CC29" s="5" t="s">
        <v>258</v>
      </c>
      <c r="CD29" s="5" t="s">
        <v>238</v>
      </c>
      <c r="CE29" s="5" t="s">
        <v>238</v>
      </c>
      <c r="CI29" s="5" t="s">
        <v>259</v>
      </c>
      <c r="CJ29" s="5" t="s">
        <v>260</v>
      </c>
      <c r="CK29" s="5" t="s">
        <v>238</v>
      </c>
      <c r="CM29" s="5" t="s">
        <v>723</v>
      </c>
      <c r="CN29" s="6" t="s">
        <v>262</v>
      </c>
      <c r="CO29" s="5" t="s">
        <v>263</v>
      </c>
      <c r="CP29" s="5" t="s">
        <v>264</v>
      </c>
      <c r="CQ29" s="5" t="s">
        <v>285</v>
      </c>
      <c r="CR29" s="5" t="s">
        <v>238</v>
      </c>
      <c r="CS29" s="5">
        <v>2.7E-2</v>
      </c>
      <c r="CT29" s="5" t="s">
        <v>265</v>
      </c>
      <c r="CU29" s="5" t="s">
        <v>266</v>
      </c>
      <c r="CV29" s="5" t="s">
        <v>308</v>
      </c>
      <c r="CW29" s="7">
        <f>0</f>
        <v>0</v>
      </c>
      <c r="CX29" s="8">
        <f>3921000</f>
        <v>3921000</v>
      </c>
      <c r="CY29" s="8">
        <f>3179931</f>
        <v>3179931</v>
      </c>
      <c r="DA29" s="5" t="s">
        <v>238</v>
      </c>
      <c r="DB29" s="5" t="s">
        <v>238</v>
      </c>
      <c r="DD29" s="5" t="s">
        <v>238</v>
      </c>
      <c r="DE29" s="8">
        <f>0</f>
        <v>0</v>
      </c>
      <c r="DG29" s="5" t="s">
        <v>238</v>
      </c>
      <c r="DH29" s="5" t="s">
        <v>238</v>
      </c>
      <c r="DI29" s="5" t="s">
        <v>238</v>
      </c>
      <c r="DJ29" s="5" t="s">
        <v>238</v>
      </c>
      <c r="DK29" s="5" t="s">
        <v>271</v>
      </c>
      <c r="DL29" s="5" t="s">
        <v>272</v>
      </c>
      <c r="DM29" s="7">
        <f>9.9</f>
        <v>9.9</v>
      </c>
      <c r="DN29" s="5" t="s">
        <v>238</v>
      </c>
      <c r="DO29" s="5" t="s">
        <v>238</v>
      </c>
      <c r="DP29" s="5" t="s">
        <v>238</v>
      </c>
      <c r="DQ29" s="5" t="s">
        <v>238</v>
      </c>
      <c r="DT29" s="5" t="s">
        <v>777</v>
      </c>
      <c r="DU29" s="5" t="s">
        <v>274</v>
      </c>
      <c r="GL29" s="5" t="s">
        <v>778</v>
      </c>
      <c r="HM29" s="5" t="s">
        <v>313</v>
      </c>
      <c r="HP29" s="5" t="s">
        <v>272</v>
      </c>
      <c r="HQ29" s="5" t="s">
        <v>272</v>
      </c>
      <c r="HR29" s="5" t="s">
        <v>238</v>
      </c>
      <c r="HS29" s="5" t="s">
        <v>238</v>
      </c>
      <c r="HT29" s="5" t="s">
        <v>238</v>
      </c>
      <c r="HU29" s="5" t="s">
        <v>238</v>
      </c>
      <c r="HV29" s="5" t="s">
        <v>238</v>
      </c>
      <c r="HW29" s="5" t="s">
        <v>238</v>
      </c>
      <c r="HX29" s="5" t="s">
        <v>238</v>
      </c>
      <c r="HY29" s="5" t="s">
        <v>238</v>
      </c>
      <c r="HZ29" s="5" t="s">
        <v>238</v>
      </c>
      <c r="IA29" s="5" t="s">
        <v>238</v>
      </c>
      <c r="IB29" s="5" t="s">
        <v>238</v>
      </c>
      <c r="IC29" s="5" t="s">
        <v>238</v>
      </c>
      <c r="ID29" s="5" t="s">
        <v>238</v>
      </c>
    </row>
    <row r="30" spans="1:238" x14ac:dyDescent="0.4">
      <c r="A30" s="5">
        <v>29</v>
      </c>
      <c r="B30" s="5">
        <v>1</v>
      </c>
      <c r="C30" s="5">
        <v>4</v>
      </c>
      <c r="D30" s="5" t="s">
        <v>1943</v>
      </c>
      <c r="E30" s="5" t="s">
        <v>773</v>
      </c>
      <c r="F30" s="5" t="s">
        <v>282</v>
      </c>
      <c r="G30" s="5" t="s">
        <v>775</v>
      </c>
      <c r="H30" s="6" t="s">
        <v>663</v>
      </c>
      <c r="I30" s="5" t="s">
        <v>1941</v>
      </c>
      <c r="J30" s="7">
        <f>480.7</f>
        <v>480.7</v>
      </c>
      <c r="K30" s="5" t="s">
        <v>270</v>
      </c>
      <c r="L30" s="8">
        <f>89724199</f>
        <v>89724199</v>
      </c>
      <c r="M30" s="8">
        <f>166773600</f>
        <v>166773600</v>
      </c>
      <c r="N30" s="6" t="s">
        <v>1944</v>
      </c>
      <c r="O30" s="5" t="s">
        <v>651</v>
      </c>
      <c r="P30" s="5" t="s">
        <v>361</v>
      </c>
      <c r="Q30" s="8">
        <f>7004491</f>
        <v>7004491</v>
      </c>
      <c r="R30" s="8">
        <f>77049401</f>
        <v>77049401</v>
      </c>
      <c r="S30" s="5" t="s">
        <v>240</v>
      </c>
      <c r="T30" s="5" t="s">
        <v>237</v>
      </c>
      <c r="U30" s="5" t="s">
        <v>238</v>
      </c>
      <c r="V30" s="5" t="s">
        <v>238</v>
      </c>
      <c r="W30" s="5" t="s">
        <v>241</v>
      </c>
      <c r="X30" s="5" t="s">
        <v>750</v>
      </c>
      <c r="Y30" s="5" t="s">
        <v>238</v>
      </c>
      <c r="AB30" s="5" t="s">
        <v>238</v>
      </c>
      <c r="AC30" s="6" t="s">
        <v>238</v>
      </c>
      <c r="AD30" s="6" t="s">
        <v>238</v>
      </c>
      <c r="AF30" s="6" t="s">
        <v>238</v>
      </c>
      <c r="AG30" s="6" t="s">
        <v>246</v>
      </c>
      <c r="AH30" s="5" t="s">
        <v>247</v>
      </c>
      <c r="AI30" s="5" t="s">
        <v>248</v>
      </c>
      <c r="AO30" s="5" t="s">
        <v>238</v>
      </c>
      <c r="AP30" s="5" t="s">
        <v>238</v>
      </c>
      <c r="AQ30" s="5" t="s">
        <v>238</v>
      </c>
      <c r="AR30" s="6" t="s">
        <v>238</v>
      </c>
      <c r="AS30" s="6" t="s">
        <v>238</v>
      </c>
      <c r="AT30" s="6" t="s">
        <v>238</v>
      </c>
      <c r="AW30" s="5" t="s">
        <v>304</v>
      </c>
      <c r="AX30" s="5" t="s">
        <v>304</v>
      </c>
      <c r="AY30" s="5" t="s">
        <v>250</v>
      </c>
      <c r="AZ30" s="5" t="s">
        <v>305</v>
      </c>
      <c r="BA30" s="5" t="s">
        <v>251</v>
      </c>
      <c r="BB30" s="5" t="s">
        <v>238</v>
      </c>
      <c r="BC30" s="5" t="s">
        <v>253</v>
      </c>
      <c r="BD30" s="5" t="s">
        <v>238</v>
      </c>
      <c r="BF30" s="5" t="s">
        <v>238</v>
      </c>
      <c r="BH30" s="5" t="s">
        <v>283</v>
      </c>
      <c r="BI30" s="6" t="s">
        <v>293</v>
      </c>
      <c r="BJ30" s="5" t="s">
        <v>294</v>
      </c>
      <c r="BK30" s="5" t="s">
        <v>294</v>
      </c>
      <c r="BL30" s="5" t="s">
        <v>238</v>
      </c>
      <c r="BM30" s="7">
        <f>0</f>
        <v>0</v>
      </c>
      <c r="BN30" s="8">
        <f>-7004491</f>
        <v>-7004491</v>
      </c>
      <c r="BO30" s="5" t="s">
        <v>257</v>
      </c>
      <c r="BP30" s="5" t="s">
        <v>258</v>
      </c>
      <c r="BQ30" s="5" t="s">
        <v>238</v>
      </c>
      <c r="BR30" s="5" t="s">
        <v>238</v>
      </c>
      <c r="BS30" s="5" t="s">
        <v>238</v>
      </c>
      <c r="BT30" s="5" t="s">
        <v>238</v>
      </c>
      <c r="CC30" s="5" t="s">
        <v>258</v>
      </c>
      <c r="CD30" s="5" t="s">
        <v>238</v>
      </c>
      <c r="CE30" s="5" t="s">
        <v>238</v>
      </c>
      <c r="CI30" s="5" t="s">
        <v>259</v>
      </c>
      <c r="CJ30" s="5" t="s">
        <v>260</v>
      </c>
      <c r="CK30" s="5" t="s">
        <v>238</v>
      </c>
      <c r="CM30" s="5" t="s">
        <v>1945</v>
      </c>
      <c r="CN30" s="6" t="s">
        <v>262</v>
      </c>
      <c r="CO30" s="5" t="s">
        <v>263</v>
      </c>
      <c r="CP30" s="5" t="s">
        <v>264</v>
      </c>
      <c r="CQ30" s="5" t="s">
        <v>285</v>
      </c>
      <c r="CR30" s="5" t="s">
        <v>238</v>
      </c>
      <c r="CS30" s="5">
        <v>4.2000000000000003E-2</v>
      </c>
      <c r="CT30" s="5" t="s">
        <v>265</v>
      </c>
      <c r="CU30" s="5" t="s">
        <v>1333</v>
      </c>
      <c r="CV30" s="5" t="s">
        <v>267</v>
      </c>
      <c r="CW30" s="7">
        <f>0</f>
        <v>0</v>
      </c>
      <c r="CX30" s="8">
        <f>166773600</f>
        <v>166773600</v>
      </c>
      <c r="CY30" s="8">
        <f>96728690</f>
        <v>96728690</v>
      </c>
      <c r="DA30" s="5" t="s">
        <v>238</v>
      </c>
      <c r="DB30" s="5" t="s">
        <v>238</v>
      </c>
      <c r="DD30" s="5" t="s">
        <v>238</v>
      </c>
      <c r="DE30" s="8">
        <f>0</f>
        <v>0</v>
      </c>
      <c r="DG30" s="5" t="s">
        <v>238</v>
      </c>
      <c r="DH30" s="5" t="s">
        <v>238</v>
      </c>
      <c r="DI30" s="5" t="s">
        <v>238</v>
      </c>
      <c r="DJ30" s="5" t="s">
        <v>238</v>
      </c>
      <c r="DK30" s="5" t="s">
        <v>271</v>
      </c>
      <c r="DL30" s="5" t="s">
        <v>272</v>
      </c>
      <c r="DM30" s="7">
        <f>480.7</f>
        <v>480.7</v>
      </c>
      <c r="DN30" s="5" t="s">
        <v>238</v>
      </c>
      <c r="DO30" s="5" t="s">
        <v>238</v>
      </c>
      <c r="DP30" s="5" t="s">
        <v>238</v>
      </c>
      <c r="DQ30" s="5" t="s">
        <v>238</v>
      </c>
      <c r="DT30" s="5" t="s">
        <v>1946</v>
      </c>
      <c r="DU30" s="5" t="s">
        <v>271</v>
      </c>
      <c r="GL30" s="5" t="s">
        <v>1947</v>
      </c>
      <c r="HM30" s="5" t="s">
        <v>313</v>
      </c>
      <c r="HP30" s="5" t="s">
        <v>272</v>
      </c>
      <c r="HQ30" s="5" t="s">
        <v>272</v>
      </c>
      <c r="HR30" s="5" t="s">
        <v>238</v>
      </c>
      <c r="HS30" s="5" t="s">
        <v>238</v>
      </c>
      <c r="HT30" s="5" t="s">
        <v>238</v>
      </c>
      <c r="HU30" s="5" t="s">
        <v>238</v>
      </c>
      <c r="HV30" s="5" t="s">
        <v>238</v>
      </c>
      <c r="HW30" s="5" t="s">
        <v>238</v>
      </c>
      <c r="HX30" s="5" t="s">
        <v>238</v>
      </c>
      <c r="HY30" s="5" t="s">
        <v>238</v>
      </c>
      <c r="HZ30" s="5" t="s">
        <v>238</v>
      </c>
      <c r="IA30" s="5" t="s">
        <v>238</v>
      </c>
      <c r="IB30" s="5" t="s">
        <v>238</v>
      </c>
      <c r="IC30" s="5" t="s">
        <v>238</v>
      </c>
      <c r="ID30" s="5" t="s">
        <v>238</v>
      </c>
    </row>
    <row r="31" spans="1:238" x14ac:dyDescent="0.4">
      <c r="A31" s="5">
        <v>30</v>
      </c>
      <c r="B31" s="5">
        <v>1</v>
      </c>
      <c r="C31" s="5">
        <v>4</v>
      </c>
      <c r="D31" s="5" t="s">
        <v>1958</v>
      </c>
      <c r="E31" s="5" t="s">
        <v>773</v>
      </c>
      <c r="F31" s="5" t="s">
        <v>282</v>
      </c>
      <c r="G31" s="5" t="s">
        <v>775</v>
      </c>
      <c r="H31" s="6" t="s">
        <v>1960</v>
      </c>
      <c r="I31" s="5" t="s">
        <v>1941</v>
      </c>
      <c r="J31" s="7">
        <f>496.38</f>
        <v>496.38</v>
      </c>
      <c r="K31" s="5" t="s">
        <v>270</v>
      </c>
      <c r="L31" s="8">
        <f>141801240</f>
        <v>141801240</v>
      </c>
      <c r="M31" s="8">
        <f>187320000</f>
        <v>187320000</v>
      </c>
      <c r="N31" s="6" t="s">
        <v>1959</v>
      </c>
      <c r="O31" s="5" t="s">
        <v>639</v>
      </c>
      <c r="P31" s="5" t="s">
        <v>389</v>
      </c>
      <c r="Q31" s="8">
        <f>5057640</f>
        <v>5057640</v>
      </c>
      <c r="R31" s="8">
        <f>45518760</f>
        <v>45518760</v>
      </c>
      <c r="S31" s="5" t="s">
        <v>240</v>
      </c>
      <c r="T31" s="5" t="s">
        <v>237</v>
      </c>
      <c r="U31" s="5" t="s">
        <v>238</v>
      </c>
      <c r="V31" s="5" t="s">
        <v>238</v>
      </c>
      <c r="W31" s="5" t="s">
        <v>241</v>
      </c>
      <c r="X31" s="5" t="s">
        <v>750</v>
      </c>
      <c r="Y31" s="5" t="s">
        <v>238</v>
      </c>
      <c r="AB31" s="5" t="s">
        <v>238</v>
      </c>
      <c r="AC31" s="6" t="s">
        <v>238</v>
      </c>
      <c r="AD31" s="6" t="s">
        <v>238</v>
      </c>
      <c r="AF31" s="6" t="s">
        <v>238</v>
      </c>
      <c r="AG31" s="6" t="s">
        <v>246</v>
      </c>
      <c r="AH31" s="5" t="s">
        <v>247</v>
      </c>
      <c r="AI31" s="5" t="s">
        <v>248</v>
      </c>
      <c r="AO31" s="5" t="s">
        <v>238</v>
      </c>
      <c r="AP31" s="5" t="s">
        <v>238</v>
      </c>
      <c r="AQ31" s="5" t="s">
        <v>238</v>
      </c>
      <c r="AR31" s="6" t="s">
        <v>238</v>
      </c>
      <c r="AS31" s="6" t="s">
        <v>238</v>
      </c>
      <c r="AT31" s="6" t="s">
        <v>238</v>
      </c>
      <c r="AW31" s="5" t="s">
        <v>304</v>
      </c>
      <c r="AX31" s="5" t="s">
        <v>304</v>
      </c>
      <c r="AY31" s="5" t="s">
        <v>250</v>
      </c>
      <c r="AZ31" s="5" t="s">
        <v>305</v>
      </c>
      <c r="BA31" s="5" t="s">
        <v>251</v>
      </c>
      <c r="BB31" s="5" t="s">
        <v>238</v>
      </c>
      <c r="BC31" s="5" t="s">
        <v>253</v>
      </c>
      <c r="BD31" s="5" t="s">
        <v>238</v>
      </c>
      <c r="BF31" s="5" t="s">
        <v>238</v>
      </c>
      <c r="BH31" s="5" t="s">
        <v>283</v>
      </c>
      <c r="BI31" s="6" t="s">
        <v>293</v>
      </c>
      <c r="BJ31" s="5" t="s">
        <v>294</v>
      </c>
      <c r="BK31" s="5" t="s">
        <v>294</v>
      </c>
      <c r="BL31" s="5" t="s">
        <v>238</v>
      </c>
      <c r="BM31" s="7">
        <f>0</f>
        <v>0</v>
      </c>
      <c r="BN31" s="8">
        <f>-5057640</f>
        <v>-5057640</v>
      </c>
      <c r="BO31" s="5" t="s">
        <v>257</v>
      </c>
      <c r="BP31" s="5" t="s">
        <v>258</v>
      </c>
      <c r="BQ31" s="5" t="s">
        <v>238</v>
      </c>
      <c r="BR31" s="5" t="s">
        <v>238</v>
      </c>
      <c r="BS31" s="5" t="s">
        <v>238</v>
      </c>
      <c r="BT31" s="5" t="s">
        <v>238</v>
      </c>
      <c r="CC31" s="5" t="s">
        <v>258</v>
      </c>
      <c r="CD31" s="5" t="s">
        <v>238</v>
      </c>
      <c r="CE31" s="5" t="s">
        <v>238</v>
      </c>
      <c r="CI31" s="5" t="s">
        <v>259</v>
      </c>
      <c r="CJ31" s="5" t="s">
        <v>260</v>
      </c>
      <c r="CK31" s="5" t="s">
        <v>238</v>
      </c>
      <c r="CM31" s="5" t="s">
        <v>1649</v>
      </c>
      <c r="CN31" s="6" t="s">
        <v>262</v>
      </c>
      <c r="CO31" s="5" t="s">
        <v>263</v>
      </c>
      <c r="CP31" s="5" t="s">
        <v>264</v>
      </c>
      <c r="CQ31" s="5" t="s">
        <v>285</v>
      </c>
      <c r="CR31" s="5" t="s">
        <v>238</v>
      </c>
      <c r="CS31" s="5">
        <v>2.7E-2</v>
      </c>
      <c r="CT31" s="5" t="s">
        <v>265</v>
      </c>
      <c r="CU31" s="5" t="s">
        <v>1333</v>
      </c>
      <c r="CV31" s="5" t="s">
        <v>649</v>
      </c>
      <c r="CW31" s="7">
        <f>0</f>
        <v>0</v>
      </c>
      <c r="CX31" s="8">
        <f>187320000</f>
        <v>187320000</v>
      </c>
      <c r="CY31" s="8">
        <f>146858880</f>
        <v>146858880</v>
      </c>
      <c r="DA31" s="5" t="s">
        <v>238</v>
      </c>
      <c r="DB31" s="5" t="s">
        <v>238</v>
      </c>
      <c r="DD31" s="5" t="s">
        <v>238</v>
      </c>
      <c r="DE31" s="8">
        <f>0</f>
        <v>0</v>
      </c>
      <c r="DG31" s="5" t="s">
        <v>238</v>
      </c>
      <c r="DH31" s="5" t="s">
        <v>238</v>
      </c>
      <c r="DI31" s="5" t="s">
        <v>238</v>
      </c>
      <c r="DJ31" s="5" t="s">
        <v>238</v>
      </c>
      <c r="DK31" s="5" t="s">
        <v>271</v>
      </c>
      <c r="DL31" s="5" t="s">
        <v>272</v>
      </c>
      <c r="DM31" s="7">
        <f>496.38</f>
        <v>496.38</v>
      </c>
      <c r="DN31" s="5" t="s">
        <v>238</v>
      </c>
      <c r="DO31" s="5" t="s">
        <v>238</v>
      </c>
      <c r="DP31" s="5" t="s">
        <v>238</v>
      </c>
      <c r="DQ31" s="5" t="s">
        <v>238</v>
      </c>
      <c r="DT31" s="5" t="s">
        <v>1961</v>
      </c>
      <c r="DU31" s="5" t="s">
        <v>271</v>
      </c>
      <c r="GL31" s="5" t="s">
        <v>1962</v>
      </c>
      <c r="HM31" s="5" t="s">
        <v>313</v>
      </c>
      <c r="HP31" s="5" t="s">
        <v>272</v>
      </c>
      <c r="HQ31" s="5" t="s">
        <v>272</v>
      </c>
      <c r="HR31" s="5" t="s">
        <v>238</v>
      </c>
      <c r="HS31" s="5" t="s">
        <v>238</v>
      </c>
      <c r="HT31" s="5" t="s">
        <v>238</v>
      </c>
      <c r="HU31" s="5" t="s">
        <v>238</v>
      </c>
      <c r="HV31" s="5" t="s">
        <v>238</v>
      </c>
      <c r="HW31" s="5" t="s">
        <v>238</v>
      </c>
      <c r="HX31" s="5" t="s">
        <v>238</v>
      </c>
      <c r="HY31" s="5" t="s">
        <v>238</v>
      </c>
      <c r="HZ31" s="5" t="s">
        <v>238</v>
      </c>
      <c r="IA31" s="5" t="s">
        <v>238</v>
      </c>
      <c r="IB31" s="5" t="s">
        <v>238</v>
      </c>
      <c r="IC31" s="5" t="s">
        <v>238</v>
      </c>
      <c r="ID31" s="5" t="s">
        <v>238</v>
      </c>
    </row>
    <row r="32" spans="1:238" x14ac:dyDescent="0.4">
      <c r="A32" s="5">
        <v>31</v>
      </c>
      <c r="B32" s="5">
        <v>1</v>
      </c>
      <c r="C32" s="5">
        <v>4</v>
      </c>
      <c r="D32" s="5" t="s">
        <v>1963</v>
      </c>
      <c r="E32" s="5" t="s">
        <v>773</v>
      </c>
      <c r="F32" s="5" t="s">
        <v>282</v>
      </c>
      <c r="G32" s="5" t="s">
        <v>775</v>
      </c>
      <c r="H32" s="6" t="s">
        <v>1232</v>
      </c>
      <c r="I32" s="5" t="s">
        <v>1941</v>
      </c>
      <c r="J32" s="7">
        <f>208.36</f>
        <v>208.36</v>
      </c>
      <c r="K32" s="5" t="s">
        <v>270</v>
      </c>
      <c r="L32" s="8">
        <f>10644474</f>
        <v>10644474</v>
      </c>
      <c r="M32" s="8">
        <f>32452650</f>
        <v>32452650</v>
      </c>
      <c r="N32" s="6" t="s">
        <v>1964</v>
      </c>
      <c r="O32" s="5" t="s">
        <v>651</v>
      </c>
      <c r="P32" s="5" t="s">
        <v>1114</v>
      </c>
      <c r="Q32" s="8">
        <f>1363011</f>
        <v>1363011</v>
      </c>
      <c r="R32" s="8">
        <f>21808176</f>
        <v>21808176</v>
      </c>
      <c r="S32" s="5" t="s">
        <v>240</v>
      </c>
      <c r="T32" s="5" t="s">
        <v>237</v>
      </c>
      <c r="U32" s="5" t="s">
        <v>238</v>
      </c>
      <c r="V32" s="5" t="s">
        <v>238</v>
      </c>
      <c r="W32" s="5" t="s">
        <v>241</v>
      </c>
      <c r="X32" s="5" t="s">
        <v>750</v>
      </c>
      <c r="Y32" s="5" t="s">
        <v>238</v>
      </c>
      <c r="AB32" s="5" t="s">
        <v>238</v>
      </c>
      <c r="AC32" s="6" t="s">
        <v>238</v>
      </c>
      <c r="AD32" s="6" t="s">
        <v>238</v>
      </c>
      <c r="AF32" s="6" t="s">
        <v>238</v>
      </c>
      <c r="AG32" s="6" t="s">
        <v>246</v>
      </c>
      <c r="AH32" s="5" t="s">
        <v>247</v>
      </c>
      <c r="AI32" s="5" t="s">
        <v>248</v>
      </c>
      <c r="AO32" s="5" t="s">
        <v>238</v>
      </c>
      <c r="AP32" s="5" t="s">
        <v>238</v>
      </c>
      <c r="AQ32" s="5" t="s">
        <v>238</v>
      </c>
      <c r="AR32" s="6" t="s">
        <v>238</v>
      </c>
      <c r="AS32" s="6" t="s">
        <v>238</v>
      </c>
      <c r="AT32" s="6" t="s">
        <v>238</v>
      </c>
      <c r="AW32" s="5" t="s">
        <v>304</v>
      </c>
      <c r="AX32" s="5" t="s">
        <v>304</v>
      </c>
      <c r="AY32" s="5" t="s">
        <v>250</v>
      </c>
      <c r="AZ32" s="5" t="s">
        <v>305</v>
      </c>
      <c r="BA32" s="5" t="s">
        <v>251</v>
      </c>
      <c r="BB32" s="5" t="s">
        <v>238</v>
      </c>
      <c r="BC32" s="5" t="s">
        <v>253</v>
      </c>
      <c r="BD32" s="5" t="s">
        <v>238</v>
      </c>
      <c r="BF32" s="5" t="s">
        <v>760</v>
      </c>
      <c r="BH32" s="5" t="s">
        <v>283</v>
      </c>
      <c r="BI32" s="6" t="s">
        <v>293</v>
      </c>
      <c r="BJ32" s="5" t="s">
        <v>294</v>
      </c>
      <c r="BK32" s="5" t="s">
        <v>294</v>
      </c>
      <c r="BL32" s="5" t="s">
        <v>238</v>
      </c>
      <c r="BM32" s="7">
        <f>0</f>
        <v>0</v>
      </c>
      <c r="BN32" s="8">
        <f>-1363011</f>
        <v>-1363011</v>
      </c>
      <c r="BO32" s="5" t="s">
        <v>257</v>
      </c>
      <c r="BP32" s="5" t="s">
        <v>258</v>
      </c>
      <c r="BQ32" s="5" t="s">
        <v>238</v>
      </c>
      <c r="BR32" s="5" t="s">
        <v>238</v>
      </c>
      <c r="BS32" s="5" t="s">
        <v>238</v>
      </c>
      <c r="BT32" s="5" t="s">
        <v>238</v>
      </c>
      <c r="CC32" s="5" t="s">
        <v>258</v>
      </c>
      <c r="CD32" s="5" t="s">
        <v>238</v>
      </c>
      <c r="CE32" s="5" t="s">
        <v>238</v>
      </c>
      <c r="CI32" s="5" t="s">
        <v>259</v>
      </c>
      <c r="CJ32" s="5" t="s">
        <v>260</v>
      </c>
      <c r="CK32" s="5" t="s">
        <v>238</v>
      </c>
      <c r="CM32" s="5" t="s">
        <v>1113</v>
      </c>
      <c r="CN32" s="6" t="s">
        <v>262</v>
      </c>
      <c r="CO32" s="5" t="s">
        <v>263</v>
      </c>
      <c r="CP32" s="5" t="s">
        <v>264</v>
      </c>
      <c r="CQ32" s="5" t="s">
        <v>285</v>
      </c>
      <c r="CR32" s="5" t="s">
        <v>238</v>
      </c>
      <c r="CS32" s="5">
        <v>4.2000000000000003E-2</v>
      </c>
      <c r="CT32" s="5" t="s">
        <v>265</v>
      </c>
      <c r="CU32" s="5" t="s">
        <v>1333</v>
      </c>
      <c r="CV32" s="5" t="s">
        <v>267</v>
      </c>
      <c r="CW32" s="7">
        <f>0</f>
        <v>0</v>
      </c>
      <c r="CX32" s="8">
        <f>32452650</f>
        <v>32452650</v>
      </c>
      <c r="CY32" s="8">
        <f>12007485</f>
        <v>12007485</v>
      </c>
      <c r="DA32" s="5" t="s">
        <v>238</v>
      </c>
      <c r="DB32" s="5" t="s">
        <v>238</v>
      </c>
      <c r="DD32" s="5" t="s">
        <v>238</v>
      </c>
      <c r="DE32" s="8">
        <f>0</f>
        <v>0</v>
      </c>
      <c r="DG32" s="5" t="s">
        <v>238</v>
      </c>
      <c r="DH32" s="5" t="s">
        <v>238</v>
      </c>
      <c r="DI32" s="5" t="s">
        <v>238</v>
      </c>
      <c r="DJ32" s="5" t="s">
        <v>238</v>
      </c>
      <c r="DK32" s="5" t="s">
        <v>271</v>
      </c>
      <c r="DL32" s="5" t="s">
        <v>272</v>
      </c>
      <c r="DM32" s="7">
        <f>208.36</f>
        <v>208.36</v>
      </c>
      <c r="DN32" s="5" t="s">
        <v>238</v>
      </c>
      <c r="DO32" s="5" t="s">
        <v>238</v>
      </c>
      <c r="DP32" s="5" t="s">
        <v>238</v>
      </c>
      <c r="DQ32" s="5" t="s">
        <v>238</v>
      </c>
      <c r="DT32" s="5" t="s">
        <v>1965</v>
      </c>
      <c r="DU32" s="5" t="s">
        <v>271</v>
      </c>
      <c r="GL32" s="5" t="s">
        <v>1966</v>
      </c>
      <c r="HM32" s="5" t="s">
        <v>313</v>
      </c>
      <c r="HP32" s="5" t="s">
        <v>272</v>
      </c>
      <c r="HQ32" s="5" t="s">
        <v>272</v>
      </c>
      <c r="HR32" s="5" t="s">
        <v>238</v>
      </c>
      <c r="HS32" s="5" t="s">
        <v>238</v>
      </c>
      <c r="HT32" s="5" t="s">
        <v>238</v>
      </c>
      <c r="HU32" s="5" t="s">
        <v>238</v>
      </c>
      <c r="HV32" s="5" t="s">
        <v>238</v>
      </c>
      <c r="HW32" s="5" t="s">
        <v>238</v>
      </c>
      <c r="HX32" s="5" t="s">
        <v>238</v>
      </c>
      <c r="HY32" s="5" t="s">
        <v>238</v>
      </c>
      <c r="HZ32" s="5" t="s">
        <v>238</v>
      </c>
      <c r="IA32" s="5" t="s">
        <v>238</v>
      </c>
      <c r="IB32" s="5" t="s">
        <v>238</v>
      </c>
      <c r="IC32" s="5" t="s">
        <v>238</v>
      </c>
      <c r="ID32" s="5" t="s">
        <v>238</v>
      </c>
    </row>
    <row r="33" spans="1:238" x14ac:dyDescent="0.4">
      <c r="A33" s="5">
        <v>32</v>
      </c>
      <c r="B33" s="5">
        <v>1</v>
      </c>
      <c r="C33" s="5">
        <v>4</v>
      </c>
      <c r="D33" s="5" t="s">
        <v>1963</v>
      </c>
      <c r="E33" s="5" t="s">
        <v>773</v>
      </c>
      <c r="F33" s="5" t="s">
        <v>282</v>
      </c>
      <c r="G33" s="5" t="s">
        <v>775</v>
      </c>
      <c r="H33" s="6" t="s">
        <v>1232</v>
      </c>
      <c r="I33" s="5" t="s">
        <v>1941</v>
      </c>
      <c r="J33" s="7">
        <f>13.8</f>
        <v>13.8</v>
      </c>
      <c r="K33" s="5" t="s">
        <v>270</v>
      </c>
      <c r="L33" s="8">
        <f>1586276</f>
        <v>1586276</v>
      </c>
      <c r="M33" s="8">
        <f>3494000</f>
        <v>3494000</v>
      </c>
      <c r="N33" s="6" t="s">
        <v>1987</v>
      </c>
      <c r="O33" s="5" t="s">
        <v>651</v>
      </c>
      <c r="P33" s="5" t="s">
        <v>371</v>
      </c>
      <c r="Q33" s="8">
        <f>146748</f>
        <v>146748</v>
      </c>
      <c r="R33" s="8">
        <f>1907724</f>
        <v>1907724</v>
      </c>
      <c r="S33" s="5" t="s">
        <v>240</v>
      </c>
      <c r="T33" s="5" t="s">
        <v>237</v>
      </c>
      <c r="U33" s="5" t="s">
        <v>238</v>
      </c>
      <c r="V33" s="5" t="s">
        <v>238</v>
      </c>
      <c r="W33" s="5" t="s">
        <v>241</v>
      </c>
      <c r="X33" s="5" t="s">
        <v>750</v>
      </c>
      <c r="Y33" s="5" t="s">
        <v>238</v>
      </c>
      <c r="AB33" s="5" t="s">
        <v>238</v>
      </c>
      <c r="AC33" s="6" t="s">
        <v>238</v>
      </c>
      <c r="AD33" s="6" t="s">
        <v>238</v>
      </c>
      <c r="AF33" s="6" t="s">
        <v>238</v>
      </c>
      <c r="AG33" s="6" t="s">
        <v>246</v>
      </c>
      <c r="AH33" s="5" t="s">
        <v>247</v>
      </c>
      <c r="AI33" s="5" t="s">
        <v>248</v>
      </c>
      <c r="AO33" s="5" t="s">
        <v>238</v>
      </c>
      <c r="AP33" s="5" t="s">
        <v>238</v>
      </c>
      <c r="AQ33" s="5" t="s">
        <v>238</v>
      </c>
      <c r="AR33" s="6" t="s">
        <v>238</v>
      </c>
      <c r="AS33" s="6" t="s">
        <v>238</v>
      </c>
      <c r="AT33" s="6" t="s">
        <v>238</v>
      </c>
      <c r="AW33" s="5" t="s">
        <v>304</v>
      </c>
      <c r="AX33" s="5" t="s">
        <v>304</v>
      </c>
      <c r="AY33" s="5" t="s">
        <v>250</v>
      </c>
      <c r="AZ33" s="5" t="s">
        <v>305</v>
      </c>
      <c r="BA33" s="5" t="s">
        <v>251</v>
      </c>
      <c r="BB33" s="5" t="s">
        <v>238</v>
      </c>
      <c r="BC33" s="5" t="s">
        <v>253</v>
      </c>
      <c r="BD33" s="5" t="s">
        <v>238</v>
      </c>
      <c r="BF33" s="5" t="s">
        <v>238</v>
      </c>
      <c r="BH33" s="5" t="s">
        <v>283</v>
      </c>
      <c r="BI33" s="6" t="s">
        <v>293</v>
      </c>
      <c r="BJ33" s="5" t="s">
        <v>294</v>
      </c>
      <c r="BK33" s="5" t="s">
        <v>294</v>
      </c>
      <c r="BL33" s="5" t="s">
        <v>238</v>
      </c>
      <c r="BM33" s="7">
        <f>0</f>
        <v>0</v>
      </c>
      <c r="BN33" s="8">
        <f>-146748</f>
        <v>-146748</v>
      </c>
      <c r="BO33" s="5" t="s">
        <v>257</v>
      </c>
      <c r="BP33" s="5" t="s">
        <v>258</v>
      </c>
      <c r="BQ33" s="5" t="s">
        <v>238</v>
      </c>
      <c r="BR33" s="5" t="s">
        <v>238</v>
      </c>
      <c r="BS33" s="5" t="s">
        <v>238</v>
      </c>
      <c r="BT33" s="5" t="s">
        <v>238</v>
      </c>
      <c r="CC33" s="5" t="s">
        <v>258</v>
      </c>
      <c r="CD33" s="5" t="s">
        <v>238</v>
      </c>
      <c r="CE33" s="5" t="s">
        <v>238</v>
      </c>
      <c r="CI33" s="5" t="s">
        <v>259</v>
      </c>
      <c r="CJ33" s="5" t="s">
        <v>260</v>
      </c>
      <c r="CK33" s="5" t="s">
        <v>238</v>
      </c>
      <c r="CM33" s="5" t="s">
        <v>732</v>
      </c>
      <c r="CN33" s="6" t="s">
        <v>262</v>
      </c>
      <c r="CO33" s="5" t="s">
        <v>263</v>
      </c>
      <c r="CP33" s="5" t="s">
        <v>264</v>
      </c>
      <c r="CQ33" s="5" t="s">
        <v>285</v>
      </c>
      <c r="CR33" s="5" t="s">
        <v>238</v>
      </c>
      <c r="CS33" s="5">
        <v>4.2000000000000003E-2</v>
      </c>
      <c r="CT33" s="5" t="s">
        <v>265</v>
      </c>
      <c r="CU33" s="5" t="s">
        <v>1333</v>
      </c>
      <c r="CV33" s="5" t="s">
        <v>267</v>
      </c>
      <c r="CW33" s="7">
        <f>0</f>
        <v>0</v>
      </c>
      <c r="CX33" s="8">
        <f>3494000</f>
        <v>3494000</v>
      </c>
      <c r="CY33" s="8">
        <f>1733024</f>
        <v>1733024</v>
      </c>
      <c r="DA33" s="5" t="s">
        <v>238</v>
      </c>
      <c r="DB33" s="5" t="s">
        <v>238</v>
      </c>
      <c r="DD33" s="5" t="s">
        <v>238</v>
      </c>
      <c r="DE33" s="8">
        <f>0</f>
        <v>0</v>
      </c>
      <c r="DG33" s="5" t="s">
        <v>238</v>
      </c>
      <c r="DH33" s="5" t="s">
        <v>238</v>
      </c>
      <c r="DI33" s="5" t="s">
        <v>238</v>
      </c>
      <c r="DJ33" s="5" t="s">
        <v>238</v>
      </c>
      <c r="DK33" s="5" t="s">
        <v>271</v>
      </c>
      <c r="DL33" s="5" t="s">
        <v>272</v>
      </c>
      <c r="DM33" s="7">
        <f>13.8</f>
        <v>13.8</v>
      </c>
      <c r="DN33" s="5" t="s">
        <v>238</v>
      </c>
      <c r="DO33" s="5" t="s">
        <v>238</v>
      </c>
      <c r="DP33" s="5" t="s">
        <v>238</v>
      </c>
      <c r="DQ33" s="5" t="s">
        <v>238</v>
      </c>
      <c r="DT33" s="5" t="s">
        <v>1965</v>
      </c>
      <c r="DU33" s="5" t="s">
        <v>274</v>
      </c>
      <c r="GL33" s="5" t="s">
        <v>1988</v>
      </c>
      <c r="HM33" s="5" t="s">
        <v>313</v>
      </c>
      <c r="HP33" s="5" t="s">
        <v>272</v>
      </c>
      <c r="HQ33" s="5" t="s">
        <v>272</v>
      </c>
      <c r="HR33" s="5" t="s">
        <v>238</v>
      </c>
      <c r="HS33" s="5" t="s">
        <v>238</v>
      </c>
      <c r="HT33" s="5" t="s">
        <v>238</v>
      </c>
      <c r="HU33" s="5" t="s">
        <v>238</v>
      </c>
      <c r="HV33" s="5" t="s">
        <v>238</v>
      </c>
      <c r="HW33" s="5" t="s">
        <v>238</v>
      </c>
      <c r="HX33" s="5" t="s">
        <v>238</v>
      </c>
      <c r="HY33" s="5" t="s">
        <v>238</v>
      </c>
      <c r="HZ33" s="5" t="s">
        <v>238</v>
      </c>
      <c r="IA33" s="5" t="s">
        <v>238</v>
      </c>
      <c r="IB33" s="5" t="s">
        <v>238</v>
      </c>
      <c r="IC33" s="5" t="s">
        <v>238</v>
      </c>
      <c r="ID33" s="5" t="s">
        <v>238</v>
      </c>
    </row>
    <row r="34" spans="1:238" x14ac:dyDescent="0.4">
      <c r="A34" s="5">
        <v>33</v>
      </c>
      <c r="B34" s="5">
        <v>1</v>
      </c>
      <c r="C34" s="5">
        <v>4</v>
      </c>
      <c r="D34" s="5" t="s">
        <v>2032</v>
      </c>
      <c r="E34" s="5" t="s">
        <v>773</v>
      </c>
      <c r="F34" s="5" t="s">
        <v>282</v>
      </c>
      <c r="G34" s="5" t="s">
        <v>775</v>
      </c>
      <c r="H34" s="6" t="s">
        <v>2035</v>
      </c>
      <c r="I34" s="5" t="s">
        <v>1941</v>
      </c>
      <c r="J34" s="7">
        <f>497.48</f>
        <v>497.48</v>
      </c>
      <c r="K34" s="5" t="s">
        <v>270</v>
      </c>
      <c r="L34" s="8">
        <f>181201730</f>
        <v>181201730</v>
      </c>
      <c r="M34" s="8">
        <f>223430000</f>
        <v>223430000</v>
      </c>
      <c r="N34" s="6" t="s">
        <v>2033</v>
      </c>
      <c r="O34" s="5" t="s">
        <v>639</v>
      </c>
      <c r="P34" s="5" t="s">
        <v>379</v>
      </c>
      <c r="Q34" s="8">
        <f>6032610</f>
        <v>6032610</v>
      </c>
      <c r="R34" s="8">
        <f>42228270</f>
        <v>42228270</v>
      </c>
      <c r="S34" s="5" t="s">
        <v>240</v>
      </c>
      <c r="T34" s="5" t="s">
        <v>237</v>
      </c>
      <c r="U34" s="5" t="s">
        <v>238</v>
      </c>
      <c r="V34" s="5" t="s">
        <v>238</v>
      </c>
      <c r="W34" s="5" t="s">
        <v>241</v>
      </c>
      <c r="X34" s="5" t="s">
        <v>750</v>
      </c>
      <c r="Y34" s="5" t="s">
        <v>238</v>
      </c>
      <c r="AB34" s="5" t="s">
        <v>238</v>
      </c>
      <c r="AC34" s="6" t="s">
        <v>238</v>
      </c>
      <c r="AD34" s="6" t="s">
        <v>238</v>
      </c>
      <c r="AF34" s="6" t="s">
        <v>238</v>
      </c>
      <c r="AG34" s="6" t="s">
        <v>2034</v>
      </c>
      <c r="AH34" s="5" t="s">
        <v>247</v>
      </c>
      <c r="AI34" s="5" t="s">
        <v>248</v>
      </c>
      <c r="AO34" s="5" t="s">
        <v>238</v>
      </c>
      <c r="AP34" s="5" t="s">
        <v>238</v>
      </c>
      <c r="AQ34" s="5" t="s">
        <v>238</v>
      </c>
      <c r="AR34" s="6" t="s">
        <v>238</v>
      </c>
      <c r="AS34" s="6" t="s">
        <v>238</v>
      </c>
      <c r="AT34" s="6" t="s">
        <v>238</v>
      </c>
      <c r="AW34" s="5" t="s">
        <v>304</v>
      </c>
      <c r="AX34" s="5" t="s">
        <v>304</v>
      </c>
      <c r="AY34" s="5" t="s">
        <v>250</v>
      </c>
      <c r="AZ34" s="5" t="s">
        <v>305</v>
      </c>
      <c r="BA34" s="5" t="s">
        <v>251</v>
      </c>
      <c r="BB34" s="5" t="s">
        <v>238</v>
      </c>
      <c r="BC34" s="5" t="s">
        <v>253</v>
      </c>
      <c r="BD34" s="5" t="s">
        <v>238</v>
      </c>
      <c r="BF34" s="5" t="s">
        <v>238</v>
      </c>
      <c r="BH34" s="5" t="s">
        <v>283</v>
      </c>
      <c r="BI34" s="6" t="s">
        <v>293</v>
      </c>
      <c r="BJ34" s="5" t="s">
        <v>294</v>
      </c>
      <c r="BK34" s="5" t="s">
        <v>294</v>
      </c>
      <c r="BL34" s="5" t="s">
        <v>238</v>
      </c>
      <c r="BM34" s="7">
        <f>0</f>
        <v>0</v>
      </c>
      <c r="BN34" s="8">
        <f>-6032610</f>
        <v>-6032610</v>
      </c>
      <c r="BO34" s="5" t="s">
        <v>257</v>
      </c>
      <c r="BP34" s="5" t="s">
        <v>258</v>
      </c>
      <c r="BQ34" s="5" t="s">
        <v>238</v>
      </c>
      <c r="BR34" s="5" t="s">
        <v>238</v>
      </c>
      <c r="BS34" s="5" t="s">
        <v>238</v>
      </c>
      <c r="BT34" s="5" t="s">
        <v>238</v>
      </c>
      <c r="CC34" s="5" t="s">
        <v>258</v>
      </c>
      <c r="CD34" s="5" t="s">
        <v>238</v>
      </c>
      <c r="CE34" s="5" t="s">
        <v>238</v>
      </c>
      <c r="CI34" s="5" t="s">
        <v>259</v>
      </c>
      <c r="CJ34" s="5" t="s">
        <v>260</v>
      </c>
      <c r="CK34" s="5" t="s">
        <v>238</v>
      </c>
      <c r="CM34" s="5" t="s">
        <v>1358</v>
      </c>
      <c r="CN34" s="6" t="s">
        <v>262</v>
      </c>
      <c r="CO34" s="5" t="s">
        <v>263</v>
      </c>
      <c r="CP34" s="5" t="s">
        <v>264</v>
      </c>
      <c r="CQ34" s="5" t="s">
        <v>285</v>
      </c>
      <c r="CR34" s="5" t="s">
        <v>238</v>
      </c>
      <c r="CS34" s="5">
        <v>2.7E-2</v>
      </c>
      <c r="CT34" s="5" t="s">
        <v>265</v>
      </c>
      <c r="CU34" s="5" t="s">
        <v>1333</v>
      </c>
      <c r="CV34" s="5" t="s">
        <v>649</v>
      </c>
      <c r="CW34" s="7">
        <f>0</f>
        <v>0</v>
      </c>
      <c r="CX34" s="8">
        <f>223430000</f>
        <v>223430000</v>
      </c>
      <c r="CY34" s="8">
        <f>187234340</f>
        <v>187234340</v>
      </c>
      <c r="DA34" s="5" t="s">
        <v>238</v>
      </c>
      <c r="DB34" s="5" t="s">
        <v>238</v>
      </c>
      <c r="DD34" s="5" t="s">
        <v>238</v>
      </c>
      <c r="DE34" s="8">
        <f>0</f>
        <v>0</v>
      </c>
      <c r="DG34" s="5" t="s">
        <v>238</v>
      </c>
      <c r="DH34" s="5" t="s">
        <v>238</v>
      </c>
      <c r="DI34" s="5" t="s">
        <v>238</v>
      </c>
      <c r="DJ34" s="5" t="s">
        <v>238</v>
      </c>
      <c r="DK34" s="5" t="s">
        <v>274</v>
      </c>
      <c r="DL34" s="5" t="s">
        <v>272</v>
      </c>
      <c r="DM34" s="7">
        <f>497.48</f>
        <v>497.48</v>
      </c>
      <c r="DN34" s="5" t="s">
        <v>238</v>
      </c>
      <c r="DO34" s="5" t="s">
        <v>238</v>
      </c>
      <c r="DP34" s="5" t="s">
        <v>238</v>
      </c>
      <c r="DQ34" s="5" t="s">
        <v>238</v>
      </c>
      <c r="DT34" s="5" t="s">
        <v>2036</v>
      </c>
      <c r="DU34" s="5" t="s">
        <v>271</v>
      </c>
      <c r="GL34" s="5" t="s">
        <v>2037</v>
      </c>
      <c r="HM34" s="5" t="s">
        <v>313</v>
      </c>
      <c r="HP34" s="5" t="s">
        <v>272</v>
      </c>
      <c r="HQ34" s="5" t="s">
        <v>272</v>
      </c>
      <c r="HR34" s="5" t="s">
        <v>238</v>
      </c>
      <c r="HS34" s="5" t="s">
        <v>238</v>
      </c>
      <c r="HT34" s="5" t="s">
        <v>238</v>
      </c>
      <c r="HU34" s="5" t="s">
        <v>238</v>
      </c>
      <c r="HV34" s="5" t="s">
        <v>238</v>
      </c>
      <c r="HW34" s="5" t="s">
        <v>238</v>
      </c>
      <c r="HX34" s="5" t="s">
        <v>238</v>
      </c>
      <c r="HY34" s="5" t="s">
        <v>238</v>
      </c>
      <c r="HZ34" s="5" t="s">
        <v>238</v>
      </c>
      <c r="IA34" s="5" t="s">
        <v>238</v>
      </c>
      <c r="IB34" s="5" t="s">
        <v>238</v>
      </c>
      <c r="IC34" s="5" t="s">
        <v>238</v>
      </c>
      <c r="ID34" s="5" t="s">
        <v>238</v>
      </c>
    </row>
    <row r="35" spans="1:238" x14ac:dyDescent="0.4">
      <c r="A35" s="5">
        <v>34</v>
      </c>
      <c r="B35" s="5">
        <v>1</v>
      </c>
      <c r="C35" s="5">
        <v>4</v>
      </c>
      <c r="D35" s="5" t="s">
        <v>788</v>
      </c>
      <c r="E35" s="5" t="s">
        <v>2933</v>
      </c>
      <c r="F35" s="5" t="s">
        <v>282</v>
      </c>
      <c r="G35" s="5" t="s">
        <v>349</v>
      </c>
      <c r="H35" s="6" t="s">
        <v>790</v>
      </c>
      <c r="I35" s="5" t="s">
        <v>2937</v>
      </c>
      <c r="J35" s="7">
        <f>0</f>
        <v>0</v>
      </c>
      <c r="K35" s="5" t="s">
        <v>270</v>
      </c>
      <c r="L35" s="8">
        <f>5744132</f>
        <v>5744132</v>
      </c>
      <c r="M35" s="8">
        <f>17301600</f>
        <v>17301600</v>
      </c>
      <c r="N35" s="6" t="s">
        <v>2938</v>
      </c>
      <c r="O35" s="5" t="s">
        <v>313</v>
      </c>
      <c r="P35" s="5" t="s">
        <v>274</v>
      </c>
      <c r="Q35" s="8">
        <f>2889367</f>
        <v>2889367</v>
      </c>
      <c r="R35" s="8">
        <f>11557468</f>
        <v>11557468</v>
      </c>
      <c r="S35" s="5" t="s">
        <v>240</v>
      </c>
      <c r="T35" s="5" t="s">
        <v>287</v>
      </c>
      <c r="U35" s="5" t="s">
        <v>238</v>
      </c>
      <c r="V35" s="5" t="s">
        <v>238</v>
      </c>
      <c r="W35" s="5" t="s">
        <v>241</v>
      </c>
      <c r="X35" s="5" t="s">
        <v>238</v>
      </c>
      <c r="Y35" s="5" t="s">
        <v>238</v>
      </c>
      <c r="AB35" s="5" t="s">
        <v>238</v>
      </c>
      <c r="AC35" s="6" t="s">
        <v>238</v>
      </c>
      <c r="AD35" s="6" t="s">
        <v>238</v>
      </c>
      <c r="AF35" s="6" t="s">
        <v>238</v>
      </c>
      <c r="AG35" s="6" t="s">
        <v>2034</v>
      </c>
      <c r="AH35" s="5" t="s">
        <v>247</v>
      </c>
      <c r="AI35" s="5" t="s">
        <v>248</v>
      </c>
      <c r="AO35" s="5" t="s">
        <v>238</v>
      </c>
      <c r="AP35" s="5" t="s">
        <v>238</v>
      </c>
      <c r="AQ35" s="5" t="s">
        <v>238</v>
      </c>
      <c r="AR35" s="6" t="s">
        <v>238</v>
      </c>
      <c r="AS35" s="6" t="s">
        <v>238</v>
      </c>
      <c r="AT35" s="6" t="s">
        <v>238</v>
      </c>
      <c r="AW35" s="5" t="s">
        <v>304</v>
      </c>
      <c r="AX35" s="5" t="s">
        <v>304</v>
      </c>
      <c r="AY35" s="5" t="s">
        <v>250</v>
      </c>
      <c r="AZ35" s="5" t="s">
        <v>305</v>
      </c>
      <c r="BA35" s="5" t="s">
        <v>251</v>
      </c>
      <c r="BB35" s="5" t="s">
        <v>238</v>
      </c>
      <c r="BC35" s="5" t="s">
        <v>253</v>
      </c>
      <c r="BD35" s="5" t="s">
        <v>238</v>
      </c>
      <c r="BF35" s="5" t="s">
        <v>238</v>
      </c>
      <c r="BH35" s="5" t="s">
        <v>283</v>
      </c>
      <c r="BI35" s="6" t="s">
        <v>293</v>
      </c>
      <c r="BJ35" s="5" t="s">
        <v>294</v>
      </c>
      <c r="BK35" s="5" t="s">
        <v>294</v>
      </c>
      <c r="BL35" s="5" t="s">
        <v>238</v>
      </c>
      <c r="BM35" s="7">
        <f>0</f>
        <v>0</v>
      </c>
      <c r="BN35" s="8">
        <f>-2889367</f>
        <v>-2889367</v>
      </c>
      <c r="BO35" s="5" t="s">
        <v>257</v>
      </c>
      <c r="BP35" s="5" t="s">
        <v>258</v>
      </c>
      <c r="BQ35" s="5" t="s">
        <v>238</v>
      </c>
      <c r="BR35" s="5" t="s">
        <v>238</v>
      </c>
      <c r="BS35" s="5" t="s">
        <v>238</v>
      </c>
      <c r="BT35" s="5" t="s">
        <v>238</v>
      </c>
      <c r="CC35" s="5" t="s">
        <v>258</v>
      </c>
      <c r="CD35" s="5" t="s">
        <v>238</v>
      </c>
      <c r="CE35" s="5" t="s">
        <v>238</v>
      </c>
      <c r="CI35" s="5" t="s">
        <v>259</v>
      </c>
      <c r="CJ35" s="5" t="s">
        <v>260</v>
      </c>
      <c r="CK35" s="5" t="s">
        <v>238</v>
      </c>
      <c r="CM35" s="5" t="s">
        <v>402</v>
      </c>
      <c r="CN35" s="6" t="s">
        <v>262</v>
      </c>
      <c r="CO35" s="5" t="s">
        <v>263</v>
      </c>
      <c r="CP35" s="5" t="s">
        <v>264</v>
      </c>
      <c r="CQ35" s="5" t="s">
        <v>285</v>
      </c>
      <c r="CR35" s="5" t="s">
        <v>238</v>
      </c>
      <c r="CS35" s="5">
        <v>0.16700000000000001</v>
      </c>
      <c r="CT35" s="5" t="s">
        <v>265</v>
      </c>
      <c r="CU35" s="5" t="s">
        <v>351</v>
      </c>
      <c r="CV35" s="5" t="s">
        <v>2939</v>
      </c>
      <c r="CW35" s="7">
        <f>0</f>
        <v>0</v>
      </c>
      <c r="CX35" s="8">
        <f>17301600</f>
        <v>17301600</v>
      </c>
      <c r="CY35" s="8">
        <f>8633499</f>
        <v>8633499</v>
      </c>
      <c r="DA35" s="5" t="s">
        <v>238</v>
      </c>
      <c r="DB35" s="5" t="s">
        <v>238</v>
      </c>
      <c r="DD35" s="5" t="s">
        <v>238</v>
      </c>
      <c r="DE35" s="8">
        <f>0</f>
        <v>0</v>
      </c>
      <c r="DG35" s="5" t="s">
        <v>238</v>
      </c>
      <c r="DH35" s="5" t="s">
        <v>238</v>
      </c>
      <c r="DI35" s="5" t="s">
        <v>238</v>
      </c>
      <c r="DJ35" s="5" t="s">
        <v>238</v>
      </c>
      <c r="DK35" s="5" t="s">
        <v>272</v>
      </c>
      <c r="DL35" s="5" t="s">
        <v>272</v>
      </c>
      <c r="DM35" s="8" t="s">
        <v>238</v>
      </c>
      <c r="DN35" s="5" t="s">
        <v>238</v>
      </c>
      <c r="DO35" s="5" t="s">
        <v>238</v>
      </c>
      <c r="DP35" s="5" t="s">
        <v>238</v>
      </c>
      <c r="DQ35" s="5" t="s">
        <v>238</v>
      </c>
      <c r="DT35" s="5" t="s">
        <v>2935</v>
      </c>
      <c r="DU35" s="5" t="s">
        <v>271</v>
      </c>
      <c r="GL35" s="5" t="s">
        <v>2940</v>
      </c>
      <c r="HM35" s="5" t="s">
        <v>310</v>
      </c>
      <c r="HP35" s="5" t="s">
        <v>272</v>
      </c>
      <c r="HQ35" s="5" t="s">
        <v>272</v>
      </c>
      <c r="HR35" s="5" t="s">
        <v>238</v>
      </c>
      <c r="HS35" s="5" t="s">
        <v>238</v>
      </c>
      <c r="HT35" s="5" t="s">
        <v>238</v>
      </c>
      <c r="HU35" s="5" t="s">
        <v>238</v>
      </c>
      <c r="HV35" s="5" t="s">
        <v>238</v>
      </c>
      <c r="HW35" s="5" t="s">
        <v>238</v>
      </c>
      <c r="HX35" s="5" t="s">
        <v>238</v>
      </c>
      <c r="HY35" s="5" t="s">
        <v>238</v>
      </c>
      <c r="HZ35" s="5" t="s">
        <v>238</v>
      </c>
      <c r="IA35" s="5" t="s">
        <v>238</v>
      </c>
      <c r="IB35" s="5" t="s">
        <v>238</v>
      </c>
      <c r="IC35" s="5" t="s">
        <v>238</v>
      </c>
      <c r="ID35" s="5" t="s">
        <v>238</v>
      </c>
    </row>
    <row r="36" spans="1:238" x14ac:dyDescent="0.4">
      <c r="A36" s="5">
        <v>35</v>
      </c>
      <c r="B36" s="5">
        <v>1</v>
      </c>
      <c r="C36" s="5">
        <v>4</v>
      </c>
      <c r="D36" s="5" t="s">
        <v>788</v>
      </c>
      <c r="E36" s="5" t="s">
        <v>2933</v>
      </c>
      <c r="F36" s="5" t="s">
        <v>282</v>
      </c>
      <c r="G36" s="5" t="s">
        <v>349</v>
      </c>
      <c r="H36" s="6" t="s">
        <v>790</v>
      </c>
      <c r="I36" s="5" t="s">
        <v>2932</v>
      </c>
      <c r="J36" s="7">
        <f>0</f>
        <v>0</v>
      </c>
      <c r="K36" s="5" t="s">
        <v>270</v>
      </c>
      <c r="L36" s="8">
        <f>65450000</f>
        <v>65450000</v>
      </c>
      <c r="M36" s="8">
        <f>93500000</f>
        <v>93500000</v>
      </c>
      <c r="N36" s="6" t="s">
        <v>2934</v>
      </c>
      <c r="O36" s="5" t="s">
        <v>377</v>
      </c>
      <c r="P36" s="5" t="s">
        <v>271</v>
      </c>
      <c r="Q36" s="8">
        <f>9350000</f>
        <v>9350000</v>
      </c>
      <c r="R36" s="8">
        <f>28050000</f>
        <v>28050000</v>
      </c>
      <c r="S36" s="5" t="s">
        <v>240</v>
      </c>
      <c r="T36" s="5" t="s">
        <v>287</v>
      </c>
      <c r="U36" s="5" t="s">
        <v>238</v>
      </c>
      <c r="V36" s="5" t="s">
        <v>238</v>
      </c>
      <c r="W36" s="5" t="s">
        <v>241</v>
      </c>
      <c r="X36" s="5" t="s">
        <v>238</v>
      </c>
      <c r="Y36" s="5" t="s">
        <v>238</v>
      </c>
      <c r="AB36" s="5" t="s">
        <v>238</v>
      </c>
      <c r="AC36" s="6" t="s">
        <v>238</v>
      </c>
      <c r="AD36" s="6" t="s">
        <v>238</v>
      </c>
      <c r="AF36" s="6" t="s">
        <v>238</v>
      </c>
      <c r="AG36" s="6" t="s">
        <v>2034</v>
      </c>
      <c r="AH36" s="5" t="s">
        <v>247</v>
      </c>
      <c r="AI36" s="5" t="s">
        <v>248</v>
      </c>
      <c r="AO36" s="5" t="s">
        <v>238</v>
      </c>
      <c r="AP36" s="5" t="s">
        <v>238</v>
      </c>
      <c r="AQ36" s="5" t="s">
        <v>238</v>
      </c>
      <c r="AR36" s="6" t="s">
        <v>238</v>
      </c>
      <c r="AS36" s="6" t="s">
        <v>238</v>
      </c>
      <c r="AT36" s="6" t="s">
        <v>238</v>
      </c>
      <c r="AW36" s="5" t="s">
        <v>304</v>
      </c>
      <c r="AX36" s="5" t="s">
        <v>304</v>
      </c>
      <c r="AY36" s="5" t="s">
        <v>250</v>
      </c>
      <c r="AZ36" s="5" t="s">
        <v>305</v>
      </c>
      <c r="BA36" s="5" t="s">
        <v>251</v>
      </c>
      <c r="BB36" s="5" t="s">
        <v>238</v>
      </c>
      <c r="BC36" s="5" t="s">
        <v>253</v>
      </c>
      <c r="BD36" s="5" t="s">
        <v>238</v>
      </c>
      <c r="BF36" s="5" t="s">
        <v>238</v>
      </c>
      <c r="BH36" s="5" t="s">
        <v>283</v>
      </c>
      <c r="BI36" s="6" t="s">
        <v>293</v>
      </c>
      <c r="BJ36" s="5" t="s">
        <v>294</v>
      </c>
      <c r="BK36" s="5" t="s">
        <v>294</v>
      </c>
      <c r="BL36" s="5" t="s">
        <v>238</v>
      </c>
      <c r="BM36" s="7">
        <f>0</f>
        <v>0</v>
      </c>
      <c r="BN36" s="8">
        <f>-9350000</f>
        <v>-9350000</v>
      </c>
      <c r="BO36" s="5" t="s">
        <v>257</v>
      </c>
      <c r="BP36" s="5" t="s">
        <v>258</v>
      </c>
      <c r="BQ36" s="5" t="s">
        <v>238</v>
      </c>
      <c r="BR36" s="5" t="s">
        <v>238</v>
      </c>
      <c r="BS36" s="5" t="s">
        <v>238</v>
      </c>
      <c r="BT36" s="5" t="s">
        <v>238</v>
      </c>
      <c r="CC36" s="5" t="s">
        <v>258</v>
      </c>
      <c r="CD36" s="5" t="s">
        <v>238</v>
      </c>
      <c r="CE36" s="5" t="s">
        <v>238</v>
      </c>
      <c r="CI36" s="5" t="s">
        <v>259</v>
      </c>
      <c r="CJ36" s="5" t="s">
        <v>260</v>
      </c>
      <c r="CK36" s="5" t="s">
        <v>238</v>
      </c>
      <c r="CM36" s="5" t="s">
        <v>291</v>
      </c>
      <c r="CN36" s="6" t="s">
        <v>262</v>
      </c>
      <c r="CO36" s="5" t="s">
        <v>263</v>
      </c>
      <c r="CP36" s="5" t="s">
        <v>264</v>
      </c>
      <c r="CQ36" s="5" t="s">
        <v>285</v>
      </c>
      <c r="CR36" s="5" t="s">
        <v>238</v>
      </c>
      <c r="CS36" s="5">
        <v>0.1</v>
      </c>
      <c r="CT36" s="5" t="s">
        <v>265</v>
      </c>
      <c r="CU36" s="5" t="s">
        <v>351</v>
      </c>
      <c r="CV36" s="5" t="s">
        <v>458</v>
      </c>
      <c r="CW36" s="7">
        <f>0</f>
        <v>0</v>
      </c>
      <c r="CX36" s="8">
        <f>93500000</f>
        <v>93500000</v>
      </c>
      <c r="CY36" s="8">
        <f>74800000</f>
        <v>74800000</v>
      </c>
      <c r="DA36" s="5" t="s">
        <v>238</v>
      </c>
      <c r="DB36" s="5" t="s">
        <v>238</v>
      </c>
      <c r="DD36" s="5" t="s">
        <v>238</v>
      </c>
      <c r="DE36" s="8">
        <f>0</f>
        <v>0</v>
      </c>
      <c r="DG36" s="5" t="s">
        <v>238</v>
      </c>
      <c r="DH36" s="5" t="s">
        <v>238</v>
      </c>
      <c r="DI36" s="5" t="s">
        <v>238</v>
      </c>
      <c r="DJ36" s="5" t="s">
        <v>238</v>
      </c>
      <c r="DK36" s="5" t="s">
        <v>272</v>
      </c>
      <c r="DL36" s="5" t="s">
        <v>272</v>
      </c>
      <c r="DM36" s="8" t="s">
        <v>238</v>
      </c>
      <c r="DN36" s="5" t="s">
        <v>238</v>
      </c>
      <c r="DO36" s="5" t="s">
        <v>238</v>
      </c>
      <c r="DP36" s="5" t="s">
        <v>238</v>
      </c>
      <c r="DQ36" s="5" t="s">
        <v>238</v>
      </c>
      <c r="DT36" s="5" t="s">
        <v>2935</v>
      </c>
      <c r="DU36" s="5" t="s">
        <v>274</v>
      </c>
      <c r="GL36" s="5" t="s">
        <v>2936</v>
      </c>
      <c r="HM36" s="5" t="s">
        <v>356</v>
      </c>
      <c r="HP36" s="5" t="s">
        <v>272</v>
      </c>
      <c r="HQ36" s="5" t="s">
        <v>272</v>
      </c>
      <c r="HR36" s="5" t="s">
        <v>238</v>
      </c>
      <c r="HS36" s="5" t="s">
        <v>238</v>
      </c>
      <c r="HT36" s="5" t="s">
        <v>238</v>
      </c>
      <c r="HU36" s="5" t="s">
        <v>238</v>
      </c>
      <c r="HV36" s="5" t="s">
        <v>238</v>
      </c>
      <c r="HW36" s="5" t="s">
        <v>238</v>
      </c>
      <c r="HX36" s="5" t="s">
        <v>238</v>
      </c>
      <c r="HY36" s="5" t="s">
        <v>238</v>
      </c>
      <c r="HZ36" s="5" t="s">
        <v>238</v>
      </c>
      <c r="IA36" s="5" t="s">
        <v>238</v>
      </c>
      <c r="IB36" s="5" t="s">
        <v>238</v>
      </c>
      <c r="IC36" s="5" t="s">
        <v>238</v>
      </c>
      <c r="ID36" s="5" t="s">
        <v>238</v>
      </c>
    </row>
    <row r="37" spans="1:238" x14ac:dyDescent="0.4">
      <c r="A37" s="5">
        <v>36</v>
      </c>
      <c r="B37" s="5">
        <v>1</v>
      </c>
      <c r="C37" s="5">
        <v>6</v>
      </c>
      <c r="D37" s="5" t="s">
        <v>4120</v>
      </c>
      <c r="E37" s="5" t="s">
        <v>751</v>
      </c>
      <c r="F37" s="5" t="s">
        <v>282</v>
      </c>
      <c r="G37" s="5" t="s">
        <v>752</v>
      </c>
      <c r="H37" s="6" t="s">
        <v>4121</v>
      </c>
      <c r="I37" s="5" t="s">
        <v>4119</v>
      </c>
      <c r="J37" s="7">
        <f>19.87</f>
        <v>19.87</v>
      </c>
      <c r="K37" s="5" t="s">
        <v>270</v>
      </c>
      <c r="L37" s="8">
        <f>1000440</f>
        <v>1000440</v>
      </c>
      <c r="M37" s="8">
        <f>2520000</f>
        <v>2520000</v>
      </c>
      <c r="N37" s="6" t="s">
        <v>3695</v>
      </c>
      <c r="O37" s="5" t="s">
        <v>268</v>
      </c>
      <c r="P37" s="5" t="s">
        <v>389</v>
      </c>
      <c r="Q37" s="8">
        <f>168840</f>
        <v>168840</v>
      </c>
      <c r="R37" s="8">
        <f>1519560</f>
        <v>1519560</v>
      </c>
      <c r="S37" s="5" t="s">
        <v>240</v>
      </c>
      <c r="T37" s="5" t="s">
        <v>237</v>
      </c>
      <c r="W37" s="5" t="s">
        <v>241</v>
      </c>
      <c r="X37" s="5" t="s">
        <v>750</v>
      </c>
      <c r="Y37" s="5" t="s">
        <v>238</v>
      </c>
      <c r="AB37" s="5" t="s">
        <v>238</v>
      </c>
      <c r="AC37" s="6" t="s">
        <v>238</v>
      </c>
      <c r="AD37" s="6" t="s">
        <v>238</v>
      </c>
      <c r="AE37" s="5" t="s">
        <v>238</v>
      </c>
      <c r="AF37" s="6" t="s">
        <v>238</v>
      </c>
      <c r="AG37" s="6" t="s">
        <v>2945</v>
      </c>
      <c r="AH37" s="5" t="s">
        <v>247</v>
      </c>
      <c r="AI37" s="5" t="s">
        <v>248</v>
      </c>
      <c r="AO37" s="5" t="s">
        <v>238</v>
      </c>
      <c r="AP37" s="5" t="s">
        <v>238</v>
      </c>
      <c r="AQ37" s="5" t="s">
        <v>238</v>
      </c>
      <c r="AR37" s="6" t="s">
        <v>238</v>
      </c>
      <c r="AS37" s="6" t="s">
        <v>238</v>
      </c>
      <c r="AT37" s="6" t="s">
        <v>238</v>
      </c>
      <c r="AW37" s="5" t="s">
        <v>304</v>
      </c>
      <c r="AX37" s="5" t="s">
        <v>304</v>
      </c>
      <c r="AY37" s="5" t="s">
        <v>250</v>
      </c>
      <c r="AZ37" s="5" t="s">
        <v>305</v>
      </c>
      <c r="BA37" s="5" t="s">
        <v>251</v>
      </c>
      <c r="BB37" s="5" t="s">
        <v>238</v>
      </c>
      <c r="BC37" s="5" t="s">
        <v>253</v>
      </c>
      <c r="BD37" s="5" t="s">
        <v>3170</v>
      </c>
      <c r="BF37" s="5" t="s">
        <v>238</v>
      </c>
      <c r="BH37" s="5" t="s">
        <v>283</v>
      </c>
      <c r="BI37" s="6" t="s">
        <v>293</v>
      </c>
      <c r="BJ37" s="5" t="s">
        <v>294</v>
      </c>
      <c r="BK37" s="5" t="s">
        <v>870</v>
      </c>
      <c r="BL37" s="5" t="s">
        <v>238</v>
      </c>
      <c r="BM37" s="7">
        <f>0</f>
        <v>0</v>
      </c>
      <c r="BN37" s="8">
        <f>-168840</f>
        <v>-168840</v>
      </c>
      <c r="BO37" s="5" t="s">
        <v>257</v>
      </c>
      <c r="BP37" s="5" t="s">
        <v>258</v>
      </c>
      <c r="BQ37" s="5" t="s">
        <v>238</v>
      </c>
      <c r="BR37" s="5" t="s">
        <v>238</v>
      </c>
      <c r="BS37" s="5" t="s">
        <v>238</v>
      </c>
      <c r="BT37" s="5" t="s">
        <v>238</v>
      </c>
      <c r="BY37" s="6" t="s">
        <v>238</v>
      </c>
      <c r="BZ37" s="5" t="s">
        <v>238</v>
      </c>
      <c r="CA37" s="5" t="s">
        <v>238</v>
      </c>
      <c r="CB37" s="5" t="s">
        <v>238</v>
      </c>
      <c r="CC37" s="5" t="s">
        <v>258</v>
      </c>
      <c r="CD37" s="5" t="s">
        <v>238</v>
      </c>
      <c r="CE37" s="5" t="s">
        <v>238</v>
      </c>
      <c r="CI37" s="5" t="s">
        <v>259</v>
      </c>
      <c r="CJ37" s="5" t="s">
        <v>260</v>
      </c>
      <c r="CK37" s="5" t="s">
        <v>272</v>
      </c>
      <c r="CM37" s="5" t="s">
        <v>1649</v>
      </c>
      <c r="CN37" s="6" t="s">
        <v>262</v>
      </c>
      <c r="CO37" s="5" t="s">
        <v>263</v>
      </c>
      <c r="CP37" s="5" t="s">
        <v>264</v>
      </c>
      <c r="CQ37" s="5" t="s">
        <v>285</v>
      </c>
      <c r="CR37" s="5" t="s">
        <v>238</v>
      </c>
      <c r="CS37" s="5">
        <v>6.7000000000000004E-2</v>
      </c>
      <c r="CT37" s="5" t="s">
        <v>265</v>
      </c>
      <c r="CU37" s="5" t="s">
        <v>266</v>
      </c>
      <c r="CV37" s="5" t="s">
        <v>267</v>
      </c>
      <c r="CW37" s="7">
        <f>0</f>
        <v>0</v>
      </c>
      <c r="CX37" s="8">
        <f>2520000</f>
        <v>2520000</v>
      </c>
      <c r="CY37" s="8">
        <f>1000440</f>
        <v>1000440</v>
      </c>
      <c r="CZ37" s="8" t="s">
        <v>238</v>
      </c>
      <c r="DA37" s="5" t="s">
        <v>238</v>
      </c>
      <c r="DB37" s="5" t="s">
        <v>238</v>
      </c>
      <c r="DD37" s="5" t="s">
        <v>238</v>
      </c>
      <c r="DE37" s="8">
        <f>0</f>
        <v>0</v>
      </c>
      <c r="DF37" s="6" t="s">
        <v>238</v>
      </c>
      <c r="DG37" s="5" t="s">
        <v>238</v>
      </c>
      <c r="DH37" s="5" t="s">
        <v>238</v>
      </c>
      <c r="DI37" s="5" t="s">
        <v>238</v>
      </c>
      <c r="DJ37" s="5" t="s">
        <v>238</v>
      </c>
      <c r="DK37" s="5" t="s">
        <v>271</v>
      </c>
      <c r="DL37" s="5" t="s">
        <v>272</v>
      </c>
      <c r="DM37" s="7">
        <f>19.87</f>
        <v>19.87</v>
      </c>
      <c r="DN37" s="5" t="s">
        <v>238</v>
      </c>
      <c r="DO37" s="5" t="s">
        <v>247</v>
      </c>
      <c r="DP37" s="5" t="s">
        <v>3170</v>
      </c>
      <c r="DQ37" s="5" t="s">
        <v>3170</v>
      </c>
      <c r="DR37" s="5" t="s">
        <v>238</v>
      </c>
      <c r="DS37" s="5" t="s">
        <v>238</v>
      </c>
      <c r="DT37" s="5" t="s">
        <v>4122</v>
      </c>
      <c r="DU37" s="5" t="s">
        <v>271</v>
      </c>
      <c r="HP37" s="5" t="s">
        <v>272</v>
      </c>
      <c r="HQ37" s="5" t="s">
        <v>272</v>
      </c>
      <c r="HR37" s="5" t="s">
        <v>238</v>
      </c>
      <c r="HS37" s="5" t="s">
        <v>238</v>
      </c>
      <c r="HT37" s="5" t="s">
        <v>238</v>
      </c>
      <c r="HU37" s="5" t="s">
        <v>238</v>
      </c>
      <c r="HV37" s="5" t="s">
        <v>238</v>
      </c>
      <c r="HW37" s="5" t="s">
        <v>238</v>
      </c>
      <c r="HX37" s="5" t="s">
        <v>238</v>
      </c>
      <c r="HY37" s="5" t="s">
        <v>238</v>
      </c>
      <c r="HZ37" s="5" t="s">
        <v>238</v>
      </c>
      <c r="IA37" s="5" t="s">
        <v>238</v>
      </c>
      <c r="IB37" s="5" t="s">
        <v>238</v>
      </c>
      <c r="IC37" s="5" t="s">
        <v>238</v>
      </c>
      <c r="ID37" s="5" t="s">
        <v>238</v>
      </c>
    </row>
    <row r="38" spans="1:238" x14ac:dyDescent="0.4">
      <c r="A38" s="5">
        <v>37</v>
      </c>
      <c r="B38" s="5">
        <v>1</v>
      </c>
      <c r="C38" s="5">
        <v>2</v>
      </c>
      <c r="D38" s="5" t="s">
        <v>3415</v>
      </c>
      <c r="E38" s="5" t="s">
        <v>751</v>
      </c>
      <c r="F38" s="5" t="s">
        <v>282</v>
      </c>
      <c r="G38" s="5" t="s">
        <v>752</v>
      </c>
      <c r="H38" s="6" t="s">
        <v>3416</v>
      </c>
      <c r="I38" s="5" t="s">
        <v>4016</v>
      </c>
      <c r="J38" s="7">
        <f>12.39</f>
        <v>12.39</v>
      </c>
      <c r="K38" s="5" t="s">
        <v>270</v>
      </c>
      <c r="L38" s="8">
        <f>1</f>
        <v>1</v>
      </c>
      <c r="M38" s="8">
        <f>743400</f>
        <v>743400</v>
      </c>
      <c r="N38" s="6" t="s">
        <v>906</v>
      </c>
      <c r="O38" s="5" t="s">
        <v>268</v>
      </c>
      <c r="P38" s="5" t="s">
        <v>909</v>
      </c>
      <c r="R38" s="8">
        <f>743399</f>
        <v>743399</v>
      </c>
      <c r="S38" s="5" t="s">
        <v>240</v>
      </c>
      <c r="T38" s="5" t="s">
        <v>237</v>
      </c>
      <c r="W38" s="5" t="s">
        <v>241</v>
      </c>
      <c r="X38" s="5" t="s">
        <v>750</v>
      </c>
      <c r="Y38" s="5" t="s">
        <v>238</v>
      </c>
      <c r="AB38" s="5" t="s">
        <v>238</v>
      </c>
      <c r="AC38" s="6" t="s">
        <v>238</v>
      </c>
      <c r="AD38" s="6" t="s">
        <v>238</v>
      </c>
      <c r="AF38" s="6" t="s">
        <v>238</v>
      </c>
      <c r="AG38" s="6" t="s">
        <v>2945</v>
      </c>
      <c r="AH38" s="5" t="s">
        <v>247</v>
      </c>
      <c r="AI38" s="5" t="s">
        <v>248</v>
      </c>
      <c r="AT38" s="6" t="s">
        <v>238</v>
      </c>
      <c r="AW38" s="5" t="s">
        <v>304</v>
      </c>
      <c r="AX38" s="5" t="s">
        <v>304</v>
      </c>
      <c r="AY38" s="5" t="s">
        <v>250</v>
      </c>
      <c r="AZ38" s="5" t="s">
        <v>305</v>
      </c>
      <c r="BA38" s="5" t="s">
        <v>251</v>
      </c>
      <c r="BB38" s="5" t="s">
        <v>238</v>
      </c>
      <c r="BC38" s="5" t="s">
        <v>253</v>
      </c>
      <c r="BD38" s="5" t="s">
        <v>238</v>
      </c>
      <c r="BF38" s="5" t="s">
        <v>238</v>
      </c>
      <c r="BH38" s="5" t="s">
        <v>283</v>
      </c>
      <c r="BI38" s="6" t="s">
        <v>293</v>
      </c>
      <c r="BJ38" s="5" t="s">
        <v>255</v>
      </c>
      <c r="BK38" s="5" t="s">
        <v>256</v>
      </c>
      <c r="BL38" s="5" t="s">
        <v>238</v>
      </c>
      <c r="BM38" s="7">
        <f>0</f>
        <v>0</v>
      </c>
      <c r="BN38" s="8">
        <f>0</f>
        <v>0</v>
      </c>
      <c r="BO38" s="5" t="s">
        <v>257</v>
      </c>
      <c r="BP38" s="5" t="s">
        <v>258</v>
      </c>
      <c r="BQ38" s="5" t="s">
        <v>238</v>
      </c>
      <c r="BR38" s="5" t="s">
        <v>238</v>
      </c>
      <c r="BS38" s="5" t="s">
        <v>238</v>
      </c>
      <c r="BT38" s="5" t="s">
        <v>238</v>
      </c>
      <c r="CC38" s="5" t="s">
        <v>258</v>
      </c>
      <c r="CD38" s="5" t="s">
        <v>238</v>
      </c>
      <c r="CE38" s="5" t="s">
        <v>238</v>
      </c>
      <c r="CI38" s="5" t="s">
        <v>527</v>
      </c>
      <c r="CJ38" s="5" t="s">
        <v>260</v>
      </c>
      <c r="CK38" s="5" t="s">
        <v>238</v>
      </c>
      <c r="CM38" s="5" t="s">
        <v>908</v>
      </c>
      <c r="CN38" s="6" t="s">
        <v>262</v>
      </c>
      <c r="CO38" s="5" t="s">
        <v>263</v>
      </c>
      <c r="CP38" s="5" t="s">
        <v>264</v>
      </c>
      <c r="CQ38" s="5" t="s">
        <v>285</v>
      </c>
      <c r="CR38" s="5" t="s">
        <v>238</v>
      </c>
      <c r="CS38" s="5">
        <v>0</v>
      </c>
      <c r="CT38" s="5" t="s">
        <v>265</v>
      </c>
      <c r="CU38" s="5" t="s">
        <v>266</v>
      </c>
      <c r="CV38" s="5" t="s">
        <v>267</v>
      </c>
      <c r="CW38" s="7">
        <f>0</f>
        <v>0</v>
      </c>
      <c r="CX38" s="8">
        <f>743400</f>
        <v>743400</v>
      </c>
      <c r="CY38" s="8">
        <f>1</f>
        <v>1</v>
      </c>
      <c r="DA38" s="5" t="s">
        <v>238</v>
      </c>
      <c r="DB38" s="5" t="s">
        <v>238</v>
      </c>
      <c r="DD38" s="5" t="s">
        <v>238</v>
      </c>
      <c r="DE38" s="8">
        <f>0</f>
        <v>0</v>
      </c>
      <c r="DG38" s="5" t="s">
        <v>238</v>
      </c>
      <c r="DH38" s="5" t="s">
        <v>238</v>
      </c>
      <c r="DI38" s="5" t="s">
        <v>238</v>
      </c>
      <c r="DJ38" s="5" t="s">
        <v>238</v>
      </c>
      <c r="DK38" s="5" t="s">
        <v>271</v>
      </c>
      <c r="DL38" s="5" t="s">
        <v>272</v>
      </c>
      <c r="DM38" s="7">
        <f>12.39</f>
        <v>12.39</v>
      </c>
      <c r="DN38" s="5" t="s">
        <v>238</v>
      </c>
      <c r="DO38" s="5" t="s">
        <v>238</v>
      </c>
      <c r="DP38" s="5" t="s">
        <v>238</v>
      </c>
      <c r="DQ38" s="5" t="s">
        <v>238</v>
      </c>
      <c r="DT38" s="5" t="s">
        <v>3417</v>
      </c>
      <c r="DU38" s="5" t="s">
        <v>271</v>
      </c>
      <c r="HM38" s="5" t="s">
        <v>271</v>
      </c>
      <c r="HP38" s="5" t="s">
        <v>272</v>
      </c>
      <c r="HQ38" s="5" t="s">
        <v>272</v>
      </c>
      <c r="HR38" s="5" t="s">
        <v>238</v>
      </c>
      <c r="HS38" s="5" t="s">
        <v>238</v>
      </c>
      <c r="HT38" s="5" t="s">
        <v>238</v>
      </c>
      <c r="HU38" s="5" t="s">
        <v>238</v>
      </c>
      <c r="HV38" s="5" t="s">
        <v>238</v>
      </c>
      <c r="HW38" s="5" t="s">
        <v>238</v>
      </c>
      <c r="HX38" s="5" t="s">
        <v>238</v>
      </c>
      <c r="HY38" s="5" t="s">
        <v>238</v>
      </c>
      <c r="HZ38" s="5" t="s">
        <v>238</v>
      </c>
      <c r="IA38" s="5" t="s">
        <v>238</v>
      </c>
      <c r="IB38" s="5" t="s">
        <v>238</v>
      </c>
      <c r="IC38" s="5" t="s">
        <v>238</v>
      </c>
      <c r="ID38" s="5" t="s">
        <v>238</v>
      </c>
    </row>
    <row r="39" spans="1:238" x14ac:dyDescent="0.4">
      <c r="A39" s="5">
        <v>38</v>
      </c>
      <c r="B39" s="5">
        <v>1</v>
      </c>
      <c r="C39" s="5">
        <v>2</v>
      </c>
      <c r="D39" s="5" t="s">
        <v>3415</v>
      </c>
      <c r="E39" s="5" t="s">
        <v>751</v>
      </c>
      <c r="F39" s="5" t="s">
        <v>282</v>
      </c>
      <c r="G39" s="5" t="s">
        <v>752</v>
      </c>
      <c r="H39" s="6" t="s">
        <v>3416</v>
      </c>
      <c r="I39" s="5" t="s">
        <v>3414</v>
      </c>
      <c r="J39" s="7">
        <f>19.87</f>
        <v>19.87</v>
      </c>
      <c r="K39" s="5" t="s">
        <v>270</v>
      </c>
      <c r="L39" s="8">
        <f>1</f>
        <v>1</v>
      </c>
      <c r="M39" s="8">
        <f>2424140</f>
        <v>2424140</v>
      </c>
      <c r="N39" s="6" t="s">
        <v>679</v>
      </c>
      <c r="O39" s="5" t="s">
        <v>268</v>
      </c>
      <c r="P39" s="5" t="s">
        <v>268</v>
      </c>
      <c r="R39" s="8">
        <f>2424139</f>
        <v>2424139</v>
      </c>
      <c r="S39" s="5" t="s">
        <v>240</v>
      </c>
      <c r="T39" s="5" t="s">
        <v>237</v>
      </c>
      <c r="W39" s="5" t="s">
        <v>241</v>
      </c>
      <c r="X39" s="5" t="s">
        <v>750</v>
      </c>
      <c r="Y39" s="5" t="s">
        <v>238</v>
      </c>
      <c r="AB39" s="5" t="s">
        <v>238</v>
      </c>
      <c r="AC39" s="6" t="s">
        <v>238</v>
      </c>
      <c r="AD39" s="6" t="s">
        <v>238</v>
      </c>
      <c r="AF39" s="6" t="s">
        <v>238</v>
      </c>
      <c r="AG39" s="6" t="s">
        <v>2945</v>
      </c>
      <c r="AH39" s="5" t="s">
        <v>247</v>
      </c>
      <c r="AI39" s="5" t="s">
        <v>248</v>
      </c>
      <c r="AT39" s="6" t="s">
        <v>238</v>
      </c>
      <c r="AW39" s="5" t="s">
        <v>304</v>
      </c>
      <c r="AX39" s="5" t="s">
        <v>304</v>
      </c>
      <c r="AY39" s="5" t="s">
        <v>250</v>
      </c>
      <c r="AZ39" s="5" t="s">
        <v>305</v>
      </c>
      <c r="BA39" s="5" t="s">
        <v>251</v>
      </c>
      <c r="BB39" s="5" t="s">
        <v>238</v>
      </c>
      <c r="BC39" s="5" t="s">
        <v>253</v>
      </c>
      <c r="BD39" s="5" t="s">
        <v>238</v>
      </c>
      <c r="BF39" s="5" t="s">
        <v>238</v>
      </c>
      <c r="BH39" s="5" t="s">
        <v>283</v>
      </c>
      <c r="BI39" s="6" t="s">
        <v>293</v>
      </c>
      <c r="BJ39" s="5" t="s">
        <v>255</v>
      </c>
      <c r="BK39" s="5" t="s">
        <v>294</v>
      </c>
      <c r="BL39" s="5" t="s">
        <v>238</v>
      </c>
      <c r="BM39" s="7">
        <f>0</f>
        <v>0</v>
      </c>
      <c r="BN39" s="8">
        <f>0</f>
        <v>0</v>
      </c>
      <c r="BO39" s="5" t="s">
        <v>257</v>
      </c>
      <c r="BP39" s="5" t="s">
        <v>258</v>
      </c>
      <c r="BQ39" s="5" t="s">
        <v>238</v>
      </c>
      <c r="BR39" s="5" t="s">
        <v>238</v>
      </c>
      <c r="BS39" s="5" t="s">
        <v>238</v>
      </c>
      <c r="BT39" s="5" t="s">
        <v>238</v>
      </c>
      <c r="CC39" s="5" t="s">
        <v>258</v>
      </c>
      <c r="CD39" s="5" t="s">
        <v>238</v>
      </c>
      <c r="CE39" s="5" t="s">
        <v>238</v>
      </c>
      <c r="CI39" s="5" t="s">
        <v>259</v>
      </c>
      <c r="CJ39" s="5" t="s">
        <v>260</v>
      </c>
      <c r="CK39" s="5" t="s">
        <v>238</v>
      </c>
      <c r="CM39" s="5" t="s">
        <v>682</v>
      </c>
      <c r="CN39" s="6" t="s">
        <v>262</v>
      </c>
      <c r="CO39" s="5" t="s">
        <v>263</v>
      </c>
      <c r="CP39" s="5" t="s">
        <v>264</v>
      </c>
      <c r="CQ39" s="5" t="s">
        <v>285</v>
      </c>
      <c r="CR39" s="5" t="s">
        <v>238</v>
      </c>
      <c r="CS39" s="5">
        <v>0</v>
      </c>
      <c r="CT39" s="5" t="s">
        <v>265</v>
      </c>
      <c r="CU39" s="5" t="s">
        <v>266</v>
      </c>
      <c r="CV39" s="5" t="s">
        <v>267</v>
      </c>
      <c r="CW39" s="7">
        <f>0</f>
        <v>0</v>
      </c>
      <c r="CX39" s="8">
        <f>2424140</f>
        <v>2424140</v>
      </c>
      <c r="CY39" s="8">
        <f>1</f>
        <v>1</v>
      </c>
      <c r="DA39" s="5" t="s">
        <v>238</v>
      </c>
      <c r="DB39" s="5" t="s">
        <v>238</v>
      </c>
      <c r="DD39" s="5" t="s">
        <v>238</v>
      </c>
      <c r="DE39" s="8">
        <f>0</f>
        <v>0</v>
      </c>
      <c r="DG39" s="5" t="s">
        <v>238</v>
      </c>
      <c r="DH39" s="5" t="s">
        <v>238</v>
      </c>
      <c r="DI39" s="5" t="s">
        <v>238</v>
      </c>
      <c r="DJ39" s="5" t="s">
        <v>238</v>
      </c>
      <c r="DK39" s="5" t="s">
        <v>271</v>
      </c>
      <c r="DL39" s="5" t="s">
        <v>272</v>
      </c>
      <c r="DM39" s="7">
        <f>19.87</f>
        <v>19.87</v>
      </c>
      <c r="DN39" s="5" t="s">
        <v>238</v>
      </c>
      <c r="DO39" s="5" t="s">
        <v>238</v>
      </c>
      <c r="DP39" s="5" t="s">
        <v>238</v>
      </c>
      <c r="DQ39" s="5" t="s">
        <v>238</v>
      </c>
      <c r="DT39" s="5" t="s">
        <v>3417</v>
      </c>
      <c r="DU39" s="5" t="s">
        <v>274</v>
      </c>
      <c r="HM39" s="5" t="s">
        <v>379</v>
      </c>
      <c r="HP39" s="5" t="s">
        <v>272</v>
      </c>
      <c r="HQ39" s="5" t="s">
        <v>272</v>
      </c>
      <c r="HR39" s="5" t="s">
        <v>238</v>
      </c>
      <c r="HS39" s="5" t="s">
        <v>238</v>
      </c>
      <c r="HT39" s="5" t="s">
        <v>238</v>
      </c>
      <c r="HU39" s="5" t="s">
        <v>238</v>
      </c>
      <c r="HV39" s="5" t="s">
        <v>238</v>
      </c>
      <c r="HW39" s="5" t="s">
        <v>238</v>
      </c>
      <c r="HX39" s="5" t="s">
        <v>238</v>
      </c>
      <c r="HY39" s="5" t="s">
        <v>238</v>
      </c>
      <c r="HZ39" s="5" t="s">
        <v>238</v>
      </c>
      <c r="IA39" s="5" t="s">
        <v>238</v>
      </c>
      <c r="IB39" s="5" t="s">
        <v>238</v>
      </c>
      <c r="IC39" s="5" t="s">
        <v>238</v>
      </c>
      <c r="ID39" s="5" t="s">
        <v>238</v>
      </c>
    </row>
    <row r="40" spans="1:238" x14ac:dyDescent="0.4">
      <c r="A40" s="5">
        <v>39</v>
      </c>
      <c r="B40" s="5">
        <v>1</v>
      </c>
      <c r="C40" s="5">
        <v>8</v>
      </c>
      <c r="D40" s="5" t="s">
        <v>3415</v>
      </c>
      <c r="E40" s="5" t="s">
        <v>751</v>
      </c>
      <c r="F40" s="5" t="s">
        <v>282</v>
      </c>
      <c r="G40" s="5" t="s">
        <v>752</v>
      </c>
      <c r="H40" s="6" t="s">
        <v>4118</v>
      </c>
      <c r="I40" s="5" t="s">
        <v>4117</v>
      </c>
      <c r="J40" s="7">
        <f>1</f>
        <v>1</v>
      </c>
      <c r="K40" s="5" t="s">
        <v>270</v>
      </c>
      <c r="L40" s="8">
        <f>557090</f>
        <v>557090</v>
      </c>
      <c r="M40" s="8">
        <f>1403248</f>
        <v>1403248</v>
      </c>
      <c r="N40" s="6" t="s">
        <v>3410</v>
      </c>
      <c r="O40" s="5" t="s">
        <v>268</v>
      </c>
      <c r="P40" s="5" t="s">
        <v>389</v>
      </c>
      <c r="Q40" s="8">
        <f>175406</f>
        <v>175406</v>
      </c>
      <c r="R40" s="8">
        <f>846158</f>
        <v>846158</v>
      </c>
      <c r="S40" s="5" t="s">
        <v>240</v>
      </c>
      <c r="T40" s="5" t="s">
        <v>237</v>
      </c>
      <c r="W40" s="5" t="s">
        <v>241</v>
      </c>
      <c r="X40" s="5" t="s">
        <v>750</v>
      </c>
      <c r="Y40" s="5" t="s">
        <v>238</v>
      </c>
      <c r="AB40" s="5" t="s">
        <v>238</v>
      </c>
      <c r="AC40" s="6" t="s">
        <v>238</v>
      </c>
      <c r="AD40" s="6" t="s">
        <v>238</v>
      </c>
      <c r="AE40" s="5" t="s">
        <v>238</v>
      </c>
      <c r="AF40" s="6" t="s">
        <v>238</v>
      </c>
      <c r="AG40" s="6" t="s">
        <v>1474</v>
      </c>
      <c r="AH40" s="5" t="s">
        <v>247</v>
      </c>
      <c r="AI40" s="5" t="s">
        <v>248</v>
      </c>
      <c r="AO40" s="5" t="s">
        <v>238</v>
      </c>
      <c r="AP40" s="5" t="s">
        <v>238</v>
      </c>
      <c r="AQ40" s="5" t="s">
        <v>238</v>
      </c>
      <c r="AR40" s="6" t="s">
        <v>238</v>
      </c>
      <c r="AS40" s="6" t="s">
        <v>238</v>
      </c>
      <c r="AT40" s="6" t="s">
        <v>238</v>
      </c>
      <c r="AW40" s="5" t="s">
        <v>304</v>
      </c>
      <c r="AX40" s="5" t="s">
        <v>304</v>
      </c>
      <c r="AY40" s="5" t="s">
        <v>250</v>
      </c>
      <c r="AZ40" s="5" t="s">
        <v>305</v>
      </c>
      <c r="BA40" s="5" t="s">
        <v>251</v>
      </c>
      <c r="BB40" s="5" t="s">
        <v>238</v>
      </c>
      <c r="BC40" s="5" t="s">
        <v>253</v>
      </c>
      <c r="BD40" s="5" t="s">
        <v>3170</v>
      </c>
      <c r="BF40" s="5" t="s">
        <v>238</v>
      </c>
      <c r="BH40" s="5" t="s">
        <v>283</v>
      </c>
      <c r="BI40" s="6" t="s">
        <v>293</v>
      </c>
      <c r="BJ40" s="5" t="s">
        <v>294</v>
      </c>
      <c r="BK40" s="5" t="s">
        <v>870</v>
      </c>
      <c r="BL40" s="5" t="s">
        <v>238</v>
      </c>
      <c r="BM40" s="7">
        <f>0</f>
        <v>0</v>
      </c>
      <c r="BN40" s="8">
        <f>-94017</f>
        <v>-94017</v>
      </c>
      <c r="BO40" s="5" t="s">
        <v>257</v>
      </c>
      <c r="BP40" s="5" t="s">
        <v>258</v>
      </c>
      <c r="BQ40" s="5" t="s">
        <v>238</v>
      </c>
      <c r="BR40" s="5" t="s">
        <v>238</v>
      </c>
      <c r="BS40" s="5" t="s">
        <v>238</v>
      </c>
      <c r="BT40" s="5" t="s">
        <v>238</v>
      </c>
      <c r="BY40" s="6" t="s">
        <v>238</v>
      </c>
      <c r="BZ40" s="5" t="s">
        <v>238</v>
      </c>
      <c r="CA40" s="5" t="s">
        <v>238</v>
      </c>
      <c r="CB40" s="5" t="s">
        <v>238</v>
      </c>
      <c r="CC40" s="5" t="s">
        <v>258</v>
      </c>
      <c r="CD40" s="5" t="s">
        <v>238</v>
      </c>
      <c r="CE40" s="5" t="s">
        <v>238</v>
      </c>
      <c r="CI40" s="5" t="s">
        <v>259</v>
      </c>
      <c r="CJ40" s="5" t="s">
        <v>260</v>
      </c>
      <c r="CK40" s="5" t="s">
        <v>272</v>
      </c>
      <c r="CM40" s="5" t="s">
        <v>1649</v>
      </c>
      <c r="CN40" s="6" t="s">
        <v>262</v>
      </c>
      <c r="CO40" s="5" t="s">
        <v>263</v>
      </c>
      <c r="CP40" s="5" t="s">
        <v>264</v>
      </c>
      <c r="CQ40" s="5" t="s">
        <v>285</v>
      </c>
      <c r="CR40" s="5" t="s">
        <v>238</v>
      </c>
      <c r="CS40" s="5">
        <v>6.7000000000000004E-2</v>
      </c>
      <c r="CT40" s="5" t="s">
        <v>265</v>
      </c>
      <c r="CU40" s="5" t="s">
        <v>266</v>
      </c>
      <c r="CV40" s="5" t="s">
        <v>267</v>
      </c>
      <c r="CW40" s="7">
        <f>0</f>
        <v>0</v>
      </c>
      <c r="CX40" s="8">
        <f>2618000</f>
        <v>2618000</v>
      </c>
      <c r="CY40" s="8">
        <f>557090</f>
        <v>557090</v>
      </c>
      <c r="CZ40" s="8" t="s">
        <v>238</v>
      </c>
      <c r="DA40" s="5" t="s">
        <v>238</v>
      </c>
      <c r="DB40" s="5" t="s">
        <v>238</v>
      </c>
      <c r="DD40" s="5" t="s">
        <v>238</v>
      </c>
      <c r="DE40" s="8">
        <f>0</f>
        <v>0</v>
      </c>
      <c r="DF40" s="6" t="s">
        <v>238</v>
      </c>
      <c r="DG40" s="5" t="s">
        <v>238</v>
      </c>
      <c r="DH40" s="5" t="s">
        <v>238</v>
      </c>
      <c r="DI40" s="5" t="s">
        <v>238</v>
      </c>
      <c r="DJ40" s="5" t="s">
        <v>238</v>
      </c>
      <c r="DK40" s="5" t="s">
        <v>271</v>
      </c>
      <c r="DL40" s="5" t="s">
        <v>272</v>
      </c>
      <c r="DM40" s="7">
        <f>19.87</f>
        <v>19.87</v>
      </c>
      <c r="DN40" s="5" t="s">
        <v>238</v>
      </c>
      <c r="DO40" s="5" t="s">
        <v>247</v>
      </c>
      <c r="DP40" s="5" t="s">
        <v>3170</v>
      </c>
      <c r="DQ40" s="5" t="s">
        <v>3170</v>
      </c>
      <c r="DR40" s="5" t="s">
        <v>238</v>
      </c>
      <c r="DS40" s="5" t="s">
        <v>238</v>
      </c>
      <c r="DT40" s="5" t="s">
        <v>3417</v>
      </c>
      <c r="DU40" s="5" t="s">
        <v>356</v>
      </c>
      <c r="HP40" s="5" t="s">
        <v>272</v>
      </c>
      <c r="HQ40" s="5" t="s">
        <v>272</v>
      </c>
      <c r="HR40" s="5" t="s">
        <v>238</v>
      </c>
      <c r="HS40" s="5" t="s">
        <v>238</v>
      </c>
      <c r="HT40" s="5" t="s">
        <v>238</v>
      </c>
      <c r="HU40" s="5" t="s">
        <v>238</v>
      </c>
      <c r="HV40" s="5" t="s">
        <v>238</v>
      </c>
      <c r="HW40" s="5" t="s">
        <v>238</v>
      </c>
      <c r="HX40" s="5" t="s">
        <v>238</v>
      </c>
      <c r="HY40" s="5" t="s">
        <v>238</v>
      </c>
      <c r="HZ40" s="5" t="s">
        <v>238</v>
      </c>
      <c r="IA40" s="5" t="s">
        <v>238</v>
      </c>
      <c r="IB40" s="5" t="s">
        <v>238</v>
      </c>
      <c r="IC40" s="5" t="s">
        <v>238</v>
      </c>
      <c r="ID40" s="5" t="s">
        <v>238</v>
      </c>
    </row>
    <row r="41" spans="1:238" x14ac:dyDescent="0.4">
      <c r="A41" s="5">
        <v>40</v>
      </c>
      <c r="B41" s="5">
        <v>1</v>
      </c>
      <c r="C41" s="5">
        <v>5</v>
      </c>
      <c r="D41" s="5" t="s">
        <v>3409</v>
      </c>
      <c r="E41" s="5" t="s">
        <v>751</v>
      </c>
      <c r="F41" s="5" t="s">
        <v>282</v>
      </c>
      <c r="G41" s="5" t="s">
        <v>752</v>
      </c>
      <c r="H41" s="6" t="s">
        <v>3411</v>
      </c>
      <c r="I41" s="5" t="s">
        <v>3408</v>
      </c>
      <c r="J41" s="7">
        <f>19.87</f>
        <v>19.87</v>
      </c>
      <c r="K41" s="5" t="s">
        <v>270</v>
      </c>
      <c r="L41" s="8">
        <f>1039346</f>
        <v>1039346</v>
      </c>
      <c r="M41" s="8">
        <f>2618000</f>
        <v>2618000</v>
      </c>
      <c r="N41" s="6" t="s">
        <v>3410</v>
      </c>
      <c r="O41" s="5" t="s">
        <v>268</v>
      </c>
      <c r="P41" s="5" t="s">
        <v>389</v>
      </c>
      <c r="Q41" s="8">
        <f>175406</f>
        <v>175406</v>
      </c>
      <c r="R41" s="8">
        <f>1578654</f>
        <v>1578654</v>
      </c>
      <c r="S41" s="5" t="s">
        <v>240</v>
      </c>
      <c r="T41" s="5" t="s">
        <v>237</v>
      </c>
      <c r="W41" s="5" t="s">
        <v>241</v>
      </c>
      <c r="X41" s="5" t="s">
        <v>750</v>
      </c>
      <c r="Y41" s="5" t="s">
        <v>238</v>
      </c>
      <c r="AB41" s="5" t="s">
        <v>238</v>
      </c>
      <c r="AC41" s="6" t="s">
        <v>238</v>
      </c>
      <c r="AD41" s="6" t="s">
        <v>238</v>
      </c>
      <c r="AF41" s="6" t="s">
        <v>238</v>
      </c>
      <c r="AG41" s="6" t="s">
        <v>1474</v>
      </c>
      <c r="AH41" s="5" t="s">
        <v>247</v>
      </c>
      <c r="AI41" s="5" t="s">
        <v>248</v>
      </c>
      <c r="AO41" s="5" t="s">
        <v>238</v>
      </c>
      <c r="AP41" s="5" t="s">
        <v>238</v>
      </c>
      <c r="AQ41" s="5" t="s">
        <v>238</v>
      </c>
      <c r="AR41" s="6" t="s">
        <v>238</v>
      </c>
      <c r="AS41" s="6" t="s">
        <v>238</v>
      </c>
      <c r="AT41" s="6" t="s">
        <v>238</v>
      </c>
      <c r="AW41" s="5" t="s">
        <v>304</v>
      </c>
      <c r="AX41" s="5" t="s">
        <v>304</v>
      </c>
      <c r="AY41" s="5" t="s">
        <v>250</v>
      </c>
      <c r="AZ41" s="5" t="s">
        <v>305</v>
      </c>
      <c r="BA41" s="5" t="s">
        <v>251</v>
      </c>
      <c r="BB41" s="5" t="s">
        <v>238</v>
      </c>
      <c r="BC41" s="5" t="s">
        <v>253</v>
      </c>
      <c r="BD41" s="5" t="s">
        <v>238</v>
      </c>
      <c r="BF41" s="5" t="s">
        <v>238</v>
      </c>
      <c r="BH41" s="5" t="s">
        <v>283</v>
      </c>
      <c r="BI41" s="6" t="s">
        <v>293</v>
      </c>
      <c r="BJ41" s="5" t="s">
        <v>294</v>
      </c>
      <c r="BK41" s="5" t="s">
        <v>294</v>
      </c>
      <c r="BL41" s="5" t="s">
        <v>238</v>
      </c>
      <c r="BM41" s="7">
        <f>0</f>
        <v>0</v>
      </c>
      <c r="BN41" s="8">
        <f>-175406</f>
        <v>-175406</v>
      </c>
      <c r="BO41" s="5" t="s">
        <v>257</v>
      </c>
      <c r="BP41" s="5" t="s">
        <v>258</v>
      </c>
      <c r="BQ41" s="5" t="s">
        <v>238</v>
      </c>
      <c r="BR41" s="5" t="s">
        <v>238</v>
      </c>
      <c r="BS41" s="5" t="s">
        <v>238</v>
      </c>
      <c r="BT41" s="5" t="s">
        <v>238</v>
      </c>
      <c r="CC41" s="5" t="s">
        <v>258</v>
      </c>
      <c r="CD41" s="5" t="s">
        <v>238</v>
      </c>
      <c r="CE41" s="5" t="s">
        <v>238</v>
      </c>
      <c r="CI41" s="5" t="s">
        <v>259</v>
      </c>
      <c r="CJ41" s="5" t="s">
        <v>260</v>
      </c>
      <c r="CK41" s="5" t="s">
        <v>238</v>
      </c>
      <c r="CM41" s="5" t="s">
        <v>1649</v>
      </c>
      <c r="CN41" s="6" t="s">
        <v>262</v>
      </c>
      <c r="CO41" s="5" t="s">
        <v>263</v>
      </c>
      <c r="CP41" s="5" t="s">
        <v>264</v>
      </c>
      <c r="CQ41" s="5" t="s">
        <v>285</v>
      </c>
      <c r="CR41" s="5" t="s">
        <v>238</v>
      </c>
      <c r="CS41" s="5">
        <v>6.7000000000000004E-2</v>
      </c>
      <c r="CT41" s="5" t="s">
        <v>265</v>
      </c>
      <c r="CU41" s="5" t="s">
        <v>266</v>
      </c>
      <c r="CV41" s="5" t="s">
        <v>267</v>
      </c>
      <c r="CW41" s="7">
        <f>0</f>
        <v>0</v>
      </c>
      <c r="CX41" s="8">
        <f>2618000</f>
        <v>2618000</v>
      </c>
      <c r="CY41" s="8">
        <f>1039346</f>
        <v>1039346</v>
      </c>
      <c r="DA41" s="5" t="s">
        <v>238</v>
      </c>
      <c r="DB41" s="5" t="s">
        <v>238</v>
      </c>
      <c r="DD41" s="5" t="s">
        <v>238</v>
      </c>
      <c r="DE41" s="8">
        <f>0</f>
        <v>0</v>
      </c>
      <c r="DG41" s="5" t="s">
        <v>238</v>
      </c>
      <c r="DH41" s="5" t="s">
        <v>238</v>
      </c>
      <c r="DI41" s="5" t="s">
        <v>238</v>
      </c>
      <c r="DJ41" s="5" t="s">
        <v>238</v>
      </c>
      <c r="DK41" s="5" t="s">
        <v>271</v>
      </c>
      <c r="DL41" s="5" t="s">
        <v>272</v>
      </c>
      <c r="DM41" s="7">
        <f>19.87</f>
        <v>19.87</v>
      </c>
      <c r="DN41" s="5" t="s">
        <v>238</v>
      </c>
      <c r="DO41" s="5" t="s">
        <v>238</v>
      </c>
      <c r="DP41" s="5" t="s">
        <v>238</v>
      </c>
      <c r="DQ41" s="5" t="s">
        <v>238</v>
      </c>
      <c r="DT41" s="5" t="s">
        <v>3412</v>
      </c>
      <c r="DU41" s="5" t="s">
        <v>271</v>
      </c>
      <c r="GL41" s="5" t="s">
        <v>3413</v>
      </c>
      <c r="HM41" s="5" t="s">
        <v>313</v>
      </c>
      <c r="HP41" s="5" t="s">
        <v>272</v>
      </c>
      <c r="HQ41" s="5" t="s">
        <v>272</v>
      </c>
      <c r="HR41" s="5" t="s">
        <v>238</v>
      </c>
      <c r="HS41" s="5" t="s">
        <v>238</v>
      </c>
      <c r="HT41" s="5" t="s">
        <v>238</v>
      </c>
      <c r="HU41" s="5" t="s">
        <v>238</v>
      </c>
      <c r="HV41" s="5" t="s">
        <v>238</v>
      </c>
      <c r="HW41" s="5" t="s">
        <v>238</v>
      </c>
      <c r="HX41" s="5" t="s">
        <v>238</v>
      </c>
      <c r="HY41" s="5" t="s">
        <v>238</v>
      </c>
      <c r="HZ41" s="5" t="s">
        <v>238</v>
      </c>
      <c r="IA41" s="5" t="s">
        <v>238</v>
      </c>
      <c r="IB41" s="5" t="s">
        <v>238</v>
      </c>
      <c r="IC41" s="5" t="s">
        <v>238</v>
      </c>
      <c r="ID41" s="5" t="s">
        <v>238</v>
      </c>
    </row>
    <row r="42" spans="1:238" x14ac:dyDescent="0.4">
      <c r="A42" s="5">
        <v>42</v>
      </c>
      <c r="B42" s="5">
        <v>1</v>
      </c>
      <c r="C42" s="5">
        <v>2</v>
      </c>
      <c r="D42" s="5" t="s">
        <v>3568</v>
      </c>
      <c r="E42" s="5" t="s">
        <v>751</v>
      </c>
      <c r="F42" s="5" t="s">
        <v>282</v>
      </c>
      <c r="G42" s="5" t="s">
        <v>752</v>
      </c>
      <c r="H42" s="6" t="s">
        <v>3569</v>
      </c>
      <c r="I42" s="5" t="s">
        <v>3567</v>
      </c>
      <c r="J42" s="7">
        <f>12.43</f>
        <v>12.43</v>
      </c>
      <c r="K42" s="5" t="s">
        <v>270</v>
      </c>
      <c r="L42" s="8">
        <f>1</f>
        <v>1</v>
      </c>
      <c r="M42" s="8">
        <f>1516460</f>
        <v>1516460</v>
      </c>
      <c r="N42" s="6" t="s">
        <v>1351</v>
      </c>
      <c r="O42" s="5" t="s">
        <v>268</v>
      </c>
      <c r="P42" s="5" t="s">
        <v>658</v>
      </c>
      <c r="R42" s="8">
        <f>1516459</f>
        <v>1516459</v>
      </c>
      <c r="S42" s="5" t="s">
        <v>240</v>
      </c>
      <c r="T42" s="5" t="s">
        <v>237</v>
      </c>
      <c r="W42" s="5" t="s">
        <v>241</v>
      </c>
      <c r="X42" s="5" t="s">
        <v>750</v>
      </c>
      <c r="Y42" s="5" t="s">
        <v>238</v>
      </c>
      <c r="AB42" s="5" t="s">
        <v>238</v>
      </c>
      <c r="AC42" s="6" t="s">
        <v>238</v>
      </c>
      <c r="AD42" s="6" t="s">
        <v>238</v>
      </c>
      <c r="AF42" s="6" t="s">
        <v>238</v>
      </c>
      <c r="AG42" s="6" t="s">
        <v>2960</v>
      </c>
      <c r="AH42" s="5" t="s">
        <v>247</v>
      </c>
      <c r="AI42" s="5" t="s">
        <v>248</v>
      </c>
      <c r="AT42" s="6" t="s">
        <v>238</v>
      </c>
      <c r="AW42" s="5" t="s">
        <v>304</v>
      </c>
      <c r="AX42" s="5" t="s">
        <v>304</v>
      </c>
      <c r="AY42" s="5" t="s">
        <v>250</v>
      </c>
      <c r="AZ42" s="5" t="s">
        <v>305</v>
      </c>
      <c r="BA42" s="5" t="s">
        <v>251</v>
      </c>
      <c r="BB42" s="5" t="s">
        <v>238</v>
      </c>
      <c r="BC42" s="5" t="s">
        <v>253</v>
      </c>
      <c r="BD42" s="5" t="s">
        <v>238</v>
      </c>
      <c r="BF42" s="5" t="s">
        <v>760</v>
      </c>
      <c r="BH42" s="5" t="s">
        <v>283</v>
      </c>
      <c r="BI42" s="6" t="s">
        <v>293</v>
      </c>
      <c r="BJ42" s="5" t="s">
        <v>255</v>
      </c>
      <c r="BK42" s="5" t="s">
        <v>256</v>
      </c>
      <c r="BL42" s="5" t="s">
        <v>238</v>
      </c>
      <c r="BM42" s="7">
        <f>0</f>
        <v>0</v>
      </c>
      <c r="BN42" s="8">
        <f>0</f>
        <v>0</v>
      </c>
      <c r="BO42" s="5" t="s">
        <v>257</v>
      </c>
      <c r="BP42" s="5" t="s">
        <v>258</v>
      </c>
      <c r="BQ42" s="5" t="s">
        <v>238</v>
      </c>
      <c r="BR42" s="5" t="s">
        <v>238</v>
      </c>
      <c r="BS42" s="5" t="s">
        <v>238</v>
      </c>
      <c r="BT42" s="5" t="s">
        <v>238</v>
      </c>
      <c r="CC42" s="5" t="s">
        <v>258</v>
      </c>
      <c r="CD42" s="5" t="s">
        <v>238</v>
      </c>
      <c r="CE42" s="5" t="s">
        <v>238</v>
      </c>
      <c r="CI42" s="5" t="s">
        <v>259</v>
      </c>
      <c r="CJ42" s="5" t="s">
        <v>260</v>
      </c>
      <c r="CK42" s="5" t="s">
        <v>238</v>
      </c>
      <c r="CM42" s="5" t="s">
        <v>648</v>
      </c>
      <c r="CN42" s="6" t="s">
        <v>262</v>
      </c>
      <c r="CO42" s="5" t="s">
        <v>263</v>
      </c>
      <c r="CP42" s="5" t="s">
        <v>264</v>
      </c>
      <c r="CQ42" s="5" t="s">
        <v>285</v>
      </c>
      <c r="CR42" s="5" t="s">
        <v>238</v>
      </c>
      <c r="CS42" s="5">
        <v>0</v>
      </c>
      <c r="CT42" s="5" t="s">
        <v>265</v>
      </c>
      <c r="CU42" s="5" t="s">
        <v>266</v>
      </c>
      <c r="CV42" s="5" t="s">
        <v>267</v>
      </c>
      <c r="CW42" s="7">
        <f>0</f>
        <v>0</v>
      </c>
      <c r="CX42" s="8">
        <f>1516460</f>
        <v>1516460</v>
      </c>
      <c r="CY42" s="8">
        <f>1</f>
        <v>1</v>
      </c>
      <c r="DA42" s="5" t="s">
        <v>238</v>
      </c>
      <c r="DB42" s="5" t="s">
        <v>238</v>
      </c>
      <c r="DD42" s="5" t="s">
        <v>238</v>
      </c>
      <c r="DE42" s="8">
        <f>0</f>
        <v>0</v>
      </c>
      <c r="DG42" s="5" t="s">
        <v>238</v>
      </c>
      <c r="DH42" s="5" t="s">
        <v>238</v>
      </c>
      <c r="DI42" s="5" t="s">
        <v>238</v>
      </c>
      <c r="DJ42" s="5" t="s">
        <v>238</v>
      </c>
      <c r="DK42" s="5" t="s">
        <v>271</v>
      </c>
      <c r="DL42" s="5" t="s">
        <v>272</v>
      </c>
      <c r="DM42" s="7">
        <f>12.43</f>
        <v>12.43</v>
      </c>
      <c r="DN42" s="5" t="s">
        <v>238</v>
      </c>
      <c r="DO42" s="5" t="s">
        <v>238</v>
      </c>
      <c r="DP42" s="5" t="s">
        <v>238</v>
      </c>
      <c r="DQ42" s="5" t="s">
        <v>238</v>
      </c>
      <c r="DT42" s="5" t="s">
        <v>3570</v>
      </c>
      <c r="DU42" s="5" t="s">
        <v>271</v>
      </c>
      <c r="HM42" s="5" t="s">
        <v>271</v>
      </c>
      <c r="HP42" s="5" t="s">
        <v>272</v>
      </c>
      <c r="HQ42" s="5" t="s">
        <v>272</v>
      </c>
      <c r="HR42" s="5" t="s">
        <v>238</v>
      </c>
      <c r="HS42" s="5" t="s">
        <v>238</v>
      </c>
      <c r="HT42" s="5" t="s">
        <v>238</v>
      </c>
      <c r="HU42" s="5" t="s">
        <v>238</v>
      </c>
      <c r="HV42" s="5" t="s">
        <v>238</v>
      </c>
      <c r="HW42" s="5" t="s">
        <v>238</v>
      </c>
      <c r="HX42" s="5" t="s">
        <v>238</v>
      </c>
      <c r="HY42" s="5" t="s">
        <v>238</v>
      </c>
      <c r="HZ42" s="5" t="s">
        <v>238</v>
      </c>
      <c r="IA42" s="5" t="s">
        <v>238</v>
      </c>
      <c r="IB42" s="5" t="s">
        <v>238</v>
      </c>
      <c r="IC42" s="5" t="s">
        <v>238</v>
      </c>
      <c r="ID42" s="5" t="s">
        <v>238</v>
      </c>
    </row>
    <row r="43" spans="1:238" x14ac:dyDescent="0.4">
      <c r="A43" s="5">
        <v>43</v>
      </c>
      <c r="B43" s="5">
        <v>1</v>
      </c>
      <c r="C43" s="5">
        <v>3</v>
      </c>
      <c r="D43" s="5" t="s">
        <v>4111</v>
      </c>
      <c r="E43" s="5" t="s">
        <v>751</v>
      </c>
      <c r="F43" s="5" t="s">
        <v>282</v>
      </c>
      <c r="G43" s="5" t="s">
        <v>752</v>
      </c>
      <c r="H43" s="6" t="s">
        <v>1352</v>
      </c>
      <c r="I43" s="5" t="s">
        <v>4110</v>
      </c>
      <c r="J43" s="7">
        <f>19.87</f>
        <v>19.87</v>
      </c>
      <c r="K43" s="5" t="s">
        <v>270</v>
      </c>
      <c r="L43" s="8">
        <f>1</f>
        <v>1</v>
      </c>
      <c r="M43" s="8">
        <f>2424140</f>
        <v>2424140</v>
      </c>
      <c r="N43" s="6" t="s">
        <v>3874</v>
      </c>
      <c r="O43" s="5" t="s">
        <v>268</v>
      </c>
      <c r="P43" s="5" t="s">
        <v>268</v>
      </c>
      <c r="Q43" s="8" t="s">
        <v>238</v>
      </c>
      <c r="R43" s="8">
        <f>2424139</f>
        <v>2424139</v>
      </c>
      <c r="S43" s="5" t="s">
        <v>240</v>
      </c>
      <c r="T43" s="5" t="s">
        <v>237</v>
      </c>
      <c r="W43" s="5" t="s">
        <v>241</v>
      </c>
      <c r="X43" s="5" t="s">
        <v>750</v>
      </c>
      <c r="Y43" s="5" t="s">
        <v>238</v>
      </c>
      <c r="AB43" s="5" t="s">
        <v>238</v>
      </c>
      <c r="AC43" s="6" t="s">
        <v>238</v>
      </c>
      <c r="AD43" s="6" t="s">
        <v>238</v>
      </c>
      <c r="AE43" s="5" t="s">
        <v>238</v>
      </c>
      <c r="AF43" s="6" t="s">
        <v>238</v>
      </c>
      <c r="AG43" s="6" t="s">
        <v>2960</v>
      </c>
      <c r="AH43" s="5" t="s">
        <v>247</v>
      </c>
      <c r="AI43" s="5" t="s">
        <v>248</v>
      </c>
      <c r="AO43" s="5" t="s">
        <v>238</v>
      </c>
      <c r="AP43" s="5" t="s">
        <v>238</v>
      </c>
      <c r="AQ43" s="5" t="s">
        <v>238</v>
      </c>
      <c r="AR43" s="6" t="s">
        <v>238</v>
      </c>
      <c r="AS43" s="6" t="s">
        <v>238</v>
      </c>
      <c r="AT43" s="6" t="s">
        <v>238</v>
      </c>
      <c r="AW43" s="5" t="s">
        <v>304</v>
      </c>
      <c r="AX43" s="5" t="s">
        <v>304</v>
      </c>
      <c r="AY43" s="5" t="s">
        <v>250</v>
      </c>
      <c r="AZ43" s="5" t="s">
        <v>305</v>
      </c>
      <c r="BA43" s="5" t="s">
        <v>251</v>
      </c>
      <c r="BB43" s="5" t="s">
        <v>238</v>
      </c>
      <c r="BC43" s="5" t="s">
        <v>253</v>
      </c>
      <c r="BD43" s="5" t="s">
        <v>3170</v>
      </c>
      <c r="BF43" s="5" t="s">
        <v>760</v>
      </c>
      <c r="BH43" s="5" t="s">
        <v>283</v>
      </c>
      <c r="BI43" s="6" t="s">
        <v>293</v>
      </c>
      <c r="BJ43" s="5" t="s">
        <v>255</v>
      </c>
      <c r="BK43" s="5" t="s">
        <v>870</v>
      </c>
      <c r="BL43" s="5" t="s">
        <v>238</v>
      </c>
      <c r="BM43" s="7">
        <f>0</f>
        <v>0</v>
      </c>
      <c r="BN43" s="8">
        <f>0</f>
        <v>0</v>
      </c>
      <c r="BO43" s="5" t="s">
        <v>257</v>
      </c>
      <c r="BP43" s="5" t="s">
        <v>258</v>
      </c>
      <c r="BQ43" s="5" t="s">
        <v>238</v>
      </c>
      <c r="BR43" s="5" t="s">
        <v>238</v>
      </c>
      <c r="BS43" s="5" t="s">
        <v>238</v>
      </c>
      <c r="BT43" s="5" t="s">
        <v>238</v>
      </c>
      <c r="BY43" s="6" t="s">
        <v>238</v>
      </c>
      <c r="BZ43" s="5" t="s">
        <v>238</v>
      </c>
      <c r="CA43" s="5" t="s">
        <v>238</v>
      </c>
      <c r="CB43" s="5" t="s">
        <v>238</v>
      </c>
      <c r="CC43" s="5" t="s">
        <v>258</v>
      </c>
      <c r="CD43" s="5" t="s">
        <v>238</v>
      </c>
      <c r="CE43" s="5" t="s">
        <v>238</v>
      </c>
      <c r="CI43" s="5" t="s">
        <v>259</v>
      </c>
      <c r="CJ43" s="5" t="s">
        <v>260</v>
      </c>
      <c r="CK43" s="5" t="s">
        <v>272</v>
      </c>
      <c r="CM43" s="5" t="s">
        <v>1357</v>
      </c>
      <c r="CN43" s="6" t="s">
        <v>262</v>
      </c>
      <c r="CO43" s="5" t="s">
        <v>263</v>
      </c>
      <c r="CP43" s="5" t="s">
        <v>264</v>
      </c>
      <c r="CQ43" s="5" t="s">
        <v>285</v>
      </c>
      <c r="CR43" s="5" t="s">
        <v>238</v>
      </c>
      <c r="CS43" s="5">
        <v>0</v>
      </c>
      <c r="CT43" s="5" t="s">
        <v>265</v>
      </c>
      <c r="CU43" s="5" t="s">
        <v>266</v>
      </c>
      <c r="CV43" s="5" t="s">
        <v>267</v>
      </c>
      <c r="CW43" s="7">
        <f>0</f>
        <v>0</v>
      </c>
      <c r="CX43" s="8">
        <f>2424140</f>
        <v>2424140</v>
      </c>
      <c r="CY43" s="8">
        <f>1</f>
        <v>1</v>
      </c>
      <c r="CZ43" s="8" t="s">
        <v>238</v>
      </c>
      <c r="DA43" s="5" t="s">
        <v>238</v>
      </c>
      <c r="DB43" s="5" t="s">
        <v>238</v>
      </c>
      <c r="DD43" s="5" t="s">
        <v>238</v>
      </c>
      <c r="DE43" s="8">
        <f>0</f>
        <v>0</v>
      </c>
      <c r="DF43" s="6" t="s">
        <v>238</v>
      </c>
      <c r="DG43" s="5" t="s">
        <v>238</v>
      </c>
      <c r="DH43" s="5" t="s">
        <v>238</v>
      </c>
      <c r="DI43" s="5" t="s">
        <v>238</v>
      </c>
      <c r="DJ43" s="5" t="s">
        <v>238</v>
      </c>
      <c r="DK43" s="5" t="s">
        <v>271</v>
      </c>
      <c r="DL43" s="5" t="s">
        <v>272</v>
      </c>
      <c r="DM43" s="7">
        <f>19.87</f>
        <v>19.87</v>
      </c>
      <c r="DN43" s="5" t="s">
        <v>238</v>
      </c>
      <c r="DO43" s="5" t="s">
        <v>247</v>
      </c>
      <c r="DP43" s="5" t="s">
        <v>3170</v>
      </c>
      <c r="DQ43" s="5" t="s">
        <v>3170</v>
      </c>
      <c r="DR43" s="5" t="s">
        <v>238</v>
      </c>
      <c r="DS43" s="5" t="s">
        <v>238</v>
      </c>
      <c r="DT43" s="5" t="s">
        <v>4112</v>
      </c>
      <c r="DU43" s="5" t="s">
        <v>271</v>
      </c>
      <c r="HP43" s="5" t="s">
        <v>272</v>
      </c>
      <c r="HQ43" s="5" t="s">
        <v>272</v>
      </c>
      <c r="HR43" s="5" t="s">
        <v>238</v>
      </c>
      <c r="HS43" s="5" t="s">
        <v>238</v>
      </c>
      <c r="HT43" s="5" t="s">
        <v>238</v>
      </c>
      <c r="HU43" s="5" t="s">
        <v>238</v>
      </c>
      <c r="HV43" s="5" t="s">
        <v>238</v>
      </c>
      <c r="HW43" s="5" t="s">
        <v>238</v>
      </c>
      <c r="HX43" s="5" t="s">
        <v>238</v>
      </c>
      <c r="HY43" s="5" t="s">
        <v>238</v>
      </c>
      <c r="HZ43" s="5" t="s">
        <v>238</v>
      </c>
      <c r="IA43" s="5" t="s">
        <v>238</v>
      </c>
      <c r="IB43" s="5" t="s">
        <v>238</v>
      </c>
      <c r="IC43" s="5" t="s">
        <v>238</v>
      </c>
      <c r="ID43" s="5" t="s">
        <v>238</v>
      </c>
    </row>
    <row r="44" spans="1:238" x14ac:dyDescent="0.4">
      <c r="A44" s="5">
        <v>44</v>
      </c>
      <c r="B44" s="5">
        <v>1</v>
      </c>
      <c r="C44" s="5">
        <v>2</v>
      </c>
      <c r="D44" s="5" t="s">
        <v>3405</v>
      </c>
      <c r="E44" s="5" t="s">
        <v>751</v>
      </c>
      <c r="F44" s="5" t="s">
        <v>282</v>
      </c>
      <c r="G44" s="5" t="s">
        <v>752</v>
      </c>
      <c r="H44" s="6" t="s">
        <v>3406</v>
      </c>
      <c r="I44" s="5" t="s">
        <v>3404</v>
      </c>
      <c r="J44" s="7">
        <f>19.87</f>
        <v>19.87</v>
      </c>
      <c r="K44" s="5" t="s">
        <v>270</v>
      </c>
      <c r="L44" s="8">
        <f>1</f>
        <v>1</v>
      </c>
      <c r="M44" s="8">
        <f>2424140</f>
        <v>2424140</v>
      </c>
      <c r="N44" s="6" t="s">
        <v>2285</v>
      </c>
      <c r="O44" s="5" t="s">
        <v>268</v>
      </c>
      <c r="P44" s="5" t="s">
        <v>268</v>
      </c>
      <c r="R44" s="8">
        <f>2424139</f>
        <v>2424139</v>
      </c>
      <c r="S44" s="5" t="s">
        <v>240</v>
      </c>
      <c r="T44" s="5" t="s">
        <v>237</v>
      </c>
      <c r="W44" s="5" t="s">
        <v>241</v>
      </c>
      <c r="X44" s="5" t="s">
        <v>750</v>
      </c>
      <c r="Y44" s="5" t="s">
        <v>238</v>
      </c>
      <c r="AB44" s="5" t="s">
        <v>238</v>
      </c>
      <c r="AC44" s="6" t="s">
        <v>238</v>
      </c>
      <c r="AD44" s="6" t="s">
        <v>238</v>
      </c>
      <c r="AF44" s="6" t="s">
        <v>238</v>
      </c>
      <c r="AG44" s="6" t="s">
        <v>246</v>
      </c>
      <c r="AH44" s="5" t="s">
        <v>247</v>
      </c>
      <c r="AI44" s="5" t="s">
        <v>248</v>
      </c>
      <c r="AT44" s="6" t="s">
        <v>238</v>
      </c>
      <c r="AW44" s="5" t="s">
        <v>304</v>
      </c>
      <c r="AX44" s="5" t="s">
        <v>304</v>
      </c>
      <c r="AY44" s="5" t="s">
        <v>250</v>
      </c>
      <c r="AZ44" s="5" t="s">
        <v>305</v>
      </c>
      <c r="BA44" s="5" t="s">
        <v>251</v>
      </c>
      <c r="BB44" s="5" t="s">
        <v>238</v>
      </c>
      <c r="BC44" s="5" t="s">
        <v>253</v>
      </c>
      <c r="BD44" s="5" t="s">
        <v>238</v>
      </c>
      <c r="BF44" s="5" t="s">
        <v>760</v>
      </c>
      <c r="BH44" s="5" t="s">
        <v>283</v>
      </c>
      <c r="BI44" s="6" t="s">
        <v>293</v>
      </c>
      <c r="BJ44" s="5" t="s">
        <v>255</v>
      </c>
      <c r="BK44" s="5" t="s">
        <v>294</v>
      </c>
      <c r="BL44" s="5" t="s">
        <v>238</v>
      </c>
      <c r="BM44" s="7">
        <f>0</f>
        <v>0</v>
      </c>
      <c r="BN44" s="8">
        <f>0</f>
        <v>0</v>
      </c>
      <c r="BO44" s="5" t="s">
        <v>257</v>
      </c>
      <c r="BP44" s="5" t="s">
        <v>258</v>
      </c>
      <c r="BQ44" s="5" t="s">
        <v>238</v>
      </c>
      <c r="BR44" s="5" t="s">
        <v>238</v>
      </c>
      <c r="BS44" s="5" t="s">
        <v>238</v>
      </c>
      <c r="BT44" s="5" t="s">
        <v>238</v>
      </c>
      <c r="CC44" s="5" t="s">
        <v>258</v>
      </c>
      <c r="CD44" s="5" t="s">
        <v>238</v>
      </c>
      <c r="CE44" s="5" t="s">
        <v>238</v>
      </c>
      <c r="CI44" s="5" t="s">
        <v>259</v>
      </c>
      <c r="CJ44" s="5" t="s">
        <v>260</v>
      </c>
      <c r="CK44" s="5" t="s">
        <v>238</v>
      </c>
      <c r="CM44" s="5" t="s">
        <v>807</v>
      </c>
      <c r="CN44" s="6" t="s">
        <v>262</v>
      </c>
      <c r="CO44" s="5" t="s">
        <v>263</v>
      </c>
      <c r="CP44" s="5" t="s">
        <v>264</v>
      </c>
      <c r="CQ44" s="5" t="s">
        <v>285</v>
      </c>
      <c r="CR44" s="5" t="s">
        <v>238</v>
      </c>
      <c r="CS44" s="5">
        <v>0</v>
      </c>
      <c r="CT44" s="5" t="s">
        <v>265</v>
      </c>
      <c r="CU44" s="5" t="s">
        <v>266</v>
      </c>
      <c r="CV44" s="5" t="s">
        <v>267</v>
      </c>
      <c r="CW44" s="7">
        <f>0</f>
        <v>0</v>
      </c>
      <c r="CX44" s="8">
        <f>2424140</f>
        <v>2424140</v>
      </c>
      <c r="CY44" s="8">
        <f>1</f>
        <v>1</v>
      </c>
      <c r="DA44" s="5" t="s">
        <v>238</v>
      </c>
      <c r="DB44" s="5" t="s">
        <v>238</v>
      </c>
      <c r="DD44" s="5" t="s">
        <v>238</v>
      </c>
      <c r="DE44" s="8">
        <f>0</f>
        <v>0</v>
      </c>
      <c r="DG44" s="5" t="s">
        <v>238</v>
      </c>
      <c r="DH44" s="5" t="s">
        <v>238</v>
      </c>
      <c r="DI44" s="5" t="s">
        <v>238</v>
      </c>
      <c r="DJ44" s="5" t="s">
        <v>238</v>
      </c>
      <c r="DK44" s="5" t="s">
        <v>271</v>
      </c>
      <c r="DL44" s="5" t="s">
        <v>272</v>
      </c>
      <c r="DM44" s="7">
        <f>19.87</f>
        <v>19.87</v>
      </c>
      <c r="DN44" s="5" t="s">
        <v>238</v>
      </c>
      <c r="DO44" s="5" t="s">
        <v>238</v>
      </c>
      <c r="DP44" s="5" t="s">
        <v>238</v>
      </c>
      <c r="DQ44" s="5" t="s">
        <v>238</v>
      </c>
      <c r="DT44" s="5" t="s">
        <v>3407</v>
      </c>
      <c r="DU44" s="5" t="s">
        <v>271</v>
      </c>
      <c r="HM44" s="5" t="s">
        <v>310</v>
      </c>
      <c r="HP44" s="5" t="s">
        <v>272</v>
      </c>
      <c r="HQ44" s="5" t="s">
        <v>272</v>
      </c>
      <c r="HR44" s="5" t="s">
        <v>238</v>
      </c>
      <c r="HS44" s="5" t="s">
        <v>238</v>
      </c>
      <c r="HT44" s="5" t="s">
        <v>238</v>
      </c>
      <c r="HU44" s="5" t="s">
        <v>238</v>
      </c>
      <c r="HV44" s="5" t="s">
        <v>238</v>
      </c>
      <c r="HW44" s="5" t="s">
        <v>238</v>
      </c>
      <c r="HX44" s="5" t="s">
        <v>238</v>
      </c>
      <c r="HY44" s="5" t="s">
        <v>238</v>
      </c>
      <c r="HZ44" s="5" t="s">
        <v>238</v>
      </c>
      <c r="IA44" s="5" t="s">
        <v>238</v>
      </c>
      <c r="IB44" s="5" t="s">
        <v>238</v>
      </c>
      <c r="IC44" s="5" t="s">
        <v>238</v>
      </c>
      <c r="ID44" s="5" t="s">
        <v>238</v>
      </c>
    </row>
    <row r="45" spans="1:238" x14ac:dyDescent="0.4">
      <c r="A45" s="5">
        <v>45</v>
      </c>
      <c r="B45" s="5">
        <v>1</v>
      </c>
      <c r="C45" s="5">
        <v>3</v>
      </c>
      <c r="D45" s="5" t="s">
        <v>4092</v>
      </c>
      <c r="E45" s="5" t="s">
        <v>751</v>
      </c>
      <c r="F45" s="5" t="s">
        <v>282</v>
      </c>
      <c r="G45" s="5" t="s">
        <v>752</v>
      </c>
      <c r="H45" s="6" t="s">
        <v>4093</v>
      </c>
      <c r="I45" s="5" t="s">
        <v>3567</v>
      </c>
      <c r="J45" s="7">
        <f>19.87</f>
        <v>19.87</v>
      </c>
      <c r="K45" s="5" t="s">
        <v>270</v>
      </c>
      <c r="L45" s="8">
        <f>1</f>
        <v>1</v>
      </c>
      <c r="M45" s="8">
        <f>2424140</f>
        <v>2424140</v>
      </c>
      <c r="N45" s="6" t="s">
        <v>2285</v>
      </c>
      <c r="O45" s="5" t="s">
        <v>268</v>
      </c>
      <c r="P45" s="5" t="s">
        <v>268</v>
      </c>
      <c r="Q45" s="8" t="s">
        <v>238</v>
      </c>
      <c r="R45" s="8">
        <f>2424139</f>
        <v>2424139</v>
      </c>
      <c r="S45" s="5" t="s">
        <v>240</v>
      </c>
      <c r="T45" s="5" t="s">
        <v>237</v>
      </c>
      <c r="W45" s="5" t="s">
        <v>241</v>
      </c>
      <c r="X45" s="5" t="s">
        <v>750</v>
      </c>
      <c r="Y45" s="5" t="s">
        <v>238</v>
      </c>
      <c r="AB45" s="5" t="s">
        <v>238</v>
      </c>
      <c r="AC45" s="6" t="s">
        <v>238</v>
      </c>
      <c r="AD45" s="6" t="s">
        <v>238</v>
      </c>
      <c r="AE45" s="5" t="s">
        <v>238</v>
      </c>
      <c r="AF45" s="6" t="s">
        <v>238</v>
      </c>
      <c r="AG45" s="6" t="s">
        <v>246</v>
      </c>
      <c r="AH45" s="5" t="s">
        <v>247</v>
      </c>
      <c r="AI45" s="5" t="s">
        <v>248</v>
      </c>
      <c r="AO45" s="5" t="s">
        <v>238</v>
      </c>
      <c r="AP45" s="5" t="s">
        <v>238</v>
      </c>
      <c r="AQ45" s="5" t="s">
        <v>238</v>
      </c>
      <c r="AR45" s="6" t="s">
        <v>238</v>
      </c>
      <c r="AS45" s="6" t="s">
        <v>238</v>
      </c>
      <c r="AT45" s="6" t="s">
        <v>238</v>
      </c>
      <c r="AW45" s="5" t="s">
        <v>304</v>
      </c>
      <c r="AX45" s="5" t="s">
        <v>304</v>
      </c>
      <c r="AY45" s="5" t="s">
        <v>250</v>
      </c>
      <c r="AZ45" s="5" t="s">
        <v>305</v>
      </c>
      <c r="BA45" s="5" t="s">
        <v>251</v>
      </c>
      <c r="BB45" s="5" t="s">
        <v>238</v>
      </c>
      <c r="BC45" s="5" t="s">
        <v>253</v>
      </c>
      <c r="BD45" s="5" t="s">
        <v>3170</v>
      </c>
      <c r="BF45" s="5" t="s">
        <v>760</v>
      </c>
      <c r="BH45" s="5" t="s">
        <v>283</v>
      </c>
      <c r="BI45" s="6" t="s">
        <v>293</v>
      </c>
      <c r="BJ45" s="5" t="s">
        <v>255</v>
      </c>
      <c r="BK45" s="5" t="s">
        <v>870</v>
      </c>
      <c r="BL45" s="5" t="s">
        <v>238</v>
      </c>
      <c r="BM45" s="7">
        <f>0</f>
        <v>0</v>
      </c>
      <c r="BN45" s="8">
        <f>0</f>
        <v>0</v>
      </c>
      <c r="BO45" s="5" t="s">
        <v>257</v>
      </c>
      <c r="BP45" s="5" t="s">
        <v>258</v>
      </c>
      <c r="BQ45" s="5" t="s">
        <v>238</v>
      </c>
      <c r="BR45" s="5" t="s">
        <v>238</v>
      </c>
      <c r="BS45" s="5" t="s">
        <v>238</v>
      </c>
      <c r="BT45" s="5" t="s">
        <v>238</v>
      </c>
      <c r="BY45" s="6" t="s">
        <v>238</v>
      </c>
      <c r="BZ45" s="5" t="s">
        <v>238</v>
      </c>
      <c r="CA45" s="5" t="s">
        <v>238</v>
      </c>
      <c r="CB45" s="5" t="s">
        <v>238</v>
      </c>
      <c r="CC45" s="5" t="s">
        <v>258</v>
      </c>
      <c r="CD45" s="5" t="s">
        <v>238</v>
      </c>
      <c r="CE45" s="5" t="s">
        <v>238</v>
      </c>
      <c r="CI45" s="5" t="s">
        <v>259</v>
      </c>
      <c r="CJ45" s="5" t="s">
        <v>260</v>
      </c>
      <c r="CK45" s="5" t="s">
        <v>272</v>
      </c>
      <c r="CM45" s="5" t="s">
        <v>807</v>
      </c>
      <c r="CN45" s="6" t="s">
        <v>262</v>
      </c>
      <c r="CO45" s="5" t="s">
        <v>263</v>
      </c>
      <c r="CP45" s="5" t="s">
        <v>264</v>
      </c>
      <c r="CQ45" s="5" t="s">
        <v>285</v>
      </c>
      <c r="CR45" s="5" t="s">
        <v>238</v>
      </c>
      <c r="CS45" s="5">
        <v>0</v>
      </c>
      <c r="CT45" s="5" t="s">
        <v>265</v>
      </c>
      <c r="CU45" s="5" t="s">
        <v>266</v>
      </c>
      <c r="CV45" s="5" t="s">
        <v>267</v>
      </c>
      <c r="CW45" s="7">
        <f>0</f>
        <v>0</v>
      </c>
      <c r="CX45" s="8">
        <f>2424140</f>
        <v>2424140</v>
      </c>
      <c r="CY45" s="8">
        <f>1</f>
        <v>1</v>
      </c>
      <c r="CZ45" s="8" t="s">
        <v>238</v>
      </c>
      <c r="DA45" s="5" t="s">
        <v>238</v>
      </c>
      <c r="DB45" s="5" t="s">
        <v>238</v>
      </c>
      <c r="DD45" s="5" t="s">
        <v>238</v>
      </c>
      <c r="DE45" s="8">
        <f>0</f>
        <v>0</v>
      </c>
      <c r="DF45" s="6" t="s">
        <v>238</v>
      </c>
      <c r="DG45" s="5" t="s">
        <v>238</v>
      </c>
      <c r="DH45" s="5" t="s">
        <v>238</v>
      </c>
      <c r="DI45" s="5" t="s">
        <v>238</v>
      </c>
      <c r="DJ45" s="5" t="s">
        <v>238</v>
      </c>
      <c r="DK45" s="5" t="s">
        <v>271</v>
      </c>
      <c r="DL45" s="5" t="s">
        <v>272</v>
      </c>
      <c r="DM45" s="7">
        <f>19.87</f>
        <v>19.87</v>
      </c>
      <c r="DN45" s="5" t="s">
        <v>238</v>
      </c>
      <c r="DO45" s="5" t="s">
        <v>247</v>
      </c>
      <c r="DP45" s="5" t="s">
        <v>3170</v>
      </c>
      <c r="DQ45" s="5" t="s">
        <v>3170</v>
      </c>
      <c r="DR45" s="5" t="s">
        <v>238</v>
      </c>
      <c r="DS45" s="5" t="s">
        <v>238</v>
      </c>
      <c r="DT45" s="5" t="s">
        <v>4094</v>
      </c>
      <c r="DU45" s="5" t="s">
        <v>271</v>
      </c>
      <c r="HP45" s="5" t="s">
        <v>272</v>
      </c>
      <c r="HQ45" s="5" t="s">
        <v>272</v>
      </c>
      <c r="HR45" s="5" t="s">
        <v>238</v>
      </c>
      <c r="HS45" s="5" t="s">
        <v>238</v>
      </c>
      <c r="HT45" s="5" t="s">
        <v>238</v>
      </c>
      <c r="HU45" s="5" t="s">
        <v>238</v>
      </c>
      <c r="HV45" s="5" t="s">
        <v>238</v>
      </c>
      <c r="HW45" s="5" t="s">
        <v>238</v>
      </c>
      <c r="HX45" s="5" t="s">
        <v>238</v>
      </c>
      <c r="HY45" s="5" t="s">
        <v>238</v>
      </c>
      <c r="HZ45" s="5" t="s">
        <v>238</v>
      </c>
      <c r="IA45" s="5" t="s">
        <v>238</v>
      </c>
      <c r="IB45" s="5" t="s">
        <v>238</v>
      </c>
      <c r="IC45" s="5" t="s">
        <v>238</v>
      </c>
      <c r="ID45" s="5" t="s">
        <v>238</v>
      </c>
    </row>
    <row r="46" spans="1:238" x14ac:dyDescent="0.4">
      <c r="A46" s="5">
        <v>46</v>
      </c>
      <c r="B46" s="5">
        <v>1</v>
      </c>
      <c r="C46" s="5">
        <v>2</v>
      </c>
      <c r="D46" s="5" t="s">
        <v>3401</v>
      </c>
      <c r="E46" s="5" t="s">
        <v>751</v>
      </c>
      <c r="F46" s="5" t="s">
        <v>282</v>
      </c>
      <c r="G46" s="5" t="s">
        <v>752</v>
      </c>
      <c r="H46" s="6" t="s">
        <v>3402</v>
      </c>
      <c r="I46" s="5" t="s">
        <v>3400</v>
      </c>
      <c r="J46" s="7">
        <f>19.87</f>
        <v>19.87</v>
      </c>
      <c r="K46" s="5" t="s">
        <v>270</v>
      </c>
      <c r="L46" s="8">
        <f>1</f>
        <v>1</v>
      </c>
      <c r="M46" s="8">
        <f>2424140</f>
        <v>2424140</v>
      </c>
      <c r="N46" s="6" t="s">
        <v>679</v>
      </c>
      <c r="O46" s="5" t="s">
        <v>268</v>
      </c>
      <c r="P46" s="5" t="s">
        <v>268</v>
      </c>
      <c r="R46" s="8">
        <f>2424139</f>
        <v>2424139</v>
      </c>
      <c r="S46" s="5" t="s">
        <v>240</v>
      </c>
      <c r="T46" s="5" t="s">
        <v>237</v>
      </c>
      <c r="W46" s="5" t="s">
        <v>241</v>
      </c>
      <c r="X46" s="5" t="s">
        <v>750</v>
      </c>
      <c r="Y46" s="5" t="s">
        <v>238</v>
      </c>
      <c r="AB46" s="5" t="s">
        <v>238</v>
      </c>
      <c r="AC46" s="6" t="s">
        <v>238</v>
      </c>
      <c r="AD46" s="6" t="s">
        <v>238</v>
      </c>
      <c r="AF46" s="6" t="s">
        <v>238</v>
      </c>
      <c r="AG46" s="6" t="s">
        <v>246</v>
      </c>
      <c r="AH46" s="5" t="s">
        <v>247</v>
      </c>
      <c r="AI46" s="5" t="s">
        <v>248</v>
      </c>
      <c r="AT46" s="6" t="s">
        <v>238</v>
      </c>
      <c r="AW46" s="5" t="s">
        <v>304</v>
      </c>
      <c r="AX46" s="5" t="s">
        <v>304</v>
      </c>
      <c r="AY46" s="5" t="s">
        <v>250</v>
      </c>
      <c r="AZ46" s="5" t="s">
        <v>305</v>
      </c>
      <c r="BA46" s="5" t="s">
        <v>251</v>
      </c>
      <c r="BB46" s="5" t="s">
        <v>238</v>
      </c>
      <c r="BC46" s="5" t="s">
        <v>253</v>
      </c>
      <c r="BD46" s="5" t="s">
        <v>238</v>
      </c>
      <c r="BF46" s="5" t="s">
        <v>760</v>
      </c>
      <c r="BH46" s="5" t="s">
        <v>283</v>
      </c>
      <c r="BI46" s="6" t="s">
        <v>293</v>
      </c>
      <c r="BJ46" s="5" t="s">
        <v>255</v>
      </c>
      <c r="BK46" s="5" t="s">
        <v>294</v>
      </c>
      <c r="BL46" s="5" t="s">
        <v>238</v>
      </c>
      <c r="BM46" s="7">
        <f>0</f>
        <v>0</v>
      </c>
      <c r="BN46" s="8">
        <f>0</f>
        <v>0</v>
      </c>
      <c r="BO46" s="5" t="s">
        <v>257</v>
      </c>
      <c r="BP46" s="5" t="s">
        <v>258</v>
      </c>
      <c r="BQ46" s="5" t="s">
        <v>238</v>
      </c>
      <c r="BR46" s="5" t="s">
        <v>238</v>
      </c>
      <c r="BS46" s="5" t="s">
        <v>238</v>
      </c>
      <c r="BT46" s="5" t="s">
        <v>238</v>
      </c>
      <c r="CC46" s="5" t="s">
        <v>258</v>
      </c>
      <c r="CD46" s="5" t="s">
        <v>238</v>
      </c>
      <c r="CE46" s="5" t="s">
        <v>238</v>
      </c>
      <c r="CI46" s="5" t="s">
        <v>259</v>
      </c>
      <c r="CJ46" s="5" t="s">
        <v>260</v>
      </c>
      <c r="CK46" s="5" t="s">
        <v>238</v>
      </c>
      <c r="CM46" s="5" t="s">
        <v>682</v>
      </c>
      <c r="CN46" s="6" t="s">
        <v>262</v>
      </c>
      <c r="CO46" s="5" t="s">
        <v>263</v>
      </c>
      <c r="CP46" s="5" t="s">
        <v>264</v>
      </c>
      <c r="CQ46" s="5" t="s">
        <v>285</v>
      </c>
      <c r="CR46" s="5" t="s">
        <v>238</v>
      </c>
      <c r="CS46" s="5">
        <v>0</v>
      </c>
      <c r="CT46" s="5" t="s">
        <v>265</v>
      </c>
      <c r="CU46" s="5" t="s">
        <v>266</v>
      </c>
      <c r="CV46" s="5" t="s">
        <v>267</v>
      </c>
      <c r="CW46" s="7">
        <f>0</f>
        <v>0</v>
      </c>
      <c r="CX46" s="8">
        <f>2424140</f>
        <v>2424140</v>
      </c>
      <c r="CY46" s="8">
        <f>1</f>
        <v>1</v>
      </c>
      <c r="DA46" s="5" t="s">
        <v>238</v>
      </c>
      <c r="DB46" s="5" t="s">
        <v>238</v>
      </c>
      <c r="DD46" s="5" t="s">
        <v>238</v>
      </c>
      <c r="DE46" s="8">
        <f>0</f>
        <v>0</v>
      </c>
      <c r="DG46" s="5" t="s">
        <v>238</v>
      </c>
      <c r="DH46" s="5" t="s">
        <v>238</v>
      </c>
      <c r="DI46" s="5" t="s">
        <v>238</v>
      </c>
      <c r="DJ46" s="5" t="s">
        <v>238</v>
      </c>
      <c r="DK46" s="5" t="s">
        <v>271</v>
      </c>
      <c r="DL46" s="5" t="s">
        <v>272</v>
      </c>
      <c r="DM46" s="7">
        <f>19.87</f>
        <v>19.87</v>
      </c>
      <c r="DN46" s="5" t="s">
        <v>238</v>
      </c>
      <c r="DO46" s="5" t="s">
        <v>238</v>
      </c>
      <c r="DP46" s="5" t="s">
        <v>238</v>
      </c>
      <c r="DQ46" s="5" t="s">
        <v>238</v>
      </c>
      <c r="DT46" s="5" t="s">
        <v>3403</v>
      </c>
      <c r="DU46" s="5" t="s">
        <v>271</v>
      </c>
      <c r="HM46" s="5" t="s">
        <v>379</v>
      </c>
      <c r="HP46" s="5" t="s">
        <v>272</v>
      </c>
      <c r="HQ46" s="5" t="s">
        <v>272</v>
      </c>
      <c r="HR46" s="5" t="s">
        <v>238</v>
      </c>
      <c r="HS46" s="5" t="s">
        <v>238</v>
      </c>
      <c r="HT46" s="5" t="s">
        <v>238</v>
      </c>
      <c r="HU46" s="5" t="s">
        <v>238</v>
      </c>
      <c r="HV46" s="5" t="s">
        <v>238</v>
      </c>
      <c r="HW46" s="5" t="s">
        <v>238</v>
      </c>
      <c r="HX46" s="5" t="s">
        <v>238</v>
      </c>
      <c r="HY46" s="5" t="s">
        <v>238</v>
      </c>
      <c r="HZ46" s="5" t="s">
        <v>238</v>
      </c>
      <c r="IA46" s="5" t="s">
        <v>238</v>
      </c>
      <c r="IB46" s="5" t="s">
        <v>238</v>
      </c>
      <c r="IC46" s="5" t="s">
        <v>238</v>
      </c>
      <c r="ID46" s="5" t="s">
        <v>238</v>
      </c>
    </row>
    <row r="47" spans="1:238" x14ac:dyDescent="0.4">
      <c r="A47" s="5">
        <v>47</v>
      </c>
      <c r="B47" s="5">
        <v>1</v>
      </c>
      <c r="C47" s="5">
        <v>2</v>
      </c>
      <c r="D47" s="5" t="s">
        <v>3397</v>
      </c>
      <c r="E47" s="5" t="s">
        <v>751</v>
      </c>
      <c r="F47" s="5" t="s">
        <v>282</v>
      </c>
      <c r="G47" s="5" t="s">
        <v>752</v>
      </c>
      <c r="H47" s="6" t="s">
        <v>3398</v>
      </c>
      <c r="I47" s="5" t="s">
        <v>3396</v>
      </c>
      <c r="J47" s="7">
        <f>19.87</f>
        <v>19.87</v>
      </c>
      <c r="K47" s="5" t="s">
        <v>270</v>
      </c>
      <c r="L47" s="8">
        <f>1</f>
        <v>1</v>
      </c>
      <c r="M47" s="8">
        <f>2424140</f>
        <v>2424140</v>
      </c>
      <c r="N47" s="6" t="s">
        <v>679</v>
      </c>
      <c r="O47" s="5" t="s">
        <v>268</v>
      </c>
      <c r="P47" s="5" t="s">
        <v>268</v>
      </c>
      <c r="R47" s="8">
        <f>2424139</f>
        <v>2424139</v>
      </c>
      <c r="S47" s="5" t="s">
        <v>240</v>
      </c>
      <c r="T47" s="5" t="s">
        <v>237</v>
      </c>
      <c r="W47" s="5" t="s">
        <v>241</v>
      </c>
      <c r="X47" s="5" t="s">
        <v>750</v>
      </c>
      <c r="Y47" s="5" t="s">
        <v>238</v>
      </c>
      <c r="AB47" s="5" t="s">
        <v>238</v>
      </c>
      <c r="AC47" s="6" t="s">
        <v>238</v>
      </c>
      <c r="AD47" s="6" t="s">
        <v>238</v>
      </c>
      <c r="AF47" s="6" t="s">
        <v>238</v>
      </c>
      <c r="AG47" s="6" t="s">
        <v>246</v>
      </c>
      <c r="AH47" s="5" t="s">
        <v>247</v>
      </c>
      <c r="AI47" s="5" t="s">
        <v>248</v>
      </c>
      <c r="AT47" s="6" t="s">
        <v>238</v>
      </c>
      <c r="AW47" s="5" t="s">
        <v>304</v>
      </c>
      <c r="AX47" s="5" t="s">
        <v>304</v>
      </c>
      <c r="AY47" s="5" t="s">
        <v>250</v>
      </c>
      <c r="AZ47" s="5" t="s">
        <v>305</v>
      </c>
      <c r="BA47" s="5" t="s">
        <v>251</v>
      </c>
      <c r="BB47" s="5" t="s">
        <v>238</v>
      </c>
      <c r="BC47" s="5" t="s">
        <v>253</v>
      </c>
      <c r="BD47" s="5" t="s">
        <v>238</v>
      </c>
      <c r="BF47" s="5" t="s">
        <v>760</v>
      </c>
      <c r="BH47" s="5" t="s">
        <v>283</v>
      </c>
      <c r="BI47" s="6" t="s">
        <v>293</v>
      </c>
      <c r="BJ47" s="5" t="s">
        <v>255</v>
      </c>
      <c r="BK47" s="5" t="s">
        <v>294</v>
      </c>
      <c r="BL47" s="5" t="s">
        <v>238</v>
      </c>
      <c r="BM47" s="7">
        <f>0</f>
        <v>0</v>
      </c>
      <c r="BN47" s="8">
        <f>0</f>
        <v>0</v>
      </c>
      <c r="BO47" s="5" t="s">
        <v>257</v>
      </c>
      <c r="BP47" s="5" t="s">
        <v>258</v>
      </c>
      <c r="BQ47" s="5" t="s">
        <v>238</v>
      </c>
      <c r="BR47" s="5" t="s">
        <v>238</v>
      </c>
      <c r="BS47" s="5" t="s">
        <v>238</v>
      </c>
      <c r="BT47" s="5" t="s">
        <v>238</v>
      </c>
      <c r="CC47" s="5" t="s">
        <v>258</v>
      </c>
      <c r="CD47" s="5" t="s">
        <v>238</v>
      </c>
      <c r="CE47" s="5" t="s">
        <v>238</v>
      </c>
      <c r="CI47" s="5" t="s">
        <v>259</v>
      </c>
      <c r="CJ47" s="5" t="s">
        <v>260</v>
      </c>
      <c r="CK47" s="5" t="s">
        <v>238</v>
      </c>
      <c r="CM47" s="5" t="s">
        <v>682</v>
      </c>
      <c r="CN47" s="6" t="s">
        <v>262</v>
      </c>
      <c r="CO47" s="5" t="s">
        <v>263</v>
      </c>
      <c r="CP47" s="5" t="s">
        <v>264</v>
      </c>
      <c r="CQ47" s="5" t="s">
        <v>285</v>
      </c>
      <c r="CR47" s="5" t="s">
        <v>238</v>
      </c>
      <c r="CS47" s="5">
        <v>0</v>
      </c>
      <c r="CT47" s="5" t="s">
        <v>265</v>
      </c>
      <c r="CU47" s="5" t="s">
        <v>266</v>
      </c>
      <c r="CV47" s="5" t="s">
        <v>267</v>
      </c>
      <c r="CW47" s="7">
        <f>0</f>
        <v>0</v>
      </c>
      <c r="CX47" s="8">
        <f>2424140</f>
        <v>2424140</v>
      </c>
      <c r="CY47" s="8">
        <f>1</f>
        <v>1</v>
      </c>
      <c r="DA47" s="5" t="s">
        <v>238</v>
      </c>
      <c r="DB47" s="5" t="s">
        <v>238</v>
      </c>
      <c r="DD47" s="5" t="s">
        <v>238</v>
      </c>
      <c r="DE47" s="8">
        <f>0</f>
        <v>0</v>
      </c>
      <c r="DG47" s="5" t="s">
        <v>238</v>
      </c>
      <c r="DH47" s="5" t="s">
        <v>238</v>
      </c>
      <c r="DI47" s="5" t="s">
        <v>238</v>
      </c>
      <c r="DJ47" s="5" t="s">
        <v>238</v>
      </c>
      <c r="DK47" s="5" t="s">
        <v>271</v>
      </c>
      <c r="DL47" s="5" t="s">
        <v>272</v>
      </c>
      <c r="DM47" s="7">
        <f>19.87</f>
        <v>19.87</v>
      </c>
      <c r="DN47" s="5" t="s">
        <v>238</v>
      </c>
      <c r="DO47" s="5" t="s">
        <v>238</v>
      </c>
      <c r="DP47" s="5" t="s">
        <v>238</v>
      </c>
      <c r="DQ47" s="5" t="s">
        <v>238</v>
      </c>
      <c r="DT47" s="5" t="s">
        <v>3399</v>
      </c>
      <c r="DU47" s="5" t="s">
        <v>271</v>
      </c>
      <c r="HM47" s="5" t="s">
        <v>379</v>
      </c>
      <c r="HP47" s="5" t="s">
        <v>272</v>
      </c>
      <c r="HQ47" s="5" t="s">
        <v>272</v>
      </c>
      <c r="HR47" s="5" t="s">
        <v>238</v>
      </c>
      <c r="HS47" s="5" t="s">
        <v>238</v>
      </c>
      <c r="HT47" s="5" t="s">
        <v>238</v>
      </c>
      <c r="HU47" s="5" t="s">
        <v>238</v>
      </c>
      <c r="HV47" s="5" t="s">
        <v>238</v>
      </c>
      <c r="HW47" s="5" t="s">
        <v>238</v>
      </c>
      <c r="HX47" s="5" t="s">
        <v>238</v>
      </c>
      <c r="HY47" s="5" t="s">
        <v>238</v>
      </c>
      <c r="HZ47" s="5" t="s">
        <v>238</v>
      </c>
      <c r="IA47" s="5" t="s">
        <v>238</v>
      </c>
      <c r="IB47" s="5" t="s">
        <v>238</v>
      </c>
      <c r="IC47" s="5" t="s">
        <v>238</v>
      </c>
      <c r="ID47" s="5" t="s">
        <v>238</v>
      </c>
    </row>
    <row r="48" spans="1:238" x14ac:dyDescent="0.4">
      <c r="A48" s="5">
        <v>48</v>
      </c>
      <c r="B48" s="5">
        <v>1</v>
      </c>
      <c r="C48" s="5">
        <v>2</v>
      </c>
      <c r="D48" s="5" t="s">
        <v>3392</v>
      </c>
      <c r="E48" s="5" t="s">
        <v>751</v>
      </c>
      <c r="F48" s="5" t="s">
        <v>282</v>
      </c>
      <c r="G48" s="5" t="s">
        <v>752</v>
      </c>
      <c r="H48" s="6" t="s">
        <v>3394</v>
      </c>
      <c r="I48" s="5" t="s">
        <v>3391</v>
      </c>
      <c r="J48" s="7">
        <f>19.88</f>
        <v>19.88</v>
      </c>
      <c r="K48" s="5" t="s">
        <v>270</v>
      </c>
      <c r="L48" s="8">
        <f>1</f>
        <v>1</v>
      </c>
      <c r="M48" s="8">
        <f>2425360</f>
        <v>2425360</v>
      </c>
      <c r="N48" s="6" t="s">
        <v>3393</v>
      </c>
      <c r="O48" s="5" t="s">
        <v>268</v>
      </c>
      <c r="P48" s="5" t="s">
        <v>268</v>
      </c>
      <c r="R48" s="8">
        <f>2425359</f>
        <v>2425359</v>
      </c>
      <c r="S48" s="5" t="s">
        <v>240</v>
      </c>
      <c r="T48" s="5" t="s">
        <v>237</v>
      </c>
      <c r="W48" s="5" t="s">
        <v>241</v>
      </c>
      <c r="X48" s="5" t="s">
        <v>750</v>
      </c>
      <c r="Y48" s="5" t="s">
        <v>238</v>
      </c>
      <c r="AB48" s="5" t="s">
        <v>238</v>
      </c>
      <c r="AC48" s="6" t="s">
        <v>238</v>
      </c>
      <c r="AD48" s="6" t="s">
        <v>238</v>
      </c>
      <c r="AF48" s="6" t="s">
        <v>238</v>
      </c>
      <c r="AG48" s="6" t="s">
        <v>246</v>
      </c>
      <c r="AH48" s="5" t="s">
        <v>247</v>
      </c>
      <c r="AI48" s="5" t="s">
        <v>248</v>
      </c>
      <c r="AT48" s="6" t="s">
        <v>238</v>
      </c>
      <c r="AW48" s="5" t="s">
        <v>304</v>
      </c>
      <c r="AX48" s="5" t="s">
        <v>304</v>
      </c>
      <c r="AY48" s="5" t="s">
        <v>250</v>
      </c>
      <c r="AZ48" s="5" t="s">
        <v>305</v>
      </c>
      <c r="BA48" s="5" t="s">
        <v>251</v>
      </c>
      <c r="BB48" s="5" t="s">
        <v>238</v>
      </c>
      <c r="BC48" s="5" t="s">
        <v>253</v>
      </c>
      <c r="BD48" s="5" t="s">
        <v>238</v>
      </c>
      <c r="BF48" s="5" t="s">
        <v>760</v>
      </c>
      <c r="BH48" s="5" t="s">
        <v>283</v>
      </c>
      <c r="BI48" s="6" t="s">
        <v>293</v>
      </c>
      <c r="BJ48" s="5" t="s">
        <v>255</v>
      </c>
      <c r="BK48" s="5" t="s">
        <v>294</v>
      </c>
      <c r="BL48" s="5" t="s">
        <v>238</v>
      </c>
      <c r="BM48" s="7">
        <f>0</f>
        <v>0</v>
      </c>
      <c r="BN48" s="8">
        <f>0</f>
        <v>0</v>
      </c>
      <c r="BO48" s="5" t="s">
        <v>257</v>
      </c>
      <c r="BP48" s="5" t="s">
        <v>258</v>
      </c>
      <c r="BQ48" s="5" t="s">
        <v>238</v>
      </c>
      <c r="BR48" s="5" t="s">
        <v>238</v>
      </c>
      <c r="BS48" s="5" t="s">
        <v>238</v>
      </c>
      <c r="BT48" s="5" t="s">
        <v>238</v>
      </c>
      <c r="CC48" s="5" t="s">
        <v>258</v>
      </c>
      <c r="CD48" s="5" t="s">
        <v>238</v>
      </c>
      <c r="CE48" s="5" t="s">
        <v>238</v>
      </c>
      <c r="CI48" s="5" t="s">
        <v>259</v>
      </c>
      <c r="CJ48" s="5" t="s">
        <v>260</v>
      </c>
      <c r="CK48" s="5" t="s">
        <v>238</v>
      </c>
      <c r="CM48" s="5" t="s">
        <v>657</v>
      </c>
      <c r="CN48" s="6" t="s">
        <v>262</v>
      </c>
      <c r="CO48" s="5" t="s">
        <v>263</v>
      </c>
      <c r="CP48" s="5" t="s">
        <v>264</v>
      </c>
      <c r="CQ48" s="5" t="s">
        <v>285</v>
      </c>
      <c r="CR48" s="5" t="s">
        <v>238</v>
      </c>
      <c r="CS48" s="5">
        <v>0</v>
      </c>
      <c r="CT48" s="5" t="s">
        <v>265</v>
      </c>
      <c r="CU48" s="5" t="s">
        <v>266</v>
      </c>
      <c r="CV48" s="5" t="s">
        <v>267</v>
      </c>
      <c r="CW48" s="7">
        <f>0</f>
        <v>0</v>
      </c>
      <c r="CX48" s="8">
        <f>2425360</f>
        <v>2425360</v>
      </c>
      <c r="CY48" s="8">
        <f>1</f>
        <v>1</v>
      </c>
      <c r="DA48" s="5" t="s">
        <v>238</v>
      </c>
      <c r="DB48" s="5" t="s">
        <v>238</v>
      </c>
      <c r="DD48" s="5" t="s">
        <v>238</v>
      </c>
      <c r="DE48" s="8">
        <f>0</f>
        <v>0</v>
      </c>
      <c r="DG48" s="5" t="s">
        <v>238</v>
      </c>
      <c r="DH48" s="5" t="s">
        <v>238</v>
      </c>
      <c r="DI48" s="5" t="s">
        <v>238</v>
      </c>
      <c r="DJ48" s="5" t="s">
        <v>238</v>
      </c>
      <c r="DK48" s="5" t="s">
        <v>271</v>
      </c>
      <c r="DL48" s="5" t="s">
        <v>272</v>
      </c>
      <c r="DM48" s="7">
        <f>19.88</f>
        <v>19.88</v>
      </c>
      <c r="DN48" s="5" t="s">
        <v>238</v>
      </c>
      <c r="DO48" s="5" t="s">
        <v>238</v>
      </c>
      <c r="DP48" s="5" t="s">
        <v>238</v>
      </c>
      <c r="DQ48" s="5" t="s">
        <v>238</v>
      </c>
      <c r="DT48" s="5" t="s">
        <v>3395</v>
      </c>
      <c r="DU48" s="5" t="s">
        <v>271</v>
      </c>
      <c r="HM48" s="5" t="s">
        <v>274</v>
      </c>
      <c r="HP48" s="5" t="s">
        <v>272</v>
      </c>
      <c r="HQ48" s="5" t="s">
        <v>272</v>
      </c>
      <c r="HR48" s="5" t="s">
        <v>238</v>
      </c>
      <c r="HS48" s="5" t="s">
        <v>238</v>
      </c>
      <c r="HT48" s="5" t="s">
        <v>238</v>
      </c>
      <c r="HU48" s="5" t="s">
        <v>238</v>
      </c>
      <c r="HV48" s="5" t="s">
        <v>238</v>
      </c>
      <c r="HW48" s="5" t="s">
        <v>238</v>
      </c>
      <c r="HX48" s="5" t="s">
        <v>238</v>
      </c>
      <c r="HY48" s="5" t="s">
        <v>238</v>
      </c>
      <c r="HZ48" s="5" t="s">
        <v>238</v>
      </c>
      <c r="IA48" s="5" t="s">
        <v>238</v>
      </c>
      <c r="IB48" s="5" t="s">
        <v>238</v>
      </c>
      <c r="IC48" s="5" t="s">
        <v>238</v>
      </c>
      <c r="ID48" s="5" t="s">
        <v>238</v>
      </c>
    </row>
    <row r="49" spans="1:238" x14ac:dyDescent="0.4">
      <c r="A49" s="5">
        <v>50</v>
      </c>
      <c r="B49" s="5">
        <v>1</v>
      </c>
      <c r="C49" s="5">
        <v>2</v>
      </c>
      <c r="D49" s="5" t="s">
        <v>3470</v>
      </c>
      <c r="E49" s="5" t="s">
        <v>751</v>
      </c>
      <c r="F49" s="5" t="s">
        <v>282</v>
      </c>
      <c r="G49" s="5" t="s">
        <v>752</v>
      </c>
      <c r="H49" s="6" t="s">
        <v>3416</v>
      </c>
      <c r="I49" s="5" t="s">
        <v>3566</v>
      </c>
      <c r="J49" s="7">
        <f>9.72</f>
        <v>9.7200000000000006</v>
      </c>
      <c r="K49" s="5" t="s">
        <v>270</v>
      </c>
      <c r="L49" s="8">
        <f>1</f>
        <v>1</v>
      </c>
      <c r="M49" s="8">
        <f>680400</f>
        <v>680400</v>
      </c>
      <c r="N49" s="6" t="s">
        <v>906</v>
      </c>
      <c r="O49" s="5" t="s">
        <v>755</v>
      </c>
      <c r="P49" s="5" t="s">
        <v>909</v>
      </c>
      <c r="R49" s="8">
        <f>680399</f>
        <v>680399</v>
      </c>
      <c r="S49" s="5" t="s">
        <v>240</v>
      </c>
      <c r="T49" s="5" t="s">
        <v>237</v>
      </c>
      <c r="W49" s="5" t="s">
        <v>241</v>
      </c>
      <c r="X49" s="5" t="s">
        <v>750</v>
      </c>
      <c r="Y49" s="5" t="s">
        <v>238</v>
      </c>
      <c r="AB49" s="5" t="s">
        <v>238</v>
      </c>
      <c r="AC49" s="6" t="s">
        <v>238</v>
      </c>
      <c r="AD49" s="6" t="s">
        <v>238</v>
      </c>
      <c r="AF49" s="6" t="s">
        <v>238</v>
      </c>
      <c r="AG49" s="6" t="s">
        <v>246</v>
      </c>
      <c r="AH49" s="5" t="s">
        <v>247</v>
      </c>
      <c r="AI49" s="5" t="s">
        <v>248</v>
      </c>
      <c r="AT49" s="6" t="s">
        <v>238</v>
      </c>
      <c r="AW49" s="5" t="s">
        <v>304</v>
      </c>
      <c r="AX49" s="5" t="s">
        <v>304</v>
      </c>
      <c r="AY49" s="5" t="s">
        <v>250</v>
      </c>
      <c r="AZ49" s="5" t="s">
        <v>305</v>
      </c>
      <c r="BA49" s="5" t="s">
        <v>251</v>
      </c>
      <c r="BB49" s="5" t="s">
        <v>238</v>
      </c>
      <c r="BC49" s="5" t="s">
        <v>253</v>
      </c>
      <c r="BD49" s="5" t="s">
        <v>238</v>
      </c>
      <c r="BF49" s="5" t="s">
        <v>760</v>
      </c>
      <c r="BH49" s="5" t="s">
        <v>283</v>
      </c>
      <c r="BI49" s="6" t="s">
        <v>293</v>
      </c>
      <c r="BJ49" s="5" t="s">
        <v>255</v>
      </c>
      <c r="BK49" s="5" t="s">
        <v>256</v>
      </c>
      <c r="BL49" s="5" t="s">
        <v>238</v>
      </c>
      <c r="BM49" s="7">
        <f>0</f>
        <v>0</v>
      </c>
      <c r="BN49" s="8">
        <f>0</f>
        <v>0</v>
      </c>
      <c r="BO49" s="5" t="s">
        <v>257</v>
      </c>
      <c r="BP49" s="5" t="s">
        <v>258</v>
      </c>
      <c r="BQ49" s="5" t="s">
        <v>238</v>
      </c>
      <c r="BR49" s="5" t="s">
        <v>238</v>
      </c>
      <c r="BS49" s="5" t="s">
        <v>238</v>
      </c>
      <c r="BT49" s="5" t="s">
        <v>238</v>
      </c>
      <c r="CC49" s="5" t="s">
        <v>258</v>
      </c>
      <c r="CD49" s="5" t="s">
        <v>238</v>
      </c>
      <c r="CE49" s="5" t="s">
        <v>238</v>
      </c>
      <c r="CI49" s="5" t="s">
        <v>527</v>
      </c>
      <c r="CJ49" s="5" t="s">
        <v>260</v>
      </c>
      <c r="CK49" s="5" t="s">
        <v>238</v>
      </c>
      <c r="CM49" s="5" t="s">
        <v>908</v>
      </c>
      <c r="CN49" s="6" t="s">
        <v>262</v>
      </c>
      <c r="CO49" s="5" t="s">
        <v>263</v>
      </c>
      <c r="CP49" s="5" t="s">
        <v>264</v>
      </c>
      <c r="CQ49" s="5" t="s">
        <v>285</v>
      </c>
      <c r="CR49" s="5" t="s">
        <v>238</v>
      </c>
      <c r="CS49" s="5">
        <v>0</v>
      </c>
      <c r="CT49" s="5" t="s">
        <v>265</v>
      </c>
      <c r="CU49" s="5" t="s">
        <v>266</v>
      </c>
      <c r="CV49" s="5" t="s">
        <v>754</v>
      </c>
      <c r="CW49" s="7">
        <f>0</f>
        <v>0</v>
      </c>
      <c r="CX49" s="8">
        <f>680400</f>
        <v>680400</v>
      </c>
      <c r="CY49" s="8">
        <f>1</f>
        <v>1</v>
      </c>
      <c r="DA49" s="5" t="s">
        <v>238</v>
      </c>
      <c r="DB49" s="5" t="s">
        <v>238</v>
      </c>
      <c r="DD49" s="5" t="s">
        <v>238</v>
      </c>
      <c r="DE49" s="8">
        <f>0</f>
        <v>0</v>
      </c>
      <c r="DG49" s="5" t="s">
        <v>238</v>
      </c>
      <c r="DH49" s="5" t="s">
        <v>238</v>
      </c>
      <c r="DI49" s="5" t="s">
        <v>238</v>
      </c>
      <c r="DJ49" s="5" t="s">
        <v>238</v>
      </c>
      <c r="DK49" s="5" t="s">
        <v>271</v>
      </c>
      <c r="DL49" s="5" t="s">
        <v>272</v>
      </c>
      <c r="DM49" s="7">
        <f>9.72</f>
        <v>9.7200000000000006</v>
      </c>
      <c r="DN49" s="5" t="s">
        <v>238</v>
      </c>
      <c r="DO49" s="5" t="s">
        <v>238</v>
      </c>
      <c r="DP49" s="5" t="s">
        <v>238</v>
      </c>
      <c r="DQ49" s="5" t="s">
        <v>238</v>
      </c>
      <c r="DT49" s="5" t="s">
        <v>3471</v>
      </c>
      <c r="DU49" s="5" t="s">
        <v>271</v>
      </c>
      <c r="HM49" s="5" t="s">
        <v>271</v>
      </c>
      <c r="HP49" s="5" t="s">
        <v>272</v>
      </c>
      <c r="HQ49" s="5" t="s">
        <v>272</v>
      </c>
      <c r="HR49" s="5" t="s">
        <v>238</v>
      </c>
      <c r="HS49" s="5" t="s">
        <v>238</v>
      </c>
      <c r="HT49" s="5" t="s">
        <v>238</v>
      </c>
      <c r="HU49" s="5" t="s">
        <v>238</v>
      </c>
      <c r="HV49" s="5" t="s">
        <v>238</v>
      </c>
      <c r="HW49" s="5" t="s">
        <v>238</v>
      </c>
      <c r="HX49" s="5" t="s">
        <v>238</v>
      </c>
      <c r="HY49" s="5" t="s">
        <v>238</v>
      </c>
      <c r="HZ49" s="5" t="s">
        <v>238</v>
      </c>
      <c r="IA49" s="5" t="s">
        <v>238</v>
      </c>
      <c r="IB49" s="5" t="s">
        <v>238</v>
      </c>
      <c r="IC49" s="5" t="s">
        <v>238</v>
      </c>
      <c r="ID49" s="5" t="s">
        <v>238</v>
      </c>
    </row>
    <row r="50" spans="1:238" x14ac:dyDescent="0.4">
      <c r="A50" s="5">
        <v>51</v>
      </c>
      <c r="B50" s="5">
        <v>1</v>
      </c>
      <c r="C50" s="5">
        <v>2</v>
      </c>
      <c r="D50" s="5" t="s">
        <v>3470</v>
      </c>
      <c r="E50" s="5" t="s">
        <v>751</v>
      </c>
      <c r="F50" s="5" t="s">
        <v>282</v>
      </c>
      <c r="G50" s="5" t="s">
        <v>752</v>
      </c>
      <c r="H50" s="6" t="s">
        <v>3416</v>
      </c>
      <c r="I50" s="5" t="s">
        <v>3469</v>
      </c>
      <c r="J50" s="7">
        <f t="shared" ref="J50:J55" si="0">19.87</f>
        <v>19.87</v>
      </c>
      <c r="K50" s="5" t="s">
        <v>270</v>
      </c>
      <c r="L50" s="8">
        <f>1</f>
        <v>1</v>
      </c>
      <c r="M50" s="8">
        <f t="shared" ref="M50:M55" si="1">2424140</f>
        <v>2424140</v>
      </c>
      <c r="N50" s="6" t="s">
        <v>679</v>
      </c>
      <c r="O50" s="5" t="s">
        <v>268</v>
      </c>
      <c r="P50" s="5" t="s">
        <v>268</v>
      </c>
      <c r="R50" s="8">
        <f t="shared" ref="R50:R55" si="2">2424139</f>
        <v>2424139</v>
      </c>
      <c r="S50" s="5" t="s">
        <v>240</v>
      </c>
      <c r="T50" s="5" t="s">
        <v>237</v>
      </c>
      <c r="W50" s="5" t="s">
        <v>241</v>
      </c>
      <c r="X50" s="5" t="s">
        <v>750</v>
      </c>
      <c r="Y50" s="5" t="s">
        <v>238</v>
      </c>
      <c r="AB50" s="5" t="s">
        <v>238</v>
      </c>
      <c r="AC50" s="6" t="s">
        <v>238</v>
      </c>
      <c r="AD50" s="6" t="s">
        <v>238</v>
      </c>
      <c r="AF50" s="6" t="s">
        <v>238</v>
      </c>
      <c r="AG50" s="6" t="s">
        <v>246</v>
      </c>
      <c r="AH50" s="5" t="s">
        <v>247</v>
      </c>
      <c r="AI50" s="5" t="s">
        <v>248</v>
      </c>
      <c r="AT50" s="6" t="s">
        <v>238</v>
      </c>
      <c r="AW50" s="5" t="s">
        <v>304</v>
      </c>
      <c r="AX50" s="5" t="s">
        <v>304</v>
      </c>
      <c r="AY50" s="5" t="s">
        <v>250</v>
      </c>
      <c r="AZ50" s="5" t="s">
        <v>305</v>
      </c>
      <c r="BA50" s="5" t="s">
        <v>251</v>
      </c>
      <c r="BB50" s="5" t="s">
        <v>238</v>
      </c>
      <c r="BC50" s="5" t="s">
        <v>253</v>
      </c>
      <c r="BD50" s="5" t="s">
        <v>238</v>
      </c>
      <c r="BF50" s="5" t="s">
        <v>238</v>
      </c>
      <c r="BH50" s="5" t="s">
        <v>283</v>
      </c>
      <c r="BI50" s="6" t="s">
        <v>293</v>
      </c>
      <c r="BJ50" s="5" t="s">
        <v>255</v>
      </c>
      <c r="BK50" s="5" t="s">
        <v>294</v>
      </c>
      <c r="BL50" s="5" t="s">
        <v>238</v>
      </c>
      <c r="BM50" s="7">
        <f>0</f>
        <v>0</v>
      </c>
      <c r="BN50" s="8">
        <f>0</f>
        <v>0</v>
      </c>
      <c r="BO50" s="5" t="s">
        <v>257</v>
      </c>
      <c r="BP50" s="5" t="s">
        <v>258</v>
      </c>
      <c r="BQ50" s="5" t="s">
        <v>238</v>
      </c>
      <c r="BR50" s="5" t="s">
        <v>238</v>
      </c>
      <c r="BS50" s="5" t="s">
        <v>238</v>
      </c>
      <c r="BT50" s="5" t="s">
        <v>238</v>
      </c>
      <c r="CC50" s="5" t="s">
        <v>258</v>
      </c>
      <c r="CD50" s="5" t="s">
        <v>238</v>
      </c>
      <c r="CE50" s="5" t="s">
        <v>238</v>
      </c>
      <c r="CI50" s="5" t="s">
        <v>259</v>
      </c>
      <c r="CJ50" s="5" t="s">
        <v>260</v>
      </c>
      <c r="CK50" s="5" t="s">
        <v>238</v>
      </c>
      <c r="CM50" s="5" t="s">
        <v>682</v>
      </c>
      <c r="CN50" s="6" t="s">
        <v>262</v>
      </c>
      <c r="CO50" s="5" t="s">
        <v>263</v>
      </c>
      <c r="CP50" s="5" t="s">
        <v>264</v>
      </c>
      <c r="CQ50" s="5" t="s">
        <v>285</v>
      </c>
      <c r="CR50" s="5" t="s">
        <v>238</v>
      </c>
      <c r="CS50" s="5">
        <v>0</v>
      </c>
      <c r="CT50" s="5" t="s">
        <v>265</v>
      </c>
      <c r="CU50" s="5" t="s">
        <v>266</v>
      </c>
      <c r="CV50" s="5" t="s">
        <v>267</v>
      </c>
      <c r="CW50" s="7">
        <f>0</f>
        <v>0</v>
      </c>
      <c r="CX50" s="8">
        <f t="shared" ref="CX50:CX55" si="3">2424140</f>
        <v>2424140</v>
      </c>
      <c r="CY50" s="8">
        <f>1</f>
        <v>1</v>
      </c>
      <c r="DA50" s="5" t="s">
        <v>238</v>
      </c>
      <c r="DB50" s="5" t="s">
        <v>238</v>
      </c>
      <c r="DD50" s="5" t="s">
        <v>238</v>
      </c>
      <c r="DE50" s="8">
        <f>0</f>
        <v>0</v>
      </c>
      <c r="DG50" s="5" t="s">
        <v>238</v>
      </c>
      <c r="DH50" s="5" t="s">
        <v>238</v>
      </c>
      <c r="DI50" s="5" t="s">
        <v>238</v>
      </c>
      <c r="DJ50" s="5" t="s">
        <v>238</v>
      </c>
      <c r="DK50" s="5" t="s">
        <v>271</v>
      </c>
      <c r="DL50" s="5" t="s">
        <v>272</v>
      </c>
      <c r="DM50" s="7">
        <f t="shared" ref="DM50:DM55" si="4">19.87</f>
        <v>19.87</v>
      </c>
      <c r="DN50" s="5" t="s">
        <v>238</v>
      </c>
      <c r="DO50" s="5" t="s">
        <v>238</v>
      </c>
      <c r="DP50" s="5" t="s">
        <v>238</v>
      </c>
      <c r="DQ50" s="5" t="s">
        <v>238</v>
      </c>
      <c r="DT50" s="5" t="s">
        <v>3471</v>
      </c>
      <c r="DU50" s="5" t="s">
        <v>274</v>
      </c>
      <c r="HM50" s="5" t="s">
        <v>379</v>
      </c>
      <c r="HP50" s="5" t="s">
        <v>272</v>
      </c>
      <c r="HQ50" s="5" t="s">
        <v>272</v>
      </c>
      <c r="HR50" s="5" t="s">
        <v>238</v>
      </c>
      <c r="HS50" s="5" t="s">
        <v>238</v>
      </c>
      <c r="HT50" s="5" t="s">
        <v>238</v>
      </c>
      <c r="HU50" s="5" t="s">
        <v>238</v>
      </c>
      <c r="HV50" s="5" t="s">
        <v>238</v>
      </c>
      <c r="HW50" s="5" t="s">
        <v>238</v>
      </c>
      <c r="HX50" s="5" t="s">
        <v>238</v>
      </c>
      <c r="HY50" s="5" t="s">
        <v>238</v>
      </c>
      <c r="HZ50" s="5" t="s">
        <v>238</v>
      </c>
      <c r="IA50" s="5" t="s">
        <v>238</v>
      </c>
      <c r="IB50" s="5" t="s">
        <v>238</v>
      </c>
      <c r="IC50" s="5" t="s">
        <v>238</v>
      </c>
      <c r="ID50" s="5" t="s">
        <v>238</v>
      </c>
    </row>
    <row r="51" spans="1:238" x14ac:dyDescent="0.4">
      <c r="A51" s="5">
        <v>52</v>
      </c>
      <c r="B51" s="5">
        <v>1</v>
      </c>
      <c r="C51" s="5">
        <v>2</v>
      </c>
      <c r="D51" s="5" t="s">
        <v>3923</v>
      </c>
      <c r="E51" s="5" t="s">
        <v>751</v>
      </c>
      <c r="F51" s="5" t="s">
        <v>282</v>
      </c>
      <c r="G51" s="5" t="s">
        <v>752</v>
      </c>
      <c r="H51" s="6" t="s">
        <v>2359</v>
      </c>
      <c r="I51" s="5" t="s">
        <v>3922</v>
      </c>
      <c r="J51" s="7">
        <f t="shared" si="0"/>
        <v>19.87</v>
      </c>
      <c r="K51" s="5" t="s">
        <v>270</v>
      </c>
      <c r="L51" s="8">
        <f>1</f>
        <v>1</v>
      </c>
      <c r="M51" s="8">
        <f t="shared" si="1"/>
        <v>2424140</v>
      </c>
      <c r="N51" s="6" t="s">
        <v>3874</v>
      </c>
      <c r="O51" s="5" t="s">
        <v>268</v>
      </c>
      <c r="P51" s="5" t="s">
        <v>268</v>
      </c>
      <c r="R51" s="8">
        <f t="shared" si="2"/>
        <v>2424139</v>
      </c>
      <c r="S51" s="5" t="s">
        <v>240</v>
      </c>
      <c r="T51" s="5" t="s">
        <v>237</v>
      </c>
      <c r="W51" s="5" t="s">
        <v>241</v>
      </c>
      <c r="X51" s="5" t="s">
        <v>750</v>
      </c>
      <c r="Y51" s="5" t="s">
        <v>238</v>
      </c>
      <c r="AB51" s="5" t="s">
        <v>238</v>
      </c>
      <c r="AC51" s="6" t="s">
        <v>238</v>
      </c>
      <c r="AD51" s="6" t="s">
        <v>238</v>
      </c>
      <c r="AF51" s="6" t="s">
        <v>238</v>
      </c>
      <c r="AG51" s="6" t="s">
        <v>246</v>
      </c>
      <c r="AH51" s="5" t="s">
        <v>247</v>
      </c>
      <c r="AI51" s="5" t="s">
        <v>248</v>
      </c>
      <c r="AT51" s="6" t="s">
        <v>238</v>
      </c>
      <c r="AW51" s="5" t="s">
        <v>304</v>
      </c>
      <c r="AX51" s="5" t="s">
        <v>304</v>
      </c>
      <c r="AY51" s="5" t="s">
        <v>250</v>
      </c>
      <c r="AZ51" s="5" t="s">
        <v>305</v>
      </c>
      <c r="BA51" s="5" t="s">
        <v>251</v>
      </c>
      <c r="BB51" s="5" t="s">
        <v>238</v>
      </c>
      <c r="BC51" s="5" t="s">
        <v>253</v>
      </c>
      <c r="BD51" s="5" t="s">
        <v>238</v>
      </c>
      <c r="BF51" s="5" t="s">
        <v>760</v>
      </c>
      <c r="BH51" s="5" t="s">
        <v>283</v>
      </c>
      <c r="BI51" s="6" t="s">
        <v>293</v>
      </c>
      <c r="BJ51" s="5" t="s">
        <v>255</v>
      </c>
      <c r="BK51" s="5" t="s">
        <v>294</v>
      </c>
      <c r="BL51" s="5" t="s">
        <v>238</v>
      </c>
      <c r="BM51" s="7">
        <f>0</f>
        <v>0</v>
      </c>
      <c r="BN51" s="8">
        <f>0</f>
        <v>0</v>
      </c>
      <c r="BO51" s="5" t="s">
        <v>257</v>
      </c>
      <c r="BP51" s="5" t="s">
        <v>258</v>
      </c>
      <c r="BQ51" s="5" t="s">
        <v>238</v>
      </c>
      <c r="BR51" s="5" t="s">
        <v>238</v>
      </c>
      <c r="BS51" s="5" t="s">
        <v>238</v>
      </c>
      <c r="BT51" s="5" t="s">
        <v>238</v>
      </c>
      <c r="CC51" s="5" t="s">
        <v>258</v>
      </c>
      <c r="CD51" s="5" t="s">
        <v>238</v>
      </c>
      <c r="CE51" s="5" t="s">
        <v>238</v>
      </c>
      <c r="CI51" s="5" t="s">
        <v>259</v>
      </c>
      <c r="CJ51" s="5" t="s">
        <v>260</v>
      </c>
      <c r="CK51" s="5" t="s">
        <v>238</v>
      </c>
      <c r="CM51" s="5" t="s">
        <v>1357</v>
      </c>
      <c r="CN51" s="6" t="s">
        <v>262</v>
      </c>
      <c r="CO51" s="5" t="s">
        <v>263</v>
      </c>
      <c r="CP51" s="5" t="s">
        <v>264</v>
      </c>
      <c r="CQ51" s="5" t="s">
        <v>285</v>
      </c>
      <c r="CR51" s="5" t="s">
        <v>238</v>
      </c>
      <c r="CS51" s="5">
        <v>0</v>
      </c>
      <c r="CT51" s="5" t="s">
        <v>265</v>
      </c>
      <c r="CU51" s="5" t="s">
        <v>266</v>
      </c>
      <c r="CV51" s="5" t="s">
        <v>267</v>
      </c>
      <c r="CW51" s="7">
        <f>0</f>
        <v>0</v>
      </c>
      <c r="CX51" s="8">
        <f t="shared" si="3"/>
        <v>2424140</v>
      </c>
      <c r="CY51" s="8">
        <f>1</f>
        <v>1</v>
      </c>
      <c r="DA51" s="5" t="s">
        <v>238</v>
      </c>
      <c r="DB51" s="5" t="s">
        <v>238</v>
      </c>
      <c r="DD51" s="5" t="s">
        <v>238</v>
      </c>
      <c r="DE51" s="8">
        <f>0</f>
        <v>0</v>
      </c>
      <c r="DG51" s="5" t="s">
        <v>238</v>
      </c>
      <c r="DH51" s="5" t="s">
        <v>238</v>
      </c>
      <c r="DI51" s="5" t="s">
        <v>238</v>
      </c>
      <c r="DJ51" s="5" t="s">
        <v>238</v>
      </c>
      <c r="DK51" s="5" t="s">
        <v>271</v>
      </c>
      <c r="DL51" s="5" t="s">
        <v>272</v>
      </c>
      <c r="DM51" s="7">
        <f t="shared" si="4"/>
        <v>19.87</v>
      </c>
      <c r="DN51" s="5" t="s">
        <v>238</v>
      </c>
      <c r="DO51" s="5" t="s">
        <v>238</v>
      </c>
      <c r="DP51" s="5" t="s">
        <v>238</v>
      </c>
      <c r="DQ51" s="5" t="s">
        <v>238</v>
      </c>
      <c r="DT51" s="5" t="s">
        <v>3924</v>
      </c>
      <c r="DU51" s="5" t="s">
        <v>271</v>
      </c>
      <c r="HM51" s="5" t="s">
        <v>356</v>
      </c>
      <c r="HP51" s="5" t="s">
        <v>272</v>
      </c>
      <c r="HQ51" s="5" t="s">
        <v>272</v>
      </c>
      <c r="HR51" s="5" t="s">
        <v>238</v>
      </c>
      <c r="HS51" s="5" t="s">
        <v>238</v>
      </c>
      <c r="HT51" s="5" t="s">
        <v>238</v>
      </c>
      <c r="HU51" s="5" t="s">
        <v>238</v>
      </c>
      <c r="HV51" s="5" t="s">
        <v>238</v>
      </c>
      <c r="HW51" s="5" t="s">
        <v>238</v>
      </c>
      <c r="HX51" s="5" t="s">
        <v>238</v>
      </c>
      <c r="HY51" s="5" t="s">
        <v>238</v>
      </c>
      <c r="HZ51" s="5" t="s">
        <v>238</v>
      </c>
      <c r="IA51" s="5" t="s">
        <v>238</v>
      </c>
      <c r="IB51" s="5" t="s">
        <v>238</v>
      </c>
      <c r="IC51" s="5" t="s">
        <v>238</v>
      </c>
      <c r="ID51" s="5" t="s">
        <v>238</v>
      </c>
    </row>
    <row r="52" spans="1:238" x14ac:dyDescent="0.4">
      <c r="A52" s="5">
        <v>53</v>
      </c>
      <c r="B52" s="5">
        <v>1</v>
      </c>
      <c r="C52" s="5">
        <v>2</v>
      </c>
      <c r="D52" s="5" t="s">
        <v>3919</v>
      </c>
      <c r="E52" s="5" t="s">
        <v>751</v>
      </c>
      <c r="F52" s="5" t="s">
        <v>282</v>
      </c>
      <c r="G52" s="5" t="s">
        <v>752</v>
      </c>
      <c r="H52" s="6" t="s">
        <v>3920</v>
      </c>
      <c r="I52" s="5" t="s">
        <v>3918</v>
      </c>
      <c r="J52" s="7">
        <f t="shared" si="0"/>
        <v>19.87</v>
      </c>
      <c r="K52" s="5" t="s">
        <v>270</v>
      </c>
      <c r="L52" s="8">
        <f>1</f>
        <v>1</v>
      </c>
      <c r="M52" s="8">
        <f t="shared" si="1"/>
        <v>2424140</v>
      </c>
      <c r="N52" s="6" t="s">
        <v>2285</v>
      </c>
      <c r="O52" s="5" t="s">
        <v>268</v>
      </c>
      <c r="P52" s="5" t="s">
        <v>268</v>
      </c>
      <c r="R52" s="8">
        <f t="shared" si="2"/>
        <v>2424139</v>
      </c>
      <c r="S52" s="5" t="s">
        <v>240</v>
      </c>
      <c r="T52" s="5" t="s">
        <v>237</v>
      </c>
      <c r="W52" s="5" t="s">
        <v>241</v>
      </c>
      <c r="X52" s="5" t="s">
        <v>750</v>
      </c>
      <c r="Y52" s="5" t="s">
        <v>238</v>
      </c>
      <c r="AB52" s="5" t="s">
        <v>238</v>
      </c>
      <c r="AC52" s="6" t="s">
        <v>238</v>
      </c>
      <c r="AD52" s="6" t="s">
        <v>238</v>
      </c>
      <c r="AF52" s="6" t="s">
        <v>238</v>
      </c>
      <c r="AG52" s="6" t="s">
        <v>246</v>
      </c>
      <c r="AH52" s="5" t="s">
        <v>247</v>
      </c>
      <c r="AI52" s="5" t="s">
        <v>248</v>
      </c>
      <c r="AT52" s="6" t="s">
        <v>238</v>
      </c>
      <c r="AW52" s="5" t="s">
        <v>304</v>
      </c>
      <c r="AX52" s="5" t="s">
        <v>304</v>
      </c>
      <c r="AY52" s="5" t="s">
        <v>250</v>
      </c>
      <c r="AZ52" s="5" t="s">
        <v>305</v>
      </c>
      <c r="BA52" s="5" t="s">
        <v>251</v>
      </c>
      <c r="BB52" s="5" t="s">
        <v>238</v>
      </c>
      <c r="BC52" s="5" t="s">
        <v>253</v>
      </c>
      <c r="BD52" s="5" t="s">
        <v>238</v>
      </c>
      <c r="BF52" s="5" t="s">
        <v>760</v>
      </c>
      <c r="BH52" s="5" t="s">
        <v>283</v>
      </c>
      <c r="BI52" s="6" t="s">
        <v>293</v>
      </c>
      <c r="BJ52" s="5" t="s">
        <v>255</v>
      </c>
      <c r="BK52" s="5" t="s">
        <v>294</v>
      </c>
      <c r="BL52" s="5" t="s">
        <v>238</v>
      </c>
      <c r="BM52" s="7">
        <f>0</f>
        <v>0</v>
      </c>
      <c r="BN52" s="8">
        <f>0</f>
        <v>0</v>
      </c>
      <c r="BO52" s="5" t="s">
        <v>257</v>
      </c>
      <c r="BP52" s="5" t="s">
        <v>258</v>
      </c>
      <c r="BQ52" s="5" t="s">
        <v>238</v>
      </c>
      <c r="BR52" s="5" t="s">
        <v>238</v>
      </c>
      <c r="BS52" s="5" t="s">
        <v>238</v>
      </c>
      <c r="BT52" s="5" t="s">
        <v>238</v>
      </c>
      <c r="CC52" s="5" t="s">
        <v>258</v>
      </c>
      <c r="CD52" s="5" t="s">
        <v>238</v>
      </c>
      <c r="CE52" s="5" t="s">
        <v>238</v>
      </c>
      <c r="CI52" s="5" t="s">
        <v>259</v>
      </c>
      <c r="CJ52" s="5" t="s">
        <v>260</v>
      </c>
      <c r="CK52" s="5" t="s">
        <v>238</v>
      </c>
      <c r="CM52" s="5" t="s">
        <v>807</v>
      </c>
      <c r="CN52" s="6" t="s">
        <v>262</v>
      </c>
      <c r="CO52" s="5" t="s">
        <v>263</v>
      </c>
      <c r="CP52" s="5" t="s">
        <v>264</v>
      </c>
      <c r="CQ52" s="5" t="s">
        <v>285</v>
      </c>
      <c r="CR52" s="5" t="s">
        <v>238</v>
      </c>
      <c r="CS52" s="5">
        <v>0</v>
      </c>
      <c r="CT52" s="5" t="s">
        <v>265</v>
      </c>
      <c r="CU52" s="5" t="s">
        <v>266</v>
      </c>
      <c r="CV52" s="5" t="s">
        <v>267</v>
      </c>
      <c r="CW52" s="7">
        <f>0</f>
        <v>0</v>
      </c>
      <c r="CX52" s="8">
        <f t="shared" si="3"/>
        <v>2424140</v>
      </c>
      <c r="CY52" s="8">
        <f>1</f>
        <v>1</v>
      </c>
      <c r="DA52" s="5" t="s">
        <v>238</v>
      </c>
      <c r="DB52" s="5" t="s">
        <v>238</v>
      </c>
      <c r="DD52" s="5" t="s">
        <v>238</v>
      </c>
      <c r="DE52" s="8">
        <f>0</f>
        <v>0</v>
      </c>
      <c r="DG52" s="5" t="s">
        <v>238</v>
      </c>
      <c r="DH52" s="5" t="s">
        <v>238</v>
      </c>
      <c r="DI52" s="5" t="s">
        <v>238</v>
      </c>
      <c r="DJ52" s="5" t="s">
        <v>238</v>
      </c>
      <c r="DK52" s="5" t="s">
        <v>271</v>
      </c>
      <c r="DL52" s="5" t="s">
        <v>272</v>
      </c>
      <c r="DM52" s="7">
        <f t="shared" si="4"/>
        <v>19.87</v>
      </c>
      <c r="DN52" s="5" t="s">
        <v>238</v>
      </c>
      <c r="DO52" s="5" t="s">
        <v>238</v>
      </c>
      <c r="DP52" s="5" t="s">
        <v>238</v>
      </c>
      <c r="DQ52" s="5" t="s">
        <v>238</v>
      </c>
      <c r="DT52" s="5" t="s">
        <v>3921</v>
      </c>
      <c r="DU52" s="5" t="s">
        <v>271</v>
      </c>
      <c r="HM52" s="5" t="s">
        <v>310</v>
      </c>
      <c r="HP52" s="5" t="s">
        <v>272</v>
      </c>
      <c r="HQ52" s="5" t="s">
        <v>272</v>
      </c>
      <c r="HR52" s="5" t="s">
        <v>238</v>
      </c>
      <c r="HS52" s="5" t="s">
        <v>238</v>
      </c>
      <c r="HT52" s="5" t="s">
        <v>238</v>
      </c>
      <c r="HU52" s="5" t="s">
        <v>238</v>
      </c>
      <c r="HV52" s="5" t="s">
        <v>238</v>
      </c>
      <c r="HW52" s="5" t="s">
        <v>238</v>
      </c>
      <c r="HX52" s="5" t="s">
        <v>238</v>
      </c>
      <c r="HY52" s="5" t="s">
        <v>238</v>
      </c>
      <c r="HZ52" s="5" t="s">
        <v>238</v>
      </c>
      <c r="IA52" s="5" t="s">
        <v>238</v>
      </c>
      <c r="IB52" s="5" t="s">
        <v>238</v>
      </c>
      <c r="IC52" s="5" t="s">
        <v>238</v>
      </c>
      <c r="ID52" s="5" t="s">
        <v>238</v>
      </c>
    </row>
    <row r="53" spans="1:238" x14ac:dyDescent="0.4">
      <c r="A53" s="5">
        <v>54</v>
      </c>
      <c r="B53" s="5">
        <v>1</v>
      </c>
      <c r="C53" s="5">
        <v>2</v>
      </c>
      <c r="D53" s="5" t="s">
        <v>3915</v>
      </c>
      <c r="E53" s="5" t="s">
        <v>751</v>
      </c>
      <c r="F53" s="5" t="s">
        <v>282</v>
      </c>
      <c r="G53" s="5" t="s">
        <v>752</v>
      </c>
      <c r="H53" s="6" t="s">
        <v>3916</v>
      </c>
      <c r="I53" s="5" t="s">
        <v>3914</v>
      </c>
      <c r="J53" s="7">
        <f t="shared" si="0"/>
        <v>19.87</v>
      </c>
      <c r="K53" s="5" t="s">
        <v>270</v>
      </c>
      <c r="L53" s="8">
        <f>1</f>
        <v>1</v>
      </c>
      <c r="M53" s="8">
        <f t="shared" si="1"/>
        <v>2424140</v>
      </c>
      <c r="N53" s="6" t="s">
        <v>2285</v>
      </c>
      <c r="O53" s="5" t="s">
        <v>268</v>
      </c>
      <c r="P53" s="5" t="s">
        <v>268</v>
      </c>
      <c r="R53" s="8">
        <f t="shared" si="2"/>
        <v>2424139</v>
      </c>
      <c r="S53" s="5" t="s">
        <v>240</v>
      </c>
      <c r="T53" s="5" t="s">
        <v>237</v>
      </c>
      <c r="W53" s="5" t="s">
        <v>241</v>
      </c>
      <c r="X53" s="5" t="s">
        <v>750</v>
      </c>
      <c r="Y53" s="5" t="s">
        <v>238</v>
      </c>
      <c r="AB53" s="5" t="s">
        <v>238</v>
      </c>
      <c r="AC53" s="6" t="s">
        <v>238</v>
      </c>
      <c r="AD53" s="6" t="s">
        <v>238</v>
      </c>
      <c r="AF53" s="6" t="s">
        <v>238</v>
      </c>
      <c r="AG53" s="6" t="s">
        <v>246</v>
      </c>
      <c r="AH53" s="5" t="s">
        <v>247</v>
      </c>
      <c r="AI53" s="5" t="s">
        <v>248</v>
      </c>
      <c r="AT53" s="6" t="s">
        <v>238</v>
      </c>
      <c r="AW53" s="5" t="s">
        <v>304</v>
      </c>
      <c r="AX53" s="5" t="s">
        <v>304</v>
      </c>
      <c r="AY53" s="5" t="s">
        <v>250</v>
      </c>
      <c r="AZ53" s="5" t="s">
        <v>305</v>
      </c>
      <c r="BA53" s="5" t="s">
        <v>251</v>
      </c>
      <c r="BB53" s="5" t="s">
        <v>238</v>
      </c>
      <c r="BC53" s="5" t="s">
        <v>253</v>
      </c>
      <c r="BD53" s="5" t="s">
        <v>238</v>
      </c>
      <c r="BF53" s="5" t="s">
        <v>760</v>
      </c>
      <c r="BH53" s="5" t="s">
        <v>283</v>
      </c>
      <c r="BI53" s="6" t="s">
        <v>293</v>
      </c>
      <c r="BJ53" s="5" t="s">
        <v>255</v>
      </c>
      <c r="BK53" s="5" t="s">
        <v>294</v>
      </c>
      <c r="BL53" s="5" t="s">
        <v>238</v>
      </c>
      <c r="BM53" s="7">
        <f>0</f>
        <v>0</v>
      </c>
      <c r="BN53" s="8">
        <f>0</f>
        <v>0</v>
      </c>
      <c r="BO53" s="5" t="s">
        <v>257</v>
      </c>
      <c r="BP53" s="5" t="s">
        <v>258</v>
      </c>
      <c r="BQ53" s="5" t="s">
        <v>238</v>
      </c>
      <c r="BR53" s="5" t="s">
        <v>238</v>
      </c>
      <c r="BS53" s="5" t="s">
        <v>238</v>
      </c>
      <c r="BT53" s="5" t="s">
        <v>238</v>
      </c>
      <c r="CC53" s="5" t="s">
        <v>258</v>
      </c>
      <c r="CD53" s="5" t="s">
        <v>238</v>
      </c>
      <c r="CE53" s="5" t="s">
        <v>238</v>
      </c>
      <c r="CI53" s="5" t="s">
        <v>259</v>
      </c>
      <c r="CJ53" s="5" t="s">
        <v>260</v>
      </c>
      <c r="CK53" s="5" t="s">
        <v>238</v>
      </c>
      <c r="CM53" s="5" t="s">
        <v>807</v>
      </c>
      <c r="CN53" s="6" t="s">
        <v>262</v>
      </c>
      <c r="CO53" s="5" t="s">
        <v>263</v>
      </c>
      <c r="CP53" s="5" t="s">
        <v>264</v>
      </c>
      <c r="CQ53" s="5" t="s">
        <v>285</v>
      </c>
      <c r="CR53" s="5" t="s">
        <v>238</v>
      </c>
      <c r="CS53" s="5">
        <v>0</v>
      </c>
      <c r="CT53" s="5" t="s">
        <v>265</v>
      </c>
      <c r="CU53" s="5" t="s">
        <v>266</v>
      </c>
      <c r="CV53" s="5" t="s">
        <v>267</v>
      </c>
      <c r="CW53" s="7">
        <f>0</f>
        <v>0</v>
      </c>
      <c r="CX53" s="8">
        <f t="shared" si="3"/>
        <v>2424140</v>
      </c>
      <c r="CY53" s="8">
        <f>1</f>
        <v>1</v>
      </c>
      <c r="DA53" s="5" t="s">
        <v>238</v>
      </c>
      <c r="DB53" s="5" t="s">
        <v>238</v>
      </c>
      <c r="DD53" s="5" t="s">
        <v>238</v>
      </c>
      <c r="DE53" s="8">
        <f>0</f>
        <v>0</v>
      </c>
      <c r="DG53" s="5" t="s">
        <v>238</v>
      </c>
      <c r="DH53" s="5" t="s">
        <v>238</v>
      </c>
      <c r="DI53" s="5" t="s">
        <v>238</v>
      </c>
      <c r="DJ53" s="5" t="s">
        <v>238</v>
      </c>
      <c r="DK53" s="5" t="s">
        <v>271</v>
      </c>
      <c r="DL53" s="5" t="s">
        <v>272</v>
      </c>
      <c r="DM53" s="7">
        <f t="shared" si="4"/>
        <v>19.87</v>
      </c>
      <c r="DN53" s="5" t="s">
        <v>238</v>
      </c>
      <c r="DO53" s="5" t="s">
        <v>238</v>
      </c>
      <c r="DP53" s="5" t="s">
        <v>238</v>
      </c>
      <c r="DQ53" s="5" t="s">
        <v>238</v>
      </c>
      <c r="DT53" s="5" t="s">
        <v>3917</v>
      </c>
      <c r="DU53" s="5" t="s">
        <v>271</v>
      </c>
      <c r="HM53" s="5" t="s">
        <v>310</v>
      </c>
      <c r="HP53" s="5" t="s">
        <v>272</v>
      </c>
      <c r="HQ53" s="5" t="s">
        <v>272</v>
      </c>
      <c r="HR53" s="5" t="s">
        <v>238</v>
      </c>
      <c r="HS53" s="5" t="s">
        <v>238</v>
      </c>
      <c r="HT53" s="5" t="s">
        <v>238</v>
      </c>
      <c r="HU53" s="5" t="s">
        <v>238</v>
      </c>
      <c r="HV53" s="5" t="s">
        <v>238</v>
      </c>
      <c r="HW53" s="5" t="s">
        <v>238</v>
      </c>
      <c r="HX53" s="5" t="s">
        <v>238</v>
      </c>
      <c r="HY53" s="5" t="s">
        <v>238</v>
      </c>
      <c r="HZ53" s="5" t="s">
        <v>238</v>
      </c>
      <c r="IA53" s="5" t="s">
        <v>238</v>
      </c>
      <c r="IB53" s="5" t="s">
        <v>238</v>
      </c>
      <c r="IC53" s="5" t="s">
        <v>238</v>
      </c>
      <c r="ID53" s="5" t="s">
        <v>238</v>
      </c>
    </row>
    <row r="54" spans="1:238" x14ac:dyDescent="0.4">
      <c r="A54" s="5">
        <v>55</v>
      </c>
      <c r="B54" s="5">
        <v>1</v>
      </c>
      <c r="C54" s="5">
        <v>2</v>
      </c>
      <c r="D54" s="5" t="s">
        <v>3911</v>
      </c>
      <c r="E54" s="5" t="s">
        <v>751</v>
      </c>
      <c r="F54" s="5" t="s">
        <v>282</v>
      </c>
      <c r="G54" s="5" t="s">
        <v>752</v>
      </c>
      <c r="H54" s="6" t="s">
        <v>3912</v>
      </c>
      <c r="I54" s="5" t="s">
        <v>3910</v>
      </c>
      <c r="J54" s="7">
        <f t="shared" si="0"/>
        <v>19.87</v>
      </c>
      <c r="K54" s="5" t="s">
        <v>270</v>
      </c>
      <c r="L54" s="8">
        <f>1</f>
        <v>1</v>
      </c>
      <c r="M54" s="8">
        <f t="shared" si="1"/>
        <v>2424140</v>
      </c>
      <c r="N54" s="6" t="s">
        <v>679</v>
      </c>
      <c r="O54" s="5" t="s">
        <v>268</v>
      </c>
      <c r="P54" s="5" t="s">
        <v>268</v>
      </c>
      <c r="R54" s="8">
        <f t="shared" si="2"/>
        <v>2424139</v>
      </c>
      <c r="S54" s="5" t="s">
        <v>240</v>
      </c>
      <c r="T54" s="5" t="s">
        <v>237</v>
      </c>
      <c r="W54" s="5" t="s">
        <v>241</v>
      </c>
      <c r="X54" s="5" t="s">
        <v>750</v>
      </c>
      <c r="Y54" s="5" t="s">
        <v>238</v>
      </c>
      <c r="AB54" s="5" t="s">
        <v>238</v>
      </c>
      <c r="AC54" s="6" t="s">
        <v>238</v>
      </c>
      <c r="AD54" s="6" t="s">
        <v>238</v>
      </c>
      <c r="AF54" s="6" t="s">
        <v>238</v>
      </c>
      <c r="AG54" s="6" t="s">
        <v>246</v>
      </c>
      <c r="AH54" s="5" t="s">
        <v>247</v>
      </c>
      <c r="AI54" s="5" t="s">
        <v>248</v>
      </c>
      <c r="AT54" s="6" t="s">
        <v>238</v>
      </c>
      <c r="AW54" s="5" t="s">
        <v>304</v>
      </c>
      <c r="AX54" s="5" t="s">
        <v>304</v>
      </c>
      <c r="AY54" s="5" t="s">
        <v>250</v>
      </c>
      <c r="AZ54" s="5" t="s">
        <v>305</v>
      </c>
      <c r="BA54" s="5" t="s">
        <v>251</v>
      </c>
      <c r="BB54" s="5" t="s">
        <v>238</v>
      </c>
      <c r="BC54" s="5" t="s">
        <v>253</v>
      </c>
      <c r="BD54" s="5" t="s">
        <v>238</v>
      </c>
      <c r="BF54" s="5" t="s">
        <v>760</v>
      </c>
      <c r="BH54" s="5" t="s">
        <v>283</v>
      </c>
      <c r="BI54" s="6" t="s">
        <v>293</v>
      </c>
      <c r="BJ54" s="5" t="s">
        <v>255</v>
      </c>
      <c r="BK54" s="5" t="s">
        <v>294</v>
      </c>
      <c r="BL54" s="5" t="s">
        <v>238</v>
      </c>
      <c r="BM54" s="7">
        <f>0</f>
        <v>0</v>
      </c>
      <c r="BN54" s="8">
        <f>0</f>
        <v>0</v>
      </c>
      <c r="BO54" s="5" t="s">
        <v>257</v>
      </c>
      <c r="BP54" s="5" t="s">
        <v>258</v>
      </c>
      <c r="BQ54" s="5" t="s">
        <v>238</v>
      </c>
      <c r="BR54" s="5" t="s">
        <v>238</v>
      </c>
      <c r="BS54" s="5" t="s">
        <v>238</v>
      </c>
      <c r="BT54" s="5" t="s">
        <v>238</v>
      </c>
      <c r="CC54" s="5" t="s">
        <v>258</v>
      </c>
      <c r="CD54" s="5" t="s">
        <v>238</v>
      </c>
      <c r="CE54" s="5" t="s">
        <v>238</v>
      </c>
      <c r="CI54" s="5" t="s">
        <v>259</v>
      </c>
      <c r="CJ54" s="5" t="s">
        <v>260</v>
      </c>
      <c r="CK54" s="5" t="s">
        <v>238</v>
      </c>
      <c r="CM54" s="5" t="s">
        <v>682</v>
      </c>
      <c r="CN54" s="6" t="s">
        <v>262</v>
      </c>
      <c r="CO54" s="5" t="s">
        <v>263</v>
      </c>
      <c r="CP54" s="5" t="s">
        <v>264</v>
      </c>
      <c r="CQ54" s="5" t="s">
        <v>285</v>
      </c>
      <c r="CR54" s="5" t="s">
        <v>238</v>
      </c>
      <c r="CS54" s="5">
        <v>0</v>
      </c>
      <c r="CT54" s="5" t="s">
        <v>265</v>
      </c>
      <c r="CU54" s="5" t="s">
        <v>266</v>
      </c>
      <c r="CV54" s="5" t="s">
        <v>267</v>
      </c>
      <c r="CW54" s="7">
        <f>0</f>
        <v>0</v>
      </c>
      <c r="CX54" s="8">
        <f t="shared" si="3"/>
        <v>2424140</v>
      </c>
      <c r="CY54" s="8">
        <f>1</f>
        <v>1</v>
      </c>
      <c r="DA54" s="5" t="s">
        <v>238</v>
      </c>
      <c r="DB54" s="5" t="s">
        <v>238</v>
      </c>
      <c r="DD54" s="5" t="s">
        <v>238</v>
      </c>
      <c r="DE54" s="8">
        <f>0</f>
        <v>0</v>
      </c>
      <c r="DG54" s="5" t="s">
        <v>238</v>
      </c>
      <c r="DH54" s="5" t="s">
        <v>238</v>
      </c>
      <c r="DI54" s="5" t="s">
        <v>238</v>
      </c>
      <c r="DJ54" s="5" t="s">
        <v>238</v>
      </c>
      <c r="DK54" s="5" t="s">
        <v>271</v>
      </c>
      <c r="DL54" s="5" t="s">
        <v>272</v>
      </c>
      <c r="DM54" s="7">
        <f t="shared" si="4"/>
        <v>19.87</v>
      </c>
      <c r="DN54" s="5" t="s">
        <v>238</v>
      </c>
      <c r="DO54" s="5" t="s">
        <v>238</v>
      </c>
      <c r="DP54" s="5" t="s">
        <v>238</v>
      </c>
      <c r="DQ54" s="5" t="s">
        <v>238</v>
      </c>
      <c r="DT54" s="5" t="s">
        <v>3913</v>
      </c>
      <c r="DU54" s="5" t="s">
        <v>271</v>
      </c>
      <c r="HM54" s="5" t="s">
        <v>379</v>
      </c>
      <c r="HP54" s="5" t="s">
        <v>272</v>
      </c>
      <c r="HQ54" s="5" t="s">
        <v>272</v>
      </c>
      <c r="HR54" s="5" t="s">
        <v>238</v>
      </c>
      <c r="HS54" s="5" t="s">
        <v>238</v>
      </c>
      <c r="HT54" s="5" t="s">
        <v>238</v>
      </c>
      <c r="HU54" s="5" t="s">
        <v>238</v>
      </c>
      <c r="HV54" s="5" t="s">
        <v>238</v>
      </c>
      <c r="HW54" s="5" t="s">
        <v>238</v>
      </c>
      <c r="HX54" s="5" t="s">
        <v>238</v>
      </c>
      <c r="HY54" s="5" t="s">
        <v>238</v>
      </c>
      <c r="HZ54" s="5" t="s">
        <v>238</v>
      </c>
      <c r="IA54" s="5" t="s">
        <v>238</v>
      </c>
      <c r="IB54" s="5" t="s">
        <v>238</v>
      </c>
      <c r="IC54" s="5" t="s">
        <v>238</v>
      </c>
      <c r="ID54" s="5" t="s">
        <v>238</v>
      </c>
    </row>
    <row r="55" spans="1:238" x14ac:dyDescent="0.4">
      <c r="A55" s="5">
        <v>56</v>
      </c>
      <c r="B55" s="5">
        <v>1</v>
      </c>
      <c r="C55" s="5">
        <v>2</v>
      </c>
      <c r="D55" s="5" t="s">
        <v>3907</v>
      </c>
      <c r="E55" s="5" t="s">
        <v>751</v>
      </c>
      <c r="F55" s="5" t="s">
        <v>282</v>
      </c>
      <c r="G55" s="5" t="s">
        <v>752</v>
      </c>
      <c r="H55" s="6" t="s">
        <v>3908</v>
      </c>
      <c r="I55" s="5" t="s">
        <v>3906</v>
      </c>
      <c r="J55" s="7">
        <f t="shared" si="0"/>
        <v>19.87</v>
      </c>
      <c r="K55" s="5" t="s">
        <v>270</v>
      </c>
      <c r="L55" s="8">
        <f>1</f>
        <v>1</v>
      </c>
      <c r="M55" s="8">
        <f t="shared" si="1"/>
        <v>2424140</v>
      </c>
      <c r="N55" s="6" t="s">
        <v>679</v>
      </c>
      <c r="O55" s="5" t="s">
        <v>268</v>
      </c>
      <c r="P55" s="5" t="s">
        <v>268</v>
      </c>
      <c r="R55" s="8">
        <f t="shared" si="2"/>
        <v>2424139</v>
      </c>
      <c r="S55" s="5" t="s">
        <v>240</v>
      </c>
      <c r="T55" s="5" t="s">
        <v>237</v>
      </c>
      <c r="W55" s="5" t="s">
        <v>241</v>
      </c>
      <c r="X55" s="5" t="s">
        <v>750</v>
      </c>
      <c r="Y55" s="5" t="s">
        <v>238</v>
      </c>
      <c r="AB55" s="5" t="s">
        <v>238</v>
      </c>
      <c r="AC55" s="6" t="s">
        <v>238</v>
      </c>
      <c r="AD55" s="6" t="s">
        <v>238</v>
      </c>
      <c r="AF55" s="6" t="s">
        <v>238</v>
      </c>
      <c r="AG55" s="6" t="s">
        <v>246</v>
      </c>
      <c r="AH55" s="5" t="s">
        <v>247</v>
      </c>
      <c r="AI55" s="5" t="s">
        <v>248</v>
      </c>
      <c r="AT55" s="6" t="s">
        <v>238</v>
      </c>
      <c r="AW55" s="5" t="s">
        <v>304</v>
      </c>
      <c r="AX55" s="5" t="s">
        <v>304</v>
      </c>
      <c r="AY55" s="5" t="s">
        <v>250</v>
      </c>
      <c r="AZ55" s="5" t="s">
        <v>305</v>
      </c>
      <c r="BA55" s="5" t="s">
        <v>251</v>
      </c>
      <c r="BB55" s="5" t="s">
        <v>238</v>
      </c>
      <c r="BC55" s="5" t="s">
        <v>253</v>
      </c>
      <c r="BD55" s="5" t="s">
        <v>238</v>
      </c>
      <c r="BF55" s="5" t="s">
        <v>760</v>
      </c>
      <c r="BH55" s="5" t="s">
        <v>283</v>
      </c>
      <c r="BI55" s="6" t="s">
        <v>293</v>
      </c>
      <c r="BJ55" s="5" t="s">
        <v>255</v>
      </c>
      <c r="BK55" s="5" t="s">
        <v>294</v>
      </c>
      <c r="BL55" s="5" t="s">
        <v>238</v>
      </c>
      <c r="BM55" s="7">
        <f>0</f>
        <v>0</v>
      </c>
      <c r="BN55" s="8">
        <f>0</f>
        <v>0</v>
      </c>
      <c r="BO55" s="5" t="s">
        <v>257</v>
      </c>
      <c r="BP55" s="5" t="s">
        <v>258</v>
      </c>
      <c r="BQ55" s="5" t="s">
        <v>238</v>
      </c>
      <c r="BR55" s="5" t="s">
        <v>238</v>
      </c>
      <c r="BS55" s="5" t="s">
        <v>238</v>
      </c>
      <c r="BT55" s="5" t="s">
        <v>238</v>
      </c>
      <c r="CC55" s="5" t="s">
        <v>258</v>
      </c>
      <c r="CD55" s="5" t="s">
        <v>238</v>
      </c>
      <c r="CE55" s="5" t="s">
        <v>238</v>
      </c>
      <c r="CI55" s="5" t="s">
        <v>259</v>
      </c>
      <c r="CJ55" s="5" t="s">
        <v>260</v>
      </c>
      <c r="CK55" s="5" t="s">
        <v>238</v>
      </c>
      <c r="CM55" s="5" t="s">
        <v>682</v>
      </c>
      <c r="CN55" s="6" t="s">
        <v>262</v>
      </c>
      <c r="CO55" s="5" t="s">
        <v>263</v>
      </c>
      <c r="CP55" s="5" t="s">
        <v>264</v>
      </c>
      <c r="CQ55" s="5" t="s">
        <v>285</v>
      </c>
      <c r="CR55" s="5" t="s">
        <v>238</v>
      </c>
      <c r="CS55" s="5">
        <v>0</v>
      </c>
      <c r="CT55" s="5" t="s">
        <v>265</v>
      </c>
      <c r="CU55" s="5" t="s">
        <v>266</v>
      </c>
      <c r="CV55" s="5" t="s">
        <v>267</v>
      </c>
      <c r="CW55" s="7">
        <f>0</f>
        <v>0</v>
      </c>
      <c r="CX55" s="8">
        <f t="shared" si="3"/>
        <v>2424140</v>
      </c>
      <c r="CY55" s="8">
        <f>1</f>
        <v>1</v>
      </c>
      <c r="DA55" s="5" t="s">
        <v>238</v>
      </c>
      <c r="DB55" s="5" t="s">
        <v>238</v>
      </c>
      <c r="DD55" s="5" t="s">
        <v>238</v>
      </c>
      <c r="DE55" s="8">
        <f>0</f>
        <v>0</v>
      </c>
      <c r="DG55" s="5" t="s">
        <v>238</v>
      </c>
      <c r="DH55" s="5" t="s">
        <v>238</v>
      </c>
      <c r="DI55" s="5" t="s">
        <v>238</v>
      </c>
      <c r="DJ55" s="5" t="s">
        <v>238</v>
      </c>
      <c r="DK55" s="5" t="s">
        <v>271</v>
      </c>
      <c r="DL55" s="5" t="s">
        <v>272</v>
      </c>
      <c r="DM55" s="7">
        <f t="shared" si="4"/>
        <v>19.87</v>
      </c>
      <c r="DN55" s="5" t="s">
        <v>238</v>
      </c>
      <c r="DO55" s="5" t="s">
        <v>238</v>
      </c>
      <c r="DP55" s="5" t="s">
        <v>238</v>
      </c>
      <c r="DQ55" s="5" t="s">
        <v>238</v>
      </c>
      <c r="DT55" s="5" t="s">
        <v>3909</v>
      </c>
      <c r="DU55" s="5" t="s">
        <v>271</v>
      </c>
      <c r="HM55" s="5" t="s">
        <v>379</v>
      </c>
      <c r="HP55" s="5" t="s">
        <v>272</v>
      </c>
      <c r="HQ55" s="5" t="s">
        <v>272</v>
      </c>
      <c r="HR55" s="5" t="s">
        <v>238</v>
      </c>
      <c r="HS55" s="5" t="s">
        <v>238</v>
      </c>
      <c r="HT55" s="5" t="s">
        <v>238</v>
      </c>
      <c r="HU55" s="5" t="s">
        <v>238</v>
      </c>
      <c r="HV55" s="5" t="s">
        <v>238</v>
      </c>
      <c r="HW55" s="5" t="s">
        <v>238</v>
      </c>
      <c r="HX55" s="5" t="s">
        <v>238</v>
      </c>
      <c r="HY55" s="5" t="s">
        <v>238</v>
      </c>
      <c r="HZ55" s="5" t="s">
        <v>238</v>
      </c>
      <c r="IA55" s="5" t="s">
        <v>238</v>
      </c>
      <c r="IB55" s="5" t="s">
        <v>238</v>
      </c>
      <c r="IC55" s="5" t="s">
        <v>238</v>
      </c>
      <c r="ID55" s="5" t="s">
        <v>238</v>
      </c>
    </row>
    <row r="56" spans="1:238" x14ac:dyDescent="0.4">
      <c r="A56" s="5">
        <v>57</v>
      </c>
      <c r="B56" s="5">
        <v>1</v>
      </c>
      <c r="C56" s="5">
        <v>2</v>
      </c>
      <c r="D56" s="5" t="s">
        <v>3553</v>
      </c>
      <c r="E56" s="5" t="s">
        <v>751</v>
      </c>
      <c r="F56" s="5" t="s">
        <v>282</v>
      </c>
      <c r="G56" s="5" t="s">
        <v>752</v>
      </c>
      <c r="H56" s="6" t="s">
        <v>3555</v>
      </c>
      <c r="I56" s="5" t="s">
        <v>3552</v>
      </c>
      <c r="J56" s="7">
        <f>58.72</f>
        <v>58.72</v>
      </c>
      <c r="K56" s="5" t="s">
        <v>270</v>
      </c>
      <c r="L56" s="8">
        <f>1</f>
        <v>1</v>
      </c>
      <c r="M56" s="8">
        <f>7163840</f>
        <v>7163840</v>
      </c>
      <c r="N56" s="6" t="s">
        <v>3554</v>
      </c>
      <c r="O56" s="5" t="s">
        <v>268</v>
      </c>
      <c r="P56" s="5" t="s">
        <v>818</v>
      </c>
      <c r="R56" s="8">
        <f>7163839</f>
        <v>7163839</v>
      </c>
      <c r="S56" s="5" t="s">
        <v>240</v>
      </c>
      <c r="T56" s="5" t="s">
        <v>237</v>
      </c>
      <c r="W56" s="5" t="s">
        <v>241</v>
      </c>
      <c r="X56" s="5" t="s">
        <v>750</v>
      </c>
      <c r="Y56" s="5" t="s">
        <v>238</v>
      </c>
      <c r="AB56" s="5" t="s">
        <v>238</v>
      </c>
      <c r="AC56" s="6" t="s">
        <v>238</v>
      </c>
      <c r="AD56" s="6" t="s">
        <v>238</v>
      </c>
      <c r="AF56" s="6" t="s">
        <v>238</v>
      </c>
      <c r="AG56" s="6" t="s">
        <v>246</v>
      </c>
      <c r="AH56" s="5" t="s">
        <v>247</v>
      </c>
      <c r="AI56" s="5" t="s">
        <v>248</v>
      </c>
      <c r="AT56" s="6" t="s">
        <v>238</v>
      </c>
      <c r="AW56" s="5" t="s">
        <v>304</v>
      </c>
      <c r="AX56" s="5" t="s">
        <v>304</v>
      </c>
      <c r="AY56" s="5" t="s">
        <v>250</v>
      </c>
      <c r="AZ56" s="5" t="s">
        <v>305</v>
      </c>
      <c r="BA56" s="5" t="s">
        <v>251</v>
      </c>
      <c r="BB56" s="5" t="s">
        <v>238</v>
      </c>
      <c r="BC56" s="5" t="s">
        <v>253</v>
      </c>
      <c r="BD56" s="5" t="s">
        <v>238</v>
      </c>
      <c r="BF56" s="5" t="s">
        <v>760</v>
      </c>
      <c r="BH56" s="5" t="s">
        <v>283</v>
      </c>
      <c r="BI56" s="6" t="s">
        <v>293</v>
      </c>
      <c r="BJ56" s="5" t="s">
        <v>255</v>
      </c>
      <c r="BK56" s="5" t="s">
        <v>256</v>
      </c>
      <c r="BL56" s="5" t="s">
        <v>238</v>
      </c>
      <c r="BM56" s="7">
        <f>0</f>
        <v>0</v>
      </c>
      <c r="BN56" s="8">
        <f>0</f>
        <v>0</v>
      </c>
      <c r="BO56" s="5" t="s">
        <v>257</v>
      </c>
      <c r="BP56" s="5" t="s">
        <v>258</v>
      </c>
      <c r="BQ56" s="5" t="s">
        <v>238</v>
      </c>
      <c r="BR56" s="5" t="s">
        <v>238</v>
      </c>
      <c r="BS56" s="5" t="s">
        <v>238</v>
      </c>
      <c r="BT56" s="5" t="s">
        <v>238</v>
      </c>
      <c r="CC56" s="5" t="s">
        <v>258</v>
      </c>
      <c r="CD56" s="5" t="s">
        <v>238</v>
      </c>
      <c r="CE56" s="5" t="s">
        <v>238</v>
      </c>
      <c r="CI56" s="5" t="s">
        <v>259</v>
      </c>
      <c r="CJ56" s="5" t="s">
        <v>260</v>
      </c>
      <c r="CK56" s="5" t="s">
        <v>238</v>
      </c>
      <c r="CM56" s="5" t="s">
        <v>937</v>
      </c>
      <c r="CN56" s="6" t="s">
        <v>262</v>
      </c>
      <c r="CO56" s="5" t="s">
        <v>263</v>
      </c>
      <c r="CP56" s="5" t="s">
        <v>264</v>
      </c>
      <c r="CQ56" s="5" t="s">
        <v>285</v>
      </c>
      <c r="CR56" s="5" t="s">
        <v>238</v>
      </c>
      <c r="CS56" s="5">
        <v>0</v>
      </c>
      <c r="CT56" s="5" t="s">
        <v>265</v>
      </c>
      <c r="CU56" s="5" t="s">
        <v>266</v>
      </c>
      <c r="CV56" s="5" t="s">
        <v>267</v>
      </c>
      <c r="CW56" s="7">
        <f>0</f>
        <v>0</v>
      </c>
      <c r="CX56" s="8">
        <f>7163840</f>
        <v>7163840</v>
      </c>
      <c r="CY56" s="8">
        <f>1</f>
        <v>1</v>
      </c>
      <c r="DA56" s="5" t="s">
        <v>238</v>
      </c>
      <c r="DB56" s="5" t="s">
        <v>238</v>
      </c>
      <c r="DD56" s="5" t="s">
        <v>238</v>
      </c>
      <c r="DE56" s="8">
        <f>0</f>
        <v>0</v>
      </c>
      <c r="DG56" s="5" t="s">
        <v>238</v>
      </c>
      <c r="DH56" s="5" t="s">
        <v>238</v>
      </c>
      <c r="DI56" s="5" t="s">
        <v>238</v>
      </c>
      <c r="DJ56" s="5" t="s">
        <v>238</v>
      </c>
      <c r="DK56" s="5" t="s">
        <v>271</v>
      </c>
      <c r="DL56" s="5" t="s">
        <v>272</v>
      </c>
      <c r="DM56" s="7">
        <f>58.72</f>
        <v>58.72</v>
      </c>
      <c r="DN56" s="5" t="s">
        <v>238</v>
      </c>
      <c r="DO56" s="5" t="s">
        <v>238</v>
      </c>
      <c r="DP56" s="5" t="s">
        <v>238</v>
      </c>
      <c r="DQ56" s="5" t="s">
        <v>238</v>
      </c>
      <c r="DT56" s="5" t="s">
        <v>3556</v>
      </c>
      <c r="DU56" s="5" t="s">
        <v>271</v>
      </c>
      <c r="HM56" s="5" t="s">
        <v>271</v>
      </c>
      <c r="HP56" s="5" t="s">
        <v>272</v>
      </c>
      <c r="HQ56" s="5" t="s">
        <v>272</v>
      </c>
      <c r="HR56" s="5" t="s">
        <v>238</v>
      </c>
      <c r="HS56" s="5" t="s">
        <v>238</v>
      </c>
      <c r="HT56" s="5" t="s">
        <v>238</v>
      </c>
      <c r="HU56" s="5" t="s">
        <v>238</v>
      </c>
      <c r="HV56" s="5" t="s">
        <v>238</v>
      </c>
      <c r="HW56" s="5" t="s">
        <v>238</v>
      </c>
      <c r="HX56" s="5" t="s">
        <v>238</v>
      </c>
      <c r="HY56" s="5" t="s">
        <v>238</v>
      </c>
      <c r="HZ56" s="5" t="s">
        <v>238</v>
      </c>
      <c r="IA56" s="5" t="s">
        <v>238</v>
      </c>
      <c r="IB56" s="5" t="s">
        <v>238</v>
      </c>
      <c r="IC56" s="5" t="s">
        <v>238</v>
      </c>
      <c r="ID56" s="5" t="s">
        <v>238</v>
      </c>
    </row>
    <row r="57" spans="1:238" x14ac:dyDescent="0.4">
      <c r="A57" s="5">
        <v>58</v>
      </c>
      <c r="B57" s="5">
        <v>1</v>
      </c>
      <c r="C57" s="5">
        <v>2</v>
      </c>
      <c r="D57" s="5" t="s">
        <v>3537</v>
      </c>
      <c r="E57" s="5" t="s">
        <v>751</v>
      </c>
      <c r="F57" s="5" t="s">
        <v>282</v>
      </c>
      <c r="G57" s="5" t="s">
        <v>752</v>
      </c>
      <c r="H57" s="6" t="s">
        <v>3538</v>
      </c>
      <c r="I57" s="5" t="s">
        <v>3536</v>
      </c>
      <c r="J57" s="7">
        <f>36.29</f>
        <v>36.29</v>
      </c>
      <c r="K57" s="5" t="s">
        <v>270</v>
      </c>
      <c r="L57" s="8">
        <f>1</f>
        <v>1</v>
      </c>
      <c r="M57" s="8">
        <f>2177400</f>
        <v>2177400</v>
      </c>
      <c r="N57" s="6" t="s">
        <v>2117</v>
      </c>
      <c r="O57" s="5" t="s">
        <v>651</v>
      </c>
      <c r="P57" s="5" t="s">
        <v>861</v>
      </c>
      <c r="R57" s="8">
        <f>2177399</f>
        <v>2177399</v>
      </c>
      <c r="S57" s="5" t="s">
        <v>240</v>
      </c>
      <c r="T57" s="5" t="s">
        <v>237</v>
      </c>
      <c r="W57" s="5" t="s">
        <v>241</v>
      </c>
      <c r="X57" s="5" t="s">
        <v>750</v>
      </c>
      <c r="Y57" s="5" t="s">
        <v>238</v>
      </c>
      <c r="AB57" s="5" t="s">
        <v>238</v>
      </c>
      <c r="AC57" s="6" t="s">
        <v>238</v>
      </c>
      <c r="AD57" s="6" t="s">
        <v>238</v>
      </c>
      <c r="AF57" s="6" t="s">
        <v>238</v>
      </c>
      <c r="AG57" s="6" t="s">
        <v>246</v>
      </c>
      <c r="AH57" s="5" t="s">
        <v>247</v>
      </c>
      <c r="AI57" s="5" t="s">
        <v>248</v>
      </c>
      <c r="AT57" s="6" t="s">
        <v>238</v>
      </c>
      <c r="AW57" s="5" t="s">
        <v>304</v>
      </c>
      <c r="AX57" s="5" t="s">
        <v>304</v>
      </c>
      <c r="AY57" s="5" t="s">
        <v>250</v>
      </c>
      <c r="AZ57" s="5" t="s">
        <v>305</v>
      </c>
      <c r="BA57" s="5" t="s">
        <v>251</v>
      </c>
      <c r="BB57" s="5" t="s">
        <v>238</v>
      </c>
      <c r="BC57" s="5" t="s">
        <v>253</v>
      </c>
      <c r="BD57" s="5" t="s">
        <v>238</v>
      </c>
      <c r="BF57" s="5" t="s">
        <v>760</v>
      </c>
      <c r="BH57" s="5" t="s">
        <v>283</v>
      </c>
      <c r="BI57" s="6" t="s">
        <v>293</v>
      </c>
      <c r="BJ57" s="5" t="s">
        <v>255</v>
      </c>
      <c r="BK57" s="5" t="s">
        <v>256</v>
      </c>
      <c r="BL57" s="5" t="s">
        <v>238</v>
      </c>
      <c r="BM57" s="7">
        <f>0</f>
        <v>0</v>
      </c>
      <c r="BN57" s="8">
        <f>0</f>
        <v>0</v>
      </c>
      <c r="BO57" s="5" t="s">
        <v>257</v>
      </c>
      <c r="BP57" s="5" t="s">
        <v>258</v>
      </c>
      <c r="BQ57" s="5" t="s">
        <v>238</v>
      </c>
      <c r="BR57" s="5" t="s">
        <v>238</v>
      </c>
      <c r="BS57" s="5" t="s">
        <v>238</v>
      </c>
      <c r="BT57" s="5" t="s">
        <v>238</v>
      </c>
      <c r="CC57" s="5" t="s">
        <v>258</v>
      </c>
      <c r="CD57" s="5" t="s">
        <v>238</v>
      </c>
      <c r="CE57" s="5" t="s">
        <v>238</v>
      </c>
      <c r="CI57" s="5" t="s">
        <v>527</v>
      </c>
      <c r="CJ57" s="5" t="s">
        <v>260</v>
      </c>
      <c r="CK57" s="5" t="s">
        <v>238</v>
      </c>
      <c r="CM57" s="5" t="s">
        <v>860</v>
      </c>
      <c r="CN57" s="6" t="s">
        <v>262</v>
      </c>
      <c r="CO57" s="5" t="s">
        <v>263</v>
      </c>
      <c r="CP57" s="5" t="s">
        <v>264</v>
      </c>
      <c r="CQ57" s="5" t="s">
        <v>285</v>
      </c>
      <c r="CR57" s="5" t="s">
        <v>238</v>
      </c>
      <c r="CS57" s="5">
        <v>0</v>
      </c>
      <c r="CT57" s="5" t="s">
        <v>265</v>
      </c>
      <c r="CU57" s="5" t="s">
        <v>266</v>
      </c>
      <c r="CV57" s="5" t="s">
        <v>331</v>
      </c>
      <c r="CW57" s="7">
        <f>0</f>
        <v>0</v>
      </c>
      <c r="CX57" s="8">
        <f>2177400</f>
        <v>2177400</v>
      </c>
      <c r="CY57" s="8">
        <f>1</f>
        <v>1</v>
      </c>
      <c r="DA57" s="5" t="s">
        <v>238</v>
      </c>
      <c r="DB57" s="5" t="s">
        <v>238</v>
      </c>
      <c r="DD57" s="5" t="s">
        <v>238</v>
      </c>
      <c r="DE57" s="8">
        <f>0</f>
        <v>0</v>
      </c>
      <c r="DG57" s="5" t="s">
        <v>238</v>
      </c>
      <c r="DH57" s="5" t="s">
        <v>238</v>
      </c>
      <c r="DI57" s="5" t="s">
        <v>238</v>
      </c>
      <c r="DJ57" s="5" t="s">
        <v>238</v>
      </c>
      <c r="DK57" s="5" t="s">
        <v>271</v>
      </c>
      <c r="DL57" s="5" t="s">
        <v>272</v>
      </c>
      <c r="DM57" s="7">
        <f>36.29</f>
        <v>36.29</v>
      </c>
      <c r="DN57" s="5" t="s">
        <v>238</v>
      </c>
      <c r="DO57" s="5" t="s">
        <v>238</v>
      </c>
      <c r="DP57" s="5" t="s">
        <v>238</v>
      </c>
      <c r="DQ57" s="5" t="s">
        <v>238</v>
      </c>
      <c r="DT57" s="5" t="s">
        <v>3539</v>
      </c>
      <c r="DU57" s="5" t="s">
        <v>271</v>
      </c>
      <c r="HM57" s="5" t="s">
        <v>271</v>
      </c>
      <c r="HP57" s="5" t="s">
        <v>272</v>
      </c>
      <c r="HQ57" s="5" t="s">
        <v>272</v>
      </c>
      <c r="HR57" s="5" t="s">
        <v>238</v>
      </c>
      <c r="HS57" s="5" t="s">
        <v>238</v>
      </c>
      <c r="HT57" s="5" t="s">
        <v>238</v>
      </c>
      <c r="HU57" s="5" t="s">
        <v>238</v>
      </c>
      <c r="HV57" s="5" t="s">
        <v>238</v>
      </c>
      <c r="HW57" s="5" t="s">
        <v>238</v>
      </c>
      <c r="HX57" s="5" t="s">
        <v>238</v>
      </c>
      <c r="HY57" s="5" t="s">
        <v>238</v>
      </c>
      <c r="HZ57" s="5" t="s">
        <v>238</v>
      </c>
      <c r="IA57" s="5" t="s">
        <v>238</v>
      </c>
      <c r="IB57" s="5" t="s">
        <v>238</v>
      </c>
      <c r="IC57" s="5" t="s">
        <v>238</v>
      </c>
      <c r="ID57" s="5" t="s">
        <v>238</v>
      </c>
    </row>
    <row r="58" spans="1:238" x14ac:dyDescent="0.4">
      <c r="A58" s="5">
        <v>59</v>
      </c>
      <c r="B58" s="5">
        <v>1</v>
      </c>
      <c r="C58" s="5">
        <v>2</v>
      </c>
      <c r="D58" s="5" t="s">
        <v>3899</v>
      </c>
      <c r="E58" s="5" t="s">
        <v>751</v>
      </c>
      <c r="F58" s="5" t="s">
        <v>282</v>
      </c>
      <c r="G58" s="5" t="s">
        <v>752</v>
      </c>
      <c r="H58" s="6" t="s">
        <v>3900</v>
      </c>
      <c r="I58" s="5" t="s">
        <v>3898</v>
      </c>
      <c r="J58" s="7">
        <f>19.87</f>
        <v>19.87</v>
      </c>
      <c r="K58" s="5" t="s">
        <v>270</v>
      </c>
      <c r="L58" s="8">
        <f>1</f>
        <v>1</v>
      </c>
      <c r="M58" s="8">
        <f>2424140</f>
        <v>2424140</v>
      </c>
      <c r="N58" s="6" t="s">
        <v>3895</v>
      </c>
      <c r="O58" s="5" t="s">
        <v>268</v>
      </c>
      <c r="P58" s="5" t="s">
        <v>268</v>
      </c>
      <c r="R58" s="8">
        <f>2424139</f>
        <v>2424139</v>
      </c>
      <c r="S58" s="5" t="s">
        <v>240</v>
      </c>
      <c r="T58" s="5" t="s">
        <v>237</v>
      </c>
      <c r="W58" s="5" t="s">
        <v>241</v>
      </c>
      <c r="X58" s="5" t="s">
        <v>750</v>
      </c>
      <c r="Y58" s="5" t="s">
        <v>238</v>
      </c>
      <c r="AB58" s="5" t="s">
        <v>238</v>
      </c>
      <c r="AC58" s="6" t="s">
        <v>238</v>
      </c>
      <c r="AD58" s="6" t="s">
        <v>238</v>
      </c>
      <c r="AF58" s="6" t="s">
        <v>238</v>
      </c>
      <c r="AG58" s="6" t="s">
        <v>246</v>
      </c>
      <c r="AH58" s="5" t="s">
        <v>247</v>
      </c>
      <c r="AI58" s="5" t="s">
        <v>248</v>
      </c>
      <c r="AT58" s="6" t="s">
        <v>238</v>
      </c>
      <c r="AW58" s="5" t="s">
        <v>304</v>
      </c>
      <c r="AX58" s="5" t="s">
        <v>304</v>
      </c>
      <c r="AY58" s="5" t="s">
        <v>250</v>
      </c>
      <c r="AZ58" s="5" t="s">
        <v>305</v>
      </c>
      <c r="BA58" s="5" t="s">
        <v>251</v>
      </c>
      <c r="BB58" s="5" t="s">
        <v>238</v>
      </c>
      <c r="BC58" s="5" t="s">
        <v>253</v>
      </c>
      <c r="BD58" s="5" t="s">
        <v>238</v>
      </c>
      <c r="BF58" s="5" t="s">
        <v>760</v>
      </c>
      <c r="BH58" s="5" t="s">
        <v>283</v>
      </c>
      <c r="BI58" s="6" t="s">
        <v>293</v>
      </c>
      <c r="BJ58" s="5" t="s">
        <v>255</v>
      </c>
      <c r="BK58" s="5" t="s">
        <v>294</v>
      </c>
      <c r="BL58" s="5" t="s">
        <v>238</v>
      </c>
      <c r="BM58" s="7">
        <f>0</f>
        <v>0</v>
      </c>
      <c r="BN58" s="8">
        <f>0</f>
        <v>0</v>
      </c>
      <c r="BO58" s="5" t="s">
        <v>257</v>
      </c>
      <c r="BP58" s="5" t="s">
        <v>258</v>
      </c>
      <c r="BQ58" s="5" t="s">
        <v>238</v>
      </c>
      <c r="BR58" s="5" t="s">
        <v>238</v>
      </c>
      <c r="BS58" s="5" t="s">
        <v>238</v>
      </c>
      <c r="BT58" s="5" t="s">
        <v>238</v>
      </c>
      <c r="CC58" s="5" t="s">
        <v>258</v>
      </c>
      <c r="CD58" s="5" t="s">
        <v>238</v>
      </c>
      <c r="CE58" s="5" t="s">
        <v>238</v>
      </c>
      <c r="CI58" s="5" t="s">
        <v>259</v>
      </c>
      <c r="CJ58" s="5" t="s">
        <v>260</v>
      </c>
      <c r="CK58" s="5" t="s">
        <v>238</v>
      </c>
      <c r="CM58" s="5" t="s">
        <v>845</v>
      </c>
      <c r="CN58" s="6" t="s">
        <v>262</v>
      </c>
      <c r="CO58" s="5" t="s">
        <v>263</v>
      </c>
      <c r="CP58" s="5" t="s">
        <v>264</v>
      </c>
      <c r="CQ58" s="5" t="s">
        <v>285</v>
      </c>
      <c r="CR58" s="5" t="s">
        <v>238</v>
      </c>
      <c r="CS58" s="5">
        <v>0</v>
      </c>
      <c r="CT58" s="5" t="s">
        <v>265</v>
      </c>
      <c r="CU58" s="5" t="s">
        <v>266</v>
      </c>
      <c r="CV58" s="5" t="s">
        <v>267</v>
      </c>
      <c r="CW58" s="7">
        <f>0</f>
        <v>0</v>
      </c>
      <c r="CX58" s="8">
        <f>2424140</f>
        <v>2424140</v>
      </c>
      <c r="CY58" s="8">
        <f>1</f>
        <v>1</v>
      </c>
      <c r="DA58" s="5" t="s">
        <v>238</v>
      </c>
      <c r="DB58" s="5" t="s">
        <v>238</v>
      </c>
      <c r="DD58" s="5" t="s">
        <v>238</v>
      </c>
      <c r="DE58" s="8">
        <f>0</f>
        <v>0</v>
      </c>
      <c r="DG58" s="5" t="s">
        <v>238</v>
      </c>
      <c r="DH58" s="5" t="s">
        <v>238</v>
      </c>
      <c r="DI58" s="5" t="s">
        <v>238</v>
      </c>
      <c r="DJ58" s="5" t="s">
        <v>238</v>
      </c>
      <c r="DK58" s="5" t="s">
        <v>271</v>
      </c>
      <c r="DL58" s="5" t="s">
        <v>272</v>
      </c>
      <c r="DM58" s="7">
        <f>19.87</f>
        <v>19.87</v>
      </c>
      <c r="DN58" s="5" t="s">
        <v>238</v>
      </c>
      <c r="DO58" s="5" t="s">
        <v>238</v>
      </c>
      <c r="DP58" s="5" t="s">
        <v>238</v>
      </c>
      <c r="DQ58" s="5" t="s">
        <v>238</v>
      </c>
      <c r="DT58" s="5" t="s">
        <v>3901</v>
      </c>
      <c r="DU58" s="5" t="s">
        <v>271</v>
      </c>
      <c r="HM58" s="5" t="s">
        <v>313</v>
      </c>
      <c r="HP58" s="5" t="s">
        <v>272</v>
      </c>
      <c r="HQ58" s="5" t="s">
        <v>272</v>
      </c>
      <c r="HR58" s="5" t="s">
        <v>238</v>
      </c>
      <c r="HS58" s="5" t="s">
        <v>238</v>
      </c>
      <c r="HT58" s="5" t="s">
        <v>238</v>
      </c>
      <c r="HU58" s="5" t="s">
        <v>238</v>
      </c>
      <c r="HV58" s="5" t="s">
        <v>238</v>
      </c>
      <c r="HW58" s="5" t="s">
        <v>238</v>
      </c>
      <c r="HX58" s="5" t="s">
        <v>238</v>
      </c>
      <c r="HY58" s="5" t="s">
        <v>238</v>
      </c>
      <c r="HZ58" s="5" t="s">
        <v>238</v>
      </c>
      <c r="IA58" s="5" t="s">
        <v>238</v>
      </c>
      <c r="IB58" s="5" t="s">
        <v>238</v>
      </c>
      <c r="IC58" s="5" t="s">
        <v>238</v>
      </c>
      <c r="ID58" s="5" t="s">
        <v>238</v>
      </c>
    </row>
    <row r="59" spans="1:238" x14ac:dyDescent="0.4">
      <c r="A59" s="5">
        <v>60</v>
      </c>
      <c r="B59" s="5">
        <v>1</v>
      </c>
      <c r="C59" s="5">
        <v>2</v>
      </c>
      <c r="D59" s="5" t="s">
        <v>3533</v>
      </c>
      <c r="E59" s="5" t="s">
        <v>751</v>
      </c>
      <c r="F59" s="5" t="s">
        <v>282</v>
      </c>
      <c r="G59" s="5" t="s">
        <v>752</v>
      </c>
      <c r="H59" s="6" t="s">
        <v>3534</v>
      </c>
      <c r="I59" s="5" t="s">
        <v>3532</v>
      </c>
      <c r="J59" s="7">
        <f>24.84</f>
        <v>24.84</v>
      </c>
      <c r="K59" s="5" t="s">
        <v>270</v>
      </c>
      <c r="L59" s="8">
        <f>1</f>
        <v>1</v>
      </c>
      <c r="M59" s="8">
        <f>3030480</f>
        <v>3030480</v>
      </c>
      <c r="N59" s="6" t="s">
        <v>1349</v>
      </c>
      <c r="O59" s="5" t="s">
        <v>268</v>
      </c>
      <c r="P59" s="5" t="s">
        <v>269</v>
      </c>
      <c r="R59" s="8">
        <f>3030479</f>
        <v>3030479</v>
      </c>
      <c r="S59" s="5" t="s">
        <v>240</v>
      </c>
      <c r="T59" s="5" t="s">
        <v>237</v>
      </c>
      <c r="W59" s="5" t="s">
        <v>241</v>
      </c>
      <c r="X59" s="5" t="s">
        <v>750</v>
      </c>
      <c r="Y59" s="5" t="s">
        <v>238</v>
      </c>
      <c r="AB59" s="5" t="s">
        <v>238</v>
      </c>
      <c r="AC59" s="6" t="s">
        <v>238</v>
      </c>
      <c r="AD59" s="6" t="s">
        <v>238</v>
      </c>
      <c r="AF59" s="6" t="s">
        <v>238</v>
      </c>
      <c r="AG59" s="6" t="s">
        <v>246</v>
      </c>
      <c r="AH59" s="5" t="s">
        <v>247</v>
      </c>
      <c r="AI59" s="5" t="s">
        <v>248</v>
      </c>
      <c r="AT59" s="6" t="s">
        <v>238</v>
      </c>
      <c r="AW59" s="5" t="s">
        <v>304</v>
      </c>
      <c r="AX59" s="5" t="s">
        <v>304</v>
      </c>
      <c r="AY59" s="5" t="s">
        <v>250</v>
      </c>
      <c r="AZ59" s="5" t="s">
        <v>305</v>
      </c>
      <c r="BA59" s="5" t="s">
        <v>251</v>
      </c>
      <c r="BB59" s="5" t="s">
        <v>238</v>
      </c>
      <c r="BC59" s="5" t="s">
        <v>253</v>
      </c>
      <c r="BD59" s="5" t="s">
        <v>238</v>
      </c>
      <c r="BF59" s="5" t="s">
        <v>760</v>
      </c>
      <c r="BH59" s="5" t="s">
        <v>283</v>
      </c>
      <c r="BI59" s="6" t="s">
        <v>293</v>
      </c>
      <c r="BJ59" s="5" t="s">
        <v>255</v>
      </c>
      <c r="BK59" s="5" t="s">
        <v>256</v>
      </c>
      <c r="BL59" s="5" t="s">
        <v>238</v>
      </c>
      <c r="BM59" s="7">
        <f>0</f>
        <v>0</v>
      </c>
      <c r="BN59" s="8">
        <f>0</f>
        <v>0</v>
      </c>
      <c r="BO59" s="5" t="s">
        <v>257</v>
      </c>
      <c r="BP59" s="5" t="s">
        <v>258</v>
      </c>
      <c r="BQ59" s="5" t="s">
        <v>238</v>
      </c>
      <c r="BR59" s="5" t="s">
        <v>238</v>
      </c>
      <c r="BS59" s="5" t="s">
        <v>238</v>
      </c>
      <c r="BT59" s="5" t="s">
        <v>238</v>
      </c>
      <c r="CC59" s="5" t="s">
        <v>258</v>
      </c>
      <c r="CD59" s="5" t="s">
        <v>238</v>
      </c>
      <c r="CE59" s="5" t="s">
        <v>238</v>
      </c>
      <c r="CI59" s="5" t="s">
        <v>259</v>
      </c>
      <c r="CJ59" s="5" t="s">
        <v>260</v>
      </c>
      <c r="CK59" s="5" t="s">
        <v>238</v>
      </c>
      <c r="CM59" s="5" t="s">
        <v>261</v>
      </c>
      <c r="CN59" s="6" t="s">
        <v>262</v>
      </c>
      <c r="CO59" s="5" t="s">
        <v>263</v>
      </c>
      <c r="CP59" s="5" t="s">
        <v>264</v>
      </c>
      <c r="CQ59" s="5" t="s">
        <v>285</v>
      </c>
      <c r="CR59" s="5" t="s">
        <v>238</v>
      </c>
      <c r="CS59" s="5">
        <v>0</v>
      </c>
      <c r="CT59" s="5" t="s">
        <v>265</v>
      </c>
      <c r="CU59" s="5" t="s">
        <v>266</v>
      </c>
      <c r="CV59" s="5" t="s">
        <v>267</v>
      </c>
      <c r="CW59" s="7">
        <f>0</f>
        <v>0</v>
      </c>
      <c r="CX59" s="8">
        <f>3030480</f>
        <v>3030480</v>
      </c>
      <c r="CY59" s="8">
        <f>1</f>
        <v>1</v>
      </c>
      <c r="DA59" s="5" t="s">
        <v>238</v>
      </c>
      <c r="DB59" s="5" t="s">
        <v>238</v>
      </c>
      <c r="DD59" s="5" t="s">
        <v>238</v>
      </c>
      <c r="DE59" s="8">
        <f>0</f>
        <v>0</v>
      </c>
      <c r="DG59" s="5" t="s">
        <v>238</v>
      </c>
      <c r="DH59" s="5" t="s">
        <v>238</v>
      </c>
      <c r="DI59" s="5" t="s">
        <v>238</v>
      </c>
      <c r="DJ59" s="5" t="s">
        <v>238</v>
      </c>
      <c r="DK59" s="5" t="s">
        <v>271</v>
      </c>
      <c r="DL59" s="5" t="s">
        <v>272</v>
      </c>
      <c r="DM59" s="7">
        <f>24.84</f>
        <v>24.84</v>
      </c>
      <c r="DN59" s="5" t="s">
        <v>238</v>
      </c>
      <c r="DO59" s="5" t="s">
        <v>238</v>
      </c>
      <c r="DP59" s="5" t="s">
        <v>238</v>
      </c>
      <c r="DQ59" s="5" t="s">
        <v>238</v>
      </c>
      <c r="DT59" s="5" t="s">
        <v>3535</v>
      </c>
      <c r="DU59" s="5" t="s">
        <v>271</v>
      </c>
      <c r="HM59" s="5" t="s">
        <v>271</v>
      </c>
      <c r="HP59" s="5" t="s">
        <v>272</v>
      </c>
      <c r="HQ59" s="5" t="s">
        <v>272</v>
      </c>
      <c r="HR59" s="5" t="s">
        <v>238</v>
      </c>
      <c r="HS59" s="5" t="s">
        <v>238</v>
      </c>
      <c r="HT59" s="5" t="s">
        <v>238</v>
      </c>
      <c r="HU59" s="5" t="s">
        <v>238</v>
      </c>
      <c r="HV59" s="5" t="s">
        <v>238</v>
      </c>
      <c r="HW59" s="5" t="s">
        <v>238</v>
      </c>
      <c r="HX59" s="5" t="s">
        <v>238</v>
      </c>
      <c r="HY59" s="5" t="s">
        <v>238</v>
      </c>
      <c r="HZ59" s="5" t="s">
        <v>238</v>
      </c>
      <c r="IA59" s="5" t="s">
        <v>238</v>
      </c>
      <c r="IB59" s="5" t="s">
        <v>238</v>
      </c>
      <c r="IC59" s="5" t="s">
        <v>238</v>
      </c>
      <c r="ID59" s="5" t="s">
        <v>238</v>
      </c>
    </row>
    <row r="60" spans="1:238" x14ac:dyDescent="0.4">
      <c r="A60" s="5">
        <v>61</v>
      </c>
      <c r="B60" s="5">
        <v>1</v>
      </c>
      <c r="C60" s="5">
        <v>2</v>
      </c>
      <c r="D60" s="5" t="s">
        <v>3527</v>
      </c>
      <c r="E60" s="5" t="s">
        <v>751</v>
      </c>
      <c r="F60" s="5" t="s">
        <v>282</v>
      </c>
      <c r="G60" s="5" t="s">
        <v>752</v>
      </c>
      <c r="H60" s="6" t="s">
        <v>3271</v>
      </c>
      <c r="I60" s="5" t="s">
        <v>3526</v>
      </c>
      <c r="J60" s="7">
        <f>12.43</f>
        <v>12.43</v>
      </c>
      <c r="K60" s="5" t="s">
        <v>270</v>
      </c>
      <c r="L60" s="8">
        <f>1</f>
        <v>1</v>
      </c>
      <c r="M60" s="8">
        <f>1516460</f>
        <v>1516460</v>
      </c>
      <c r="N60" s="6" t="s">
        <v>3528</v>
      </c>
      <c r="O60" s="5" t="s">
        <v>268</v>
      </c>
      <c r="P60" s="5" t="s">
        <v>268</v>
      </c>
      <c r="R60" s="8">
        <f>1516459</f>
        <v>1516459</v>
      </c>
      <c r="S60" s="5" t="s">
        <v>240</v>
      </c>
      <c r="T60" s="5" t="s">
        <v>237</v>
      </c>
      <c r="W60" s="5" t="s">
        <v>241</v>
      </c>
      <c r="X60" s="5" t="s">
        <v>750</v>
      </c>
      <c r="Y60" s="5" t="s">
        <v>238</v>
      </c>
      <c r="AB60" s="5" t="s">
        <v>238</v>
      </c>
      <c r="AC60" s="6" t="s">
        <v>238</v>
      </c>
      <c r="AD60" s="6" t="s">
        <v>238</v>
      </c>
      <c r="AF60" s="6" t="s">
        <v>238</v>
      </c>
      <c r="AG60" s="6" t="s">
        <v>246</v>
      </c>
      <c r="AH60" s="5" t="s">
        <v>247</v>
      </c>
      <c r="AI60" s="5" t="s">
        <v>248</v>
      </c>
      <c r="AT60" s="6" t="s">
        <v>238</v>
      </c>
      <c r="AW60" s="5" t="s">
        <v>304</v>
      </c>
      <c r="AX60" s="5" t="s">
        <v>304</v>
      </c>
      <c r="AY60" s="5" t="s">
        <v>250</v>
      </c>
      <c r="AZ60" s="5" t="s">
        <v>305</v>
      </c>
      <c r="BA60" s="5" t="s">
        <v>251</v>
      </c>
      <c r="BB60" s="5" t="s">
        <v>238</v>
      </c>
      <c r="BC60" s="5" t="s">
        <v>253</v>
      </c>
      <c r="BD60" s="5" t="s">
        <v>238</v>
      </c>
      <c r="BF60" s="5" t="s">
        <v>760</v>
      </c>
      <c r="BH60" s="5" t="s">
        <v>283</v>
      </c>
      <c r="BI60" s="6" t="s">
        <v>293</v>
      </c>
      <c r="BJ60" s="5" t="s">
        <v>255</v>
      </c>
      <c r="BK60" s="5" t="s">
        <v>256</v>
      </c>
      <c r="BL60" s="5" t="s">
        <v>238</v>
      </c>
      <c r="BM60" s="7">
        <f>0</f>
        <v>0</v>
      </c>
      <c r="BN60" s="8">
        <f>0</f>
        <v>0</v>
      </c>
      <c r="BO60" s="5" t="s">
        <v>257</v>
      </c>
      <c r="BP60" s="5" t="s">
        <v>258</v>
      </c>
      <c r="BQ60" s="5" t="s">
        <v>238</v>
      </c>
      <c r="BR60" s="5" t="s">
        <v>238</v>
      </c>
      <c r="BS60" s="5" t="s">
        <v>238</v>
      </c>
      <c r="BT60" s="5" t="s">
        <v>238</v>
      </c>
      <c r="CC60" s="5" t="s">
        <v>258</v>
      </c>
      <c r="CD60" s="5" t="s">
        <v>238</v>
      </c>
      <c r="CE60" s="5" t="s">
        <v>238</v>
      </c>
      <c r="CI60" s="5" t="s">
        <v>259</v>
      </c>
      <c r="CJ60" s="5" t="s">
        <v>260</v>
      </c>
      <c r="CK60" s="5" t="s">
        <v>238</v>
      </c>
      <c r="CM60" s="5" t="s">
        <v>711</v>
      </c>
      <c r="CN60" s="6" t="s">
        <v>262</v>
      </c>
      <c r="CO60" s="5" t="s">
        <v>263</v>
      </c>
      <c r="CP60" s="5" t="s">
        <v>264</v>
      </c>
      <c r="CQ60" s="5" t="s">
        <v>285</v>
      </c>
      <c r="CR60" s="5" t="s">
        <v>238</v>
      </c>
      <c r="CS60" s="5">
        <v>0</v>
      </c>
      <c r="CT60" s="5" t="s">
        <v>265</v>
      </c>
      <c r="CU60" s="5" t="s">
        <v>266</v>
      </c>
      <c r="CV60" s="5" t="s">
        <v>267</v>
      </c>
      <c r="CW60" s="7">
        <f>0</f>
        <v>0</v>
      </c>
      <c r="CX60" s="8">
        <f>1516460</f>
        <v>1516460</v>
      </c>
      <c r="CY60" s="8">
        <f>1</f>
        <v>1</v>
      </c>
      <c r="DA60" s="5" t="s">
        <v>238</v>
      </c>
      <c r="DB60" s="5" t="s">
        <v>238</v>
      </c>
      <c r="DD60" s="5" t="s">
        <v>238</v>
      </c>
      <c r="DE60" s="8">
        <f>0</f>
        <v>0</v>
      </c>
      <c r="DG60" s="5" t="s">
        <v>238</v>
      </c>
      <c r="DH60" s="5" t="s">
        <v>238</v>
      </c>
      <c r="DI60" s="5" t="s">
        <v>238</v>
      </c>
      <c r="DJ60" s="5" t="s">
        <v>238</v>
      </c>
      <c r="DK60" s="5" t="s">
        <v>271</v>
      </c>
      <c r="DL60" s="5" t="s">
        <v>272</v>
      </c>
      <c r="DM60" s="7">
        <f>12.43</f>
        <v>12.43</v>
      </c>
      <c r="DN60" s="5" t="s">
        <v>238</v>
      </c>
      <c r="DO60" s="5" t="s">
        <v>238</v>
      </c>
      <c r="DP60" s="5" t="s">
        <v>238</v>
      </c>
      <c r="DQ60" s="5" t="s">
        <v>238</v>
      </c>
      <c r="DT60" s="5" t="s">
        <v>3529</v>
      </c>
      <c r="DU60" s="5" t="s">
        <v>271</v>
      </c>
      <c r="HM60" s="5" t="s">
        <v>271</v>
      </c>
      <c r="HP60" s="5" t="s">
        <v>272</v>
      </c>
      <c r="HQ60" s="5" t="s">
        <v>272</v>
      </c>
      <c r="HR60" s="5" t="s">
        <v>238</v>
      </c>
      <c r="HS60" s="5" t="s">
        <v>238</v>
      </c>
      <c r="HT60" s="5" t="s">
        <v>238</v>
      </c>
      <c r="HU60" s="5" t="s">
        <v>238</v>
      </c>
      <c r="HV60" s="5" t="s">
        <v>238</v>
      </c>
      <c r="HW60" s="5" t="s">
        <v>238</v>
      </c>
      <c r="HX60" s="5" t="s">
        <v>238</v>
      </c>
      <c r="HY60" s="5" t="s">
        <v>238</v>
      </c>
      <c r="HZ60" s="5" t="s">
        <v>238</v>
      </c>
      <c r="IA60" s="5" t="s">
        <v>238</v>
      </c>
      <c r="IB60" s="5" t="s">
        <v>238</v>
      </c>
      <c r="IC60" s="5" t="s">
        <v>238</v>
      </c>
      <c r="ID60" s="5" t="s">
        <v>238</v>
      </c>
    </row>
    <row r="61" spans="1:238" x14ac:dyDescent="0.4">
      <c r="A61" s="5">
        <v>62</v>
      </c>
      <c r="B61" s="5">
        <v>1</v>
      </c>
      <c r="C61" s="5">
        <v>2</v>
      </c>
      <c r="D61" s="5" t="s">
        <v>3894</v>
      </c>
      <c r="E61" s="5" t="s">
        <v>751</v>
      </c>
      <c r="F61" s="5" t="s">
        <v>282</v>
      </c>
      <c r="G61" s="5" t="s">
        <v>752</v>
      </c>
      <c r="H61" s="6" t="s">
        <v>3896</v>
      </c>
      <c r="I61" s="5" t="s">
        <v>3893</v>
      </c>
      <c r="J61" s="7">
        <f>19.87</f>
        <v>19.87</v>
      </c>
      <c r="K61" s="5" t="s">
        <v>270</v>
      </c>
      <c r="L61" s="8">
        <f>1</f>
        <v>1</v>
      </c>
      <c r="M61" s="8">
        <f>2424140</f>
        <v>2424140</v>
      </c>
      <c r="N61" s="6" t="s">
        <v>3895</v>
      </c>
      <c r="O61" s="5" t="s">
        <v>268</v>
      </c>
      <c r="P61" s="5" t="s">
        <v>268</v>
      </c>
      <c r="R61" s="8">
        <f>2424139</f>
        <v>2424139</v>
      </c>
      <c r="S61" s="5" t="s">
        <v>240</v>
      </c>
      <c r="T61" s="5" t="s">
        <v>237</v>
      </c>
      <c r="W61" s="5" t="s">
        <v>241</v>
      </c>
      <c r="X61" s="5" t="s">
        <v>750</v>
      </c>
      <c r="Y61" s="5" t="s">
        <v>238</v>
      </c>
      <c r="AB61" s="5" t="s">
        <v>238</v>
      </c>
      <c r="AC61" s="6" t="s">
        <v>238</v>
      </c>
      <c r="AD61" s="6" t="s">
        <v>238</v>
      </c>
      <c r="AF61" s="6" t="s">
        <v>238</v>
      </c>
      <c r="AG61" s="6" t="s">
        <v>246</v>
      </c>
      <c r="AH61" s="5" t="s">
        <v>247</v>
      </c>
      <c r="AI61" s="5" t="s">
        <v>248</v>
      </c>
      <c r="AT61" s="6" t="s">
        <v>238</v>
      </c>
      <c r="AW61" s="5" t="s">
        <v>304</v>
      </c>
      <c r="AX61" s="5" t="s">
        <v>304</v>
      </c>
      <c r="AY61" s="5" t="s">
        <v>250</v>
      </c>
      <c r="AZ61" s="5" t="s">
        <v>305</v>
      </c>
      <c r="BA61" s="5" t="s">
        <v>251</v>
      </c>
      <c r="BB61" s="5" t="s">
        <v>238</v>
      </c>
      <c r="BC61" s="5" t="s">
        <v>253</v>
      </c>
      <c r="BD61" s="5" t="s">
        <v>238</v>
      </c>
      <c r="BF61" s="5" t="s">
        <v>760</v>
      </c>
      <c r="BH61" s="5" t="s">
        <v>283</v>
      </c>
      <c r="BI61" s="6" t="s">
        <v>293</v>
      </c>
      <c r="BJ61" s="5" t="s">
        <v>255</v>
      </c>
      <c r="BK61" s="5" t="s">
        <v>294</v>
      </c>
      <c r="BL61" s="5" t="s">
        <v>238</v>
      </c>
      <c r="BM61" s="7">
        <f>0</f>
        <v>0</v>
      </c>
      <c r="BN61" s="8">
        <f>0</f>
        <v>0</v>
      </c>
      <c r="BO61" s="5" t="s">
        <v>257</v>
      </c>
      <c r="BP61" s="5" t="s">
        <v>258</v>
      </c>
      <c r="BQ61" s="5" t="s">
        <v>238</v>
      </c>
      <c r="BR61" s="5" t="s">
        <v>238</v>
      </c>
      <c r="BS61" s="5" t="s">
        <v>238</v>
      </c>
      <c r="BT61" s="5" t="s">
        <v>238</v>
      </c>
      <c r="CC61" s="5" t="s">
        <v>258</v>
      </c>
      <c r="CD61" s="5" t="s">
        <v>238</v>
      </c>
      <c r="CE61" s="5" t="s">
        <v>238</v>
      </c>
      <c r="CI61" s="5" t="s">
        <v>259</v>
      </c>
      <c r="CJ61" s="5" t="s">
        <v>260</v>
      </c>
      <c r="CK61" s="5" t="s">
        <v>238</v>
      </c>
      <c r="CM61" s="5" t="s">
        <v>845</v>
      </c>
      <c r="CN61" s="6" t="s">
        <v>262</v>
      </c>
      <c r="CO61" s="5" t="s">
        <v>263</v>
      </c>
      <c r="CP61" s="5" t="s">
        <v>264</v>
      </c>
      <c r="CQ61" s="5" t="s">
        <v>285</v>
      </c>
      <c r="CR61" s="5" t="s">
        <v>238</v>
      </c>
      <c r="CS61" s="5">
        <v>0</v>
      </c>
      <c r="CT61" s="5" t="s">
        <v>265</v>
      </c>
      <c r="CU61" s="5" t="s">
        <v>266</v>
      </c>
      <c r="CV61" s="5" t="s">
        <v>267</v>
      </c>
      <c r="CW61" s="7">
        <f>0</f>
        <v>0</v>
      </c>
      <c r="CX61" s="8">
        <f>2424140</f>
        <v>2424140</v>
      </c>
      <c r="CY61" s="8">
        <f>1</f>
        <v>1</v>
      </c>
      <c r="DA61" s="5" t="s">
        <v>238</v>
      </c>
      <c r="DB61" s="5" t="s">
        <v>238</v>
      </c>
      <c r="DD61" s="5" t="s">
        <v>238</v>
      </c>
      <c r="DE61" s="8">
        <f>0</f>
        <v>0</v>
      </c>
      <c r="DG61" s="5" t="s">
        <v>238</v>
      </c>
      <c r="DH61" s="5" t="s">
        <v>238</v>
      </c>
      <c r="DI61" s="5" t="s">
        <v>238</v>
      </c>
      <c r="DJ61" s="5" t="s">
        <v>238</v>
      </c>
      <c r="DK61" s="5" t="s">
        <v>271</v>
      </c>
      <c r="DL61" s="5" t="s">
        <v>272</v>
      </c>
      <c r="DM61" s="7">
        <f>19.87</f>
        <v>19.87</v>
      </c>
      <c r="DN61" s="5" t="s">
        <v>238</v>
      </c>
      <c r="DO61" s="5" t="s">
        <v>238</v>
      </c>
      <c r="DP61" s="5" t="s">
        <v>238</v>
      </c>
      <c r="DQ61" s="5" t="s">
        <v>238</v>
      </c>
      <c r="DT61" s="5" t="s">
        <v>3897</v>
      </c>
      <c r="DU61" s="5" t="s">
        <v>271</v>
      </c>
      <c r="HM61" s="5" t="s">
        <v>313</v>
      </c>
      <c r="HP61" s="5" t="s">
        <v>272</v>
      </c>
      <c r="HQ61" s="5" t="s">
        <v>272</v>
      </c>
      <c r="HR61" s="5" t="s">
        <v>238</v>
      </c>
      <c r="HS61" s="5" t="s">
        <v>238</v>
      </c>
      <c r="HT61" s="5" t="s">
        <v>238</v>
      </c>
      <c r="HU61" s="5" t="s">
        <v>238</v>
      </c>
      <c r="HV61" s="5" t="s">
        <v>238</v>
      </c>
      <c r="HW61" s="5" t="s">
        <v>238</v>
      </c>
      <c r="HX61" s="5" t="s">
        <v>238</v>
      </c>
      <c r="HY61" s="5" t="s">
        <v>238</v>
      </c>
      <c r="HZ61" s="5" t="s">
        <v>238</v>
      </c>
      <c r="IA61" s="5" t="s">
        <v>238</v>
      </c>
      <c r="IB61" s="5" t="s">
        <v>238</v>
      </c>
      <c r="IC61" s="5" t="s">
        <v>238</v>
      </c>
      <c r="ID61" s="5" t="s">
        <v>238</v>
      </c>
    </row>
    <row r="62" spans="1:238" x14ac:dyDescent="0.4">
      <c r="A62" s="5">
        <v>63</v>
      </c>
      <c r="B62" s="5">
        <v>1</v>
      </c>
      <c r="C62" s="5">
        <v>2</v>
      </c>
      <c r="D62" s="5" t="s">
        <v>3890</v>
      </c>
      <c r="E62" s="5" t="s">
        <v>751</v>
      </c>
      <c r="F62" s="5" t="s">
        <v>282</v>
      </c>
      <c r="G62" s="5" t="s">
        <v>752</v>
      </c>
      <c r="H62" s="6" t="s">
        <v>3891</v>
      </c>
      <c r="I62" s="5" t="s">
        <v>3889</v>
      </c>
      <c r="J62" s="7">
        <f>19.87</f>
        <v>19.87</v>
      </c>
      <c r="K62" s="5" t="s">
        <v>270</v>
      </c>
      <c r="L62" s="8">
        <f>1</f>
        <v>1</v>
      </c>
      <c r="M62" s="8">
        <f>2424140</f>
        <v>2424140</v>
      </c>
      <c r="N62" s="6" t="s">
        <v>2285</v>
      </c>
      <c r="O62" s="5" t="s">
        <v>268</v>
      </c>
      <c r="P62" s="5" t="s">
        <v>268</v>
      </c>
      <c r="R62" s="8">
        <f>2424139</f>
        <v>2424139</v>
      </c>
      <c r="S62" s="5" t="s">
        <v>240</v>
      </c>
      <c r="T62" s="5" t="s">
        <v>237</v>
      </c>
      <c r="W62" s="5" t="s">
        <v>241</v>
      </c>
      <c r="X62" s="5" t="s">
        <v>750</v>
      </c>
      <c r="Y62" s="5" t="s">
        <v>238</v>
      </c>
      <c r="AB62" s="5" t="s">
        <v>238</v>
      </c>
      <c r="AC62" s="6" t="s">
        <v>238</v>
      </c>
      <c r="AD62" s="6" t="s">
        <v>238</v>
      </c>
      <c r="AF62" s="6" t="s">
        <v>238</v>
      </c>
      <c r="AG62" s="6" t="s">
        <v>246</v>
      </c>
      <c r="AH62" s="5" t="s">
        <v>247</v>
      </c>
      <c r="AI62" s="5" t="s">
        <v>248</v>
      </c>
      <c r="AT62" s="6" t="s">
        <v>238</v>
      </c>
      <c r="AW62" s="5" t="s">
        <v>304</v>
      </c>
      <c r="AX62" s="5" t="s">
        <v>304</v>
      </c>
      <c r="AY62" s="5" t="s">
        <v>250</v>
      </c>
      <c r="AZ62" s="5" t="s">
        <v>305</v>
      </c>
      <c r="BA62" s="5" t="s">
        <v>251</v>
      </c>
      <c r="BB62" s="5" t="s">
        <v>238</v>
      </c>
      <c r="BC62" s="5" t="s">
        <v>253</v>
      </c>
      <c r="BD62" s="5" t="s">
        <v>238</v>
      </c>
      <c r="BF62" s="5" t="s">
        <v>760</v>
      </c>
      <c r="BH62" s="5" t="s">
        <v>283</v>
      </c>
      <c r="BI62" s="6" t="s">
        <v>293</v>
      </c>
      <c r="BJ62" s="5" t="s">
        <v>255</v>
      </c>
      <c r="BK62" s="5" t="s">
        <v>294</v>
      </c>
      <c r="BL62" s="5" t="s">
        <v>238</v>
      </c>
      <c r="BM62" s="7">
        <f>0</f>
        <v>0</v>
      </c>
      <c r="BN62" s="8">
        <f>0</f>
        <v>0</v>
      </c>
      <c r="BO62" s="5" t="s">
        <v>257</v>
      </c>
      <c r="BP62" s="5" t="s">
        <v>258</v>
      </c>
      <c r="BQ62" s="5" t="s">
        <v>238</v>
      </c>
      <c r="BR62" s="5" t="s">
        <v>238</v>
      </c>
      <c r="BS62" s="5" t="s">
        <v>238</v>
      </c>
      <c r="BT62" s="5" t="s">
        <v>238</v>
      </c>
      <c r="CC62" s="5" t="s">
        <v>258</v>
      </c>
      <c r="CD62" s="5" t="s">
        <v>238</v>
      </c>
      <c r="CE62" s="5" t="s">
        <v>238</v>
      </c>
      <c r="CI62" s="5" t="s">
        <v>259</v>
      </c>
      <c r="CJ62" s="5" t="s">
        <v>260</v>
      </c>
      <c r="CK62" s="5" t="s">
        <v>238</v>
      </c>
      <c r="CM62" s="5" t="s">
        <v>807</v>
      </c>
      <c r="CN62" s="6" t="s">
        <v>262</v>
      </c>
      <c r="CO62" s="5" t="s">
        <v>263</v>
      </c>
      <c r="CP62" s="5" t="s">
        <v>264</v>
      </c>
      <c r="CQ62" s="5" t="s">
        <v>285</v>
      </c>
      <c r="CR62" s="5" t="s">
        <v>238</v>
      </c>
      <c r="CS62" s="5">
        <v>0</v>
      </c>
      <c r="CT62" s="5" t="s">
        <v>265</v>
      </c>
      <c r="CU62" s="5" t="s">
        <v>266</v>
      </c>
      <c r="CV62" s="5" t="s">
        <v>267</v>
      </c>
      <c r="CW62" s="7">
        <f>0</f>
        <v>0</v>
      </c>
      <c r="CX62" s="8">
        <f>2424140</f>
        <v>2424140</v>
      </c>
      <c r="CY62" s="8">
        <f>1</f>
        <v>1</v>
      </c>
      <c r="DA62" s="5" t="s">
        <v>238</v>
      </c>
      <c r="DB62" s="5" t="s">
        <v>238</v>
      </c>
      <c r="DD62" s="5" t="s">
        <v>238</v>
      </c>
      <c r="DE62" s="8">
        <f>0</f>
        <v>0</v>
      </c>
      <c r="DG62" s="5" t="s">
        <v>238</v>
      </c>
      <c r="DH62" s="5" t="s">
        <v>238</v>
      </c>
      <c r="DI62" s="5" t="s">
        <v>238</v>
      </c>
      <c r="DJ62" s="5" t="s">
        <v>238</v>
      </c>
      <c r="DK62" s="5" t="s">
        <v>271</v>
      </c>
      <c r="DL62" s="5" t="s">
        <v>272</v>
      </c>
      <c r="DM62" s="7">
        <f>19.87</f>
        <v>19.87</v>
      </c>
      <c r="DN62" s="5" t="s">
        <v>238</v>
      </c>
      <c r="DO62" s="5" t="s">
        <v>238</v>
      </c>
      <c r="DP62" s="5" t="s">
        <v>238</v>
      </c>
      <c r="DQ62" s="5" t="s">
        <v>238</v>
      </c>
      <c r="DT62" s="5" t="s">
        <v>3892</v>
      </c>
      <c r="DU62" s="5" t="s">
        <v>271</v>
      </c>
      <c r="HM62" s="5" t="s">
        <v>310</v>
      </c>
      <c r="HP62" s="5" t="s">
        <v>272</v>
      </c>
      <c r="HQ62" s="5" t="s">
        <v>272</v>
      </c>
      <c r="HR62" s="5" t="s">
        <v>238</v>
      </c>
      <c r="HS62" s="5" t="s">
        <v>238</v>
      </c>
      <c r="HT62" s="5" t="s">
        <v>238</v>
      </c>
      <c r="HU62" s="5" t="s">
        <v>238</v>
      </c>
      <c r="HV62" s="5" t="s">
        <v>238</v>
      </c>
      <c r="HW62" s="5" t="s">
        <v>238</v>
      </c>
      <c r="HX62" s="5" t="s">
        <v>238</v>
      </c>
      <c r="HY62" s="5" t="s">
        <v>238</v>
      </c>
      <c r="HZ62" s="5" t="s">
        <v>238</v>
      </c>
      <c r="IA62" s="5" t="s">
        <v>238</v>
      </c>
      <c r="IB62" s="5" t="s">
        <v>238</v>
      </c>
      <c r="IC62" s="5" t="s">
        <v>238</v>
      </c>
      <c r="ID62" s="5" t="s">
        <v>238</v>
      </c>
    </row>
    <row r="63" spans="1:238" x14ac:dyDescent="0.4">
      <c r="A63" s="5">
        <v>64</v>
      </c>
      <c r="B63" s="5">
        <v>1</v>
      </c>
      <c r="C63" s="5">
        <v>2</v>
      </c>
      <c r="D63" s="5" t="s">
        <v>3886</v>
      </c>
      <c r="E63" s="5" t="s">
        <v>751</v>
      </c>
      <c r="F63" s="5" t="s">
        <v>282</v>
      </c>
      <c r="G63" s="5" t="s">
        <v>752</v>
      </c>
      <c r="H63" s="6" t="s">
        <v>3887</v>
      </c>
      <c r="I63" s="5" t="s">
        <v>3885</v>
      </c>
      <c r="J63" s="7">
        <f>19.87</f>
        <v>19.87</v>
      </c>
      <c r="K63" s="5" t="s">
        <v>270</v>
      </c>
      <c r="L63" s="8">
        <f>1</f>
        <v>1</v>
      </c>
      <c r="M63" s="8">
        <f>2424140</f>
        <v>2424140</v>
      </c>
      <c r="N63" s="6" t="s">
        <v>2285</v>
      </c>
      <c r="O63" s="5" t="s">
        <v>268</v>
      </c>
      <c r="P63" s="5" t="s">
        <v>268</v>
      </c>
      <c r="R63" s="8">
        <f>2424139</f>
        <v>2424139</v>
      </c>
      <c r="S63" s="5" t="s">
        <v>240</v>
      </c>
      <c r="T63" s="5" t="s">
        <v>237</v>
      </c>
      <c r="W63" s="5" t="s">
        <v>241</v>
      </c>
      <c r="X63" s="5" t="s">
        <v>750</v>
      </c>
      <c r="Y63" s="5" t="s">
        <v>238</v>
      </c>
      <c r="AB63" s="5" t="s">
        <v>238</v>
      </c>
      <c r="AC63" s="6" t="s">
        <v>238</v>
      </c>
      <c r="AD63" s="6" t="s">
        <v>238</v>
      </c>
      <c r="AF63" s="6" t="s">
        <v>238</v>
      </c>
      <c r="AG63" s="6" t="s">
        <v>246</v>
      </c>
      <c r="AH63" s="5" t="s">
        <v>247</v>
      </c>
      <c r="AI63" s="5" t="s">
        <v>248</v>
      </c>
      <c r="AT63" s="6" t="s">
        <v>238</v>
      </c>
      <c r="AW63" s="5" t="s">
        <v>304</v>
      </c>
      <c r="AX63" s="5" t="s">
        <v>304</v>
      </c>
      <c r="AY63" s="5" t="s">
        <v>250</v>
      </c>
      <c r="AZ63" s="5" t="s">
        <v>305</v>
      </c>
      <c r="BA63" s="5" t="s">
        <v>251</v>
      </c>
      <c r="BB63" s="5" t="s">
        <v>238</v>
      </c>
      <c r="BC63" s="5" t="s">
        <v>253</v>
      </c>
      <c r="BD63" s="5" t="s">
        <v>238</v>
      </c>
      <c r="BF63" s="5" t="s">
        <v>760</v>
      </c>
      <c r="BH63" s="5" t="s">
        <v>283</v>
      </c>
      <c r="BI63" s="6" t="s">
        <v>293</v>
      </c>
      <c r="BJ63" s="5" t="s">
        <v>255</v>
      </c>
      <c r="BK63" s="5" t="s">
        <v>294</v>
      </c>
      <c r="BL63" s="5" t="s">
        <v>238</v>
      </c>
      <c r="BM63" s="7">
        <f>0</f>
        <v>0</v>
      </c>
      <c r="BN63" s="8">
        <f>0</f>
        <v>0</v>
      </c>
      <c r="BO63" s="5" t="s">
        <v>257</v>
      </c>
      <c r="BP63" s="5" t="s">
        <v>258</v>
      </c>
      <c r="BQ63" s="5" t="s">
        <v>238</v>
      </c>
      <c r="BR63" s="5" t="s">
        <v>238</v>
      </c>
      <c r="BS63" s="5" t="s">
        <v>238</v>
      </c>
      <c r="BT63" s="5" t="s">
        <v>238</v>
      </c>
      <c r="CC63" s="5" t="s">
        <v>258</v>
      </c>
      <c r="CD63" s="5" t="s">
        <v>238</v>
      </c>
      <c r="CE63" s="5" t="s">
        <v>238</v>
      </c>
      <c r="CI63" s="5" t="s">
        <v>259</v>
      </c>
      <c r="CJ63" s="5" t="s">
        <v>260</v>
      </c>
      <c r="CK63" s="5" t="s">
        <v>238</v>
      </c>
      <c r="CM63" s="5" t="s">
        <v>807</v>
      </c>
      <c r="CN63" s="6" t="s">
        <v>262</v>
      </c>
      <c r="CO63" s="5" t="s">
        <v>263</v>
      </c>
      <c r="CP63" s="5" t="s">
        <v>264</v>
      </c>
      <c r="CQ63" s="5" t="s">
        <v>285</v>
      </c>
      <c r="CR63" s="5" t="s">
        <v>238</v>
      </c>
      <c r="CS63" s="5">
        <v>0</v>
      </c>
      <c r="CT63" s="5" t="s">
        <v>265</v>
      </c>
      <c r="CU63" s="5" t="s">
        <v>266</v>
      </c>
      <c r="CV63" s="5" t="s">
        <v>267</v>
      </c>
      <c r="CW63" s="7">
        <f>0</f>
        <v>0</v>
      </c>
      <c r="CX63" s="8">
        <f>2424140</f>
        <v>2424140</v>
      </c>
      <c r="CY63" s="8">
        <f>1</f>
        <v>1</v>
      </c>
      <c r="DA63" s="5" t="s">
        <v>238</v>
      </c>
      <c r="DB63" s="5" t="s">
        <v>238</v>
      </c>
      <c r="DD63" s="5" t="s">
        <v>238</v>
      </c>
      <c r="DE63" s="8">
        <f>0</f>
        <v>0</v>
      </c>
      <c r="DG63" s="5" t="s">
        <v>238</v>
      </c>
      <c r="DH63" s="5" t="s">
        <v>238</v>
      </c>
      <c r="DI63" s="5" t="s">
        <v>238</v>
      </c>
      <c r="DJ63" s="5" t="s">
        <v>238</v>
      </c>
      <c r="DK63" s="5" t="s">
        <v>271</v>
      </c>
      <c r="DL63" s="5" t="s">
        <v>272</v>
      </c>
      <c r="DM63" s="7">
        <f>19.87</f>
        <v>19.87</v>
      </c>
      <c r="DN63" s="5" t="s">
        <v>238</v>
      </c>
      <c r="DO63" s="5" t="s">
        <v>238</v>
      </c>
      <c r="DP63" s="5" t="s">
        <v>238</v>
      </c>
      <c r="DQ63" s="5" t="s">
        <v>238</v>
      </c>
      <c r="DT63" s="5" t="s">
        <v>3888</v>
      </c>
      <c r="DU63" s="5" t="s">
        <v>271</v>
      </c>
      <c r="HM63" s="5" t="s">
        <v>310</v>
      </c>
      <c r="HP63" s="5" t="s">
        <v>272</v>
      </c>
      <c r="HQ63" s="5" t="s">
        <v>272</v>
      </c>
      <c r="HR63" s="5" t="s">
        <v>238</v>
      </c>
      <c r="HS63" s="5" t="s">
        <v>238</v>
      </c>
      <c r="HT63" s="5" t="s">
        <v>238</v>
      </c>
      <c r="HU63" s="5" t="s">
        <v>238</v>
      </c>
      <c r="HV63" s="5" t="s">
        <v>238</v>
      </c>
      <c r="HW63" s="5" t="s">
        <v>238</v>
      </c>
      <c r="HX63" s="5" t="s">
        <v>238</v>
      </c>
      <c r="HY63" s="5" t="s">
        <v>238</v>
      </c>
      <c r="HZ63" s="5" t="s">
        <v>238</v>
      </c>
      <c r="IA63" s="5" t="s">
        <v>238</v>
      </c>
      <c r="IB63" s="5" t="s">
        <v>238</v>
      </c>
      <c r="IC63" s="5" t="s">
        <v>238</v>
      </c>
      <c r="ID63" s="5" t="s">
        <v>238</v>
      </c>
    </row>
    <row r="64" spans="1:238" x14ac:dyDescent="0.4">
      <c r="A64" s="5">
        <v>65</v>
      </c>
      <c r="B64" s="5">
        <v>1</v>
      </c>
      <c r="C64" s="5">
        <v>2</v>
      </c>
      <c r="D64" s="5" t="s">
        <v>3882</v>
      </c>
      <c r="E64" s="5" t="s">
        <v>751</v>
      </c>
      <c r="F64" s="5" t="s">
        <v>282</v>
      </c>
      <c r="G64" s="5" t="s">
        <v>752</v>
      </c>
      <c r="H64" s="6" t="s">
        <v>3883</v>
      </c>
      <c r="I64" s="5" t="s">
        <v>3881</v>
      </c>
      <c r="J64" s="7">
        <f>19.87</f>
        <v>19.87</v>
      </c>
      <c r="K64" s="5" t="s">
        <v>270</v>
      </c>
      <c r="L64" s="8">
        <f>1</f>
        <v>1</v>
      </c>
      <c r="M64" s="8">
        <f>2424140</f>
        <v>2424140</v>
      </c>
      <c r="N64" s="6" t="s">
        <v>679</v>
      </c>
      <c r="O64" s="5" t="s">
        <v>268</v>
      </c>
      <c r="P64" s="5" t="s">
        <v>268</v>
      </c>
      <c r="R64" s="8">
        <f>2424139</f>
        <v>2424139</v>
      </c>
      <c r="S64" s="5" t="s">
        <v>240</v>
      </c>
      <c r="T64" s="5" t="s">
        <v>237</v>
      </c>
      <c r="W64" s="5" t="s">
        <v>241</v>
      </c>
      <c r="X64" s="5" t="s">
        <v>750</v>
      </c>
      <c r="Y64" s="5" t="s">
        <v>238</v>
      </c>
      <c r="AB64" s="5" t="s">
        <v>238</v>
      </c>
      <c r="AC64" s="6" t="s">
        <v>238</v>
      </c>
      <c r="AD64" s="6" t="s">
        <v>238</v>
      </c>
      <c r="AF64" s="6" t="s">
        <v>238</v>
      </c>
      <c r="AG64" s="6" t="s">
        <v>246</v>
      </c>
      <c r="AH64" s="5" t="s">
        <v>247</v>
      </c>
      <c r="AI64" s="5" t="s">
        <v>248</v>
      </c>
      <c r="AT64" s="6" t="s">
        <v>238</v>
      </c>
      <c r="AW64" s="5" t="s">
        <v>304</v>
      </c>
      <c r="AX64" s="5" t="s">
        <v>304</v>
      </c>
      <c r="AY64" s="5" t="s">
        <v>250</v>
      </c>
      <c r="AZ64" s="5" t="s">
        <v>305</v>
      </c>
      <c r="BA64" s="5" t="s">
        <v>251</v>
      </c>
      <c r="BB64" s="5" t="s">
        <v>238</v>
      </c>
      <c r="BC64" s="5" t="s">
        <v>253</v>
      </c>
      <c r="BD64" s="5" t="s">
        <v>238</v>
      </c>
      <c r="BF64" s="5" t="s">
        <v>760</v>
      </c>
      <c r="BH64" s="5" t="s">
        <v>283</v>
      </c>
      <c r="BI64" s="6" t="s">
        <v>293</v>
      </c>
      <c r="BJ64" s="5" t="s">
        <v>255</v>
      </c>
      <c r="BK64" s="5" t="s">
        <v>294</v>
      </c>
      <c r="BL64" s="5" t="s">
        <v>238</v>
      </c>
      <c r="BM64" s="7">
        <f>0</f>
        <v>0</v>
      </c>
      <c r="BN64" s="8">
        <f>0</f>
        <v>0</v>
      </c>
      <c r="BO64" s="5" t="s">
        <v>257</v>
      </c>
      <c r="BP64" s="5" t="s">
        <v>258</v>
      </c>
      <c r="BQ64" s="5" t="s">
        <v>238</v>
      </c>
      <c r="BR64" s="5" t="s">
        <v>238</v>
      </c>
      <c r="BS64" s="5" t="s">
        <v>238</v>
      </c>
      <c r="BT64" s="5" t="s">
        <v>238</v>
      </c>
      <c r="CC64" s="5" t="s">
        <v>258</v>
      </c>
      <c r="CD64" s="5" t="s">
        <v>238</v>
      </c>
      <c r="CE64" s="5" t="s">
        <v>238</v>
      </c>
      <c r="CI64" s="5" t="s">
        <v>259</v>
      </c>
      <c r="CJ64" s="5" t="s">
        <v>260</v>
      </c>
      <c r="CK64" s="5" t="s">
        <v>238</v>
      </c>
      <c r="CM64" s="5" t="s">
        <v>682</v>
      </c>
      <c r="CN64" s="6" t="s">
        <v>262</v>
      </c>
      <c r="CO64" s="5" t="s">
        <v>263</v>
      </c>
      <c r="CP64" s="5" t="s">
        <v>264</v>
      </c>
      <c r="CQ64" s="5" t="s">
        <v>285</v>
      </c>
      <c r="CR64" s="5" t="s">
        <v>238</v>
      </c>
      <c r="CS64" s="5">
        <v>0</v>
      </c>
      <c r="CT64" s="5" t="s">
        <v>265</v>
      </c>
      <c r="CU64" s="5" t="s">
        <v>266</v>
      </c>
      <c r="CV64" s="5" t="s">
        <v>267</v>
      </c>
      <c r="CW64" s="7">
        <f>0</f>
        <v>0</v>
      </c>
      <c r="CX64" s="8">
        <f>2424140</f>
        <v>2424140</v>
      </c>
      <c r="CY64" s="8">
        <f>1</f>
        <v>1</v>
      </c>
      <c r="DA64" s="5" t="s">
        <v>238</v>
      </c>
      <c r="DB64" s="5" t="s">
        <v>238</v>
      </c>
      <c r="DD64" s="5" t="s">
        <v>238</v>
      </c>
      <c r="DE64" s="8">
        <f>0</f>
        <v>0</v>
      </c>
      <c r="DG64" s="5" t="s">
        <v>238</v>
      </c>
      <c r="DH64" s="5" t="s">
        <v>238</v>
      </c>
      <c r="DI64" s="5" t="s">
        <v>238</v>
      </c>
      <c r="DJ64" s="5" t="s">
        <v>238</v>
      </c>
      <c r="DK64" s="5" t="s">
        <v>271</v>
      </c>
      <c r="DL64" s="5" t="s">
        <v>272</v>
      </c>
      <c r="DM64" s="7">
        <f>19.87</f>
        <v>19.87</v>
      </c>
      <c r="DN64" s="5" t="s">
        <v>238</v>
      </c>
      <c r="DO64" s="5" t="s">
        <v>238</v>
      </c>
      <c r="DP64" s="5" t="s">
        <v>238</v>
      </c>
      <c r="DQ64" s="5" t="s">
        <v>238</v>
      </c>
      <c r="DT64" s="5" t="s">
        <v>3884</v>
      </c>
      <c r="DU64" s="5" t="s">
        <v>271</v>
      </c>
      <c r="HM64" s="5" t="s">
        <v>379</v>
      </c>
      <c r="HP64" s="5" t="s">
        <v>272</v>
      </c>
      <c r="HQ64" s="5" t="s">
        <v>272</v>
      </c>
      <c r="HR64" s="5" t="s">
        <v>238</v>
      </c>
      <c r="HS64" s="5" t="s">
        <v>238</v>
      </c>
      <c r="HT64" s="5" t="s">
        <v>238</v>
      </c>
      <c r="HU64" s="5" t="s">
        <v>238</v>
      </c>
      <c r="HV64" s="5" t="s">
        <v>238</v>
      </c>
      <c r="HW64" s="5" t="s">
        <v>238</v>
      </c>
      <c r="HX64" s="5" t="s">
        <v>238</v>
      </c>
      <c r="HY64" s="5" t="s">
        <v>238</v>
      </c>
      <c r="HZ64" s="5" t="s">
        <v>238</v>
      </c>
      <c r="IA64" s="5" t="s">
        <v>238</v>
      </c>
      <c r="IB64" s="5" t="s">
        <v>238</v>
      </c>
      <c r="IC64" s="5" t="s">
        <v>238</v>
      </c>
      <c r="ID64" s="5" t="s">
        <v>238</v>
      </c>
    </row>
    <row r="65" spans="1:238" x14ac:dyDescent="0.4">
      <c r="A65" s="5">
        <v>66</v>
      </c>
      <c r="B65" s="5">
        <v>1</v>
      </c>
      <c r="C65" s="5">
        <v>2</v>
      </c>
      <c r="D65" s="5" t="s">
        <v>3523</v>
      </c>
      <c r="E65" s="5" t="s">
        <v>751</v>
      </c>
      <c r="F65" s="5" t="s">
        <v>282</v>
      </c>
      <c r="G65" s="5" t="s">
        <v>752</v>
      </c>
      <c r="H65" s="6" t="s">
        <v>3524</v>
      </c>
      <c r="I65" s="5" t="s">
        <v>3522</v>
      </c>
      <c r="J65" s="7">
        <f>12.43</f>
        <v>12.43</v>
      </c>
      <c r="K65" s="5" t="s">
        <v>270</v>
      </c>
      <c r="L65" s="8">
        <f>1</f>
        <v>1</v>
      </c>
      <c r="M65" s="8">
        <f>1516460</f>
        <v>1516460</v>
      </c>
      <c r="N65" s="6" t="s">
        <v>1351</v>
      </c>
      <c r="O65" s="5" t="s">
        <v>268</v>
      </c>
      <c r="P65" s="5" t="s">
        <v>658</v>
      </c>
      <c r="R65" s="8">
        <f>1516459</f>
        <v>1516459</v>
      </c>
      <c r="S65" s="5" t="s">
        <v>240</v>
      </c>
      <c r="T65" s="5" t="s">
        <v>237</v>
      </c>
      <c r="W65" s="5" t="s">
        <v>241</v>
      </c>
      <c r="X65" s="5" t="s">
        <v>750</v>
      </c>
      <c r="Y65" s="5" t="s">
        <v>238</v>
      </c>
      <c r="AB65" s="5" t="s">
        <v>238</v>
      </c>
      <c r="AC65" s="6" t="s">
        <v>238</v>
      </c>
      <c r="AD65" s="6" t="s">
        <v>238</v>
      </c>
      <c r="AF65" s="6" t="s">
        <v>238</v>
      </c>
      <c r="AG65" s="6" t="s">
        <v>246</v>
      </c>
      <c r="AH65" s="5" t="s">
        <v>247</v>
      </c>
      <c r="AI65" s="5" t="s">
        <v>248</v>
      </c>
      <c r="AT65" s="6" t="s">
        <v>238</v>
      </c>
      <c r="AW65" s="5" t="s">
        <v>304</v>
      </c>
      <c r="AX65" s="5" t="s">
        <v>304</v>
      </c>
      <c r="AY65" s="5" t="s">
        <v>250</v>
      </c>
      <c r="AZ65" s="5" t="s">
        <v>305</v>
      </c>
      <c r="BA65" s="5" t="s">
        <v>251</v>
      </c>
      <c r="BB65" s="5" t="s">
        <v>238</v>
      </c>
      <c r="BC65" s="5" t="s">
        <v>253</v>
      </c>
      <c r="BD65" s="5" t="s">
        <v>238</v>
      </c>
      <c r="BF65" s="5" t="s">
        <v>760</v>
      </c>
      <c r="BH65" s="5" t="s">
        <v>283</v>
      </c>
      <c r="BI65" s="6" t="s">
        <v>293</v>
      </c>
      <c r="BJ65" s="5" t="s">
        <v>255</v>
      </c>
      <c r="BK65" s="5" t="s">
        <v>256</v>
      </c>
      <c r="BL65" s="5" t="s">
        <v>238</v>
      </c>
      <c r="BM65" s="7">
        <f>0</f>
        <v>0</v>
      </c>
      <c r="BN65" s="8">
        <f>0</f>
        <v>0</v>
      </c>
      <c r="BO65" s="5" t="s">
        <v>257</v>
      </c>
      <c r="BP65" s="5" t="s">
        <v>258</v>
      </c>
      <c r="BQ65" s="5" t="s">
        <v>238</v>
      </c>
      <c r="BR65" s="5" t="s">
        <v>238</v>
      </c>
      <c r="BS65" s="5" t="s">
        <v>238</v>
      </c>
      <c r="BT65" s="5" t="s">
        <v>238</v>
      </c>
      <c r="CC65" s="5" t="s">
        <v>258</v>
      </c>
      <c r="CD65" s="5" t="s">
        <v>238</v>
      </c>
      <c r="CE65" s="5" t="s">
        <v>238</v>
      </c>
      <c r="CI65" s="5" t="s">
        <v>259</v>
      </c>
      <c r="CJ65" s="5" t="s">
        <v>260</v>
      </c>
      <c r="CK65" s="5" t="s">
        <v>238</v>
      </c>
      <c r="CM65" s="5" t="s">
        <v>648</v>
      </c>
      <c r="CN65" s="6" t="s">
        <v>262</v>
      </c>
      <c r="CO65" s="5" t="s">
        <v>263</v>
      </c>
      <c r="CP65" s="5" t="s">
        <v>264</v>
      </c>
      <c r="CQ65" s="5" t="s">
        <v>285</v>
      </c>
      <c r="CR65" s="5" t="s">
        <v>238</v>
      </c>
      <c r="CS65" s="5">
        <v>0</v>
      </c>
      <c r="CT65" s="5" t="s">
        <v>265</v>
      </c>
      <c r="CU65" s="5" t="s">
        <v>266</v>
      </c>
      <c r="CV65" s="5" t="s">
        <v>267</v>
      </c>
      <c r="CW65" s="7">
        <f>0</f>
        <v>0</v>
      </c>
      <c r="CX65" s="8">
        <f>1516460</f>
        <v>1516460</v>
      </c>
      <c r="CY65" s="8">
        <f>1</f>
        <v>1</v>
      </c>
      <c r="DA65" s="5" t="s">
        <v>238</v>
      </c>
      <c r="DB65" s="5" t="s">
        <v>238</v>
      </c>
      <c r="DD65" s="5" t="s">
        <v>238</v>
      </c>
      <c r="DE65" s="8">
        <f>0</f>
        <v>0</v>
      </c>
      <c r="DG65" s="5" t="s">
        <v>238</v>
      </c>
      <c r="DH65" s="5" t="s">
        <v>238</v>
      </c>
      <c r="DI65" s="5" t="s">
        <v>238</v>
      </c>
      <c r="DJ65" s="5" t="s">
        <v>238</v>
      </c>
      <c r="DK65" s="5" t="s">
        <v>271</v>
      </c>
      <c r="DL65" s="5" t="s">
        <v>272</v>
      </c>
      <c r="DM65" s="7">
        <f>12.43</f>
        <v>12.43</v>
      </c>
      <c r="DN65" s="5" t="s">
        <v>238</v>
      </c>
      <c r="DO65" s="5" t="s">
        <v>238</v>
      </c>
      <c r="DP65" s="5" t="s">
        <v>238</v>
      </c>
      <c r="DQ65" s="5" t="s">
        <v>238</v>
      </c>
      <c r="DT65" s="5" t="s">
        <v>3525</v>
      </c>
      <c r="DU65" s="5" t="s">
        <v>271</v>
      </c>
      <c r="HM65" s="5" t="s">
        <v>271</v>
      </c>
      <c r="HP65" s="5" t="s">
        <v>272</v>
      </c>
      <c r="HQ65" s="5" t="s">
        <v>272</v>
      </c>
      <c r="HR65" s="5" t="s">
        <v>238</v>
      </c>
      <c r="HS65" s="5" t="s">
        <v>238</v>
      </c>
      <c r="HT65" s="5" t="s">
        <v>238</v>
      </c>
      <c r="HU65" s="5" t="s">
        <v>238</v>
      </c>
      <c r="HV65" s="5" t="s">
        <v>238</v>
      </c>
      <c r="HW65" s="5" t="s">
        <v>238</v>
      </c>
      <c r="HX65" s="5" t="s">
        <v>238</v>
      </c>
      <c r="HY65" s="5" t="s">
        <v>238</v>
      </c>
      <c r="HZ65" s="5" t="s">
        <v>238</v>
      </c>
      <c r="IA65" s="5" t="s">
        <v>238</v>
      </c>
      <c r="IB65" s="5" t="s">
        <v>238</v>
      </c>
      <c r="IC65" s="5" t="s">
        <v>238</v>
      </c>
      <c r="ID65" s="5" t="s">
        <v>238</v>
      </c>
    </row>
    <row r="66" spans="1:238" x14ac:dyDescent="0.4">
      <c r="A66" s="5">
        <v>67</v>
      </c>
      <c r="B66" s="5">
        <v>1</v>
      </c>
      <c r="C66" s="5">
        <v>2</v>
      </c>
      <c r="D66" s="5" t="s">
        <v>3873</v>
      </c>
      <c r="E66" s="5" t="s">
        <v>751</v>
      </c>
      <c r="F66" s="5" t="s">
        <v>282</v>
      </c>
      <c r="G66" s="5" t="s">
        <v>752</v>
      </c>
      <c r="H66" s="6" t="s">
        <v>3875</v>
      </c>
      <c r="I66" s="5" t="s">
        <v>3872</v>
      </c>
      <c r="J66" s="7">
        <f>19.87</f>
        <v>19.87</v>
      </c>
      <c r="K66" s="5" t="s">
        <v>270</v>
      </c>
      <c r="L66" s="8">
        <f>1</f>
        <v>1</v>
      </c>
      <c r="M66" s="8">
        <f>2424140</f>
        <v>2424140</v>
      </c>
      <c r="N66" s="6" t="s">
        <v>3874</v>
      </c>
      <c r="O66" s="5" t="s">
        <v>268</v>
      </c>
      <c r="P66" s="5" t="s">
        <v>268</v>
      </c>
      <c r="R66" s="8">
        <f>2424139</f>
        <v>2424139</v>
      </c>
      <c r="S66" s="5" t="s">
        <v>240</v>
      </c>
      <c r="T66" s="5" t="s">
        <v>237</v>
      </c>
      <c r="W66" s="5" t="s">
        <v>241</v>
      </c>
      <c r="X66" s="5" t="s">
        <v>750</v>
      </c>
      <c r="Y66" s="5" t="s">
        <v>238</v>
      </c>
      <c r="AB66" s="5" t="s">
        <v>238</v>
      </c>
      <c r="AC66" s="6" t="s">
        <v>238</v>
      </c>
      <c r="AD66" s="6" t="s">
        <v>238</v>
      </c>
      <c r="AF66" s="6" t="s">
        <v>238</v>
      </c>
      <c r="AG66" s="6" t="s">
        <v>246</v>
      </c>
      <c r="AH66" s="5" t="s">
        <v>247</v>
      </c>
      <c r="AI66" s="5" t="s">
        <v>248</v>
      </c>
      <c r="AT66" s="6" t="s">
        <v>238</v>
      </c>
      <c r="AW66" s="5" t="s">
        <v>304</v>
      </c>
      <c r="AX66" s="5" t="s">
        <v>304</v>
      </c>
      <c r="AY66" s="5" t="s">
        <v>250</v>
      </c>
      <c r="AZ66" s="5" t="s">
        <v>305</v>
      </c>
      <c r="BA66" s="5" t="s">
        <v>251</v>
      </c>
      <c r="BB66" s="5" t="s">
        <v>238</v>
      </c>
      <c r="BC66" s="5" t="s">
        <v>253</v>
      </c>
      <c r="BD66" s="5" t="s">
        <v>238</v>
      </c>
      <c r="BF66" s="5" t="s">
        <v>760</v>
      </c>
      <c r="BH66" s="5" t="s">
        <v>283</v>
      </c>
      <c r="BI66" s="6" t="s">
        <v>293</v>
      </c>
      <c r="BJ66" s="5" t="s">
        <v>255</v>
      </c>
      <c r="BK66" s="5" t="s">
        <v>294</v>
      </c>
      <c r="BL66" s="5" t="s">
        <v>238</v>
      </c>
      <c r="BM66" s="7">
        <f>0</f>
        <v>0</v>
      </c>
      <c r="BN66" s="8">
        <f>0</f>
        <v>0</v>
      </c>
      <c r="BO66" s="5" t="s">
        <v>257</v>
      </c>
      <c r="BP66" s="5" t="s">
        <v>258</v>
      </c>
      <c r="BQ66" s="5" t="s">
        <v>238</v>
      </c>
      <c r="BR66" s="5" t="s">
        <v>238</v>
      </c>
      <c r="BS66" s="5" t="s">
        <v>238</v>
      </c>
      <c r="BT66" s="5" t="s">
        <v>238</v>
      </c>
      <c r="CC66" s="5" t="s">
        <v>258</v>
      </c>
      <c r="CD66" s="5" t="s">
        <v>238</v>
      </c>
      <c r="CE66" s="5" t="s">
        <v>238</v>
      </c>
      <c r="CI66" s="5" t="s">
        <v>259</v>
      </c>
      <c r="CJ66" s="5" t="s">
        <v>260</v>
      </c>
      <c r="CK66" s="5" t="s">
        <v>238</v>
      </c>
      <c r="CM66" s="5" t="s">
        <v>1357</v>
      </c>
      <c r="CN66" s="6" t="s">
        <v>262</v>
      </c>
      <c r="CO66" s="5" t="s">
        <v>263</v>
      </c>
      <c r="CP66" s="5" t="s">
        <v>264</v>
      </c>
      <c r="CQ66" s="5" t="s">
        <v>285</v>
      </c>
      <c r="CR66" s="5" t="s">
        <v>238</v>
      </c>
      <c r="CS66" s="5">
        <v>0</v>
      </c>
      <c r="CT66" s="5" t="s">
        <v>265</v>
      </c>
      <c r="CU66" s="5" t="s">
        <v>266</v>
      </c>
      <c r="CV66" s="5" t="s">
        <v>267</v>
      </c>
      <c r="CW66" s="7">
        <f>0</f>
        <v>0</v>
      </c>
      <c r="CX66" s="8">
        <f>2424140</f>
        <v>2424140</v>
      </c>
      <c r="CY66" s="8">
        <f>1</f>
        <v>1</v>
      </c>
      <c r="DA66" s="5" t="s">
        <v>238</v>
      </c>
      <c r="DB66" s="5" t="s">
        <v>238</v>
      </c>
      <c r="DD66" s="5" t="s">
        <v>238</v>
      </c>
      <c r="DE66" s="8">
        <f>0</f>
        <v>0</v>
      </c>
      <c r="DG66" s="5" t="s">
        <v>238</v>
      </c>
      <c r="DH66" s="5" t="s">
        <v>238</v>
      </c>
      <c r="DI66" s="5" t="s">
        <v>238</v>
      </c>
      <c r="DJ66" s="5" t="s">
        <v>238</v>
      </c>
      <c r="DK66" s="5" t="s">
        <v>271</v>
      </c>
      <c r="DL66" s="5" t="s">
        <v>272</v>
      </c>
      <c r="DM66" s="7">
        <f>19.87</f>
        <v>19.87</v>
      </c>
      <c r="DN66" s="5" t="s">
        <v>238</v>
      </c>
      <c r="DO66" s="5" t="s">
        <v>238</v>
      </c>
      <c r="DP66" s="5" t="s">
        <v>238</v>
      </c>
      <c r="DQ66" s="5" t="s">
        <v>238</v>
      </c>
      <c r="DT66" s="5" t="s">
        <v>3876</v>
      </c>
      <c r="DU66" s="5" t="s">
        <v>271</v>
      </c>
      <c r="HM66" s="5" t="s">
        <v>356</v>
      </c>
      <c r="HP66" s="5" t="s">
        <v>272</v>
      </c>
      <c r="HQ66" s="5" t="s">
        <v>272</v>
      </c>
      <c r="HR66" s="5" t="s">
        <v>238</v>
      </c>
      <c r="HS66" s="5" t="s">
        <v>238</v>
      </c>
      <c r="HT66" s="5" t="s">
        <v>238</v>
      </c>
      <c r="HU66" s="5" t="s">
        <v>238</v>
      </c>
      <c r="HV66" s="5" t="s">
        <v>238</v>
      </c>
      <c r="HW66" s="5" t="s">
        <v>238</v>
      </c>
      <c r="HX66" s="5" t="s">
        <v>238</v>
      </c>
      <c r="HY66" s="5" t="s">
        <v>238</v>
      </c>
      <c r="HZ66" s="5" t="s">
        <v>238</v>
      </c>
      <c r="IA66" s="5" t="s">
        <v>238</v>
      </c>
      <c r="IB66" s="5" t="s">
        <v>238</v>
      </c>
      <c r="IC66" s="5" t="s">
        <v>238</v>
      </c>
      <c r="ID66" s="5" t="s">
        <v>238</v>
      </c>
    </row>
    <row r="67" spans="1:238" x14ac:dyDescent="0.4">
      <c r="A67" s="5">
        <v>68</v>
      </c>
      <c r="B67" s="5">
        <v>1</v>
      </c>
      <c r="C67" s="5">
        <v>2</v>
      </c>
      <c r="D67" s="5" t="s">
        <v>3515</v>
      </c>
      <c r="E67" s="5" t="s">
        <v>751</v>
      </c>
      <c r="F67" s="5" t="s">
        <v>282</v>
      </c>
      <c r="G67" s="5" t="s">
        <v>752</v>
      </c>
      <c r="H67" s="6" t="s">
        <v>3516</v>
      </c>
      <c r="I67" s="5" t="s">
        <v>3514</v>
      </c>
      <c r="J67" s="7">
        <f>12.43</f>
        <v>12.43</v>
      </c>
      <c r="K67" s="5" t="s">
        <v>270</v>
      </c>
      <c r="L67" s="8">
        <f>1</f>
        <v>1</v>
      </c>
      <c r="M67" s="8">
        <f>1516460</f>
        <v>1516460</v>
      </c>
      <c r="N67" s="6" t="s">
        <v>1349</v>
      </c>
      <c r="O67" s="5" t="s">
        <v>268</v>
      </c>
      <c r="P67" s="5" t="s">
        <v>269</v>
      </c>
      <c r="R67" s="8">
        <f>1516459</f>
        <v>1516459</v>
      </c>
      <c r="S67" s="5" t="s">
        <v>240</v>
      </c>
      <c r="T67" s="5" t="s">
        <v>237</v>
      </c>
      <c r="W67" s="5" t="s">
        <v>241</v>
      </c>
      <c r="X67" s="5" t="s">
        <v>750</v>
      </c>
      <c r="Y67" s="5" t="s">
        <v>238</v>
      </c>
      <c r="AB67" s="5" t="s">
        <v>238</v>
      </c>
      <c r="AC67" s="6" t="s">
        <v>238</v>
      </c>
      <c r="AD67" s="6" t="s">
        <v>238</v>
      </c>
      <c r="AF67" s="6" t="s">
        <v>238</v>
      </c>
      <c r="AG67" s="6" t="s">
        <v>246</v>
      </c>
      <c r="AH67" s="5" t="s">
        <v>247</v>
      </c>
      <c r="AI67" s="5" t="s">
        <v>248</v>
      </c>
      <c r="AT67" s="6" t="s">
        <v>238</v>
      </c>
      <c r="AW67" s="5" t="s">
        <v>304</v>
      </c>
      <c r="AX67" s="5" t="s">
        <v>304</v>
      </c>
      <c r="AY67" s="5" t="s">
        <v>250</v>
      </c>
      <c r="AZ67" s="5" t="s">
        <v>305</v>
      </c>
      <c r="BA67" s="5" t="s">
        <v>251</v>
      </c>
      <c r="BB67" s="5" t="s">
        <v>238</v>
      </c>
      <c r="BC67" s="5" t="s">
        <v>253</v>
      </c>
      <c r="BD67" s="5" t="s">
        <v>238</v>
      </c>
      <c r="BF67" s="5" t="s">
        <v>760</v>
      </c>
      <c r="BH67" s="5" t="s">
        <v>283</v>
      </c>
      <c r="BI67" s="6" t="s">
        <v>293</v>
      </c>
      <c r="BJ67" s="5" t="s">
        <v>255</v>
      </c>
      <c r="BK67" s="5" t="s">
        <v>256</v>
      </c>
      <c r="BL67" s="5" t="s">
        <v>238</v>
      </c>
      <c r="BM67" s="7">
        <f>0</f>
        <v>0</v>
      </c>
      <c r="BN67" s="8">
        <f>0</f>
        <v>0</v>
      </c>
      <c r="BO67" s="5" t="s">
        <v>257</v>
      </c>
      <c r="BP67" s="5" t="s">
        <v>258</v>
      </c>
      <c r="BQ67" s="5" t="s">
        <v>238</v>
      </c>
      <c r="BR67" s="5" t="s">
        <v>238</v>
      </c>
      <c r="BS67" s="5" t="s">
        <v>238</v>
      </c>
      <c r="BT67" s="5" t="s">
        <v>238</v>
      </c>
      <c r="CC67" s="5" t="s">
        <v>258</v>
      </c>
      <c r="CD67" s="5" t="s">
        <v>238</v>
      </c>
      <c r="CE67" s="5" t="s">
        <v>238</v>
      </c>
      <c r="CI67" s="5" t="s">
        <v>259</v>
      </c>
      <c r="CJ67" s="5" t="s">
        <v>260</v>
      </c>
      <c r="CK67" s="5" t="s">
        <v>238</v>
      </c>
      <c r="CM67" s="5" t="s">
        <v>261</v>
      </c>
      <c r="CN67" s="6" t="s">
        <v>262</v>
      </c>
      <c r="CO67" s="5" t="s">
        <v>263</v>
      </c>
      <c r="CP67" s="5" t="s">
        <v>264</v>
      </c>
      <c r="CQ67" s="5" t="s">
        <v>285</v>
      </c>
      <c r="CR67" s="5" t="s">
        <v>238</v>
      </c>
      <c r="CS67" s="5">
        <v>0</v>
      </c>
      <c r="CT67" s="5" t="s">
        <v>265</v>
      </c>
      <c r="CU67" s="5" t="s">
        <v>266</v>
      </c>
      <c r="CV67" s="5" t="s">
        <v>267</v>
      </c>
      <c r="CW67" s="7">
        <f>0</f>
        <v>0</v>
      </c>
      <c r="CX67" s="8">
        <f>1516460</f>
        <v>1516460</v>
      </c>
      <c r="CY67" s="8">
        <f>1</f>
        <v>1</v>
      </c>
      <c r="DA67" s="5" t="s">
        <v>238</v>
      </c>
      <c r="DB67" s="5" t="s">
        <v>238</v>
      </c>
      <c r="DD67" s="5" t="s">
        <v>238</v>
      </c>
      <c r="DE67" s="8">
        <f>0</f>
        <v>0</v>
      </c>
      <c r="DG67" s="5" t="s">
        <v>238</v>
      </c>
      <c r="DH67" s="5" t="s">
        <v>238</v>
      </c>
      <c r="DI67" s="5" t="s">
        <v>238</v>
      </c>
      <c r="DJ67" s="5" t="s">
        <v>238</v>
      </c>
      <c r="DK67" s="5" t="s">
        <v>271</v>
      </c>
      <c r="DL67" s="5" t="s">
        <v>272</v>
      </c>
      <c r="DM67" s="7">
        <f>12.43</f>
        <v>12.43</v>
      </c>
      <c r="DN67" s="5" t="s">
        <v>238</v>
      </c>
      <c r="DO67" s="5" t="s">
        <v>238</v>
      </c>
      <c r="DP67" s="5" t="s">
        <v>238</v>
      </c>
      <c r="DQ67" s="5" t="s">
        <v>238</v>
      </c>
      <c r="DT67" s="5" t="s">
        <v>3517</v>
      </c>
      <c r="DU67" s="5" t="s">
        <v>271</v>
      </c>
      <c r="HM67" s="5" t="s">
        <v>271</v>
      </c>
      <c r="HP67" s="5" t="s">
        <v>272</v>
      </c>
      <c r="HQ67" s="5" t="s">
        <v>272</v>
      </c>
      <c r="HR67" s="5" t="s">
        <v>238</v>
      </c>
      <c r="HS67" s="5" t="s">
        <v>238</v>
      </c>
      <c r="HT67" s="5" t="s">
        <v>238</v>
      </c>
      <c r="HU67" s="5" t="s">
        <v>238</v>
      </c>
      <c r="HV67" s="5" t="s">
        <v>238</v>
      </c>
      <c r="HW67" s="5" t="s">
        <v>238</v>
      </c>
      <c r="HX67" s="5" t="s">
        <v>238</v>
      </c>
      <c r="HY67" s="5" t="s">
        <v>238</v>
      </c>
      <c r="HZ67" s="5" t="s">
        <v>238</v>
      </c>
      <c r="IA67" s="5" t="s">
        <v>238</v>
      </c>
      <c r="IB67" s="5" t="s">
        <v>238</v>
      </c>
      <c r="IC67" s="5" t="s">
        <v>238</v>
      </c>
      <c r="ID67" s="5" t="s">
        <v>238</v>
      </c>
    </row>
    <row r="68" spans="1:238" x14ac:dyDescent="0.4">
      <c r="A68" s="5">
        <v>69</v>
      </c>
      <c r="B68" s="5">
        <v>1</v>
      </c>
      <c r="C68" s="5">
        <v>2</v>
      </c>
      <c r="D68" s="5" t="s">
        <v>3869</v>
      </c>
      <c r="E68" s="5" t="s">
        <v>751</v>
      </c>
      <c r="F68" s="5" t="s">
        <v>282</v>
      </c>
      <c r="G68" s="5" t="s">
        <v>752</v>
      </c>
      <c r="H68" s="6" t="s">
        <v>3870</v>
      </c>
      <c r="I68" s="5" t="s">
        <v>3868</v>
      </c>
      <c r="J68" s="7">
        <f>19.87</f>
        <v>19.87</v>
      </c>
      <c r="K68" s="5" t="s">
        <v>270</v>
      </c>
      <c r="L68" s="8">
        <f>1</f>
        <v>1</v>
      </c>
      <c r="M68" s="8">
        <f>2424140</f>
        <v>2424140</v>
      </c>
      <c r="N68" s="6" t="s">
        <v>2285</v>
      </c>
      <c r="O68" s="5" t="s">
        <v>268</v>
      </c>
      <c r="P68" s="5" t="s">
        <v>268</v>
      </c>
      <c r="R68" s="8">
        <f>2424139</f>
        <v>2424139</v>
      </c>
      <c r="S68" s="5" t="s">
        <v>240</v>
      </c>
      <c r="T68" s="5" t="s">
        <v>237</v>
      </c>
      <c r="W68" s="5" t="s">
        <v>241</v>
      </c>
      <c r="X68" s="5" t="s">
        <v>750</v>
      </c>
      <c r="Y68" s="5" t="s">
        <v>238</v>
      </c>
      <c r="AB68" s="5" t="s">
        <v>238</v>
      </c>
      <c r="AC68" s="6" t="s">
        <v>238</v>
      </c>
      <c r="AD68" s="6" t="s">
        <v>238</v>
      </c>
      <c r="AF68" s="6" t="s">
        <v>238</v>
      </c>
      <c r="AG68" s="6" t="s">
        <v>246</v>
      </c>
      <c r="AH68" s="5" t="s">
        <v>247</v>
      </c>
      <c r="AI68" s="5" t="s">
        <v>248</v>
      </c>
      <c r="AT68" s="6" t="s">
        <v>238</v>
      </c>
      <c r="AW68" s="5" t="s">
        <v>304</v>
      </c>
      <c r="AX68" s="5" t="s">
        <v>304</v>
      </c>
      <c r="AY68" s="5" t="s">
        <v>250</v>
      </c>
      <c r="AZ68" s="5" t="s">
        <v>305</v>
      </c>
      <c r="BA68" s="5" t="s">
        <v>251</v>
      </c>
      <c r="BB68" s="5" t="s">
        <v>238</v>
      </c>
      <c r="BC68" s="5" t="s">
        <v>253</v>
      </c>
      <c r="BD68" s="5" t="s">
        <v>238</v>
      </c>
      <c r="BF68" s="5" t="s">
        <v>760</v>
      </c>
      <c r="BH68" s="5" t="s">
        <v>283</v>
      </c>
      <c r="BI68" s="6" t="s">
        <v>293</v>
      </c>
      <c r="BJ68" s="5" t="s">
        <v>255</v>
      </c>
      <c r="BK68" s="5" t="s">
        <v>294</v>
      </c>
      <c r="BL68" s="5" t="s">
        <v>238</v>
      </c>
      <c r="BM68" s="7">
        <f>0</f>
        <v>0</v>
      </c>
      <c r="BN68" s="8">
        <f>0</f>
        <v>0</v>
      </c>
      <c r="BO68" s="5" t="s">
        <v>257</v>
      </c>
      <c r="BP68" s="5" t="s">
        <v>258</v>
      </c>
      <c r="BQ68" s="5" t="s">
        <v>238</v>
      </c>
      <c r="BR68" s="5" t="s">
        <v>238</v>
      </c>
      <c r="BS68" s="5" t="s">
        <v>238</v>
      </c>
      <c r="BT68" s="5" t="s">
        <v>238</v>
      </c>
      <c r="CC68" s="5" t="s">
        <v>258</v>
      </c>
      <c r="CD68" s="5" t="s">
        <v>238</v>
      </c>
      <c r="CE68" s="5" t="s">
        <v>238</v>
      </c>
      <c r="CI68" s="5" t="s">
        <v>259</v>
      </c>
      <c r="CJ68" s="5" t="s">
        <v>260</v>
      </c>
      <c r="CK68" s="5" t="s">
        <v>238</v>
      </c>
      <c r="CM68" s="5" t="s">
        <v>807</v>
      </c>
      <c r="CN68" s="6" t="s">
        <v>262</v>
      </c>
      <c r="CO68" s="5" t="s">
        <v>263</v>
      </c>
      <c r="CP68" s="5" t="s">
        <v>264</v>
      </c>
      <c r="CQ68" s="5" t="s">
        <v>285</v>
      </c>
      <c r="CR68" s="5" t="s">
        <v>238</v>
      </c>
      <c r="CS68" s="5">
        <v>0</v>
      </c>
      <c r="CT68" s="5" t="s">
        <v>265</v>
      </c>
      <c r="CU68" s="5" t="s">
        <v>266</v>
      </c>
      <c r="CV68" s="5" t="s">
        <v>267</v>
      </c>
      <c r="CW68" s="7">
        <f>0</f>
        <v>0</v>
      </c>
      <c r="CX68" s="8">
        <f>2424140</f>
        <v>2424140</v>
      </c>
      <c r="CY68" s="8">
        <f>1</f>
        <v>1</v>
      </c>
      <c r="DA68" s="5" t="s">
        <v>238</v>
      </c>
      <c r="DB68" s="5" t="s">
        <v>238</v>
      </c>
      <c r="DD68" s="5" t="s">
        <v>238</v>
      </c>
      <c r="DE68" s="8">
        <f>0</f>
        <v>0</v>
      </c>
      <c r="DG68" s="5" t="s">
        <v>238</v>
      </c>
      <c r="DH68" s="5" t="s">
        <v>238</v>
      </c>
      <c r="DI68" s="5" t="s">
        <v>238</v>
      </c>
      <c r="DJ68" s="5" t="s">
        <v>238</v>
      </c>
      <c r="DK68" s="5" t="s">
        <v>271</v>
      </c>
      <c r="DL68" s="5" t="s">
        <v>272</v>
      </c>
      <c r="DM68" s="7">
        <f>19.87</f>
        <v>19.87</v>
      </c>
      <c r="DN68" s="5" t="s">
        <v>238</v>
      </c>
      <c r="DO68" s="5" t="s">
        <v>238</v>
      </c>
      <c r="DP68" s="5" t="s">
        <v>238</v>
      </c>
      <c r="DQ68" s="5" t="s">
        <v>238</v>
      </c>
      <c r="DT68" s="5" t="s">
        <v>3871</v>
      </c>
      <c r="DU68" s="5" t="s">
        <v>271</v>
      </c>
      <c r="HM68" s="5" t="s">
        <v>310</v>
      </c>
      <c r="HP68" s="5" t="s">
        <v>272</v>
      </c>
      <c r="HQ68" s="5" t="s">
        <v>272</v>
      </c>
      <c r="HR68" s="5" t="s">
        <v>238</v>
      </c>
      <c r="HS68" s="5" t="s">
        <v>238</v>
      </c>
      <c r="HT68" s="5" t="s">
        <v>238</v>
      </c>
      <c r="HU68" s="5" t="s">
        <v>238</v>
      </c>
      <c r="HV68" s="5" t="s">
        <v>238</v>
      </c>
      <c r="HW68" s="5" t="s">
        <v>238</v>
      </c>
      <c r="HX68" s="5" t="s">
        <v>238</v>
      </c>
      <c r="HY68" s="5" t="s">
        <v>238</v>
      </c>
      <c r="HZ68" s="5" t="s">
        <v>238</v>
      </c>
      <c r="IA68" s="5" t="s">
        <v>238</v>
      </c>
      <c r="IB68" s="5" t="s">
        <v>238</v>
      </c>
      <c r="IC68" s="5" t="s">
        <v>238</v>
      </c>
      <c r="ID68" s="5" t="s">
        <v>238</v>
      </c>
    </row>
    <row r="69" spans="1:238" x14ac:dyDescent="0.4">
      <c r="A69" s="5">
        <v>70</v>
      </c>
      <c r="B69" s="5">
        <v>1</v>
      </c>
      <c r="C69" s="5">
        <v>2</v>
      </c>
      <c r="D69" s="5" t="s">
        <v>3859</v>
      </c>
      <c r="E69" s="5" t="s">
        <v>751</v>
      </c>
      <c r="F69" s="5" t="s">
        <v>282</v>
      </c>
      <c r="G69" s="5" t="s">
        <v>752</v>
      </c>
      <c r="H69" s="6" t="s">
        <v>3860</v>
      </c>
      <c r="I69" s="5" t="s">
        <v>3858</v>
      </c>
      <c r="J69" s="7">
        <f>19.87</f>
        <v>19.87</v>
      </c>
      <c r="K69" s="5" t="s">
        <v>270</v>
      </c>
      <c r="L69" s="8">
        <f>1</f>
        <v>1</v>
      </c>
      <c r="M69" s="8">
        <f>2424140</f>
        <v>2424140</v>
      </c>
      <c r="N69" s="6" t="s">
        <v>679</v>
      </c>
      <c r="O69" s="5" t="s">
        <v>268</v>
      </c>
      <c r="P69" s="5" t="s">
        <v>268</v>
      </c>
      <c r="R69" s="8">
        <f>2424139</f>
        <v>2424139</v>
      </c>
      <c r="S69" s="5" t="s">
        <v>240</v>
      </c>
      <c r="T69" s="5" t="s">
        <v>237</v>
      </c>
      <c r="W69" s="5" t="s">
        <v>241</v>
      </c>
      <c r="X69" s="5" t="s">
        <v>750</v>
      </c>
      <c r="Y69" s="5" t="s">
        <v>238</v>
      </c>
      <c r="AB69" s="5" t="s">
        <v>238</v>
      </c>
      <c r="AC69" s="6" t="s">
        <v>238</v>
      </c>
      <c r="AD69" s="6" t="s">
        <v>238</v>
      </c>
      <c r="AF69" s="6" t="s">
        <v>238</v>
      </c>
      <c r="AG69" s="6" t="s">
        <v>246</v>
      </c>
      <c r="AH69" s="5" t="s">
        <v>247</v>
      </c>
      <c r="AI69" s="5" t="s">
        <v>248</v>
      </c>
      <c r="AT69" s="6" t="s">
        <v>238</v>
      </c>
      <c r="AW69" s="5" t="s">
        <v>304</v>
      </c>
      <c r="AX69" s="5" t="s">
        <v>304</v>
      </c>
      <c r="AY69" s="5" t="s">
        <v>250</v>
      </c>
      <c r="AZ69" s="5" t="s">
        <v>305</v>
      </c>
      <c r="BA69" s="5" t="s">
        <v>251</v>
      </c>
      <c r="BB69" s="5" t="s">
        <v>238</v>
      </c>
      <c r="BC69" s="5" t="s">
        <v>253</v>
      </c>
      <c r="BD69" s="5" t="s">
        <v>238</v>
      </c>
      <c r="BF69" s="5" t="s">
        <v>760</v>
      </c>
      <c r="BH69" s="5" t="s">
        <v>283</v>
      </c>
      <c r="BI69" s="6" t="s">
        <v>293</v>
      </c>
      <c r="BJ69" s="5" t="s">
        <v>255</v>
      </c>
      <c r="BK69" s="5" t="s">
        <v>294</v>
      </c>
      <c r="BL69" s="5" t="s">
        <v>238</v>
      </c>
      <c r="BM69" s="7">
        <f>0</f>
        <v>0</v>
      </c>
      <c r="BN69" s="8">
        <f>0</f>
        <v>0</v>
      </c>
      <c r="BO69" s="5" t="s">
        <v>257</v>
      </c>
      <c r="BP69" s="5" t="s">
        <v>258</v>
      </c>
      <c r="BQ69" s="5" t="s">
        <v>238</v>
      </c>
      <c r="BR69" s="5" t="s">
        <v>238</v>
      </c>
      <c r="BS69" s="5" t="s">
        <v>238</v>
      </c>
      <c r="BT69" s="5" t="s">
        <v>238</v>
      </c>
      <c r="CC69" s="5" t="s">
        <v>258</v>
      </c>
      <c r="CD69" s="5" t="s">
        <v>238</v>
      </c>
      <c r="CE69" s="5" t="s">
        <v>238</v>
      </c>
      <c r="CI69" s="5" t="s">
        <v>259</v>
      </c>
      <c r="CJ69" s="5" t="s">
        <v>260</v>
      </c>
      <c r="CK69" s="5" t="s">
        <v>238</v>
      </c>
      <c r="CM69" s="5" t="s">
        <v>682</v>
      </c>
      <c r="CN69" s="6" t="s">
        <v>262</v>
      </c>
      <c r="CO69" s="5" t="s">
        <v>263</v>
      </c>
      <c r="CP69" s="5" t="s">
        <v>264</v>
      </c>
      <c r="CQ69" s="5" t="s">
        <v>285</v>
      </c>
      <c r="CR69" s="5" t="s">
        <v>238</v>
      </c>
      <c r="CS69" s="5">
        <v>0</v>
      </c>
      <c r="CT69" s="5" t="s">
        <v>265</v>
      </c>
      <c r="CU69" s="5" t="s">
        <v>266</v>
      </c>
      <c r="CV69" s="5" t="s">
        <v>267</v>
      </c>
      <c r="CW69" s="7">
        <f>0</f>
        <v>0</v>
      </c>
      <c r="CX69" s="8">
        <f>2424140</f>
        <v>2424140</v>
      </c>
      <c r="CY69" s="8">
        <f>1</f>
        <v>1</v>
      </c>
      <c r="DA69" s="5" t="s">
        <v>238</v>
      </c>
      <c r="DB69" s="5" t="s">
        <v>238</v>
      </c>
      <c r="DD69" s="5" t="s">
        <v>238</v>
      </c>
      <c r="DE69" s="8">
        <f>0</f>
        <v>0</v>
      </c>
      <c r="DG69" s="5" t="s">
        <v>238</v>
      </c>
      <c r="DH69" s="5" t="s">
        <v>238</v>
      </c>
      <c r="DI69" s="5" t="s">
        <v>238</v>
      </c>
      <c r="DJ69" s="5" t="s">
        <v>238</v>
      </c>
      <c r="DK69" s="5" t="s">
        <v>271</v>
      </c>
      <c r="DL69" s="5" t="s">
        <v>272</v>
      </c>
      <c r="DM69" s="7">
        <f>19.87</f>
        <v>19.87</v>
      </c>
      <c r="DN69" s="5" t="s">
        <v>238</v>
      </c>
      <c r="DO69" s="5" t="s">
        <v>238</v>
      </c>
      <c r="DP69" s="5" t="s">
        <v>238</v>
      </c>
      <c r="DQ69" s="5" t="s">
        <v>238</v>
      </c>
      <c r="DT69" s="5" t="s">
        <v>3861</v>
      </c>
      <c r="DU69" s="5" t="s">
        <v>271</v>
      </c>
      <c r="HM69" s="5" t="s">
        <v>379</v>
      </c>
      <c r="HP69" s="5" t="s">
        <v>272</v>
      </c>
      <c r="HQ69" s="5" t="s">
        <v>272</v>
      </c>
      <c r="HR69" s="5" t="s">
        <v>238</v>
      </c>
      <c r="HS69" s="5" t="s">
        <v>238</v>
      </c>
      <c r="HT69" s="5" t="s">
        <v>238</v>
      </c>
      <c r="HU69" s="5" t="s">
        <v>238</v>
      </c>
      <c r="HV69" s="5" t="s">
        <v>238</v>
      </c>
      <c r="HW69" s="5" t="s">
        <v>238</v>
      </c>
      <c r="HX69" s="5" t="s">
        <v>238</v>
      </c>
      <c r="HY69" s="5" t="s">
        <v>238</v>
      </c>
      <c r="HZ69" s="5" t="s">
        <v>238</v>
      </c>
      <c r="IA69" s="5" t="s">
        <v>238</v>
      </c>
      <c r="IB69" s="5" t="s">
        <v>238</v>
      </c>
      <c r="IC69" s="5" t="s">
        <v>238</v>
      </c>
      <c r="ID69" s="5" t="s">
        <v>238</v>
      </c>
    </row>
    <row r="70" spans="1:238" x14ac:dyDescent="0.4">
      <c r="A70" s="5">
        <v>71</v>
      </c>
      <c r="B70" s="5">
        <v>1</v>
      </c>
      <c r="C70" s="5">
        <v>2</v>
      </c>
      <c r="D70" s="5" t="s">
        <v>3855</v>
      </c>
      <c r="E70" s="5" t="s">
        <v>751</v>
      </c>
      <c r="F70" s="5" t="s">
        <v>282</v>
      </c>
      <c r="G70" s="5" t="s">
        <v>752</v>
      </c>
      <c r="H70" s="6" t="s">
        <v>3856</v>
      </c>
      <c r="I70" s="5" t="s">
        <v>3854</v>
      </c>
      <c r="J70" s="7">
        <f>19.87</f>
        <v>19.87</v>
      </c>
      <c r="K70" s="5" t="s">
        <v>270</v>
      </c>
      <c r="L70" s="8">
        <f>1</f>
        <v>1</v>
      </c>
      <c r="M70" s="8">
        <f>2424140</f>
        <v>2424140</v>
      </c>
      <c r="N70" s="6" t="s">
        <v>679</v>
      </c>
      <c r="O70" s="5" t="s">
        <v>268</v>
      </c>
      <c r="P70" s="5" t="s">
        <v>268</v>
      </c>
      <c r="R70" s="8">
        <f>2424139</f>
        <v>2424139</v>
      </c>
      <c r="S70" s="5" t="s">
        <v>240</v>
      </c>
      <c r="T70" s="5" t="s">
        <v>237</v>
      </c>
      <c r="W70" s="5" t="s">
        <v>241</v>
      </c>
      <c r="X70" s="5" t="s">
        <v>750</v>
      </c>
      <c r="Y70" s="5" t="s">
        <v>238</v>
      </c>
      <c r="AB70" s="5" t="s">
        <v>238</v>
      </c>
      <c r="AC70" s="6" t="s">
        <v>238</v>
      </c>
      <c r="AD70" s="6" t="s">
        <v>238</v>
      </c>
      <c r="AF70" s="6" t="s">
        <v>238</v>
      </c>
      <c r="AG70" s="6" t="s">
        <v>246</v>
      </c>
      <c r="AH70" s="5" t="s">
        <v>247</v>
      </c>
      <c r="AI70" s="5" t="s">
        <v>248</v>
      </c>
      <c r="AT70" s="6" t="s">
        <v>238</v>
      </c>
      <c r="AW70" s="5" t="s">
        <v>304</v>
      </c>
      <c r="AX70" s="5" t="s">
        <v>304</v>
      </c>
      <c r="AY70" s="5" t="s">
        <v>250</v>
      </c>
      <c r="AZ70" s="5" t="s">
        <v>305</v>
      </c>
      <c r="BA70" s="5" t="s">
        <v>251</v>
      </c>
      <c r="BB70" s="5" t="s">
        <v>238</v>
      </c>
      <c r="BC70" s="5" t="s">
        <v>253</v>
      </c>
      <c r="BD70" s="5" t="s">
        <v>238</v>
      </c>
      <c r="BF70" s="5" t="s">
        <v>760</v>
      </c>
      <c r="BH70" s="5" t="s">
        <v>283</v>
      </c>
      <c r="BI70" s="6" t="s">
        <v>293</v>
      </c>
      <c r="BJ70" s="5" t="s">
        <v>255</v>
      </c>
      <c r="BK70" s="5" t="s">
        <v>294</v>
      </c>
      <c r="BL70" s="5" t="s">
        <v>238</v>
      </c>
      <c r="BM70" s="7">
        <f>0</f>
        <v>0</v>
      </c>
      <c r="BN70" s="8">
        <f>0</f>
        <v>0</v>
      </c>
      <c r="BO70" s="5" t="s">
        <v>257</v>
      </c>
      <c r="BP70" s="5" t="s">
        <v>258</v>
      </c>
      <c r="BQ70" s="5" t="s">
        <v>238</v>
      </c>
      <c r="BR70" s="5" t="s">
        <v>238</v>
      </c>
      <c r="BS70" s="5" t="s">
        <v>238</v>
      </c>
      <c r="BT70" s="5" t="s">
        <v>238</v>
      </c>
      <c r="CC70" s="5" t="s">
        <v>258</v>
      </c>
      <c r="CD70" s="5" t="s">
        <v>238</v>
      </c>
      <c r="CE70" s="5" t="s">
        <v>238</v>
      </c>
      <c r="CI70" s="5" t="s">
        <v>259</v>
      </c>
      <c r="CJ70" s="5" t="s">
        <v>260</v>
      </c>
      <c r="CK70" s="5" t="s">
        <v>238</v>
      </c>
      <c r="CM70" s="5" t="s">
        <v>682</v>
      </c>
      <c r="CN70" s="6" t="s">
        <v>262</v>
      </c>
      <c r="CO70" s="5" t="s">
        <v>263</v>
      </c>
      <c r="CP70" s="5" t="s">
        <v>264</v>
      </c>
      <c r="CQ70" s="5" t="s">
        <v>285</v>
      </c>
      <c r="CR70" s="5" t="s">
        <v>238</v>
      </c>
      <c r="CS70" s="5">
        <v>0</v>
      </c>
      <c r="CT70" s="5" t="s">
        <v>265</v>
      </c>
      <c r="CU70" s="5" t="s">
        <v>266</v>
      </c>
      <c r="CV70" s="5" t="s">
        <v>267</v>
      </c>
      <c r="CW70" s="7">
        <f>0</f>
        <v>0</v>
      </c>
      <c r="CX70" s="8">
        <f>2424140</f>
        <v>2424140</v>
      </c>
      <c r="CY70" s="8">
        <f>1</f>
        <v>1</v>
      </c>
      <c r="DA70" s="5" t="s">
        <v>238</v>
      </c>
      <c r="DB70" s="5" t="s">
        <v>238</v>
      </c>
      <c r="DD70" s="5" t="s">
        <v>238</v>
      </c>
      <c r="DE70" s="8">
        <f>0</f>
        <v>0</v>
      </c>
      <c r="DG70" s="5" t="s">
        <v>238</v>
      </c>
      <c r="DH70" s="5" t="s">
        <v>238</v>
      </c>
      <c r="DI70" s="5" t="s">
        <v>238</v>
      </c>
      <c r="DJ70" s="5" t="s">
        <v>238</v>
      </c>
      <c r="DK70" s="5" t="s">
        <v>271</v>
      </c>
      <c r="DL70" s="5" t="s">
        <v>272</v>
      </c>
      <c r="DM70" s="7">
        <f>19.87</f>
        <v>19.87</v>
      </c>
      <c r="DN70" s="5" t="s">
        <v>238</v>
      </c>
      <c r="DO70" s="5" t="s">
        <v>238</v>
      </c>
      <c r="DP70" s="5" t="s">
        <v>238</v>
      </c>
      <c r="DQ70" s="5" t="s">
        <v>238</v>
      </c>
      <c r="DT70" s="5" t="s">
        <v>3857</v>
      </c>
      <c r="DU70" s="5" t="s">
        <v>271</v>
      </c>
      <c r="HM70" s="5" t="s">
        <v>379</v>
      </c>
      <c r="HP70" s="5" t="s">
        <v>272</v>
      </c>
      <c r="HQ70" s="5" t="s">
        <v>272</v>
      </c>
      <c r="HR70" s="5" t="s">
        <v>238</v>
      </c>
      <c r="HS70" s="5" t="s">
        <v>238</v>
      </c>
      <c r="HT70" s="5" t="s">
        <v>238</v>
      </c>
      <c r="HU70" s="5" t="s">
        <v>238</v>
      </c>
      <c r="HV70" s="5" t="s">
        <v>238</v>
      </c>
      <c r="HW70" s="5" t="s">
        <v>238</v>
      </c>
      <c r="HX70" s="5" t="s">
        <v>238</v>
      </c>
      <c r="HY70" s="5" t="s">
        <v>238</v>
      </c>
      <c r="HZ70" s="5" t="s">
        <v>238</v>
      </c>
      <c r="IA70" s="5" t="s">
        <v>238</v>
      </c>
      <c r="IB70" s="5" t="s">
        <v>238</v>
      </c>
      <c r="IC70" s="5" t="s">
        <v>238</v>
      </c>
      <c r="ID70" s="5" t="s">
        <v>238</v>
      </c>
    </row>
    <row r="71" spans="1:238" x14ac:dyDescent="0.4">
      <c r="A71" s="5">
        <v>72</v>
      </c>
      <c r="B71" s="5">
        <v>1</v>
      </c>
      <c r="C71" s="5">
        <v>2</v>
      </c>
      <c r="D71" s="5" t="s">
        <v>3510</v>
      </c>
      <c r="E71" s="5" t="s">
        <v>751</v>
      </c>
      <c r="F71" s="5" t="s">
        <v>282</v>
      </c>
      <c r="G71" s="5" t="s">
        <v>752</v>
      </c>
      <c r="H71" s="6" t="s">
        <v>3512</v>
      </c>
      <c r="I71" s="5" t="s">
        <v>3509</v>
      </c>
      <c r="J71" s="7">
        <f>57.96</f>
        <v>57.96</v>
      </c>
      <c r="K71" s="5" t="s">
        <v>270</v>
      </c>
      <c r="L71" s="8">
        <f>1</f>
        <v>1</v>
      </c>
      <c r="M71" s="8">
        <f>6259680</f>
        <v>6259680</v>
      </c>
      <c r="N71" s="6" t="s">
        <v>3511</v>
      </c>
      <c r="O71" s="5" t="s">
        <v>268</v>
      </c>
      <c r="P71" s="5" t="s">
        <v>1040</v>
      </c>
      <c r="R71" s="8">
        <f>6259679</f>
        <v>6259679</v>
      </c>
      <c r="S71" s="5" t="s">
        <v>240</v>
      </c>
      <c r="T71" s="5" t="s">
        <v>237</v>
      </c>
      <c r="W71" s="5" t="s">
        <v>241</v>
      </c>
      <c r="X71" s="5" t="s">
        <v>750</v>
      </c>
      <c r="Y71" s="5" t="s">
        <v>238</v>
      </c>
      <c r="AB71" s="5" t="s">
        <v>238</v>
      </c>
      <c r="AC71" s="6" t="s">
        <v>238</v>
      </c>
      <c r="AD71" s="6" t="s">
        <v>238</v>
      </c>
      <c r="AF71" s="6" t="s">
        <v>238</v>
      </c>
      <c r="AG71" s="6" t="s">
        <v>246</v>
      </c>
      <c r="AH71" s="5" t="s">
        <v>247</v>
      </c>
      <c r="AI71" s="5" t="s">
        <v>248</v>
      </c>
      <c r="AT71" s="6" t="s">
        <v>238</v>
      </c>
      <c r="AW71" s="5" t="s">
        <v>304</v>
      </c>
      <c r="AX71" s="5" t="s">
        <v>304</v>
      </c>
      <c r="AY71" s="5" t="s">
        <v>250</v>
      </c>
      <c r="AZ71" s="5" t="s">
        <v>305</v>
      </c>
      <c r="BA71" s="5" t="s">
        <v>251</v>
      </c>
      <c r="BB71" s="5" t="s">
        <v>238</v>
      </c>
      <c r="BC71" s="5" t="s">
        <v>253</v>
      </c>
      <c r="BD71" s="5" t="s">
        <v>238</v>
      </c>
      <c r="BF71" s="5" t="s">
        <v>760</v>
      </c>
      <c r="BH71" s="5" t="s">
        <v>283</v>
      </c>
      <c r="BI71" s="6" t="s">
        <v>293</v>
      </c>
      <c r="BJ71" s="5" t="s">
        <v>255</v>
      </c>
      <c r="BK71" s="5" t="s">
        <v>256</v>
      </c>
      <c r="BL71" s="5" t="s">
        <v>238</v>
      </c>
      <c r="BM71" s="7">
        <f>0</f>
        <v>0</v>
      </c>
      <c r="BN71" s="8">
        <f>0</f>
        <v>0</v>
      </c>
      <c r="BO71" s="5" t="s">
        <v>257</v>
      </c>
      <c r="BP71" s="5" t="s">
        <v>258</v>
      </c>
      <c r="BQ71" s="5" t="s">
        <v>238</v>
      </c>
      <c r="BR71" s="5" t="s">
        <v>238</v>
      </c>
      <c r="BS71" s="5" t="s">
        <v>238</v>
      </c>
      <c r="BT71" s="5" t="s">
        <v>238</v>
      </c>
      <c r="CC71" s="5" t="s">
        <v>258</v>
      </c>
      <c r="CD71" s="5" t="s">
        <v>238</v>
      </c>
      <c r="CE71" s="5" t="s">
        <v>238</v>
      </c>
      <c r="CI71" s="5" t="s">
        <v>259</v>
      </c>
      <c r="CJ71" s="5" t="s">
        <v>260</v>
      </c>
      <c r="CK71" s="5" t="s">
        <v>238</v>
      </c>
      <c r="CM71" s="5" t="s">
        <v>958</v>
      </c>
      <c r="CN71" s="6" t="s">
        <v>262</v>
      </c>
      <c r="CO71" s="5" t="s">
        <v>263</v>
      </c>
      <c r="CP71" s="5" t="s">
        <v>264</v>
      </c>
      <c r="CQ71" s="5" t="s">
        <v>285</v>
      </c>
      <c r="CR71" s="5" t="s">
        <v>238</v>
      </c>
      <c r="CS71" s="5">
        <v>0</v>
      </c>
      <c r="CT71" s="5" t="s">
        <v>265</v>
      </c>
      <c r="CU71" s="5" t="s">
        <v>266</v>
      </c>
      <c r="CV71" s="5" t="s">
        <v>267</v>
      </c>
      <c r="CW71" s="7">
        <f>0</f>
        <v>0</v>
      </c>
      <c r="CX71" s="8">
        <f>6259680</f>
        <v>6259680</v>
      </c>
      <c r="CY71" s="8">
        <f>1</f>
        <v>1</v>
      </c>
      <c r="DA71" s="5" t="s">
        <v>238</v>
      </c>
      <c r="DB71" s="5" t="s">
        <v>238</v>
      </c>
      <c r="DD71" s="5" t="s">
        <v>238</v>
      </c>
      <c r="DE71" s="8">
        <f>0</f>
        <v>0</v>
      </c>
      <c r="DG71" s="5" t="s">
        <v>238</v>
      </c>
      <c r="DH71" s="5" t="s">
        <v>238</v>
      </c>
      <c r="DI71" s="5" t="s">
        <v>238</v>
      </c>
      <c r="DJ71" s="5" t="s">
        <v>238</v>
      </c>
      <c r="DK71" s="5" t="s">
        <v>271</v>
      </c>
      <c r="DL71" s="5" t="s">
        <v>272</v>
      </c>
      <c r="DM71" s="7">
        <f>57.96</f>
        <v>57.96</v>
      </c>
      <c r="DN71" s="5" t="s">
        <v>238</v>
      </c>
      <c r="DO71" s="5" t="s">
        <v>238</v>
      </c>
      <c r="DP71" s="5" t="s">
        <v>238</v>
      </c>
      <c r="DQ71" s="5" t="s">
        <v>238</v>
      </c>
      <c r="DT71" s="5" t="s">
        <v>3513</v>
      </c>
      <c r="DU71" s="5" t="s">
        <v>271</v>
      </c>
      <c r="HM71" s="5" t="s">
        <v>271</v>
      </c>
      <c r="HP71" s="5" t="s">
        <v>272</v>
      </c>
      <c r="HQ71" s="5" t="s">
        <v>272</v>
      </c>
      <c r="HR71" s="5" t="s">
        <v>238</v>
      </c>
      <c r="HS71" s="5" t="s">
        <v>238</v>
      </c>
      <c r="HT71" s="5" t="s">
        <v>238</v>
      </c>
      <c r="HU71" s="5" t="s">
        <v>238</v>
      </c>
      <c r="HV71" s="5" t="s">
        <v>238</v>
      </c>
      <c r="HW71" s="5" t="s">
        <v>238</v>
      </c>
      <c r="HX71" s="5" t="s">
        <v>238</v>
      </c>
      <c r="HY71" s="5" t="s">
        <v>238</v>
      </c>
      <c r="HZ71" s="5" t="s">
        <v>238</v>
      </c>
      <c r="IA71" s="5" t="s">
        <v>238</v>
      </c>
      <c r="IB71" s="5" t="s">
        <v>238</v>
      </c>
      <c r="IC71" s="5" t="s">
        <v>238</v>
      </c>
      <c r="ID71" s="5" t="s">
        <v>238</v>
      </c>
    </row>
    <row r="72" spans="1:238" x14ac:dyDescent="0.4">
      <c r="A72" s="5">
        <v>73</v>
      </c>
      <c r="B72" s="5">
        <v>1</v>
      </c>
      <c r="C72" s="5">
        <v>2</v>
      </c>
      <c r="D72" s="5" t="s">
        <v>3506</v>
      </c>
      <c r="E72" s="5" t="s">
        <v>751</v>
      </c>
      <c r="F72" s="5" t="s">
        <v>282</v>
      </c>
      <c r="G72" s="5" t="s">
        <v>752</v>
      </c>
      <c r="H72" s="6" t="s">
        <v>3507</v>
      </c>
      <c r="I72" s="5" t="s">
        <v>3505</v>
      </c>
      <c r="J72" s="7">
        <f>19.87</f>
        <v>19.87</v>
      </c>
      <c r="K72" s="5" t="s">
        <v>270</v>
      </c>
      <c r="L72" s="8">
        <f>1</f>
        <v>1</v>
      </c>
      <c r="M72" s="8">
        <f>1192200</f>
        <v>1192200</v>
      </c>
      <c r="N72" s="6" t="s">
        <v>906</v>
      </c>
      <c r="O72" s="5" t="s">
        <v>268</v>
      </c>
      <c r="P72" s="5" t="s">
        <v>909</v>
      </c>
      <c r="R72" s="8">
        <f>1192199</f>
        <v>1192199</v>
      </c>
      <c r="S72" s="5" t="s">
        <v>240</v>
      </c>
      <c r="T72" s="5" t="s">
        <v>237</v>
      </c>
      <c r="W72" s="5" t="s">
        <v>241</v>
      </c>
      <c r="X72" s="5" t="s">
        <v>750</v>
      </c>
      <c r="Y72" s="5" t="s">
        <v>238</v>
      </c>
      <c r="AB72" s="5" t="s">
        <v>238</v>
      </c>
      <c r="AC72" s="6" t="s">
        <v>238</v>
      </c>
      <c r="AD72" s="6" t="s">
        <v>238</v>
      </c>
      <c r="AF72" s="6" t="s">
        <v>238</v>
      </c>
      <c r="AG72" s="6" t="s">
        <v>246</v>
      </c>
      <c r="AH72" s="5" t="s">
        <v>247</v>
      </c>
      <c r="AI72" s="5" t="s">
        <v>248</v>
      </c>
      <c r="AT72" s="6" t="s">
        <v>238</v>
      </c>
      <c r="AW72" s="5" t="s">
        <v>304</v>
      </c>
      <c r="AX72" s="5" t="s">
        <v>304</v>
      </c>
      <c r="AY72" s="5" t="s">
        <v>250</v>
      </c>
      <c r="AZ72" s="5" t="s">
        <v>305</v>
      </c>
      <c r="BA72" s="5" t="s">
        <v>251</v>
      </c>
      <c r="BB72" s="5" t="s">
        <v>238</v>
      </c>
      <c r="BC72" s="5" t="s">
        <v>253</v>
      </c>
      <c r="BD72" s="5" t="s">
        <v>238</v>
      </c>
      <c r="BF72" s="5" t="s">
        <v>760</v>
      </c>
      <c r="BH72" s="5" t="s">
        <v>283</v>
      </c>
      <c r="BI72" s="6" t="s">
        <v>293</v>
      </c>
      <c r="BJ72" s="5" t="s">
        <v>255</v>
      </c>
      <c r="BK72" s="5" t="s">
        <v>256</v>
      </c>
      <c r="BL72" s="5" t="s">
        <v>238</v>
      </c>
      <c r="BM72" s="7">
        <f>0</f>
        <v>0</v>
      </c>
      <c r="BN72" s="8">
        <f>0</f>
        <v>0</v>
      </c>
      <c r="BO72" s="5" t="s">
        <v>257</v>
      </c>
      <c r="BP72" s="5" t="s">
        <v>258</v>
      </c>
      <c r="BQ72" s="5" t="s">
        <v>238</v>
      </c>
      <c r="BR72" s="5" t="s">
        <v>238</v>
      </c>
      <c r="BS72" s="5" t="s">
        <v>238</v>
      </c>
      <c r="BT72" s="5" t="s">
        <v>238</v>
      </c>
      <c r="CC72" s="5" t="s">
        <v>258</v>
      </c>
      <c r="CD72" s="5" t="s">
        <v>238</v>
      </c>
      <c r="CE72" s="5" t="s">
        <v>238</v>
      </c>
      <c r="CI72" s="5" t="s">
        <v>527</v>
      </c>
      <c r="CJ72" s="5" t="s">
        <v>260</v>
      </c>
      <c r="CK72" s="5" t="s">
        <v>238</v>
      </c>
      <c r="CM72" s="5" t="s">
        <v>908</v>
      </c>
      <c r="CN72" s="6" t="s">
        <v>262</v>
      </c>
      <c r="CO72" s="5" t="s">
        <v>263</v>
      </c>
      <c r="CP72" s="5" t="s">
        <v>264</v>
      </c>
      <c r="CQ72" s="5" t="s">
        <v>285</v>
      </c>
      <c r="CR72" s="5" t="s">
        <v>238</v>
      </c>
      <c r="CS72" s="5">
        <v>0</v>
      </c>
      <c r="CT72" s="5" t="s">
        <v>265</v>
      </c>
      <c r="CU72" s="5" t="s">
        <v>266</v>
      </c>
      <c r="CV72" s="5" t="s">
        <v>267</v>
      </c>
      <c r="CW72" s="7">
        <f>0</f>
        <v>0</v>
      </c>
      <c r="CX72" s="8">
        <f>1192200</f>
        <v>1192200</v>
      </c>
      <c r="CY72" s="8">
        <f>1</f>
        <v>1</v>
      </c>
      <c r="DA72" s="5" t="s">
        <v>238</v>
      </c>
      <c r="DB72" s="5" t="s">
        <v>238</v>
      </c>
      <c r="DD72" s="5" t="s">
        <v>238</v>
      </c>
      <c r="DE72" s="8">
        <f>0</f>
        <v>0</v>
      </c>
      <c r="DG72" s="5" t="s">
        <v>238</v>
      </c>
      <c r="DH72" s="5" t="s">
        <v>238</v>
      </c>
      <c r="DI72" s="5" t="s">
        <v>238</v>
      </c>
      <c r="DJ72" s="5" t="s">
        <v>238</v>
      </c>
      <c r="DK72" s="5" t="s">
        <v>271</v>
      </c>
      <c r="DL72" s="5" t="s">
        <v>272</v>
      </c>
      <c r="DM72" s="7">
        <f>19.87</f>
        <v>19.87</v>
      </c>
      <c r="DN72" s="5" t="s">
        <v>238</v>
      </c>
      <c r="DO72" s="5" t="s">
        <v>238</v>
      </c>
      <c r="DP72" s="5" t="s">
        <v>238</v>
      </c>
      <c r="DQ72" s="5" t="s">
        <v>238</v>
      </c>
      <c r="DT72" s="5" t="s">
        <v>3508</v>
      </c>
      <c r="DU72" s="5" t="s">
        <v>271</v>
      </c>
      <c r="HM72" s="5" t="s">
        <v>271</v>
      </c>
      <c r="HP72" s="5" t="s">
        <v>272</v>
      </c>
      <c r="HQ72" s="5" t="s">
        <v>272</v>
      </c>
      <c r="HR72" s="5" t="s">
        <v>238</v>
      </c>
      <c r="HS72" s="5" t="s">
        <v>238</v>
      </c>
      <c r="HT72" s="5" t="s">
        <v>238</v>
      </c>
      <c r="HU72" s="5" t="s">
        <v>238</v>
      </c>
      <c r="HV72" s="5" t="s">
        <v>238</v>
      </c>
      <c r="HW72" s="5" t="s">
        <v>238</v>
      </c>
      <c r="HX72" s="5" t="s">
        <v>238</v>
      </c>
      <c r="HY72" s="5" t="s">
        <v>238</v>
      </c>
      <c r="HZ72" s="5" t="s">
        <v>238</v>
      </c>
      <c r="IA72" s="5" t="s">
        <v>238</v>
      </c>
      <c r="IB72" s="5" t="s">
        <v>238</v>
      </c>
      <c r="IC72" s="5" t="s">
        <v>238</v>
      </c>
      <c r="ID72" s="5" t="s">
        <v>238</v>
      </c>
    </row>
    <row r="73" spans="1:238" x14ac:dyDescent="0.4">
      <c r="A73" s="5">
        <v>75</v>
      </c>
      <c r="B73" s="5">
        <v>1</v>
      </c>
      <c r="C73" s="5">
        <v>2</v>
      </c>
      <c r="D73" s="5" t="s">
        <v>3499</v>
      </c>
      <c r="E73" s="5" t="s">
        <v>751</v>
      </c>
      <c r="F73" s="5" t="s">
        <v>282</v>
      </c>
      <c r="G73" s="5" t="s">
        <v>752</v>
      </c>
      <c r="H73" s="6" t="s">
        <v>3500</v>
      </c>
      <c r="I73" s="5" t="s">
        <v>3498</v>
      </c>
      <c r="J73" s="7">
        <f>41.4</f>
        <v>41.4</v>
      </c>
      <c r="K73" s="5" t="s">
        <v>270</v>
      </c>
      <c r="L73" s="8">
        <f>1</f>
        <v>1</v>
      </c>
      <c r="M73" s="8">
        <f>2484000</f>
        <v>2484000</v>
      </c>
      <c r="N73" s="6" t="s">
        <v>906</v>
      </c>
      <c r="O73" s="5" t="s">
        <v>268</v>
      </c>
      <c r="P73" s="5" t="s">
        <v>909</v>
      </c>
      <c r="R73" s="8">
        <f>2483999</f>
        <v>2483999</v>
      </c>
      <c r="S73" s="5" t="s">
        <v>240</v>
      </c>
      <c r="T73" s="5" t="s">
        <v>237</v>
      </c>
      <c r="W73" s="5" t="s">
        <v>241</v>
      </c>
      <c r="X73" s="5" t="s">
        <v>750</v>
      </c>
      <c r="Y73" s="5" t="s">
        <v>238</v>
      </c>
      <c r="AB73" s="5" t="s">
        <v>238</v>
      </c>
      <c r="AC73" s="6" t="s">
        <v>238</v>
      </c>
      <c r="AD73" s="6" t="s">
        <v>238</v>
      </c>
      <c r="AF73" s="6" t="s">
        <v>238</v>
      </c>
      <c r="AG73" s="6" t="s">
        <v>246</v>
      </c>
      <c r="AH73" s="5" t="s">
        <v>247</v>
      </c>
      <c r="AI73" s="5" t="s">
        <v>248</v>
      </c>
      <c r="AT73" s="6" t="s">
        <v>238</v>
      </c>
      <c r="AW73" s="5" t="s">
        <v>304</v>
      </c>
      <c r="AX73" s="5" t="s">
        <v>304</v>
      </c>
      <c r="AY73" s="5" t="s">
        <v>250</v>
      </c>
      <c r="AZ73" s="5" t="s">
        <v>305</v>
      </c>
      <c r="BA73" s="5" t="s">
        <v>251</v>
      </c>
      <c r="BB73" s="5" t="s">
        <v>238</v>
      </c>
      <c r="BC73" s="5" t="s">
        <v>253</v>
      </c>
      <c r="BD73" s="5" t="s">
        <v>238</v>
      </c>
      <c r="BF73" s="5" t="s">
        <v>760</v>
      </c>
      <c r="BH73" s="5" t="s">
        <v>283</v>
      </c>
      <c r="BI73" s="6" t="s">
        <v>293</v>
      </c>
      <c r="BJ73" s="5" t="s">
        <v>255</v>
      </c>
      <c r="BK73" s="5" t="s">
        <v>256</v>
      </c>
      <c r="BL73" s="5" t="s">
        <v>238</v>
      </c>
      <c r="BM73" s="7">
        <f>0</f>
        <v>0</v>
      </c>
      <c r="BN73" s="8">
        <f>0</f>
        <v>0</v>
      </c>
      <c r="BO73" s="5" t="s">
        <v>257</v>
      </c>
      <c r="BP73" s="5" t="s">
        <v>258</v>
      </c>
      <c r="BQ73" s="5" t="s">
        <v>238</v>
      </c>
      <c r="BR73" s="5" t="s">
        <v>238</v>
      </c>
      <c r="BS73" s="5" t="s">
        <v>238</v>
      </c>
      <c r="BT73" s="5" t="s">
        <v>238</v>
      </c>
      <c r="CC73" s="5" t="s">
        <v>258</v>
      </c>
      <c r="CD73" s="5" t="s">
        <v>238</v>
      </c>
      <c r="CE73" s="5" t="s">
        <v>238</v>
      </c>
      <c r="CI73" s="5" t="s">
        <v>527</v>
      </c>
      <c r="CJ73" s="5" t="s">
        <v>260</v>
      </c>
      <c r="CK73" s="5" t="s">
        <v>238</v>
      </c>
      <c r="CM73" s="5" t="s">
        <v>908</v>
      </c>
      <c r="CN73" s="6" t="s">
        <v>262</v>
      </c>
      <c r="CO73" s="5" t="s">
        <v>263</v>
      </c>
      <c r="CP73" s="5" t="s">
        <v>264</v>
      </c>
      <c r="CQ73" s="5" t="s">
        <v>285</v>
      </c>
      <c r="CR73" s="5" t="s">
        <v>238</v>
      </c>
      <c r="CS73" s="5">
        <v>0</v>
      </c>
      <c r="CT73" s="5" t="s">
        <v>265</v>
      </c>
      <c r="CU73" s="5" t="s">
        <v>266</v>
      </c>
      <c r="CV73" s="5" t="s">
        <v>267</v>
      </c>
      <c r="CW73" s="7">
        <f>0</f>
        <v>0</v>
      </c>
      <c r="CX73" s="8">
        <f>2484000</f>
        <v>2484000</v>
      </c>
      <c r="CY73" s="8">
        <f>1</f>
        <v>1</v>
      </c>
      <c r="DA73" s="5" t="s">
        <v>238</v>
      </c>
      <c r="DB73" s="5" t="s">
        <v>238</v>
      </c>
      <c r="DD73" s="5" t="s">
        <v>238</v>
      </c>
      <c r="DE73" s="8">
        <f>0</f>
        <v>0</v>
      </c>
      <c r="DG73" s="5" t="s">
        <v>238</v>
      </c>
      <c r="DH73" s="5" t="s">
        <v>238</v>
      </c>
      <c r="DI73" s="5" t="s">
        <v>238</v>
      </c>
      <c r="DJ73" s="5" t="s">
        <v>238</v>
      </c>
      <c r="DK73" s="5" t="s">
        <v>271</v>
      </c>
      <c r="DL73" s="5" t="s">
        <v>272</v>
      </c>
      <c r="DM73" s="7">
        <f>41.4</f>
        <v>41.4</v>
      </c>
      <c r="DN73" s="5" t="s">
        <v>238</v>
      </c>
      <c r="DO73" s="5" t="s">
        <v>238</v>
      </c>
      <c r="DP73" s="5" t="s">
        <v>238</v>
      </c>
      <c r="DQ73" s="5" t="s">
        <v>238</v>
      </c>
      <c r="DT73" s="5" t="s">
        <v>3501</v>
      </c>
      <c r="DU73" s="5" t="s">
        <v>271</v>
      </c>
      <c r="HM73" s="5" t="s">
        <v>271</v>
      </c>
      <c r="HP73" s="5" t="s">
        <v>272</v>
      </c>
      <c r="HQ73" s="5" t="s">
        <v>272</v>
      </c>
      <c r="HR73" s="5" t="s">
        <v>238</v>
      </c>
      <c r="HS73" s="5" t="s">
        <v>238</v>
      </c>
      <c r="HT73" s="5" t="s">
        <v>238</v>
      </c>
      <c r="HU73" s="5" t="s">
        <v>238</v>
      </c>
      <c r="HV73" s="5" t="s">
        <v>238</v>
      </c>
      <c r="HW73" s="5" t="s">
        <v>238</v>
      </c>
      <c r="HX73" s="5" t="s">
        <v>238</v>
      </c>
      <c r="HY73" s="5" t="s">
        <v>238</v>
      </c>
      <c r="HZ73" s="5" t="s">
        <v>238</v>
      </c>
      <c r="IA73" s="5" t="s">
        <v>238</v>
      </c>
      <c r="IB73" s="5" t="s">
        <v>238</v>
      </c>
      <c r="IC73" s="5" t="s">
        <v>238</v>
      </c>
      <c r="ID73" s="5" t="s">
        <v>238</v>
      </c>
    </row>
    <row r="74" spans="1:238" x14ac:dyDescent="0.4">
      <c r="A74" s="5">
        <v>76</v>
      </c>
      <c r="B74" s="5">
        <v>1</v>
      </c>
      <c r="C74" s="5">
        <v>2</v>
      </c>
      <c r="D74" s="5" t="s">
        <v>3495</v>
      </c>
      <c r="E74" s="5" t="s">
        <v>751</v>
      </c>
      <c r="F74" s="5" t="s">
        <v>282</v>
      </c>
      <c r="G74" s="5" t="s">
        <v>752</v>
      </c>
      <c r="H74" s="6" t="s">
        <v>3496</v>
      </c>
      <c r="I74" s="5" t="s">
        <v>3494</v>
      </c>
      <c r="J74" s="7">
        <f>23</f>
        <v>23</v>
      </c>
      <c r="K74" s="5" t="s">
        <v>270</v>
      </c>
      <c r="L74" s="8">
        <f>1</f>
        <v>1</v>
      </c>
      <c r="M74" s="8">
        <f>1380000</f>
        <v>1380000</v>
      </c>
      <c r="N74" s="6" t="s">
        <v>906</v>
      </c>
      <c r="O74" s="5" t="s">
        <v>268</v>
      </c>
      <c r="P74" s="5" t="s">
        <v>909</v>
      </c>
      <c r="R74" s="8">
        <f>1379999</f>
        <v>1379999</v>
      </c>
      <c r="S74" s="5" t="s">
        <v>240</v>
      </c>
      <c r="T74" s="5" t="s">
        <v>237</v>
      </c>
      <c r="W74" s="5" t="s">
        <v>241</v>
      </c>
      <c r="X74" s="5" t="s">
        <v>750</v>
      </c>
      <c r="Y74" s="5" t="s">
        <v>238</v>
      </c>
      <c r="AB74" s="5" t="s">
        <v>238</v>
      </c>
      <c r="AC74" s="6" t="s">
        <v>238</v>
      </c>
      <c r="AD74" s="6" t="s">
        <v>238</v>
      </c>
      <c r="AF74" s="6" t="s">
        <v>238</v>
      </c>
      <c r="AG74" s="6" t="s">
        <v>246</v>
      </c>
      <c r="AH74" s="5" t="s">
        <v>247</v>
      </c>
      <c r="AI74" s="5" t="s">
        <v>248</v>
      </c>
      <c r="AT74" s="6" t="s">
        <v>238</v>
      </c>
      <c r="AW74" s="5" t="s">
        <v>304</v>
      </c>
      <c r="AX74" s="5" t="s">
        <v>304</v>
      </c>
      <c r="AY74" s="5" t="s">
        <v>250</v>
      </c>
      <c r="AZ74" s="5" t="s">
        <v>305</v>
      </c>
      <c r="BA74" s="5" t="s">
        <v>251</v>
      </c>
      <c r="BB74" s="5" t="s">
        <v>238</v>
      </c>
      <c r="BC74" s="5" t="s">
        <v>253</v>
      </c>
      <c r="BD74" s="5" t="s">
        <v>238</v>
      </c>
      <c r="BF74" s="5" t="s">
        <v>760</v>
      </c>
      <c r="BH74" s="5" t="s">
        <v>283</v>
      </c>
      <c r="BI74" s="6" t="s">
        <v>293</v>
      </c>
      <c r="BJ74" s="5" t="s">
        <v>255</v>
      </c>
      <c r="BK74" s="5" t="s">
        <v>256</v>
      </c>
      <c r="BL74" s="5" t="s">
        <v>238</v>
      </c>
      <c r="BM74" s="7">
        <f>0</f>
        <v>0</v>
      </c>
      <c r="BN74" s="8">
        <f>0</f>
        <v>0</v>
      </c>
      <c r="BO74" s="5" t="s">
        <v>257</v>
      </c>
      <c r="BP74" s="5" t="s">
        <v>258</v>
      </c>
      <c r="BQ74" s="5" t="s">
        <v>238</v>
      </c>
      <c r="BR74" s="5" t="s">
        <v>238</v>
      </c>
      <c r="BS74" s="5" t="s">
        <v>238</v>
      </c>
      <c r="BT74" s="5" t="s">
        <v>238</v>
      </c>
      <c r="CC74" s="5" t="s">
        <v>258</v>
      </c>
      <c r="CD74" s="5" t="s">
        <v>238</v>
      </c>
      <c r="CE74" s="5" t="s">
        <v>238</v>
      </c>
      <c r="CI74" s="5" t="s">
        <v>527</v>
      </c>
      <c r="CJ74" s="5" t="s">
        <v>260</v>
      </c>
      <c r="CK74" s="5" t="s">
        <v>238</v>
      </c>
      <c r="CM74" s="5" t="s">
        <v>908</v>
      </c>
      <c r="CN74" s="6" t="s">
        <v>262</v>
      </c>
      <c r="CO74" s="5" t="s">
        <v>263</v>
      </c>
      <c r="CP74" s="5" t="s">
        <v>264</v>
      </c>
      <c r="CQ74" s="5" t="s">
        <v>285</v>
      </c>
      <c r="CR74" s="5" t="s">
        <v>238</v>
      </c>
      <c r="CS74" s="5">
        <v>0</v>
      </c>
      <c r="CT74" s="5" t="s">
        <v>265</v>
      </c>
      <c r="CU74" s="5" t="s">
        <v>266</v>
      </c>
      <c r="CV74" s="5" t="s">
        <v>267</v>
      </c>
      <c r="CW74" s="7">
        <f>0</f>
        <v>0</v>
      </c>
      <c r="CX74" s="8">
        <f>1380000</f>
        <v>1380000</v>
      </c>
      <c r="CY74" s="8">
        <f>1</f>
        <v>1</v>
      </c>
      <c r="DA74" s="5" t="s">
        <v>238</v>
      </c>
      <c r="DB74" s="5" t="s">
        <v>238</v>
      </c>
      <c r="DD74" s="5" t="s">
        <v>238</v>
      </c>
      <c r="DE74" s="8">
        <f>0</f>
        <v>0</v>
      </c>
      <c r="DG74" s="5" t="s">
        <v>238</v>
      </c>
      <c r="DH74" s="5" t="s">
        <v>238</v>
      </c>
      <c r="DI74" s="5" t="s">
        <v>238</v>
      </c>
      <c r="DJ74" s="5" t="s">
        <v>238</v>
      </c>
      <c r="DK74" s="5" t="s">
        <v>271</v>
      </c>
      <c r="DL74" s="5" t="s">
        <v>272</v>
      </c>
      <c r="DM74" s="7">
        <f>23</f>
        <v>23</v>
      </c>
      <c r="DN74" s="5" t="s">
        <v>238</v>
      </c>
      <c r="DO74" s="5" t="s">
        <v>238</v>
      </c>
      <c r="DP74" s="5" t="s">
        <v>238</v>
      </c>
      <c r="DQ74" s="5" t="s">
        <v>238</v>
      </c>
      <c r="DT74" s="5" t="s">
        <v>3497</v>
      </c>
      <c r="DU74" s="5" t="s">
        <v>271</v>
      </c>
      <c r="HM74" s="5" t="s">
        <v>271</v>
      </c>
      <c r="HP74" s="5" t="s">
        <v>272</v>
      </c>
      <c r="HQ74" s="5" t="s">
        <v>272</v>
      </c>
      <c r="HR74" s="5" t="s">
        <v>238</v>
      </c>
      <c r="HS74" s="5" t="s">
        <v>238</v>
      </c>
      <c r="HT74" s="5" t="s">
        <v>238</v>
      </c>
      <c r="HU74" s="5" t="s">
        <v>238</v>
      </c>
      <c r="HV74" s="5" t="s">
        <v>238</v>
      </c>
      <c r="HW74" s="5" t="s">
        <v>238</v>
      </c>
      <c r="HX74" s="5" t="s">
        <v>238</v>
      </c>
      <c r="HY74" s="5" t="s">
        <v>238</v>
      </c>
      <c r="HZ74" s="5" t="s">
        <v>238</v>
      </c>
      <c r="IA74" s="5" t="s">
        <v>238</v>
      </c>
      <c r="IB74" s="5" t="s">
        <v>238</v>
      </c>
      <c r="IC74" s="5" t="s">
        <v>238</v>
      </c>
      <c r="ID74" s="5" t="s">
        <v>238</v>
      </c>
    </row>
    <row r="75" spans="1:238" x14ac:dyDescent="0.4">
      <c r="A75" s="5">
        <v>77</v>
      </c>
      <c r="B75" s="5">
        <v>1</v>
      </c>
      <c r="C75" s="5">
        <v>2</v>
      </c>
      <c r="D75" s="5" t="s">
        <v>3491</v>
      </c>
      <c r="E75" s="5" t="s">
        <v>751</v>
      </c>
      <c r="F75" s="5" t="s">
        <v>282</v>
      </c>
      <c r="G75" s="5" t="s">
        <v>752</v>
      </c>
      <c r="H75" s="6" t="s">
        <v>3492</v>
      </c>
      <c r="I75" s="5" t="s">
        <v>3490</v>
      </c>
      <c r="J75" s="7">
        <f>30</f>
        <v>30</v>
      </c>
      <c r="K75" s="5" t="s">
        <v>270</v>
      </c>
      <c r="L75" s="8">
        <f>1</f>
        <v>1</v>
      </c>
      <c r="M75" s="8">
        <f>1800000</f>
        <v>1800000</v>
      </c>
      <c r="N75" s="6" t="s">
        <v>906</v>
      </c>
      <c r="O75" s="5" t="s">
        <v>268</v>
      </c>
      <c r="P75" s="5" t="s">
        <v>909</v>
      </c>
      <c r="R75" s="8">
        <f>1799999</f>
        <v>1799999</v>
      </c>
      <c r="S75" s="5" t="s">
        <v>240</v>
      </c>
      <c r="T75" s="5" t="s">
        <v>237</v>
      </c>
      <c r="W75" s="5" t="s">
        <v>241</v>
      </c>
      <c r="X75" s="5" t="s">
        <v>750</v>
      </c>
      <c r="Y75" s="5" t="s">
        <v>238</v>
      </c>
      <c r="AB75" s="5" t="s">
        <v>238</v>
      </c>
      <c r="AC75" s="6" t="s">
        <v>238</v>
      </c>
      <c r="AD75" s="6" t="s">
        <v>238</v>
      </c>
      <c r="AF75" s="6" t="s">
        <v>238</v>
      </c>
      <c r="AG75" s="6" t="s">
        <v>246</v>
      </c>
      <c r="AH75" s="5" t="s">
        <v>247</v>
      </c>
      <c r="AI75" s="5" t="s">
        <v>248</v>
      </c>
      <c r="AT75" s="6" t="s">
        <v>238</v>
      </c>
      <c r="AW75" s="5" t="s">
        <v>304</v>
      </c>
      <c r="AX75" s="5" t="s">
        <v>304</v>
      </c>
      <c r="AY75" s="5" t="s">
        <v>250</v>
      </c>
      <c r="AZ75" s="5" t="s">
        <v>305</v>
      </c>
      <c r="BA75" s="5" t="s">
        <v>251</v>
      </c>
      <c r="BB75" s="5" t="s">
        <v>238</v>
      </c>
      <c r="BC75" s="5" t="s">
        <v>253</v>
      </c>
      <c r="BD75" s="5" t="s">
        <v>238</v>
      </c>
      <c r="BF75" s="5" t="s">
        <v>760</v>
      </c>
      <c r="BH75" s="5" t="s">
        <v>283</v>
      </c>
      <c r="BI75" s="6" t="s">
        <v>293</v>
      </c>
      <c r="BJ75" s="5" t="s">
        <v>255</v>
      </c>
      <c r="BK75" s="5" t="s">
        <v>256</v>
      </c>
      <c r="BL75" s="5" t="s">
        <v>238</v>
      </c>
      <c r="BM75" s="7">
        <f>0</f>
        <v>0</v>
      </c>
      <c r="BN75" s="8">
        <f>0</f>
        <v>0</v>
      </c>
      <c r="BO75" s="5" t="s">
        <v>257</v>
      </c>
      <c r="BP75" s="5" t="s">
        <v>258</v>
      </c>
      <c r="BQ75" s="5" t="s">
        <v>238</v>
      </c>
      <c r="BR75" s="5" t="s">
        <v>238</v>
      </c>
      <c r="BS75" s="5" t="s">
        <v>238</v>
      </c>
      <c r="BT75" s="5" t="s">
        <v>238</v>
      </c>
      <c r="CC75" s="5" t="s">
        <v>258</v>
      </c>
      <c r="CD75" s="5" t="s">
        <v>238</v>
      </c>
      <c r="CE75" s="5" t="s">
        <v>238</v>
      </c>
      <c r="CI75" s="5" t="s">
        <v>527</v>
      </c>
      <c r="CJ75" s="5" t="s">
        <v>260</v>
      </c>
      <c r="CK75" s="5" t="s">
        <v>238</v>
      </c>
      <c r="CM75" s="5" t="s">
        <v>908</v>
      </c>
      <c r="CN75" s="6" t="s">
        <v>262</v>
      </c>
      <c r="CO75" s="5" t="s">
        <v>263</v>
      </c>
      <c r="CP75" s="5" t="s">
        <v>264</v>
      </c>
      <c r="CQ75" s="5" t="s">
        <v>285</v>
      </c>
      <c r="CR75" s="5" t="s">
        <v>238</v>
      </c>
      <c r="CS75" s="5">
        <v>0</v>
      </c>
      <c r="CT75" s="5" t="s">
        <v>265</v>
      </c>
      <c r="CU75" s="5" t="s">
        <v>266</v>
      </c>
      <c r="CV75" s="5" t="s">
        <v>267</v>
      </c>
      <c r="CW75" s="7">
        <f>0</f>
        <v>0</v>
      </c>
      <c r="CX75" s="8">
        <f>1800000</f>
        <v>1800000</v>
      </c>
      <c r="CY75" s="8">
        <f>1</f>
        <v>1</v>
      </c>
      <c r="DA75" s="5" t="s">
        <v>238</v>
      </c>
      <c r="DB75" s="5" t="s">
        <v>238</v>
      </c>
      <c r="DD75" s="5" t="s">
        <v>238</v>
      </c>
      <c r="DE75" s="8">
        <f>0</f>
        <v>0</v>
      </c>
      <c r="DG75" s="5" t="s">
        <v>238</v>
      </c>
      <c r="DH75" s="5" t="s">
        <v>238</v>
      </c>
      <c r="DI75" s="5" t="s">
        <v>238</v>
      </c>
      <c r="DJ75" s="5" t="s">
        <v>238</v>
      </c>
      <c r="DK75" s="5" t="s">
        <v>271</v>
      </c>
      <c r="DL75" s="5" t="s">
        <v>272</v>
      </c>
      <c r="DM75" s="7">
        <f>30</f>
        <v>30</v>
      </c>
      <c r="DN75" s="5" t="s">
        <v>238</v>
      </c>
      <c r="DO75" s="5" t="s">
        <v>238</v>
      </c>
      <c r="DP75" s="5" t="s">
        <v>238</v>
      </c>
      <c r="DQ75" s="5" t="s">
        <v>238</v>
      </c>
      <c r="DT75" s="5" t="s">
        <v>3493</v>
      </c>
      <c r="DU75" s="5" t="s">
        <v>271</v>
      </c>
      <c r="HM75" s="5" t="s">
        <v>271</v>
      </c>
      <c r="HP75" s="5" t="s">
        <v>272</v>
      </c>
      <c r="HQ75" s="5" t="s">
        <v>272</v>
      </c>
      <c r="HR75" s="5" t="s">
        <v>238</v>
      </c>
      <c r="HS75" s="5" t="s">
        <v>238</v>
      </c>
      <c r="HT75" s="5" t="s">
        <v>238</v>
      </c>
      <c r="HU75" s="5" t="s">
        <v>238</v>
      </c>
      <c r="HV75" s="5" t="s">
        <v>238</v>
      </c>
      <c r="HW75" s="5" t="s">
        <v>238</v>
      </c>
      <c r="HX75" s="5" t="s">
        <v>238</v>
      </c>
      <c r="HY75" s="5" t="s">
        <v>238</v>
      </c>
      <c r="HZ75" s="5" t="s">
        <v>238</v>
      </c>
      <c r="IA75" s="5" t="s">
        <v>238</v>
      </c>
      <c r="IB75" s="5" t="s">
        <v>238</v>
      </c>
      <c r="IC75" s="5" t="s">
        <v>238</v>
      </c>
      <c r="ID75" s="5" t="s">
        <v>238</v>
      </c>
    </row>
    <row r="76" spans="1:238" x14ac:dyDescent="0.4">
      <c r="A76" s="5">
        <v>78</v>
      </c>
      <c r="B76" s="5">
        <v>1</v>
      </c>
      <c r="C76" s="5">
        <v>2</v>
      </c>
      <c r="D76" s="5" t="s">
        <v>3487</v>
      </c>
      <c r="E76" s="5" t="s">
        <v>751</v>
      </c>
      <c r="F76" s="5" t="s">
        <v>282</v>
      </c>
      <c r="G76" s="5" t="s">
        <v>752</v>
      </c>
      <c r="H76" s="6" t="s">
        <v>3488</v>
      </c>
      <c r="I76" s="5" t="s">
        <v>3486</v>
      </c>
      <c r="J76" s="7">
        <f>9</f>
        <v>9</v>
      </c>
      <c r="K76" s="5" t="s">
        <v>270</v>
      </c>
      <c r="L76" s="8">
        <f>1</f>
        <v>1</v>
      </c>
      <c r="M76" s="8">
        <f>540000</f>
        <v>540000</v>
      </c>
      <c r="N76" s="6" t="s">
        <v>906</v>
      </c>
      <c r="O76" s="5" t="s">
        <v>268</v>
      </c>
      <c r="P76" s="5" t="s">
        <v>909</v>
      </c>
      <c r="R76" s="8">
        <f>539999</f>
        <v>539999</v>
      </c>
      <c r="S76" s="5" t="s">
        <v>240</v>
      </c>
      <c r="T76" s="5" t="s">
        <v>237</v>
      </c>
      <c r="W76" s="5" t="s">
        <v>241</v>
      </c>
      <c r="X76" s="5" t="s">
        <v>750</v>
      </c>
      <c r="Y76" s="5" t="s">
        <v>238</v>
      </c>
      <c r="AB76" s="5" t="s">
        <v>238</v>
      </c>
      <c r="AC76" s="6" t="s">
        <v>238</v>
      </c>
      <c r="AD76" s="6" t="s">
        <v>238</v>
      </c>
      <c r="AF76" s="6" t="s">
        <v>238</v>
      </c>
      <c r="AG76" s="6" t="s">
        <v>246</v>
      </c>
      <c r="AH76" s="5" t="s">
        <v>247</v>
      </c>
      <c r="AI76" s="5" t="s">
        <v>248</v>
      </c>
      <c r="AT76" s="6" t="s">
        <v>238</v>
      </c>
      <c r="AW76" s="5" t="s">
        <v>304</v>
      </c>
      <c r="AX76" s="5" t="s">
        <v>304</v>
      </c>
      <c r="AY76" s="5" t="s">
        <v>250</v>
      </c>
      <c r="AZ76" s="5" t="s">
        <v>305</v>
      </c>
      <c r="BA76" s="5" t="s">
        <v>251</v>
      </c>
      <c r="BB76" s="5" t="s">
        <v>238</v>
      </c>
      <c r="BC76" s="5" t="s">
        <v>253</v>
      </c>
      <c r="BD76" s="5" t="s">
        <v>238</v>
      </c>
      <c r="BF76" s="5" t="s">
        <v>760</v>
      </c>
      <c r="BH76" s="5" t="s">
        <v>283</v>
      </c>
      <c r="BI76" s="6" t="s">
        <v>293</v>
      </c>
      <c r="BJ76" s="5" t="s">
        <v>255</v>
      </c>
      <c r="BK76" s="5" t="s">
        <v>256</v>
      </c>
      <c r="BL76" s="5" t="s">
        <v>238</v>
      </c>
      <c r="BM76" s="7">
        <f>0</f>
        <v>0</v>
      </c>
      <c r="BN76" s="8">
        <f>0</f>
        <v>0</v>
      </c>
      <c r="BO76" s="5" t="s">
        <v>257</v>
      </c>
      <c r="BP76" s="5" t="s">
        <v>258</v>
      </c>
      <c r="BQ76" s="5" t="s">
        <v>238</v>
      </c>
      <c r="BR76" s="5" t="s">
        <v>238</v>
      </c>
      <c r="BS76" s="5" t="s">
        <v>238</v>
      </c>
      <c r="BT76" s="5" t="s">
        <v>238</v>
      </c>
      <c r="CC76" s="5" t="s">
        <v>258</v>
      </c>
      <c r="CD76" s="5" t="s">
        <v>238</v>
      </c>
      <c r="CE76" s="5" t="s">
        <v>238</v>
      </c>
      <c r="CI76" s="5" t="s">
        <v>527</v>
      </c>
      <c r="CJ76" s="5" t="s">
        <v>260</v>
      </c>
      <c r="CK76" s="5" t="s">
        <v>238</v>
      </c>
      <c r="CM76" s="5" t="s">
        <v>908</v>
      </c>
      <c r="CN76" s="6" t="s">
        <v>262</v>
      </c>
      <c r="CO76" s="5" t="s">
        <v>263</v>
      </c>
      <c r="CP76" s="5" t="s">
        <v>264</v>
      </c>
      <c r="CQ76" s="5" t="s">
        <v>285</v>
      </c>
      <c r="CR76" s="5" t="s">
        <v>238</v>
      </c>
      <c r="CS76" s="5">
        <v>0</v>
      </c>
      <c r="CT76" s="5" t="s">
        <v>265</v>
      </c>
      <c r="CU76" s="5" t="s">
        <v>266</v>
      </c>
      <c r="CV76" s="5" t="s">
        <v>267</v>
      </c>
      <c r="CW76" s="7">
        <f>0</f>
        <v>0</v>
      </c>
      <c r="CX76" s="8">
        <f>540000</f>
        <v>540000</v>
      </c>
      <c r="CY76" s="8">
        <f>1</f>
        <v>1</v>
      </c>
      <c r="DA76" s="5" t="s">
        <v>238</v>
      </c>
      <c r="DB76" s="5" t="s">
        <v>238</v>
      </c>
      <c r="DD76" s="5" t="s">
        <v>238</v>
      </c>
      <c r="DE76" s="8">
        <f>0</f>
        <v>0</v>
      </c>
      <c r="DG76" s="5" t="s">
        <v>238</v>
      </c>
      <c r="DH76" s="5" t="s">
        <v>238</v>
      </c>
      <c r="DI76" s="5" t="s">
        <v>238</v>
      </c>
      <c r="DJ76" s="5" t="s">
        <v>238</v>
      </c>
      <c r="DK76" s="5" t="s">
        <v>271</v>
      </c>
      <c r="DL76" s="5" t="s">
        <v>272</v>
      </c>
      <c r="DM76" s="7">
        <f>9</f>
        <v>9</v>
      </c>
      <c r="DN76" s="5" t="s">
        <v>238</v>
      </c>
      <c r="DO76" s="5" t="s">
        <v>238</v>
      </c>
      <c r="DP76" s="5" t="s">
        <v>238</v>
      </c>
      <c r="DQ76" s="5" t="s">
        <v>238</v>
      </c>
      <c r="DT76" s="5" t="s">
        <v>3489</v>
      </c>
      <c r="DU76" s="5" t="s">
        <v>271</v>
      </c>
      <c r="HM76" s="5" t="s">
        <v>271</v>
      </c>
      <c r="HP76" s="5" t="s">
        <v>272</v>
      </c>
      <c r="HQ76" s="5" t="s">
        <v>272</v>
      </c>
      <c r="HR76" s="5" t="s">
        <v>238</v>
      </c>
      <c r="HS76" s="5" t="s">
        <v>238</v>
      </c>
      <c r="HT76" s="5" t="s">
        <v>238</v>
      </c>
      <c r="HU76" s="5" t="s">
        <v>238</v>
      </c>
      <c r="HV76" s="5" t="s">
        <v>238</v>
      </c>
      <c r="HW76" s="5" t="s">
        <v>238</v>
      </c>
      <c r="HX76" s="5" t="s">
        <v>238</v>
      </c>
      <c r="HY76" s="5" t="s">
        <v>238</v>
      </c>
      <c r="HZ76" s="5" t="s">
        <v>238</v>
      </c>
      <c r="IA76" s="5" t="s">
        <v>238</v>
      </c>
      <c r="IB76" s="5" t="s">
        <v>238</v>
      </c>
      <c r="IC76" s="5" t="s">
        <v>238</v>
      </c>
      <c r="ID76" s="5" t="s">
        <v>238</v>
      </c>
    </row>
    <row r="77" spans="1:238" x14ac:dyDescent="0.4">
      <c r="A77" s="5">
        <v>79</v>
      </c>
      <c r="B77" s="5">
        <v>1</v>
      </c>
      <c r="C77" s="5">
        <v>2</v>
      </c>
      <c r="D77" s="5" t="s">
        <v>3241</v>
      </c>
      <c r="E77" s="5" t="s">
        <v>751</v>
      </c>
      <c r="F77" s="5" t="s">
        <v>282</v>
      </c>
      <c r="G77" s="5" t="s">
        <v>752</v>
      </c>
      <c r="H77" s="6" t="s">
        <v>2002</v>
      </c>
      <c r="I77" s="5" t="s">
        <v>3484</v>
      </c>
      <c r="J77" s="7">
        <f>9</f>
        <v>9</v>
      </c>
      <c r="K77" s="5" t="s">
        <v>270</v>
      </c>
      <c r="L77" s="8">
        <f>1</f>
        <v>1</v>
      </c>
      <c r="M77" s="8">
        <f>540000</f>
        <v>540000</v>
      </c>
      <c r="N77" s="6" t="s">
        <v>906</v>
      </c>
      <c r="O77" s="5" t="s">
        <v>268</v>
      </c>
      <c r="P77" s="5" t="s">
        <v>909</v>
      </c>
      <c r="R77" s="8">
        <f>539999</f>
        <v>539999</v>
      </c>
      <c r="S77" s="5" t="s">
        <v>240</v>
      </c>
      <c r="T77" s="5" t="s">
        <v>237</v>
      </c>
      <c r="W77" s="5" t="s">
        <v>241</v>
      </c>
      <c r="X77" s="5" t="s">
        <v>750</v>
      </c>
      <c r="Y77" s="5" t="s">
        <v>238</v>
      </c>
      <c r="AB77" s="5" t="s">
        <v>238</v>
      </c>
      <c r="AC77" s="6" t="s">
        <v>238</v>
      </c>
      <c r="AD77" s="6" t="s">
        <v>238</v>
      </c>
      <c r="AF77" s="6" t="s">
        <v>238</v>
      </c>
      <c r="AG77" s="6" t="s">
        <v>246</v>
      </c>
      <c r="AH77" s="5" t="s">
        <v>247</v>
      </c>
      <c r="AI77" s="5" t="s">
        <v>248</v>
      </c>
      <c r="AT77" s="6" t="s">
        <v>238</v>
      </c>
      <c r="AW77" s="5" t="s">
        <v>304</v>
      </c>
      <c r="AX77" s="5" t="s">
        <v>304</v>
      </c>
      <c r="AY77" s="5" t="s">
        <v>250</v>
      </c>
      <c r="AZ77" s="5" t="s">
        <v>305</v>
      </c>
      <c r="BA77" s="5" t="s">
        <v>251</v>
      </c>
      <c r="BB77" s="5" t="s">
        <v>238</v>
      </c>
      <c r="BC77" s="5" t="s">
        <v>253</v>
      </c>
      <c r="BD77" s="5" t="s">
        <v>238</v>
      </c>
      <c r="BF77" s="5" t="s">
        <v>760</v>
      </c>
      <c r="BH77" s="5" t="s">
        <v>283</v>
      </c>
      <c r="BI77" s="6" t="s">
        <v>293</v>
      </c>
      <c r="BJ77" s="5" t="s">
        <v>255</v>
      </c>
      <c r="BK77" s="5" t="s">
        <v>256</v>
      </c>
      <c r="BL77" s="5" t="s">
        <v>238</v>
      </c>
      <c r="BM77" s="7">
        <f>0</f>
        <v>0</v>
      </c>
      <c r="BN77" s="8">
        <f>0</f>
        <v>0</v>
      </c>
      <c r="BO77" s="5" t="s">
        <v>257</v>
      </c>
      <c r="BP77" s="5" t="s">
        <v>258</v>
      </c>
      <c r="BQ77" s="5" t="s">
        <v>238</v>
      </c>
      <c r="BR77" s="5" t="s">
        <v>238</v>
      </c>
      <c r="BS77" s="5" t="s">
        <v>238</v>
      </c>
      <c r="BT77" s="5" t="s">
        <v>238</v>
      </c>
      <c r="CC77" s="5" t="s">
        <v>258</v>
      </c>
      <c r="CD77" s="5" t="s">
        <v>238</v>
      </c>
      <c r="CE77" s="5" t="s">
        <v>238</v>
      </c>
      <c r="CI77" s="5" t="s">
        <v>527</v>
      </c>
      <c r="CJ77" s="5" t="s">
        <v>260</v>
      </c>
      <c r="CK77" s="5" t="s">
        <v>238</v>
      </c>
      <c r="CM77" s="5" t="s">
        <v>908</v>
      </c>
      <c r="CN77" s="6" t="s">
        <v>262</v>
      </c>
      <c r="CO77" s="5" t="s">
        <v>263</v>
      </c>
      <c r="CP77" s="5" t="s">
        <v>264</v>
      </c>
      <c r="CQ77" s="5" t="s">
        <v>285</v>
      </c>
      <c r="CR77" s="5" t="s">
        <v>238</v>
      </c>
      <c r="CS77" s="5">
        <v>0</v>
      </c>
      <c r="CT77" s="5" t="s">
        <v>265</v>
      </c>
      <c r="CU77" s="5" t="s">
        <v>266</v>
      </c>
      <c r="CV77" s="5" t="s">
        <v>267</v>
      </c>
      <c r="CW77" s="7">
        <f>0</f>
        <v>0</v>
      </c>
      <c r="CX77" s="8">
        <f>540000</f>
        <v>540000</v>
      </c>
      <c r="CY77" s="8">
        <f>1</f>
        <v>1</v>
      </c>
      <c r="DA77" s="5" t="s">
        <v>238</v>
      </c>
      <c r="DB77" s="5" t="s">
        <v>238</v>
      </c>
      <c r="DD77" s="5" t="s">
        <v>238</v>
      </c>
      <c r="DE77" s="8">
        <f>0</f>
        <v>0</v>
      </c>
      <c r="DG77" s="5" t="s">
        <v>238</v>
      </c>
      <c r="DH77" s="5" t="s">
        <v>238</v>
      </c>
      <c r="DI77" s="5" t="s">
        <v>238</v>
      </c>
      <c r="DJ77" s="5" t="s">
        <v>238</v>
      </c>
      <c r="DK77" s="5" t="s">
        <v>271</v>
      </c>
      <c r="DL77" s="5" t="s">
        <v>272</v>
      </c>
      <c r="DM77" s="7">
        <f>9</f>
        <v>9</v>
      </c>
      <c r="DN77" s="5" t="s">
        <v>238</v>
      </c>
      <c r="DO77" s="5" t="s">
        <v>238</v>
      </c>
      <c r="DP77" s="5" t="s">
        <v>238</v>
      </c>
      <c r="DQ77" s="5" t="s">
        <v>238</v>
      </c>
      <c r="DT77" s="5" t="s">
        <v>3485</v>
      </c>
      <c r="DU77" s="5" t="s">
        <v>271</v>
      </c>
      <c r="HM77" s="5" t="s">
        <v>271</v>
      </c>
      <c r="HP77" s="5" t="s">
        <v>272</v>
      </c>
      <c r="HQ77" s="5" t="s">
        <v>272</v>
      </c>
      <c r="HR77" s="5" t="s">
        <v>238</v>
      </c>
      <c r="HS77" s="5" t="s">
        <v>238</v>
      </c>
      <c r="HT77" s="5" t="s">
        <v>238</v>
      </c>
      <c r="HU77" s="5" t="s">
        <v>238</v>
      </c>
      <c r="HV77" s="5" t="s">
        <v>238</v>
      </c>
      <c r="HW77" s="5" t="s">
        <v>238</v>
      </c>
      <c r="HX77" s="5" t="s">
        <v>238</v>
      </c>
      <c r="HY77" s="5" t="s">
        <v>238</v>
      </c>
      <c r="HZ77" s="5" t="s">
        <v>238</v>
      </c>
      <c r="IA77" s="5" t="s">
        <v>238</v>
      </c>
      <c r="IB77" s="5" t="s">
        <v>238</v>
      </c>
      <c r="IC77" s="5" t="s">
        <v>238</v>
      </c>
      <c r="ID77" s="5" t="s">
        <v>238</v>
      </c>
    </row>
    <row r="78" spans="1:238" x14ac:dyDescent="0.4">
      <c r="A78" s="5">
        <v>80</v>
      </c>
      <c r="B78" s="5">
        <v>1</v>
      </c>
      <c r="C78" s="5">
        <v>2</v>
      </c>
      <c r="D78" s="5" t="s">
        <v>3481</v>
      </c>
      <c r="E78" s="5" t="s">
        <v>751</v>
      </c>
      <c r="F78" s="5" t="s">
        <v>282</v>
      </c>
      <c r="G78" s="5" t="s">
        <v>752</v>
      </c>
      <c r="H78" s="6" t="s">
        <v>3482</v>
      </c>
      <c r="I78" s="5" t="s">
        <v>3480</v>
      </c>
      <c r="J78" s="7">
        <f>82.8</f>
        <v>82.8</v>
      </c>
      <c r="K78" s="5" t="s">
        <v>270</v>
      </c>
      <c r="L78" s="8">
        <f>1</f>
        <v>1</v>
      </c>
      <c r="M78" s="8">
        <f>4968000</f>
        <v>4968000</v>
      </c>
      <c r="N78" s="6" t="s">
        <v>906</v>
      </c>
      <c r="O78" s="5" t="s">
        <v>268</v>
      </c>
      <c r="P78" s="5" t="s">
        <v>909</v>
      </c>
      <c r="R78" s="8">
        <f>4967999</f>
        <v>4967999</v>
      </c>
      <c r="S78" s="5" t="s">
        <v>240</v>
      </c>
      <c r="T78" s="5" t="s">
        <v>237</v>
      </c>
      <c r="W78" s="5" t="s">
        <v>241</v>
      </c>
      <c r="X78" s="5" t="s">
        <v>750</v>
      </c>
      <c r="Y78" s="5" t="s">
        <v>238</v>
      </c>
      <c r="AB78" s="5" t="s">
        <v>238</v>
      </c>
      <c r="AC78" s="6" t="s">
        <v>238</v>
      </c>
      <c r="AD78" s="6" t="s">
        <v>238</v>
      </c>
      <c r="AF78" s="6" t="s">
        <v>238</v>
      </c>
      <c r="AG78" s="6" t="s">
        <v>246</v>
      </c>
      <c r="AH78" s="5" t="s">
        <v>247</v>
      </c>
      <c r="AI78" s="5" t="s">
        <v>248</v>
      </c>
      <c r="AT78" s="6" t="s">
        <v>238</v>
      </c>
      <c r="AW78" s="5" t="s">
        <v>304</v>
      </c>
      <c r="AX78" s="5" t="s">
        <v>304</v>
      </c>
      <c r="AY78" s="5" t="s">
        <v>250</v>
      </c>
      <c r="AZ78" s="5" t="s">
        <v>305</v>
      </c>
      <c r="BA78" s="5" t="s">
        <v>251</v>
      </c>
      <c r="BB78" s="5" t="s">
        <v>238</v>
      </c>
      <c r="BC78" s="5" t="s">
        <v>253</v>
      </c>
      <c r="BD78" s="5" t="s">
        <v>238</v>
      </c>
      <c r="BF78" s="5" t="s">
        <v>760</v>
      </c>
      <c r="BH78" s="5" t="s">
        <v>283</v>
      </c>
      <c r="BI78" s="6" t="s">
        <v>293</v>
      </c>
      <c r="BJ78" s="5" t="s">
        <v>255</v>
      </c>
      <c r="BK78" s="5" t="s">
        <v>256</v>
      </c>
      <c r="BL78" s="5" t="s">
        <v>238</v>
      </c>
      <c r="BM78" s="7">
        <f>0</f>
        <v>0</v>
      </c>
      <c r="BN78" s="8">
        <f>0</f>
        <v>0</v>
      </c>
      <c r="BO78" s="5" t="s">
        <v>257</v>
      </c>
      <c r="BP78" s="5" t="s">
        <v>258</v>
      </c>
      <c r="BQ78" s="5" t="s">
        <v>238</v>
      </c>
      <c r="BR78" s="5" t="s">
        <v>238</v>
      </c>
      <c r="BS78" s="5" t="s">
        <v>238</v>
      </c>
      <c r="BT78" s="5" t="s">
        <v>238</v>
      </c>
      <c r="CC78" s="5" t="s">
        <v>258</v>
      </c>
      <c r="CD78" s="5" t="s">
        <v>238</v>
      </c>
      <c r="CE78" s="5" t="s">
        <v>238</v>
      </c>
      <c r="CI78" s="5" t="s">
        <v>527</v>
      </c>
      <c r="CJ78" s="5" t="s">
        <v>260</v>
      </c>
      <c r="CK78" s="5" t="s">
        <v>238</v>
      </c>
      <c r="CM78" s="5" t="s">
        <v>908</v>
      </c>
      <c r="CN78" s="6" t="s">
        <v>262</v>
      </c>
      <c r="CO78" s="5" t="s">
        <v>263</v>
      </c>
      <c r="CP78" s="5" t="s">
        <v>264</v>
      </c>
      <c r="CQ78" s="5" t="s">
        <v>285</v>
      </c>
      <c r="CR78" s="5" t="s">
        <v>238</v>
      </c>
      <c r="CS78" s="5">
        <v>0</v>
      </c>
      <c r="CT78" s="5" t="s">
        <v>265</v>
      </c>
      <c r="CU78" s="5" t="s">
        <v>266</v>
      </c>
      <c r="CV78" s="5" t="s">
        <v>267</v>
      </c>
      <c r="CW78" s="7">
        <f>0</f>
        <v>0</v>
      </c>
      <c r="CX78" s="8">
        <f>4968000</f>
        <v>4968000</v>
      </c>
      <c r="CY78" s="8">
        <f>1</f>
        <v>1</v>
      </c>
      <c r="DA78" s="5" t="s">
        <v>238</v>
      </c>
      <c r="DB78" s="5" t="s">
        <v>238</v>
      </c>
      <c r="DD78" s="5" t="s">
        <v>238</v>
      </c>
      <c r="DE78" s="8">
        <f>0</f>
        <v>0</v>
      </c>
      <c r="DG78" s="5" t="s">
        <v>238</v>
      </c>
      <c r="DH78" s="5" t="s">
        <v>238</v>
      </c>
      <c r="DI78" s="5" t="s">
        <v>238</v>
      </c>
      <c r="DJ78" s="5" t="s">
        <v>238</v>
      </c>
      <c r="DK78" s="5" t="s">
        <v>274</v>
      </c>
      <c r="DL78" s="5" t="s">
        <v>272</v>
      </c>
      <c r="DM78" s="7">
        <f>82.8</f>
        <v>82.8</v>
      </c>
      <c r="DN78" s="5" t="s">
        <v>238</v>
      </c>
      <c r="DO78" s="5" t="s">
        <v>238</v>
      </c>
      <c r="DP78" s="5" t="s">
        <v>238</v>
      </c>
      <c r="DQ78" s="5" t="s">
        <v>238</v>
      </c>
      <c r="DT78" s="5" t="s">
        <v>3483</v>
      </c>
      <c r="DU78" s="5" t="s">
        <v>271</v>
      </c>
      <c r="HM78" s="5" t="s">
        <v>271</v>
      </c>
      <c r="HP78" s="5" t="s">
        <v>272</v>
      </c>
      <c r="HQ78" s="5" t="s">
        <v>272</v>
      </c>
      <c r="HR78" s="5" t="s">
        <v>238</v>
      </c>
      <c r="HS78" s="5" t="s">
        <v>238</v>
      </c>
      <c r="HT78" s="5" t="s">
        <v>238</v>
      </c>
      <c r="HU78" s="5" t="s">
        <v>238</v>
      </c>
      <c r="HV78" s="5" t="s">
        <v>238</v>
      </c>
      <c r="HW78" s="5" t="s">
        <v>238</v>
      </c>
      <c r="HX78" s="5" t="s">
        <v>238</v>
      </c>
      <c r="HY78" s="5" t="s">
        <v>238</v>
      </c>
      <c r="HZ78" s="5" t="s">
        <v>238</v>
      </c>
      <c r="IA78" s="5" t="s">
        <v>238</v>
      </c>
      <c r="IB78" s="5" t="s">
        <v>238</v>
      </c>
      <c r="IC78" s="5" t="s">
        <v>238</v>
      </c>
      <c r="ID78" s="5" t="s">
        <v>238</v>
      </c>
    </row>
    <row r="79" spans="1:238" x14ac:dyDescent="0.4">
      <c r="A79" s="5">
        <v>81</v>
      </c>
      <c r="B79" s="5">
        <v>1</v>
      </c>
      <c r="C79" s="5">
        <v>2</v>
      </c>
      <c r="D79" s="5" t="s">
        <v>3477</v>
      </c>
      <c r="E79" s="5" t="s">
        <v>751</v>
      </c>
      <c r="F79" s="5" t="s">
        <v>282</v>
      </c>
      <c r="G79" s="5" t="s">
        <v>752</v>
      </c>
      <c r="H79" s="6" t="s">
        <v>3478</v>
      </c>
      <c r="I79" s="5" t="s">
        <v>3476</v>
      </c>
      <c r="J79" s="7">
        <f>33.12</f>
        <v>33.119999999999997</v>
      </c>
      <c r="K79" s="5" t="s">
        <v>270</v>
      </c>
      <c r="L79" s="8">
        <f>1</f>
        <v>1</v>
      </c>
      <c r="M79" s="8">
        <f>1987200</f>
        <v>1987200</v>
      </c>
      <c r="N79" s="6" t="s">
        <v>906</v>
      </c>
      <c r="O79" s="5" t="s">
        <v>268</v>
      </c>
      <c r="P79" s="5" t="s">
        <v>909</v>
      </c>
      <c r="R79" s="8">
        <f>1987199</f>
        <v>1987199</v>
      </c>
      <c r="S79" s="5" t="s">
        <v>240</v>
      </c>
      <c r="T79" s="5" t="s">
        <v>237</v>
      </c>
      <c r="W79" s="5" t="s">
        <v>241</v>
      </c>
      <c r="X79" s="5" t="s">
        <v>750</v>
      </c>
      <c r="Y79" s="5" t="s">
        <v>238</v>
      </c>
      <c r="AB79" s="5" t="s">
        <v>238</v>
      </c>
      <c r="AC79" s="6" t="s">
        <v>238</v>
      </c>
      <c r="AD79" s="6" t="s">
        <v>238</v>
      </c>
      <c r="AF79" s="6" t="s">
        <v>238</v>
      </c>
      <c r="AG79" s="6" t="s">
        <v>246</v>
      </c>
      <c r="AH79" s="5" t="s">
        <v>247</v>
      </c>
      <c r="AI79" s="5" t="s">
        <v>248</v>
      </c>
      <c r="AT79" s="6" t="s">
        <v>238</v>
      </c>
      <c r="AW79" s="5" t="s">
        <v>304</v>
      </c>
      <c r="AX79" s="5" t="s">
        <v>304</v>
      </c>
      <c r="AY79" s="5" t="s">
        <v>250</v>
      </c>
      <c r="AZ79" s="5" t="s">
        <v>305</v>
      </c>
      <c r="BA79" s="5" t="s">
        <v>251</v>
      </c>
      <c r="BB79" s="5" t="s">
        <v>238</v>
      </c>
      <c r="BC79" s="5" t="s">
        <v>253</v>
      </c>
      <c r="BD79" s="5" t="s">
        <v>238</v>
      </c>
      <c r="BF79" s="5" t="s">
        <v>760</v>
      </c>
      <c r="BH79" s="5" t="s">
        <v>283</v>
      </c>
      <c r="BI79" s="6" t="s">
        <v>293</v>
      </c>
      <c r="BJ79" s="5" t="s">
        <v>255</v>
      </c>
      <c r="BK79" s="5" t="s">
        <v>256</v>
      </c>
      <c r="BL79" s="5" t="s">
        <v>238</v>
      </c>
      <c r="BM79" s="7">
        <f>0</f>
        <v>0</v>
      </c>
      <c r="BN79" s="8">
        <f>0</f>
        <v>0</v>
      </c>
      <c r="BO79" s="5" t="s">
        <v>257</v>
      </c>
      <c r="BP79" s="5" t="s">
        <v>258</v>
      </c>
      <c r="BQ79" s="5" t="s">
        <v>238</v>
      </c>
      <c r="BR79" s="5" t="s">
        <v>238</v>
      </c>
      <c r="BS79" s="5" t="s">
        <v>238</v>
      </c>
      <c r="BT79" s="5" t="s">
        <v>238</v>
      </c>
      <c r="CC79" s="5" t="s">
        <v>258</v>
      </c>
      <c r="CD79" s="5" t="s">
        <v>238</v>
      </c>
      <c r="CE79" s="5" t="s">
        <v>238</v>
      </c>
      <c r="CI79" s="5" t="s">
        <v>527</v>
      </c>
      <c r="CJ79" s="5" t="s">
        <v>260</v>
      </c>
      <c r="CK79" s="5" t="s">
        <v>238</v>
      </c>
      <c r="CM79" s="5" t="s">
        <v>908</v>
      </c>
      <c r="CN79" s="6" t="s">
        <v>262</v>
      </c>
      <c r="CO79" s="5" t="s">
        <v>263</v>
      </c>
      <c r="CP79" s="5" t="s">
        <v>264</v>
      </c>
      <c r="CQ79" s="5" t="s">
        <v>285</v>
      </c>
      <c r="CR79" s="5" t="s">
        <v>238</v>
      </c>
      <c r="CS79" s="5">
        <v>0</v>
      </c>
      <c r="CT79" s="5" t="s">
        <v>265</v>
      </c>
      <c r="CU79" s="5" t="s">
        <v>266</v>
      </c>
      <c r="CV79" s="5" t="s">
        <v>267</v>
      </c>
      <c r="CW79" s="7">
        <f>0</f>
        <v>0</v>
      </c>
      <c r="CX79" s="8">
        <f>1987200</f>
        <v>1987200</v>
      </c>
      <c r="CY79" s="8">
        <f>1</f>
        <v>1</v>
      </c>
      <c r="DA79" s="5" t="s">
        <v>238</v>
      </c>
      <c r="DB79" s="5" t="s">
        <v>238</v>
      </c>
      <c r="DD79" s="5" t="s">
        <v>238</v>
      </c>
      <c r="DE79" s="8">
        <f>0</f>
        <v>0</v>
      </c>
      <c r="DG79" s="5" t="s">
        <v>238</v>
      </c>
      <c r="DH79" s="5" t="s">
        <v>238</v>
      </c>
      <c r="DI79" s="5" t="s">
        <v>238</v>
      </c>
      <c r="DJ79" s="5" t="s">
        <v>238</v>
      </c>
      <c r="DK79" s="5" t="s">
        <v>271</v>
      </c>
      <c r="DL79" s="5" t="s">
        <v>272</v>
      </c>
      <c r="DM79" s="7">
        <f>33.12</f>
        <v>33.119999999999997</v>
      </c>
      <c r="DN79" s="5" t="s">
        <v>238</v>
      </c>
      <c r="DO79" s="5" t="s">
        <v>238</v>
      </c>
      <c r="DP79" s="5" t="s">
        <v>238</v>
      </c>
      <c r="DQ79" s="5" t="s">
        <v>238</v>
      </c>
      <c r="DT79" s="5" t="s">
        <v>3479</v>
      </c>
      <c r="DU79" s="5" t="s">
        <v>271</v>
      </c>
      <c r="HM79" s="5" t="s">
        <v>271</v>
      </c>
      <c r="HP79" s="5" t="s">
        <v>272</v>
      </c>
      <c r="HQ79" s="5" t="s">
        <v>272</v>
      </c>
      <c r="HR79" s="5" t="s">
        <v>238</v>
      </c>
      <c r="HS79" s="5" t="s">
        <v>238</v>
      </c>
      <c r="HT79" s="5" t="s">
        <v>238</v>
      </c>
      <c r="HU79" s="5" t="s">
        <v>238</v>
      </c>
      <c r="HV79" s="5" t="s">
        <v>238</v>
      </c>
      <c r="HW79" s="5" t="s">
        <v>238</v>
      </c>
      <c r="HX79" s="5" t="s">
        <v>238</v>
      </c>
      <c r="HY79" s="5" t="s">
        <v>238</v>
      </c>
      <c r="HZ79" s="5" t="s">
        <v>238</v>
      </c>
      <c r="IA79" s="5" t="s">
        <v>238</v>
      </c>
      <c r="IB79" s="5" t="s">
        <v>238</v>
      </c>
      <c r="IC79" s="5" t="s">
        <v>238</v>
      </c>
      <c r="ID79" s="5" t="s">
        <v>238</v>
      </c>
    </row>
    <row r="80" spans="1:238" x14ac:dyDescent="0.4">
      <c r="A80" s="5">
        <v>82</v>
      </c>
      <c r="B80" s="5">
        <v>1</v>
      </c>
      <c r="C80" s="5">
        <v>2</v>
      </c>
      <c r="D80" s="5" t="s">
        <v>3473</v>
      </c>
      <c r="E80" s="5" t="s">
        <v>751</v>
      </c>
      <c r="F80" s="5" t="s">
        <v>282</v>
      </c>
      <c r="G80" s="5" t="s">
        <v>752</v>
      </c>
      <c r="H80" s="6" t="s">
        <v>3474</v>
      </c>
      <c r="I80" s="5" t="s">
        <v>3472</v>
      </c>
      <c r="J80" s="7">
        <f>23</f>
        <v>23</v>
      </c>
      <c r="K80" s="5" t="s">
        <v>270</v>
      </c>
      <c r="L80" s="8">
        <f>1</f>
        <v>1</v>
      </c>
      <c r="M80" s="8">
        <f>1380000</f>
        <v>1380000</v>
      </c>
      <c r="N80" s="6" t="s">
        <v>906</v>
      </c>
      <c r="O80" s="5" t="s">
        <v>268</v>
      </c>
      <c r="P80" s="5" t="s">
        <v>909</v>
      </c>
      <c r="R80" s="8">
        <f>1379999</f>
        <v>1379999</v>
      </c>
      <c r="S80" s="5" t="s">
        <v>240</v>
      </c>
      <c r="T80" s="5" t="s">
        <v>237</v>
      </c>
      <c r="W80" s="5" t="s">
        <v>241</v>
      </c>
      <c r="X80" s="5" t="s">
        <v>750</v>
      </c>
      <c r="Y80" s="5" t="s">
        <v>238</v>
      </c>
      <c r="AB80" s="5" t="s">
        <v>238</v>
      </c>
      <c r="AC80" s="6" t="s">
        <v>238</v>
      </c>
      <c r="AD80" s="6" t="s">
        <v>238</v>
      </c>
      <c r="AF80" s="6" t="s">
        <v>238</v>
      </c>
      <c r="AG80" s="6" t="s">
        <v>246</v>
      </c>
      <c r="AH80" s="5" t="s">
        <v>247</v>
      </c>
      <c r="AI80" s="5" t="s">
        <v>248</v>
      </c>
      <c r="AT80" s="6" t="s">
        <v>238</v>
      </c>
      <c r="AW80" s="5" t="s">
        <v>304</v>
      </c>
      <c r="AX80" s="5" t="s">
        <v>304</v>
      </c>
      <c r="AY80" s="5" t="s">
        <v>250</v>
      </c>
      <c r="AZ80" s="5" t="s">
        <v>305</v>
      </c>
      <c r="BA80" s="5" t="s">
        <v>251</v>
      </c>
      <c r="BB80" s="5" t="s">
        <v>238</v>
      </c>
      <c r="BC80" s="5" t="s">
        <v>253</v>
      </c>
      <c r="BD80" s="5" t="s">
        <v>238</v>
      </c>
      <c r="BF80" s="5" t="s">
        <v>760</v>
      </c>
      <c r="BH80" s="5" t="s">
        <v>283</v>
      </c>
      <c r="BI80" s="6" t="s">
        <v>293</v>
      </c>
      <c r="BJ80" s="5" t="s">
        <v>255</v>
      </c>
      <c r="BK80" s="5" t="s">
        <v>256</v>
      </c>
      <c r="BL80" s="5" t="s">
        <v>238</v>
      </c>
      <c r="BM80" s="7">
        <f>0</f>
        <v>0</v>
      </c>
      <c r="BN80" s="8">
        <f>0</f>
        <v>0</v>
      </c>
      <c r="BO80" s="5" t="s">
        <v>257</v>
      </c>
      <c r="BP80" s="5" t="s">
        <v>258</v>
      </c>
      <c r="BQ80" s="5" t="s">
        <v>238</v>
      </c>
      <c r="BR80" s="5" t="s">
        <v>238</v>
      </c>
      <c r="BS80" s="5" t="s">
        <v>238</v>
      </c>
      <c r="BT80" s="5" t="s">
        <v>238</v>
      </c>
      <c r="CC80" s="5" t="s">
        <v>258</v>
      </c>
      <c r="CD80" s="5" t="s">
        <v>238</v>
      </c>
      <c r="CE80" s="5" t="s">
        <v>238</v>
      </c>
      <c r="CI80" s="5" t="s">
        <v>527</v>
      </c>
      <c r="CJ80" s="5" t="s">
        <v>260</v>
      </c>
      <c r="CK80" s="5" t="s">
        <v>238</v>
      </c>
      <c r="CM80" s="5" t="s">
        <v>908</v>
      </c>
      <c r="CN80" s="6" t="s">
        <v>262</v>
      </c>
      <c r="CO80" s="5" t="s">
        <v>263</v>
      </c>
      <c r="CP80" s="5" t="s">
        <v>264</v>
      </c>
      <c r="CQ80" s="5" t="s">
        <v>285</v>
      </c>
      <c r="CR80" s="5" t="s">
        <v>238</v>
      </c>
      <c r="CS80" s="5">
        <v>0</v>
      </c>
      <c r="CT80" s="5" t="s">
        <v>265</v>
      </c>
      <c r="CU80" s="5" t="s">
        <v>266</v>
      </c>
      <c r="CV80" s="5" t="s">
        <v>267</v>
      </c>
      <c r="CW80" s="7">
        <f>0</f>
        <v>0</v>
      </c>
      <c r="CX80" s="8">
        <f>1380000</f>
        <v>1380000</v>
      </c>
      <c r="CY80" s="8">
        <f>1</f>
        <v>1</v>
      </c>
      <c r="DA80" s="5" t="s">
        <v>238</v>
      </c>
      <c r="DB80" s="5" t="s">
        <v>238</v>
      </c>
      <c r="DD80" s="5" t="s">
        <v>238</v>
      </c>
      <c r="DE80" s="8">
        <f>0</f>
        <v>0</v>
      </c>
      <c r="DG80" s="5" t="s">
        <v>238</v>
      </c>
      <c r="DH80" s="5" t="s">
        <v>238</v>
      </c>
      <c r="DI80" s="5" t="s">
        <v>238</v>
      </c>
      <c r="DJ80" s="5" t="s">
        <v>238</v>
      </c>
      <c r="DK80" s="5" t="s">
        <v>271</v>
      </c>
      <c r="DL80" s="5" t="s">
        <v>272</v>
      </c>
      <c r="DM80" s="7">
        <f>23</f>
        <v>23</v>
      </c>
      <c r="DN80" s="5" t="s">
        <v>238</v>
      </c>
      <c r="DO80" s="5" t="s">
        <v>238</v>
      </c>
      <c r="DP80" s="5" t="s">
        <v>238</v>
      </c>
      <c r="DQ80" s="5" t="s">
        <v>238</v>
      </c>
      <c r="DT80" s="5" t="s">
        <v>3475</v>
      </c>
      <c r="DU80" s="5" t="s">
        <v>271</v>
      </c>
      <c r="HM80" s="5" t="s">
        <v>271</v>
      </c>
      <c r="HP80" s="5" t="s">
        <v>272</v>
      </c>
      <c r="HQ80" s="5" t="s">
        <v>272</v>
      </c>
      <c r="HR80" s="5" t="s">
        <v>238</v>
      </c>
      <c r="HS80" s="5" t="s">
        <v>238</v>
      </c>
      <c r="HT80" s="5" t="s">
        <v>238</v>
      </c>
      <c r="HU80" s="5" t="s">
        <v>238</v>
      </c>
      <c r="HV80" s="5" t="s">
        <v>238</v>
      </c>
      <c r="HW80" s="5" t="s">
        <v>238</v>
      </c>
      <c r="HX80" s="5" t="s">
        <v>238</v>
      </c>
      <c r="HY80" s="5" t="s">
        <v>238</v>
      </c>
      <c r="HZ80" s="5" t="s">
        <v>238</v>
      </c>
      <c r="IA80" s="5" t="s">
        <v>238</v>
      </c>
      <c r="IB80" s="5" t="s">
        <v>238</v>
      </c>
      <c r="IC80" s="5" t="s">
        <v>238</v>
      </c>
      <c r="ID80" s="5" t="s">
        <v>238</v>
      </c>
    </row>
    <row r="81" spans="1:238" x14ac:dyDescent="0.4">
      <c r="A81" s="5">
        <v>83</v>
      </c>
      <c r="B81" s="5">
        <v>1</v>
      </c>
      <c r="C81" s="5">
        <v>3</v>
      </c>
      <c r="D81" s="5" t="s">
        <v>4089</v>
      </c>
      <c r="E81" s="5" t="s">
        <v>751</v>
      </c>
      <c r="F81" s="5" t="s">
        <v>282</v>
      </c>
      <c r="G81" s="5" t="s">
        <v>752</v>
      </c>
      <c r="H81" s="6" t="s">
        <v>4090</v>
      </c>
      <c r="I81" s="5" t="s">
        <v>4088</v>
      </c>
      <c r="J81" s="7">
        <f>23.38</f>
        <v>23.38</v>
      </c>
      <c r="K81" s="5" t="s">
        <v>270</v>
      </c>
      <c r="L81" s="8">
        <f>1</f>
        <v>1</v>
      </c>
      <c r="M81" s="8">
        <f>1402800</f>
        <v>1402800</v>
      </c>
      <c r="N81" s="6" t="s">
        <v>906</v>
      </c>
      <c r="O81" s="5" t="s">
        <v>651</v>
      </c>
      <c r="P81" s="5" t="s">
        <v>909</v>
      </c>
      <c r="Q81" s="8" t="s">
        <v>238</v>
      </c>
      <c r="R81" s="8">
        <f>1402799</f>
        <v>1402799</v>
      </c>
      <c r="S81" s="5" t="s">
        <v>240</v>
      </c>
      <c r="T81" s="5" t="s">
        <v>237</v>
      </c>
      <c r="W81" s="5" t="s">
        <v>241</v>
      </c>
      <c r="X81" s="5" t="s">
        <v>750</v>
      </c>
      <c r="Y81" s="5" t="s">
        <v>238</v>
      </c>
      <c r="AB81" s="5" t="s">
        <v>238</v>
      </c>
      <c r="AC81" s="6" t="s">
        <v>238</v>
      </c>
      <c r="AD81" s="6" t="s">
        <v>238</v>
      </c>
      <c r="AE81" s="5" t="s">
        <v>238</v>
      </c>
      <c r="AF81" s="6" t="s">
        <v>238</v>
      </c>
      <c r="AG81" s="6" t="s">
        <v>246</v>
      </c>
      <c r="AH81" s="5" t="s">
        <v>247</v>
      </c>
      <c r="AI81" s="5" t="s">
        <v>248</v>
      </c>
      <c r="AO81" s="5" t="s">
        <v>238</v>
      </c>
      <c r="AP81" s="5" t="s">
        <v>238</v>
      </c>
      <c r="AQ81" s="5" t="s">
        <v>238</v>
      </c>
      <c r="AR81" s="6" t="s">
        <v>238</v>
      </c>
      <c r="AS81" s="6" t="s">
        <v>238</v>
      </c>
      <c r="AT81" s="6" t="s">
        <v>238</v>
      </c>
      <c r="AW81" s="5" t="s">
        <v>304</v>
      </c>
      <c r="AX81" s="5" t="s">
        <v>304</v>
      </c>
      <c r="AY81" s="5" t="s">
        <v>250</v>
      </c>
      <c r="AZ81" s="5" t="s">
        <v>305</v>
      </c>
      <c r="BA81" s="5" t="s">
        <v>251</v>
      </c>
      <c r="BB81" s="5" t="s">
        <v>238</v>
      </c>
      <c r="BC81" s="5" t="s">
        <v>253</v>
      </c>
      <c r="BD81" s="5" t="s">
        <v>3170</v>
      </c>
      <c r="BF81" s="5" t="s">
        <v>760</v>
      </c>
      <c r="BH81" s="5" t="s">
        <v>283</v>
      </c>
      <c r="BI81" s="6" t="s">
        <v>293</v>
      </c>
      <c r="BJ81" s="5" t="s">
        <v>255</v>
      </c>
      <c r="BK81" s="5" t="s">
        <v>870</v>
      </c>
      <c r="BL81" s="5" t="s">
        <v>238</v>
      </c>
      <c r="BM81" s="7">
        <f>0</f>
        <v>0</v>
      </c>
      <c r="BN81" s="8">
        <f>0</f>
        <v>0</v>
      </c>
      <c r="BO81" s="5" t="s">
        <v>257</v>
      </c>
      <c r="BP81" s="5" t="s">
        <v>258</v>
      </c>
      <c r="BQ81" s="5" t="s">
        <v>238</v>
      </c>
      <c r="BR81" s="5" t="s">
        <v>238</v>
      </c>
      <c r="BS81" s="5" t="s">
        <v>238</v>
      </c>
      <c r="BT81" s="5" t="s">
        <v>238</v>
      </c>
      <c r="BY81" s="6" t="s">
        <v>238</v>
      </c>
      <c r="BZ81" s="5" t="s">
        <v>238</v>
      </c>
      <c r="CA81" s="5" t="s">
        <v>238</v>
      </c>
      <c r="CB81" s="5" t="s">
        <v>238</v>
      </c>
      <c r="CC81" s="5" t="s">
        <v>258</v>
      </c>
      <c r="CD81" s="5" t="s">
        <v>238</v>
      </c>
      <c r="CE81" s="5" t="s">
        <v>238</v>
      </c>
      <c r="CI81" s="5" t="s">
        <v>527</v>
      </c>
      <c r="CJ81" s="5" t="s">
        <v>260</v>
      </c>
      <c r="CK81" s="5" t="s">
        <v>272</v>
      </c>
      <c r="CM81" s="5" t="s">
        <v>908</v>
      </c>
      <c r="CN81" s="6" t="s">
        <v>262</v>
      </c>
      <c r="CO81" s="5" t="s">
        <v>263</v>
      </c>
      <c r="CP81" s="5" t="s">
        <v>264</v>
      </c>
      <c r="CQ81" s="5" t="s">
        <v>285</v>
      </c>
      <c r="CR81" s="5" t="s">
        <v>238</v>
      </c>
      <c r="CS81" s="5">
        <v>0</v>
      </c>
      <c r="CT81" s="5" t="s">
        <v>265</v>
      </c>
      <c r="CU81" s="5" t="s">
        <v>266</v>
      </c>
      <c r="CV81" s="5" t="s">
        <v>331</v>
      </c>
      <c r="CW81" s="7">
        <f>0</f>
        <v>0</v>
      </c>
      <c r="CX81" s="8">
        <f>1402800</f>
        <v>1402800</v>
      </c>
      <c r="CY81" s="8">
        <f>1</f>
        <v>1</v>
      </c>
      <c r="CZ81" s="8" t="s">
        <v>238</v>
      </c>
      <c r="DA81" s="5" t="s">
        <v>238</v>
      </c>
      <c r="DB81" s="5" t="s">
        <v>238</v>
      </c>
      <c r="DD81" s="5" t="s">
        <v>238</v>
      </c>
      <c r="DE81" s="8">
        <f>0</f>
        <v>0</v>
      </c>
      <c r="DF81" s="6" t="s">
        <v>238</v>
      </c>
      <c r="DG81" s="5" t="s">
        <v>238</v>
      </c>
      <c r="DH81" s="5" t="s">
        <v>238</v>
      </c>
      <c r="DI81" s="5" t="s">
        <v>238</v>
      </c>
      <c r="DJ81" s="5" t="s">
        <v>238</v>
      </c>
      <c r="DK81" s="5" t="s">
        <v>271</v>
      </c>
      <c r="DL81" s="5" t="s">
        <v>272</v>
      </c>
      <c r="DM81" s="7">
        <f>23.38</f>
        <v>23.38</v>
      </c>
      <c r="DN81" s="5" t="s">
        <v>238</v>
      </c>
      <c r="DO81" s="5" t="s">
        <v>247</v>
      </c>
      <c r="DP81" s="5" t="s">
        <v>3170</v>
      </c>
      <c r="DQ81" s="5" t="s">
        <v>3170</v>
      </c>
      <c r="DR81" s="5" t="s">
        <v>238</v>
      </c>
      <c r="DS81" s="5" t="s">
        <v>238</v>
      </c>
      <c r="DT81" s="5" t="s">
        <v>4091</v>
      </c>
      <c r="DU81" s="5" t="s">
        <v>271</v>
      </c>
      <c r="HP81" s="5" t="s">
        <v>272</v>
      </c>
      <c r="HQ81" s="5" t="s">
        <v>272</v>
      </c>
      <c r="HR81" s="5" t="s">
        <v>238</v>
      </c>
      <c r="HS81" s="5" t="s">
        <v>238</v>
      </c>
      <c r="HT81" s="5" t="s">
        <v>238</v>
      </c>
      <c r="HU81" s="5" t="s">
        <v>238</v>
      </c>
      <c r="HV81" s="5" t="s">
        <v>238</v>
      </c>
      <c r="HW81" s="5" t="s">
        <v>238</v>
      </c>
      <c r="HX81" s="5" t="s">
        <v>238</v>
      </c>
      <c r="HY81" s="5" t="s">
        <v>238</v>
      </c>
      <c r="HZ81" s="5" t="s">
        <v>238</v>
      </c>
      <c r="IA81" s="5" t="s">
        <v>238</v>
      </c>
      <c r="IB81" s="5" t="s">
        <v>238</v>
      </c>
      <c r="IC81" s="5" t="s">
        <v>238</v>
      </c>
      <c r="ID81" s="5" t="s">
        <v>238</v>
      </c>
    </row>
    <row r="82" spans="1:238" x14ac:dyDescent="0.4">
      <c r="A82" s="5">
        <v>84</v>
      </c>
      <c r="B82" s="5">
        <v>1</v>
      </c>
      <c r="C82" s="5">
        <v>2</v>
      </c>
      <c r="D82" s="5" t="s">
        <v>3388</v>
      </c>
      <c r="E82" s="5" t="s">
        <v>751</v>
      </c>
      <c r="F82" s="5" t="s">
        <v>282</v>
      </c>
      <c r="G82" s="5" t="s">
        <v>752</v>
      </c>
      <c r="H82" s="6" t="s">
        <v>3389</v>
      </c>
      <c r="I82" s="5" t="s">
        <v>3387</v>
      </c>
      <c r="J82" s="7">
        <f>23.38</f>
        <v>23.38</v>
      </c>
      <c r="K82" s="5" t="s">
        <v>270</v>
      </c>
      <c r="L82" s="8">
        <f>1</f>
        <v>1</v>
      </c>
      <c r="M82" s="8">
        <f>1402800</f>
        <v>1402800</v>
      </c>
      <c r="N82" s="6" t="s">
        <v>906</v>
      </c>
      <c r="O82" s="5" t="s">
        <v>651</v>
      </c>
      <c r="P82" s="5" t="s">
        <v>909</v>
      </c>
      <c r="R82" s="8">
        <f>1402799</f>
        <v>1402799</v>
      </c>
      <c r="S82" s="5" t="s">
        <v>240</v>
      </c>
      <c r="T82" s="5" t="s">
        <v>237</v>
      </c>
      <c r="W82" s="5" t="s">
        <v>241</v>
      </c>
      <c r="X82" s="5" t="s">
        <v>750</v>
      </c>
      <c r="Y82" s="5" t="s">
        <v>238</v>
      </c>
      <c r="AB82" s="5" t="s">
        <v>238</v>
      </c>
      <c r="AC82" s="6" t="s">
        <v>238</v>
      </c>
      <c r="AD82" s="6" t="s">
        <v>238</v>
      </c>
      <c r="AF82" s="6" t="s">
        <v>238</v>
      </c>
      <c r="AG82" s="6" t="s">
        <v>246</v>
      </c>
      <c r="AH82" s="5" t="s">
        <v>247</v>
      </c>
      <c r="AI82" s="5" t="s">
        <v>248</v>
      </c>
      <c r="AT82" s="6" t="s">
        <v>238</v>
      </c>
      <c r="AW82" s="5" t="s">
        <v>304</v>
      </c>
      <c r="AX82" s="5" t="s">
        <v>304</v>
      </c>
      <c r="AY82" s="5" t="s">
        <v>250</v>
      </c>
      <c r="AZ82" s="5" t="s">
        <v>305</v>
      </c>
      <c r="BA82" s="5" t="s">
        <v>251</v>
      </c>
      <c r="BB82" s="5" t="s">
        <v>238</v>
      </c>
      <c r="BC82" s="5" t="s">
        <v>253</v>
      </c>
      <c r="BD82" s="5" t="s">
        <v>238</v>
      </c>
      <c r="BF82" s="5" t="s">
        <v>760</v>
      </c>
      <c r="BH82" s="5" t="s">
        <v>283</v>
      </c>
      <c r="BI82" s="6" t="s">
        <v>293</v>
      </c>
      <c r="BJ82" s="5" t="s">
        <v>255</v>
      </c>
      <c r="BK82" s="5" t="s">
        <v>256</v>
      </c>
      <c r="BL82" s="5" t="s">
        <v>238</v>
      </c>
      <c r="BM82" s="7">
        <f>0</f>
        <v>0</v>
      </c>
      <c r="BN82" s="8">
        <f>0</f>
        <v>0</v>
      </c>
      <c r="BO82" s="5" t="s">
        <v>257</v>
      </c>
      <c r="BP82" s="5" t="s">
        <v>258</v>
      </c>
      <c r="BQ82" s="5" t="s">
        <v>238</v>
      </c>
      <c r="BR82" s="5" t="s">
        <v>238</v>
      </c>
      <c r="BS82" s="5" t="s">
        <v>238</v>
      </c>
      <c r="BT82" s="5" t="s">
        <v>238</v>
      </c>
      <c r="CC82" s="5" t="s">
        <v>258</v>
      </c>
      <c r="CD82" s="5" t="s">
        <v>238</v>
      </c>
      <c r="CE82" s="5" t="s">
        <v>238</v>
      </c>
      <c r="CI82" s="5" t="s">
        <v>527</v>
      </c>
      <c r="CJ82" s="5" t="s">
        <v>260</v>
      </c>
      <c r="CK82" s="5" t="s">
        <v>238</v>
      </c>
      <c r="CM82" s="5" t="s">
        <v>908</v>
      </c>
      <c r="CN82" s="6" t="s">
        <v>262</v>
      </c>
      <c r="CO82" s="5" t="s">
        <v>263</v>
      </c>
      <c r="CP82" s="5" t="s">
        <v>264</v>
      </c>
      <c r="CQ82" s="5" t="s">
        <v>285</v>
      </c>
      <c r="CR82" s="5" t="s">
        <v>238</v>
      </c>
      <c r="CS82" s="5">
        <v>0</v>
      </c>
      <c r="CT82" s="5" t="s">
        <v>265</v>
      </c>
      <c r="CU82" s="5" t="s">
        <v>266</v>
      </c>
      <c r="CV82" s="5" t="s">
        <v>331</v>
      </c>
      <c r="CW82" s="7">
        <f>0</f>
        <v>0</v>
      </c>
      <c r="CX82" s="8">
        <f>1402800</f>
        <v>1402800</v>
      </c>
      <c r="CY82" s="8">
        <f>1</f>
        <v>1</v>
      </c>
      <c r="DA82" s="5" t="s">
        <v>238</v>
      </c>
      <c r="DB82" s="5" t="s">
        <v>238</v>
      </c>
      <c r="DD82" s="5" t="s">
        <v>238</v>
      </c>
      <c r="DE82" s="8">
        <f>0</f>
        <v>0</v>
      </c>
      <c r="DG82" s="5" t="s">
        <v>238</v>
      </c>
      <c r="DH82" s="5" t="s">
        <v>238</v>
      </c>
      <c r="DI82" s="5" t="s">
        <v>238</v>
      </c>
      <c r="DJ82" s="5" t="s">
        <v>238</v>
      </c>
      <c r="DK82" s="5" t="s">
        <v>271</v>
      </c>
      <c r="DL82" s="5" t="s">
        <v>272</v>
      </c>
      <c r="DM82" s="7">
        <f>23.38</f>
        <v>23.38</v>
      </c>
      <c r="DN82" s="5" t="s">
        <v>238</v>
      </c>
      <c r="DO82" s="5" t="s">
        <v>238</v>
      </c>
      <c r="DP82" s="5" t="s">
        <v>238</v>
      </c>
      <c r="DQ82" s="5" t="s">
        <v>238</v>
      </c>
      <c r="DT82" s="5" t="s">
        <v>3390</v>
      </c>
      <c r="DU82" s="5" t="s">
        <v>271</v>
      </c>
      <c r="HM82" s="5" t="s">
        <v>271</v>
      </c>
      <c r="HP82" s="5" t="s">
        <v>272</v>
      </c>
      <c r="HQ82" s="5" t="s">
        <v>272</v>
      </c>
      <c r="HR82" s="5" t="s">
        <v>238</v>
      </c>
      <c r="HS82" s="5" t="s">
        <v>238</v>
      </c>
      <c r="HT82" s="5" t="s">
        <v>238</v>
      </c>
      <c r="HU82" s="5" t="s">
        <v>238</v>
      </c>
      <c r="HV82" s="5" t="s">
        <v>238</v>
      </c>
      <c r="HW82" s="5" t="s">
        <v>238</v>
      </c>
      <c r="HX82" s="5" t="s">
        <v>238</v>
      </c>
      <c r="HY82" s="5" t="s">
        <v>238</v>
      </c>
      <c r="HZ82" s="5" t="s">
        <v>238</v>
      </c>
      <c r="IA82" s="5" t="s">
        <v>238</v>
      </c>
      <c r="IB82" s="5" t="s">
        <v>238</v>
      </c>
      <c r="IC82" s="5" t="s">
        <v>238</v>
      </c>
      <c r="ID82" s="5" t="s">
        <v>238</v>
      </c>
    </row>
    <row r="83" spans="1:238" x14ac:dyDescent="0.4">
      <c r="A83" s="5">
        <v>85</v>
      </c>
      <c r="B83" s="5">
        <v>1</v>
      </c>
      <c r="C83" s="5">
        <v>2</v>
      </c>
      <c r="D83" s="5" t="s">
        <v>3466</v>
      </c>
      <c r="E83" s="5" t="s">
        <v>751</v>
      </c>
      <c r="F83" s="5" t="s">
        <v>282</v>
      </c>
      <c r="G83" s="5" t="s">
        <v>752</v>
      </c>
      <c r="H83" s="6" t="s">
        <v>3467</v>
      </c>
      <c r="I83" s="5" t="s">
        <v>3465</v>
      </c>
      <c r="J83" s="7">
        <f>23.38</f>
        <v>23.38</v>
      </c>
      <c r="K83" s="5" t="s">
        <v>270</v>
      </c>
      <c r="L83" s="8">
        <f>1</f>
        <v>1</v>
      </c>
      <c r="M83" s="8">
        <f>1402800</f>
        <v>1402800</v>
      </c>
      <c r="N83" s="6" t="s">
        <v>906</v>
      </c>
      <c r="O83" s="5" t="s">
        <v>651</v>
      </c>
      <c r="P83" s="5" t="s">
        <v>909</v>
      </c>
      <c r="R83" s="8">
        <f>1402799</f>
        <v>1402799</v>
      </c>
      <c r="S83" s="5" t="s">
        <v>240</v>
      </c>
      <c r="T83" s="5" t="s">
        <v>237</v>
      </c>
      <c r="W83" s="5" t="s">
        <v>241</v>
      </c>
      <c r="X83" s="5" t="s">
        <v>750</v>
      </c>
      <c r="Y83" s="5" t="s">
        <v>238</v>
      </c>
      <c r="AB83" s="5" t="s">
        <v>238</v>
      </c>
      <c r="AC83" s="6" t="s">
        <v>238</v>
      </c>
      <c r="AD83" s="6" t="s">
        <v>238</v>
      </c>
      <c r="AF83" s="6" t="s">
        <v>238</v>
      </c>
      <c r="AG83" s="6" t="s">
        <v>246</v>
      </c>
      <c r="AH83" s="5" t="s">
        <v>247</v>
      </c>
      <c r="AI83" s="5" t="s">
        <v>248</v>
      </c>
      <c r="AT83" s="6" t="s">
        <v>238</v>
      </c>
      <c r="AW83" s="5" t="s">
        <v>304</v>
      </c>
      <c r="AX83" s="5" t="s">
        <v>304</v>
      </c>
      <c r="AY83" s="5" t="s">
        <v>250</v>
      </c>
      <c r="AZ83" s="5" t="s">
        <v>305</v>
      </c>
      <c r="BA83" s="5" t="s">
        <v>251</v>
      </c>
      <c r="BB83" s="5" t="s">
        <v>238</v>
      </c>
      <c r="BC83" s="5" t="s">
        <v>253</v>
      </c>
      <c r="BD83" s="5" t="s">
        <v>238</v>
      </c>
      <c r="BF83" s="5" t="s">
        <v>760</v>
      </c>
      <c r="BH83" s="5" t="s">
        <v>283</v>
      </c>
      <c r="BI83" s="6" t="s">
        <v>293</v>
      </c>
      <c r="BJ83" s="5" t="s">
        <v>255</v>
      </c>
      <c r="BK83" s="5" t="s">
        <v>256</v>
      </c>
      <c r="BL83" s="5" t="s">
        <v>238</v>
      </c>
      <c r="BM83" s="7">
        <f>0</f>
        <v>0</v>
      </c>
      <c r="BN83" s="8">
        <f>0</f>
        <v>0</v>
      </c>
      <c r="BO83" s="5" t="s">
        <v>257</v>
      </c>
      <c r="BP83" s="5" t="s">
        <v>258</v>
      </c>
      <c r="BQ83" s="5" t="s">
        <v>238</v>
      </c>
      <c r="BR83" s="5" t="s">
        <v>238</v>
      </c>
      <c r="BS83" s="5" t="s">
        <v>238</v>
      </c>
      <c r="BT83" s="5" t="s">
        <v>238</v>
      </c>
      <c r="CC83" s="5" t="s">
        <v>258</v>
      </c>
      <c r="CD83" s="5" t="s">
        <v>238</v>
      </c>
      <c r="CE83" s="5" t="s">
        <v>238</v>
      </c>
      <c r="CI83" s="5" t="s">
        <v>527</v>
      </c>
      <c r="CJ83" s="5" t="s">
        <v>260</v>
      </c>
      <c r="CK83" s="5" t="s">
        <v>238</v>
      </c>
      <c r="CM83" s="5" t="s">
        <v>908</v>
      </c>
      <c r="CN83" s="6" t="s">
        <v>262</v>
      </c>
      <c r="CO83" s="5" t="s">
        <v>263</v>
      </c>
      <c r="CP83" s="5" t="s">
        <v>264</v>
      </c>
      <c r="CQ83" s="5" t="s">
        <v>285</v>
      </c>
      <c r="CR83" s="5" t="s">
        <v>238</v>
      </c>
      <c r="CS83" s="5">
        <v>0</v>
      </c>
      <c r="CT83" s="5" t="s">
        <v>265</v>
      </c>
      <c r="CU83" s="5" t="s">
        <v>266</v>
      </c>
      <c r="CV83" s="5" t="s">
        <v>331</v>
      </c>
      <c r="CW83" s="7">
        <f>0</f>
        <v>0</v>
      </c>
      <c r="CX83" s="8">
        <f>1402800</f>
        <v>1402800</v>
      </c>
      <c r="CY83" s="8">
        <f>1</f>
        <v>1</v>
      </c>
      <c r="DA83" s="5" t="s">
        <v>238</v>
      </c>
      <c r="DB83" s="5" t="s">
        <v>238</v>
      </c>
      <c r="DD83" s="5" t="s">
        <v>238</v>
      </c>
      <c r="DE83" s="8">
        <f>0</f>
        <v>0</v>
      </c>
      <c r="DG83" s="5" t="s">
        <v>238</v>
      </c>
      <c r="DH83" s="5" t="s">
        <v>238</v>
      </c>
      <c r="DI83" s="5" t="s">
        <v>238</v>
      </c>
      <c r="DJ83" s="5" t="s">
        <v>238</v>
      </c>
      <c r="DK83" s="5" t="s">
        <v>271</v>
      </c>
      <c r="DL83" s="5" t="s">
        <v>272</v>
      </c>
      <c r="DM83" s="7">
        <f>23.38</f>
        <v>23.38</v>
      </c>
      <c r="DN83" s="5" t="s">
        <v>238</v>
      </c>
      <c r="DO83" s="5" t="s">
        <v>238</v>
      </c>
      <c r="DP83" s="5" t="s">
        <v>238</v>
      </c>
      <c r="DQ83" s="5" t="s">
        <v>238</v>
      </c>
      <c r="DT83" s="5" t="s">
        <v>3468</v>
      </c>
      <c r="DU83" s="5" t="s">
        <v>271</v>
      </c>
      <c r="HM83" s="5" t="s">
        <v>271</v>
      </c>
      <c r="HP83" s="5" t="s">
        <v>272</v>
      </c>
      <c r="HQ83" s="5" t="s">
        <v>272</v>
      </c>
      <c r="HR83" s="5" t="s">
        <v>238</v>
      </c>
      <c r="HS83" s="5" t="s">
        <v>238</v>
      </c>
      <c r="HT83" s="5" t="s">
        <v>238</v>
      </c>
      <c r="HU83" s="5" t="s">
        <v>238</v>
      </c>
      <c r="HV83" s="5" t="s">
        <v>238</v>
      </c>
      <c r="HW83" s="5" t="s">
        <v>238</v>
      </c>
      <c r="HX83" s="5" t="s">
        <v>238</v>
      </c>
      <c r="HY83" s="5" t="s">
        <v>238</v>
      </c>
      <c r="HZ83" s="5" t="s">
        <v>238</v>
      </c>
      <c r="IA83" s="5" t="s">
        <v>238</v>
      </c>
      <c r="IB83" s="5" t="s">
        <v>238</v>
      </c>
      <c r="IC83" s="5" t="s">
        <v>238</v>
      </c>
      <c r="ID83" s="5" t="s">
        <v>238</v>
      </c>
    </row>
    <row r="84" spans="1:238" x14ac:dyDescent="0.4">
      <c r="A84" s="5">
        <v>86</v>
      </c>
      <c r="B84" s="5">
        <v>1</v>
      </c>
      <c r="C84" s="5">
        <v>3</v>
      </c>
      <c r="D84" s="5" t="s">
        <v>4085</v>
      </c>
      <c r="E84" s="5" t="s">
        <v>751</v>
      </c>
      <c r="F84" s="5" t="s">
        <v>282</v>
      </c>
      <c r="G84" s="5" t="s">
        <v>752</v>
      </c>
      <c r="H84" s="6" t="s">
        <v>4086</v>
      </c>
      <c r="I84" s="5" t="s">
        <v>4084</v>
      </c>
      <c r="J84" s="7">
        <f>23.19</f>
        <v>23.19</v>
      </c>
      <c r="K84" s="5" t="s">
        <v>270</v>
      </c>
      <c r="L84" s="8">
        <f>1</f>
        <v>1</v>
      </c>
      <c r="M84" s="8">
        <f>1391400</f>
        <v>1391400</v>
      </c>
      <c r="N84" s="6" t="s">
        <v>906</v>
      </c>
      <c r="O84" s="5" t="s">
        <v>268</v>
      </c>
      <c r="P84" s="5" t="s">
        <v>909</v>
      </c>
      <c r="Q84" s="8" t="s">
        <v>238</v>
      </c>
      <c r="R84" s="8">
        <f>1391399</f>
        <v>1391399</v>
      </c>
      <c r="S84" s="5" t="s">
        <v>240</v>
      </c>
      <c r="T84" s="5" t="s">
        <v>237</v>
      </c>
      <c r="W84" s="5" t="s">
        <v>241</v>
      </c>
      <c r="X84" s="5" t="s">
        <v>750</v>
      </c>
      <c r="Y84" s="5" t="s">
        <v>238</v>
      </c>
      <c r="AB84" s="5" t="s">
        <v>238</v>
      </c>
      <c r="AC84" s="6" t="s">
        <v>238</v>
      </c>
      <c r="AD84" s="6" t="s">
        <v>238</v>
      </c>
      <c r="AE84" s="5" t="s">
        <v>238</v>
      </c>
      <c r="AF84" s="6" t="s">
        <v>238</v>
      </c>
      <c r="AG84" s="6" t="s">
        <v>246</v>
      </c>
      <c r="AH84" s="5" t="s">
        <v>247</v>
      </c>
      <c r="AI84" s="5" t="s">
        <v>248</v>
      </c>
      <c r="AO84" s="5" t="s">
        <v>238</v>
      </c>
      <c r="AP84" s="5" t="s">
        <v>238</v>
      </c>
      <c r="AQ84" s="5" t="s">
        <v>238</v>
      </c>
      <c r="AR84" s="6" t="s">
        <v>238</v>
      </c>
      <c r="AS84" s="6" t="s">
        <v>238</v>
      </c>
      <c r="AT84" s="6" t="s">
        <v>238</v>
      </c>
      <c r="AW84" s="5" t="s">
        <v>304</v>
      </c>
      <c r="AX84" s="5" t="s">
        <v>304</v>
      </c>
      <c r="AY84" s="5" t="s">
        <v>250</v>
      </c>
      <c r="AZ84" s="5" t="s">
        <v>305</v>
      </c>
      <c r="BA84" s="5" t="s">
        <v>251</v>
      </c>
      <c r="BB84" s="5" t="s">
        <v>238</v>
      </c>
      <c r="BC84" s="5" t="s">
        <v>253</v>
      </c>
      <c r="BD84" s="5" t="s">
        <v>3170</v>
      </c>
      <c r="BF84" s="5" t="s">
        <v>760</v>
      </c>
      <c r="BH84" s="5" t="s">
        <v>283</v>
      </c>
      <c r="BI84" s="6" t="s">
        <v>293</v>
      </c>
      <c r="BJ84" s="5" t="s">
        <v>255</v>
      </c>
      <c r="BK84" s="5" t="s">
        <v>870</v>
      </c>
      <c r="BL84" s="5" t="s">
        <v>238</v>
      </c>
      <c r="BM84" s="7">
        <f>0</f>
        <v>0</v>
      </c>
      <c r="BN84" s="8">
        <f>0</f>
        <v>0</v>
      </c>
      <c r="BO84" s="5" t="s">
        <v>257</v>
      </c>
      <c r="BP84" s="5" t="s">
        <v>258</v>
      </c>
      <c r="BQ84" s="5" t="s">
        <v>238</v>
      </c>
      <c r="BR84" s="5" t="s">
        <v>238</v>
      </c>
      <c r="BS84" s="5" t="s">
        <v>238</v>
      </c>
      <c r="BT84" s="5" t="s">
        <v>238</v>
      </c>
      <c r="BY84" s="6" t="s">
        <v>238</v>
      </c>
      <c r="BZ84" s="5" t="s">
        <v>238</v>
      </c>
      <c r="CA84" s="5" t="s">
        <v>238</v>
      </c>
      <c r="CB84" s="5" t="s">
        <v>238</v>
      </c>
      <c r="CC84" s="5" t="s">
        <v>258</v>
      </c>
      <c r="CD84" s="5" t="s">
        <v>238</v>
      </c>
      <c r="CE84" s="5" t="s">
        <v>238</v>
      </c>
      <c r="CI84" s="5" t="s">
        <v>527</v>
      </c>
      <c r="CJ84" s="5" t="s">
        <v>260</v>
      </c>
      <c r="CK84" s="5" t="s">
        <v>272</v>
      </c>
      <c r="CM84" s="5" t="s">
        <v>908</v>
      </c>
      <c r="CN84" s="6" t="s">
        <v>262</v>
      </c>
      <c r="CO84" s="5" t="s">
        <v>263</v>
      </c>
      <c r="CP84" s="5" t="s">
        <v>264</v>
      </c>
      <c r="CQ84" s="5" t="s">
        <v>285</v>
      </c>
      <c r="CR84" s="5" t="s">
        <v>238</v>
      </c>
      <c r="CS84" s="5">
        <v>0</v>
      </c>
      <c r="CT84" s="5" t="s">
        <v>265</v>
      </c>
      <c r="CU84" s="5" t="s">
        <v>266</v>
      </c>
      <c r="CV84" s="5" t="s">
        <v>267</v>
      </c>
      <c r="CW84" s="7">
        <f>0</f>
        <v>0</v>
      </c>
      <c r="CX84" s="8">
        <f>1391400</f>
        <v>1391400</v>
      </c>
      <c r="CY84" s="8">
        <f>1</f>
        <v>1</v>
      </c>
      <c r="CZ84" s="8" t="s">
        <v>238</v>
      </c>
      <c r="DA84" s="5" t="s">
        <v>238</v>
      </c>
      <c r="DB84" s="5" t="s">
        <v>238</v>
      </c>
      <c r="DD84" s="5" t="s">
        <v>238</v>
      </c>
      <c r="DE84" s="8">
        <f>0</f>
        <v>0</v>
      </c>
      <c r="DF84" s="6" t="s">
        <v>238</v>
      </c>
      <c r="DG84" s="5" t="s">
        <v>238</v>
      </c>
      <c r="DH84" s="5" t="s">
        <v>238</v>
      </c>
      <c r="DI84" s="5" t="s">
        <v>238</v>
      </c>
      <c r="DJ84" s="5" t="s">
        <v>238</v>
      </c>
      <c r="DK84" s="5" t="s">
        <v>271</v>
      </c>
      <c r="DL84" s="5" t="s">
        <v>272</v>
      </c>
      <c r="DM84" s="7">
        <f>23.19</f>
        <v>23.19</v>
      </c>
      <c r="DN84" s="5" t="s">
        <v>238</v>
      </c>
      <c r="DO84" s="5" t="s">
        <v>247</v>
      </c>
      <c r="DP84" s="5" t="s">
        <v>3170</v>
      </c>
      <c r="DQ84" s="5" t="s">
        <v>3170</v>
      </c>
      <c r="DR84" s="5" t="s">
        <v>238</v>
      </c>
      <c r="DS84" s="5" t="s">
        <v>238</v>
      </c>
      <c r="DT84" s="5" t="s">
        <v>4087</v>
      </c>
      <c r="DU84" s="5" t="s">
        <v>271</v>
      </c>
      <c r="HP84" s="5" t="s">
        <v>272</v>
      </c>
      <c r="HQ84" s="5" t="s">
        <v>272</v>
      </c>
      <c r="HR84" s="5" t="s">
        <v>238</v>
      </c>
      <c r="HS84" s="5" t="s">
        <v>238</v>
      </c>
      <c r="HT84" s="5" t="s">
        <v>238</v>
      </c>
      <c r="HU84" s="5" t="s">
        <v>238</v>
      </c>
      <c r="HV84" s="5" t="s">
        <v>238</v>
      </c>
      <c r="HW84" s="5" t="s">
        <v>238</v>
      </c>
      <c r="HX84" s="5" t="s">
        <v>238</v>
      </c>
      <c r="HY84" s="5" t="s">
        <v>238</v>
      </c>
      <c r="HZ84" s="5" t="s">
        <v>238</v>
      </c>
      <c r="IA84" s="5" t="s">
        <v>238</v>
      </c>
      <c r="IB84" s="5" t="s">
        <v>238</v>
      </c>
      <c r="IC84" s="5" t="s">
        <v>238</v>
      </c>
      <c r="ID84" s="5" t="s">
        <v>238</v>
      </c>
    </row>
    <row r="85" spans="1:238" x14ac:dyDescent="0.4">
      <c r="A85" s="5">
        <v>87</v>
      </c>
      <c r="B85" s="5">
        <v>1</v>
      </c>
      <c r="C85" s="5">
        <v>2</v>
      </c>
      <c r="D85" s="5" t="s">
        <v>3462</v>
      </c>
      <c r="E85" s="5" t="s">
        <v>751</v>
      </c>
      <c r="F85" s="5" t="s">
        <v>282</v>
      </c>
      <c r="G85" s="5" t="s">
        <v>752</v>
      </c>
      <c r="H85" s="6" t="s">
        <v>3463</v>
      </c>
      <c r="I85" s="5" t="s">
        <v>3461</v>
      </c>
      <c r="J85" s="7">
        <f>19.6</f>
        <v>19.600000000000001</v>
      </c>
      <c r="K85" s="5" t="s">
        <v>270</v>
      </c>
      <c r="L85" s="8">
        <f>1</f>
        <v>1</v>
      </c>
      <c r="M85" s="8">
        <f>1372000</f>
        <v>1372000</v>
      </c>
      <c r="N85" s="6" t="s">
        <v>906</v>
      </c>
      <c r="O85" s="5" t="s">
        <v>755</v>
      </c>
      <c r="P85" s="5" t="s">
        <v>909</v>
      </c>
      <c r="R85" s="8">
        <f>1371999</f>
        <v>1371999</v>
      </c>
      <c r="S85" s="5" t="s">
        <v>240</v>
      </c>
      <c r="T85" s="5" t="s">
        <v>237</v>
      </c>
      <c r="W85" s="5" t="s">
        <v>241</v>
      </c>
      <c r="X85" s="5" t="s">
        <v>750</v>
      </c>
      <c r="Y85" s="5" t="s">
        <v>238</v>
      </c>
      <c r="AB85" s="5" t="s">
        <v>238</v>
      </c>
      <c r="AC85" s="6" t="s">
        <v>238</v>
      </c>
      <c r="AD85" s="6" t="s">
        <v>238</v>
      </c>
      <c r="AF85" s="6" t="s">
        <v>238</v>
      </c>
      <c r="AG85" s="6" t="s">
        <v>246</v>
      </c>
      <c r="AH85" s="5" t="s">
        <v>247</v>
      </c>
      <c r="AI85" s="5" t="s">
        <v>248</v>
      </c>
      <c r="AT85" s="6" t="s">
        <v>238</v>
      </c>
      <c r="AW85" s="5" t="s">
        <v>304</v>
      </c>
      <c r="AX85" s="5" t="s">
        <v>304</v>
      </c>
      <c r="AY85" s="5" t="s">
        <v>250</v>
      </c>
      <c r="AZ85" s="5" t="s">
        <v>305</v>
      </c>
      <c r="BA85" s="5" t="s">
        <v>251</v>
      </c>
      <c r="BB85" s="5" t="s">
        <v>238</v>
      </c>
      <c r="BC85" s="5" t="s">
        <v>253</v>
      </c>
      <c r="BD85" s="5" t="s">
        <v>238</v>
      </c>
      <c r="BF85" s="5" t="s">
        <v>760</v>
      </c>
      <c r="BH85" s="5" t="s">
        <v>283</v>
      </c>
      <c r="BI85" s="6" t="s">
        <v>293</v>
      </c>
      <c r="BJ85" s="5" t="s">
        <v>255</v>
      </c>
      <c r="BK85" s="5" t="s">
        <v>256</v>
      </c>
      <c r="BL85" s="5" t="s">
        <v>238</v>
      </c>
      <c r="BM85" s="7">
        <f>0</f>
        <v>0</v>
      </c>
      <c r="BN85" s="8">
        <f>0</f>
        <v>0</v>
      </c>
      <c r="BO85" s="5" t="s">
        <v>257</v>
      </c>
      <c r="BP85" s="5" t="s">
        <v>258</v>
      </c>
      <c r="BQ85" s="5" t="s">
        <v>238</v>
      </c>
      <c r="BR85" s="5" t="s">
        <v>238</v>
      </c>
      <c r="BS85" s="5" t="s">
        <v>238</v>
      </c>
      <c r="BT85" s="5" t="s">
        <v>238</v>
      </c>
      <c r="CC85" s="5" t="s">
        <v>258</v>
      </c>
      <c r="CD85" s="5" t="s">
        <v>238</v>
      </c>
      <c r="CE85" s="5" t="s">
        <v>238</v>
      </c>
      <c r="CI85" s="5" t="s">
        <v>527</v>
      </c>
      <c r="CJ85" s="5" t="s">
        <v>260</v>
      </c>
      <c r="CK85" s="5" t="s">
        <v>238</v>
      </c>
      <c r="CM85" s="5" t="s">
        <v>908</v>
      </c>
      <c r="CN85" s="6" t="s">
        <v>262</v>
      </c>
      <c r="CO85" s="5" t="s">
        <v>263</v>
      </c>
      <c r="CP85" s="5" t="s">
        <v>264</v>
      </c>
      <c r="CQ85" s="5" t="s">
        <v>285</v>
      </c>
      <c r="CR85" s="5" t="s">
        <v>238</v>
      </c>
      <c r="CS85" s="5">
        <v>0</v>
      </c>
      <c r="CT85" s="5" t="s">
        <v>265</v>
      </c>
      <c r="CU85" s="5" t="s">
        <v>266</v>
      </c>
      <c r="CV85" s="5" t="s">
        <v>754</v>
      </c>
      <c r="CW85" s="7">
        <f>0</f>
        <v>0</v>
      </c>
      <c r="CX85" s="8">
        <f>1372000</f>
        <v>1372000</v>
      </c>
      <c r="CY85" s="8">
        <f>1</f>
        <v>1</v>
      </c>
      <c r="DA85" s="5" t="s">
        <v>238</v>
      </c>
      <c r="DB85" s="5" t="s">
        <v>238</v>
      </c>
      <c r="DD85" s="5" t="s">
        <v>238</v>
      </c>
      <c r="DE85" s="8">
        <f>0</f>
        <v>0</v>
      </c>
      <c r="DG85" s="5" t="s">
        <v>238</v>
      </c>
      <c r="DH85" s="5" t="s">
        <v>238</v>
      </c>
      <c r="DI85" s="5" t="s">
        <v>238</v>
      </c>
      <c r="DJ85" s="5" t="s">
        <v>238</v>
      </c>
      <c r="DK85" s="5" t="s">
        <v>271</v>
      </c>
      <c r="DL85" s="5" t="s">
        <v>272</v>
      </c>
      <c r="DM85" s="7">
        <f>19.6</f>
        <v>19.600000000000001</v>
      </c>
      <c r="DN85" s="5" t="s">
        <v>238</v>
      </c>
      <c r="DO85" s="5" t="s">
        <v>238</v>
      </c>
      <c r="DP85" s="5" t="s">
        <v>238</v>
      </c>
      <c r="DQ85" s="5" t="s">
        <v>238</v>
      </c>
      <c r="DT85" s="5" t="s">
        <v>3464</v>
      </c>
      <c r="DU85" s="5" t="s">
        <v>271</v>
      </c>
      <c r="HM85" s="5" t="s">
        <v>271</v>
      </c>
      <c r="HP85" s="5" t="s">
        <v>272</v>
      </c>
      <c r="HQ85" s="5" t="s">
        <v>272</v>
      </c>
      <c r="HR85" s="5" t="s">
        <v>238</v>
      </c>
      <c r="HS85" s="5" t="s">
        <v>238</v>
      </c>
      <c r="HT85" s="5" t="s">
        <v>238</v>
      </c>
      <c r="HU85" s="5" t="s">
        <v>238</v>
      </c>
      <c r="HV85" s="5" t="s">
        <v>238</v>
      </c>
      <c r="HW85" s="5" t="s">
        <v>238</v>
      </c>
      <c r="HX85" s="5" t="s">
        <v>238</v>
      </c>
      <c r="HY85" s="5" t="s">
        <v>238</v>
      </c>
      <c r="HZ85" s="5" t="s">
        <v>238</v>
      </c>
      <c r="IA85" s="5" t="s">
        <v>238</v>
      </c>
      <c r="IB85" s="5" t="s">
        <v>238</v>
      </c>
      <c r="IC85" s="5" t="s">
        <v>238</v>
      </c>
      <c r="ID85" s="5" t="s">
        <v>238</v>
      </c>
    </row>
    <row r="86" spans="1:238" x14ac:dyDescent="0.4">
      <c r="A86" s="5">
        <v>88</v>
      </c>
      <c r="B86" s="5">
        <v>1</v>
      </c>
      <c r="C86" s="5">
        <v>2</v>
      </c>
      <c r="D86" s="5" t="s">
        <v>3458</v>
      </c>
      <c r="E86" s="5" t="s">
        <v>751</v>
      </c>
      <c r="F86" s="5" t="s">
        <v>282</v>
      </c>
      <c r="G86" s="5" t="s">
        <v>752</v>
      </c>
      <c r="H86" s="6" t="s">
        <v>3459</v>
      </c>
      <c r="I86" s="5" t="s">
        <v>3457</v>
      </c>
      <c r="J86" s="7">
        <f>28.7</f>
        <v>28.7</v>
      </c>
      <c r="K86" s="5" t="s">
        <v>270</v>
      </c>
      <c r="L86" s="8">
        <f>1</f>
        <v>1</v>
      </c>
      <c r="M86" s="8">
        <f>2009000</f>
        <v>2009000</v>
      </c>
      <c r="N86" s="6" t="s">
        <v>906</v>
      </c>
      <c r="O86" s="5" t="s">
        <v>755</v>
      </c>
      <c r="P86" s="5" t="s">
        <v>909</v>
      </c>
      <c r="R86" s="8">
        <f>2008999</f>
        <v>2008999</v>
      </c>
      <c r="S86" s="5" t="s">
        <v>240</v>
      </c>
      <c r="T86" s="5" t="s">
        <v>237</v>
      </c>
      <c r="W86" s="5" t="s">
        <v>241</v>
      </c>
      <c r="X86" s="5" t="s">
        <v>750</v>
      </c>
      <c r="Y86" s="5" t="s">
        <v>238</v>
      </c>
      <c r="AB86" s="5" t="s">
        <v>238</v>
      </c>
      <c r="AC86" s="6" t="s">
        <v>238</v>
      </c>
      <c r="AD86" s="6" t="s">
        <v>238</v>
      </c>
      <c r="AF86" s="6" t="s">
        <v>238</v>
      </c>
      <c r="AG86" s="6" t="s">
        <v>246</v>
      </c>
      <c r="AH86" s="5" t="s">
        <v>247</v>
      </c>
      <c r="AI86" s="5" t="s">
        <v>248</v>
      </c>
      <c r="AT86" s="6" t="s">
        <v>238</v>
      </c>
      <c r="AW86" s="5" t="s">
        <v>304</v>
      </c>
      <c r="AX86" s="5" t="s">
        <v>304</v>
      </c>
      <c r="AY86" s="5" t="s">
        <v>250</v>
      </c>
      <c r="AZ86" s="5" t="s">
        <v>305</v>
      </c>
      <c r="BA86" s="5" t="s">
        <v>251</v>
      </c>
      <c r="BB86" s="5" t="s">
        <v>238</v>
      </c>
      <c r="BC86" s="5" t="s">
        <v>253</v>
      </c>
      <c r="BD86" s="5" t="s">
        <v>238</v>
      </c>
      <c r="BF86" s="5" t="s">
        <v>760</v>
      </c>
      <c r="BH86" s="5" t="s">
        <v>283</v>
      </c>
      <c r="BI86" s="6" t="s">
        <v>293</v>
      </c>
      <c r="BJ86" s="5" t="s">
        <v>255</v>
      </c>
      <c r="BK86" s="5" t="s">
        <v>256</v>
      </c>
      <c r="BL86" s="5" t="s">
        <v>238</v>
      </c>
      <c r="BM86" s="7">
        <f>0</f>
        <v>0</v>
      </c>
      <c r="BN86" s="8">
        <f>0</f>
        <v>0</v>
      </c>
      <c r="BO86" s="5" t="s">
        <v>257</v>
      </c>
      <c r="BP86" s="5" t="s">
        <v>258</v>
      </c>
      <c r="BQ86" s="5" t="s">
        <v>238</v>
      </c>
      <c r="BR86" s="5" t="s">
        <v>238</v>
      </c>
      <c r="BS86" s="5" t="s">
        <v>238</v>
      </c>
      <c r="BT86" s="5" t="s">
        <v>238</v>
      </c>
      <c r="CC86" s="5" t="s">
        <v>258</v>
      </c>
      <c r="CD86" s="5" t="s">
        <v>238</v>
      </c>
      <c r="CE86" s="5" t="s">
        <v>238</v>
      </c>
      <c r="CI86" s="5" t="s">
        <v>527</v>
      </c>
      <c r="CJ86" s="5" t="s">
        <v>260</v>
      </c>
      <c r="CK86" s="5" t="s">
        <v>238</v>
      </c>
      <c r="CM86" s="5" t="s">
        <v>908</v>
      </c>
      <c r="CN86" s="6" t="s">
        <v>262</v>
      </c>
      <c r="CO86" s="5" t="s">
        <v>263</v>
      </c>
      <c r="CP86" s="5" t="s">
        <v>264</v>
      </c>
      <c r="CQ86" s="5" t="s">
        <v>285</v>
      </c>
      <c r="CR86" s="5" t="s">
        <v>238</v>
      </c>
      <c r="CS86" s="5">
        <v>0</v>
      </c>
      <c r="CT86" s="5" t="s">
        <v>265</v>
      </c>
      <c r="CU86" s="5" t="s">
        <v>266</v>
      </c>
      <c r="CV86" s="5" t="s">
        <v>754</v>
      </c>
      <c r="CW86" s="7">
        <f>0</f>
        <v>0</v>
      </c>
      <c r="CX86" s="8">
        <f>2009000</f>
        <v>2009000</v>
      </c>
      <c r="CY86" s="8">
        <f>1</f>
        <v>1</v>
      </c>
      <c r="DA86" s="5" t="s">
        <v>238</v>
      </c>
      <c r="DB86" s="5" t="s">
        <v>238</v>
      </c>
      <c r="DD86" s="5" t="s">
        <v>238</v>
      </c>
      <c r="DE86" s="8">
        <f>0</f>
        <v>0</v>
      </c>
      <c r="DG86" s="5" t="s">
        <v>238</v>
      </c>
      <c r="DH86" s="5" t="s">
        <v>238</v>
      </c>
      <c r="DI86" s="5" t="s">
        <v>238</v>
      </c>
      <c r="DJ86" s="5" t="s">
        <v>238</v>
      </c>
      <c r="DK86" s="5" t="s">
        <v>271</v>
      </c>
      <c r="DL86" s="5" t="s">
        <v>272</v>
      </c>
      <c r="DM86" s="7">
        <f>28.7</f>
        <v>28.7</v>
      </c>
      <c r="DN86" s="5" t="s">
        <v>238</v>
      </c>
      <c r="DO86" s="5" t="s">
        <v>238</v>
      </c>
      <c r="DP86" s="5" t="s">
        <v>238</v>
      </c>
      <c r="DQ86" s="5" t="s">
        <v>238</v>
      </c>
      <c r="DT86" s="5" t="s">
        <v>3460</v>
      </c>
      <c r="DU86" s="5" t="s">
        <v>271</v>
      </c>
      <c r="HM86" s="5" t="s">
        <v>271</v>
      </c>
      <c r="HP86" s="5" t="s">
        <v>272</v>
      </c>
      <c r="HQ86" s="5" t="s">
        <v>272</v>
      </c>
      <c r="HR86" s="5" t="s">
        <v>238</v>
      </c>
      <c r="HS86" s="5" t="s">
        <v>238</v>
      </c>
      <c r="HT86" s="5" t="s">
        <v>238</v>
      </c>
      <c r="HU86" s="5" t="s">
        <v>238</v>
      </c>
      <c r="HV86" s="5" t="s">
        <v>238</v>
      </c>
      <c r="HW86" s="5" t="s">
        <v>238</v>
      </c>
      <c r="HX86" s="5" t="s">
        <v>238</v>
      </c>
      <c r="HY86" s="5" t="s">
        <v>238</v>
      </c>
      <c r="HZ86" s="5" t="s">
        <v>238</v>
      </c>
      <c r="IA86" s="5" t="s">
        <v>238</v>
      </c>
      <c r="IB86" s="5" t="s">
        <v>238</v>
      </c>
      <c r="IC86" s="5" t="s">
        <v>238</v>
      </c>
      <c r="ID86" s="5" t="s">
        <v>238</v>
      </c>
    </row>
    <row r="87" spans="1:238" x14ac:dyDescent="0.4">
      <c r="A87" s="5">
        <v>89</v>
      </c>
      <c r="B87" s="5">
        <v>1</v>
      </c>
      <c r="C87" s="5">
        <v>2</v>
      </c>
      <c r="D87" s="5" t="s">
        <v>3438</v>
      </c>
      <c r="E87" s="5" t="s">
        <v>751</v>
      </c>
      <c r="F87" s="5" t="s">
        <v>282</v>
      </c>
      <c r="G87" s="5" t="s">
        <v>752</v>
      </c>
      <c r="H87" s="6" t="s">
        <v>3439</v>
      </c>
      <c r="I87" s="5" t="s">
        <v>3437</v>
      </c>
      <c r="J87" s="7">
        <f>23.18</f>
        <v>23.18</v>
      </c>
      <c r="K87" s="5" t="s">
        <v>270</v>
      </c>
      <c r="L87" s="8">
        <f>1</f>
        <v>1</v>
      </c>
      <c r="M87" s="8">
        <f>1390800</f>
        <v>1390800</v>
      </c>
      <c r="N87" s="6" t="s">
        <v>906</v>
      </c>
      <c r="O87" s="5" t="s">
        <v>268</v>
      </c>
      <c r="P87" s="5" t="s">
        <v>909</v>
      </c>
      <c r="R87" s="8">
        <f>1390799</f>
        <v>1390799</v>
      </c>
      <c r="S87" s="5" t="s">
        <v>240</v>
      </c>
      <c r="T87" s="5" t="s">
        <v>237</v>
      </c>
      <c r="W87" s="5" t="s">
        <v>241</v>
      </c>
      <c r="X87" s="5" t="s">
        <v>750</v>
      </c>
      <c r="Y87" s="5" t="s">
        <v>238</v>
      </c>
      <c r="AB87" s="5" t="s">
        <v>238</v>
      </c>
      <c r="AC87" s="6" t="s">
        <v>238</v>
      </c>
      <c r="AD87" s="6" t="s">
        <v>238</v>
      </c>
      <c r="AF87" s="6" t="s">
        <v>238</v>
      </c>
      <c r="AG87" s="6" t="s">
        <v>246</v>
      </c>
      <c r="AH87" s="5" t="s">
        <v>247</v>
      </c>
      <c r="AI87" s="5" t="s">
        <v>248</v>
      </c>
      <c r="AT87" s="6" t="s">
        <v>238</v>
      </c>
      <c r="AW87" s="5" t="s">
        <v>304</v>
      </c>
      <c r="AX87" s="5" t="s">
        <v>304</v>
      </c>
      <c r="AY87" s="5" t="s">
        <v>250</v>
      </c>
      <c r="AZ87" s="5" t="s">
        <v>305</v>
      </c>
      <c r="BA87" s="5" t="s">
        <v>251</v>
      </c>
      <c r="BB87" s="5" t="s">
        <v>238</v>
      </c>
      <c r="BC87" s="5" t="s">
        <v>253</v>
      </c>
      <c r="BD87" s="5" t="s">
        <v>238</v>
      </c>
      <c r="BF87" s="5" t="s">
        <v>760</v>
      </c>
      <c r="BH87" s="5" t="s">
        <v>283</v>
      </c>
      <c r="BI87" s="6" t="s">
        <v>293</v>
      </c>
      <c r="BJ87" s="5" t="s">
        <v>255</v>
      </c>
      <c r="BK87" s="5" t="s">
        <v>256</v>
      </c>
      <c r="BL87" s="5" t="s">
        <v>238</v>
      </c>
      <c r="BM87" s="7">
        <f>0</f>
        <v>0</v>
      </c>
      <c r="BN87" s="8">
        <f>0</f>
        <v>0</v>
      </c>
      <c r="BO87" s="5" t="s">
        <v>257</v>
      </c>
      <c r="BP87" s="5" t="s">
        <v>258</v>
      </c>
      <c r="BQ87" s="5" t="s">
        <v>238</v>
      </c>
      <c r="BR87" s="5" t="s">
        <v>238</v>
      </c>
      <c r="BS87" s="5" t="s">
        <v>238</v>
      </c>
      <c r="BT87" s="5" t="s">
        <v>238</v>
      </c>
      <c r="CC87" s="5" t="s">
        <v>258</v>
      </c>
      <c r="CD87" s="5" t="s">
        <v>238</v>
      </c>
      <c r="CE87" s="5" t="s">
        <v>238</v>
      </c>
      <c r="CI87" s="5" t="s">
        <v>527</v>
      </c>
      <c r="CJ87" s="5" t="s">
        <v>260</v>
      </c>
      <c r="CK87" s="5" t="s">
        <v>238</v>
      </c>
      <c r="CM87" s="5" t="s">
        <v>908</v>
      </c>
      <c r="CN87" s="6" t="s">
        <v>262</v>
      </c>
      <c r="CO87" s="5" t="s">
        <v>263</v>
      </c>
      <c r="CP87" s="5" t="s">
        <v>264</v>
      </c>
      <c r="CQ87" s="5" t="s">
        <v>285</v>
      </c>
      <c r="CR87" s="5" t="s">
        <v>238</v>
      </c>
      <c r="CS87" s="5">
        <v>0</v>
      </c>
      <c r="CT87" s="5" t="s">
        <v>265</v>
      </c>
      <c r="CU87" s="5" t="s">
        <v>266</v>
      </c>
      <c r="CV87" s="5" t="s">
        <v>267</v>
      </c>
      <c r="CW87" s="7">
        <f>0</f>
        <v>0</v>
      </c>
      <c r="CX87" s="8">
        <f>1390800</f>
        <v>1390800</v>
      </c>
      <c r="CY87" s="8">
        <f>1</f>
        <v>1</v>
      </c>
      <c r="DA87" s="5" t="s">
        <v>238</v>
      </c>
      <c r="DB87" s="5" t="s">
        <v>238</v>
      </c>
      <c r="DD87" s="5" t="s">
        <v>238</v>
      </c>
      <c r="DE87" s="8">
        <f>0</f>
        <v>0</v>
      </c>
      <c r="DG87" s="5" t="s">
        <v>238</v>
      </c>
      <c r="DH87" s="5" t="s">
        <v>238</v>
      </c>
      <c r="DI87" s="5" t="s">
        <v>238</v>
      </c>
      <c r="DJ87" s="5" t="s">
        <v>238</v>
      </c>
      <c r="DK87" s="5" t="s">
        <v>271</v>
      </c>
      <c r="DL87" s="5" t="s">
        <v>272</v>
      </c>
      <c r="DM87" s="7">
        <f>23.18</f>
        <v>23.18</v>
      </c>
      <c r="DN87" s="5" t="s">
        <v>238</v>
      </c>
      <c r="DO87" s="5" t="s">
        <v>238</v>
      </c>
      <c r="DP87" s="5" t="s">
        <v>238</v>
      </c>
      <c r="DQ87" s="5" t="s">
        <v>238</v>
      </c>
      <c r="DT87" s="5" t="s">
        <v>3440</v>
      </c>
      <c r="DU87" s="5" t="s">
        <v>271</v>
      </c>
      <c r="HM87" s="5" t="s">
        <v>271</v>
      </c>
      <c r="HP87" s="5" t="s">
        <v>272</v>
      </c>
      <c r="HQ87" s="5" t="s">
        <v>272</v>
      </c>
      <c r="HR87" s="5" t="s">
        <v>238</v>
      </c>
      <c r="HS87" s="5" t="s">
        <v>238</v>
      </c>
      <c r="HT87" s="5" t="s">
        <v>238</v>
      </c>
      <c r="HU87" s="5" t="s">
        <v>238</v>
      </c>
      <c r="HV87" s="5" t="s">
        <v>238</v>
      </c>
      <c r="HW87" s="5" t="s">
        <v>238</v>
      </c>
      <c r="HX87" s="5" t="s">
        <v>238</v>
      </c>
      <c r="HY87" s="5" t="s">
        <v>238</v>
      </c>
      <c r="HZ87" s="5" t="s">
        <v>238</v>
      </c>
      <c r="IA87" s="5" t="s">
        <v>238</v>
      </c>
      <c r="IB87" s="5" t="s">
        <v>238</v>
      </c>
      <c r="IC87" s="5" t="s">
        <v>238</v>
      </c>
      <c r="ID87" s="5" t="s">
        <v>238</v>
      </c>
    </row>
    <row r="88" spans="1:238" x14ac:dyDescent="0.4">
      <c r="A88" s="5">
        <v>90</v>
      </c>
      <c r="B88" s="5">
        <v>1</v>
      </c>
      <c r="C88" s="5">
        <v>2</v>
      </c>
      <c r="D88" s="5" t="s">
        <v>3434</v>
      </c>
      <c r="E88" s="5" t="s">
        <v>751</v>
      </c>
      <c r="F88" s="5" t="s">
        <v>282</v>
      </c>
      <c r="G88" s="5" t="s">
        <v>752</v>
      </c>
      <c r="H88" s="6" t="s">
        <v>3435</v>
      </c>
      <c r="I88" s="5" t="s">
        <v>3433</v>
      </c>
      <c r="J88" s="7">
        <f>51.88</f>
        <v>51.88</v>
      </c>
      <c r="K88" s="5" t="s">
        <v>270</v>
      </c>
      <c r="L88" s="8">
        <f>1</f>
        <v>1</v>
      </c>
      <c r="M88" s="8">
        <f>6744400</f>
        <v>6744400</v>
      </c>
      <c r="N88" s="6" t="s">
        <v>906</v>
      </c>
      <c r="O88" s="5" t="s">
        <v>639</v>
      </c>
      <c r="P88" s="5" t="s">
        <v>909</v>
      </c>
      <c r="R88" s="8">
        <f>6744399</f>
        <v>6744399</v>
      </c>
      <c r="S88" s="5" t="s">
        <v>240</v>
      </c>
      <c r="T88" s="5" t="s">
        <v>237</v>
      </c>
      <c r="W88" s="5" t="s">
        <v>241</v>
      </c>
      <c r="X88" s="5" t="s">
        <v>750</v>
      </c>
      <c r="Y88" s="5" t="s">
        <v>238</v>
      </c>
      <c r="AB88" s="5" t="s">
        <v>238</v>
      </c>
      <c r="AC88" s="6" t="s">
        <v>238</v>
      </c>
      <c r="AD88" s="6" t="s">
        <v>238</v>
      </c>
      <c r="AF88" s="6" t="s">
        <v>238</v>
      </c>
      <c r="AG88" s="6" t="s">
        <v>246</v>
      </c>
      <c r="AH88" s="5" t="s">
        <v>247</v>
      </c>
      <c r="AI88" s="5" t="s">
        <v>248</v>
      </c>
      <c r="AT88" s="6" t="s">
        <v>238</v>
      </c>
      <c r="AW88" s="5" t="s">
        <v>304</v>
      </c>
      <c r="AX88" s="5" t="s">
        <v>304</v>
      </c>
      <c r="AY88" s="5" t="s">
        <v>250</v>
      </c>
      <c r="AZ88" s="5" t="s">
        <v>305</v>
      </c>
      <c r="BA88" s="5" t="s">
        <v>251</v>
      </c>
      <c r="BB88" s="5" t="s">
        <v>238</v>
      </c>
      <c r="BC88" s="5" t="s">
        <v>253</v>
      </c>
      <c r="BD88" s="5" t="s">
        <v>238</v>
      </c>
      <c r="BF88" s="5" t="s">
        <v>760</v>
      </c>
      <c r="BH88" s="5" t="s">
        <v>283</v>
      </c>
      <c r="BI88" s="6" t="s">
        <v>293</v>
      </c>
      <c r="BJ88" s="5" t="s">
        <v>255</v>
      </c>
      <c r="BK88" s="5" t="s">
        <v>256</v>
      </c>
      <c r="BL88" s="5" t="s">
        <v>238</v>
      </c>
      <c r="BM88" s="7">
        <f>0</f>
        <v>0</v>
      </c>
      <c r="BN88" s="8">
        <f>0</f>
        <v>0</v>
      </c>
      <c r="BO88" s="5" t="s">
        <v>257</v>
      </c>
      <c r="BP88" s="5" t="s">
        <v>258</v>
      </c>
      <c r="BQ88" s="5" t="s">
        <v>238</v>
      </c>
      <c r="BR88" s="5" t="s">
        <v>238</v>
      </c>
      <c r="BS88" s="5" t="s">
        <v>238</v>
      </c>
      <c r="BT88" s="5" t="s">
        <v>238</v>
      </c>
      <c r="CC88" s="5" t="s">
        <v>258</v>
      </c>
      <c r="CD88" s="5" t="s">
        <v>238</v>
      </c>
      <c r="CE88" s="5" t="s">
        <v>238</v>
      </c>
      <c r="CI88" s="5" t="s">
        <v>527</v>
      </c>
      <c r="CJ88" s="5" t="s">
        <v>260</v>
      </c>
      <c r="CK88" s="5" t="s">
        <v>238</v>
      </c>
      <c r="CM88" s="5" t="s">
        <v>908</v>
      </c>
      <c r="CN88" s="6" t="s">
        <v>262</v>
      </c>
      <c r="CO88" s="5" t="s">
        <v>263</v>
      </c>
      <c r="CP88" s="5" t="s">
        <v>264</v>
      </c>
      <c r="CQ88" s="5" t="s">
        <v>285</v>
      </c>
      <c r="CR88" s="5" t="s">
        <v>238</v>
      </c>
      <c r="CS88" s="5">
        <v>0</v>
      </c>
      <c r="CT88" s="5" t="s">
        <v>265</v>
      </c>
      <c r="CU88" s="5" t="s">
        <v>266</v>
      </c>
      <c r="CV88" s="5" t="s">
        <v>308</v>
      </c>
      <c r="CW88" s="7">
        <f>0</f>
        <v>0</v>
      </c>
      <c r="CX88" s="8">
        <f>6744400</f>
        <v>6744400</v>
      </c>
      <c r="CY88" s="8">
        <f>1</f>
        <v>1</v>
      </c>
      <c r="DA88" s="5" t="s">
        <v>238</v>
      </c>
      <c r="DB88" s="5" t="s">
        <v>238</v>
      </c>
      <c r="DD88" s="5" t="s">
        <v>238</v>
      </c>
      <c r="DE88" s="8">
        <f>0</f>
        <v>0</v>
      </c>
      <c r="DG88" s="5" t="s">
        <v>238</v>
      </c>
      <c r="DH88" s="5" t="s">
        <v>238</v>
      </c>
      <c r="DI88" s="5" t="s">
        <v>238</v>
      </c>
      <c r="DJ88" s="5" t="s">
        <v>238</v>
      </c>
      <c r="DK88" s="5" t="s">
        <v>271</v>
      </c>
      <c r="DL88" s="5" t="s">
        <v>272</v>
      </c>
      <c r="DM88" s="7">
        <f>51.88</f>
        <v>51.88</v>
      </c>
      <c r="DN88" s="5" t="s">
        <v>238</v>
      </c>
      <c r="DO88" s="5" t="s">
        <v>238</v>
      </c>
      <c r="DP88" s="5" t="s">
        <v>238</v>
      </c>
      <c r="DQ88" s="5" t="s">
        <v>238</v>
      </c>
      <c r="DT88" s="5" t="s">
        <v>3436</v>
      </c>
      <c r="DU88" s="5" t="s">
        <v>271</v>
      </c>
      <c r="HM88" s="5" t="s">
        <v>271</v>
      </c>
      <c r="HP88" s="5" t="s">
        <v>272</v>
      </c>
      <c r="HQ88" s="5" t="s">
        <v>272</v>
      </c>
      <c r="HR88" s="5" t="s">
        <v>238</v>
      </c>
      <c r="HS88" s="5" t="s">
        <v>238</v>
      </c>
      <c r="HT88" s="5" t="s">
        <v>238</v>
      </c>
      <c r="HU88" s="5" t="s">
        <v>238</v>
      </c>
      <c r="HV88" s="5" t="s">
        <v>238</v>
      </c>
      <c r="HW88" s="5" t="s">
        <v>238</v>
      </c>
      <c r="HX88" s="5" t="s">
        <v>238</v>
      </c>
      <c r="HY88" s="5" t="s">
        <v>238</v>
      </c>
      <c r="HZ88" s="5" t="s">
        <v>238</v>
      </c>
      <c r="IA88" s="5" t="s">
        <v>238</v>
      </c>
      <c r="IB88" s="5" t="s">
        <v>238</v>
      </c>
      <c r="IC88" s="5" t="s">
        <v>238</v>
      </c>
      <c r="ID88" s="5" t="s">
        <v>238</v>
      </c>
    </row>
    <row r="89" spans="1:238" x14ac:dyDescent="0.4">
      <c r="A89" s="5">
        <v>91</v>
      </c>
      <c r="B89" s="5">
        <v>1</v>
      </c>
      <c r="C89" s="5">
        <v>2</v>
      </c>
      <c r="D89" s="5" t="s">
        <v>3430</v>
      </c>
      <c r="E89" s="5" t="s">
        <v>751</v>
      </c>
      <c r="F89" s="5" t="s">
        <v>282</v>
      </c>
      <c r="G89" s="5" t="s">
        <v>752</v>
      </c>
      <c r="H89" s="6" t="s">
        <v>3431</v>
      </c>
      <c r="I89" s="5" t="s">
        <v>3429</v>
      </c>
      <c r="J89" s="7">
        <f>23.19</f>
        <v>23.19</v>
      </c>
      <c r="K89" s="5" t="s">
        <v>270</v>
      </c>
      <c r="L89" s="8">
        <f>1</f>
        <v>1</v>
      </c>
      <c r="M89" s="8">
        <f>1391400</f>
        <v>1391400</v>
      </c>
      <c r="N89" s="6" t="s">
        <v>906</v>
      </c>
      <c r="O89" s="5" t="s">
        <v>268</v>
      </c>
      <c r="P89" s="5" t="s">
        <v>909</v>
      </c>
      <c r="R89" s="8">
        <f>1391399</f>
        <v>1391399</v>
      </c>
      <c r="S89" s="5" t="s">
        <v>240</v>
      </c>
      <c r="T89" s="5" t="s">
        <v>237</v>
      </c>
      <c r="W89" s="5" t="s">
        <v>241</v>
      </c>
      <c r="X89" s="5" t="s">
        <v>750</v>
      </c>
      <c r="Y89" s="5" t="s">
        <v>238</v>
      </c>
      <c r="AB89" s="5" t="s">
        <v>238</v>
      </c>
      <c r="AC89" s="6" t="s">
        <v>238</v>
      </c>
      <c r="AD89" s="6" t="s">
        <v>238</v>
      </c>
      <c r="AF89" s="6" t="s">
        <v>238</v>
      </c>
      <c r="AG89" s="6" t="s">
        <v>246</v>
      </c>
      <c r="AH89" s="5" t="s">
        <v>247</v>
      </c>
      <c r="AI89" s="5" t="s">
        <v>248</v>
      </c>
      <c r="AT89" s="6" t="s">
        <v>238</v>
      </c>
      <c r="AW89" s="5" t="s">
        <v>304</v>
      </c>
      <c r="AX89" s="5" t="s">
        <v>304</v>
      </c>
      <c r="AY89" s="5" t="s">
        <v>250</v>
      </c>
      <c r="AZ89" s="5" t="s">
        <v>305</v>
      </c>
      <c r="BA89" s="5" t="s">
        <v>251</v>
      </c>
      <c r="BB89" s="5" t="s">
        <v>238</v>
      </c>
      <c r="BC89" s="5" t="s">
        <v>253</v>
      </c>
      <c r="BD89" s="5" t="s">
        <v>238</v>
      </c>
      <c r="BF89" s="5" t="s">
        <v>760</v>
      </c>
      <c r="BH89" s="5" t="s">
        <v>283</v>
      </c>
      <c r="BI89" s="6" t="s">
        <v>293</v>
      </c>
      <c r="BJ89" s="5" t="s">
        <v>255</v>
      </c>
      <c r="BK89" s="5" t="s">
        <v>256</v>
      </c>
      <c r="BL89" s="5" t="s">
        <v>238</v>
      </c>
      <c r="BM89" s="7">
        <f>0</f>
        <v>0</v>
      </c>
      <c r="BN89" s="8">
        <f>0</f>
        <v>0</v>
      </c>
      <c r="BO89" s="5" t="s">
        <v>257</v>
      </c>
      <c r="BP89" s="5" t="s">
        <v>258</v>
      </c>
      <c r="BQ89" s="5" t="s">
        <v>238</v>
      </c>
      <c r="BR89" s="5" t="s">
        <v>238</v>
      </c>
      <c r="BS89" s="5" t="s">
        <v>238</v>
      </c>
      <c r="BT89" s="5" t="s">
        <v>238</v>
      </c>
      <c r="CC89" s="5" t="s">
        <v>258</v>
      </c>
      <c r="CD89" s="5" t="s">
        <v>238</v>
      </c>
      <c r="CE89" s="5" t="s">
        <v>238</v>
      </c>
      <c r="CI89" s="5" t="s">
        <v>527</v>
      </c>
      <c r="CJ89" s="5" t="s">
        <v>260</v>
      </c>
      <c r="CK89" s="5" t="s">
        <v>238</v>
      </c>
      <c r="CM89" s="5" t="s">
        <v>908</v>
      </c>
      <c r="CN89" s="6" t="s">
        <v>262</v>
      </c>
      <c r="CO89" s="5" t="s">
        <v>263</v>
      </c>
      <c r="CP89" s="5" t="s">
        <v>264</v>
      </c>
      <c r="CQ89" s="5" t="s">
        <v>285</v>
      </c>
      <c r="CR89" s="5" t="s">
        <v>238</v>
      </c>
      <c r="CS89" s="5">
        <v>0</v>
      </c>
      <c r="CT89" s="5" t="s">
        <v>265</v>
      </c>
      <c r="CU89" s="5" t="s">
        <v>266</v>
      </c>
      <c r="CV89" s="5" t="s">
        <v>267</v>
      </c>
      <c r="CW89" s="7">
        <f>0</f>
        <v>0</v>
      </c>
      <c r="CX89" s="8">
        <f>1391400</f>
        <v>1391400</v>
      </c>
      <c r="CY89" s="8">
        <f>1</f>
        <v>1</v>
      </c>
      <c r="DA89" s="5" t="s">
        <v>238</v>
      </c>
      <c r="DB89" s="5" t="s">
        <v>238</v>
      </c>
      <c r="DD89" s="5" t="s">
        <v>238</v>
      </c>
      <c r="DE89" s="8">
        <f>0</f>
        <v>0</v>
      </c>
      <c r="DG89" s="5" t="s">
        <v>238</v>
      </c>
      <c r="DH89" s="5" t="s">
        <v>238</v>
      </c>
      <c r="DI89" s="5" t="s">
        <v>238</v>
      </c>
      <c r="DJ89" s="5" t="s">
        <v>238</v>
      </c>
      <c r="DK89" s="5" t="s">
        <v>271</v>
      </c>
      <c r="DL89" s="5" t="s">
        <v>272</v>
      </c>
      <c r="DM89" s="7">
        <f>23.19</f>
        <v>23.19</v>
      </c>
      <c r="DN89" s="5" t="s">
        <v>238</v>
      </c>
      <c r="DO89" s="5" t="s">
        <v>238</v>
      </c>
      <c r="DP89" s="5" t="s">
        <v>238</v>
      </c>
      <c r="DQ89" s="5" t="s">
        <v>238</v>
      </c>
      <c r="DT89" s="5" t="s">
        <v>3432</v>
      </c>
      <c r="DU89" s="5" t="s">
        <v>271</v>
      </c>
      <c r="HM89" s="5" t="s">
        <v>271</v>
      </c>
      <c r="HP89" s="5" t="s">
        <v>272</v>
      </c>
      <c r="HQ89" s="5" t="s">
        <v>272</v>
      </c>
      <c r="HR89" s="5" t="s">
        <v>238</v>
      </c>
      <c r="HS89" s="5" t="s">
        <v>238</v>
      </c>
      <c r="HT89" s="5" t="s">
        <v>238</v>
      </c>
      <c r="HU89" s="5" t="s">
        <v>238</v>
      </c>
      <c r="HV89" s="5" t="s">
        <v>238</v>
      </c>
      <c r="HW89" s="5" t="s">
        <v>238</v>
      </c>
      <c r="HX89" s="5" t="s">
        <v>238</v>
      </c>
      <c r="HY89" s="5" t="s">
        <v>238</v>
      </c>
      <c r="HZ89" s="5" t="s">
        <v>238</v>
      </c>
      <c r="IA89" s="5" t="s">
        <v>238</v>
      </c>
      <c r="IB89" s="5" t="s">
        <v>238</v>
      </c>
      <c r="IC89" s="5" t="s">
        <v>238</v>
      </c>
      <c r="ID89" s="5" t="s">
        <v>238</v>
      </c>
    </row>
    <row r="90" spans="1:238" x14ac:dyDescent="0.4">
      <c r="A90" s="5">
        <v>92</v>
      </c>
      <c r="B90" s="5">
        <v>1</v>
      </c>
      <c r="C90" s="5">
        <v>2</v>
      </c>
      <c r="D90" s="5" t="s">
        <v>3427</v>
      </c>
      <c r="E90" s="5" t="s">
        <v>751</v>
      </c>
      <c r="F90" s="5" t="s">
        <v>282</v>
      </c>
      <c r="G90" s="5" t="s">
        <v>752</v>
      </c>
      <c r="H90" s="6" t="s">
        <v>2452</v>
      </c>
      <c r="I90" s="5" t="s">
        <v>3426</v>
      </c>
      <c r="J90" s="7">
        <f>18.63</f>
        <v>18.63</v>
      </c>
      <c r="K90" s="5" t="s">
        <v>270</v>
      </c>
      <c r="L90" s="8">
        <f>1</f>
        <v>1</v>
      </c>
      <c r="M90" s="8">
        <f>1117800</f>
        <v>1117800</v>
      </c>
      <c r="N90" s="6" t="s">
        <v>906</v>
      </c>
      <c r="O90" s="5" t="s">
        <v>268</v>
      </c>
      <c r="P90" s="5" t="s">
        <v>909</v>
      </c>
      <c r="R90" s="8">
        <f>1117799</f>
        <v>1117799</v>
      </c>
      <c r="S90" s="5" t="s">
        <v>240</v>
      </c>
      <c r="T90" s="5" t="s">
        <v>237</v>
      </c>
      <c r="W90" s="5" t="s">
        <v>241</v>
      </c>
      <c r="X90" s="5" t="s">
        <v>750</v>
      </c>
      <c r="Y90" s="5" t="s">
        <v>238</v>
      </c>
      <c r="AB90" s="5" t="s">
        <v>238</v>
      </c>
      <c r="AC90" s="6" t="s">
        <v>238</v>
      </c>
      <c r="AD90" s="6" t="s">
        <v>238</v>
      </c>
      <c r="AF90" s="6" t="s">
        <v>238</v>
      </c>
      <c r="AG90" s="6" t="s">
        <v>246</v>
      </c>
      <c r="AH90" s="5" t="s">
        <v>247</v>
      </c>
      <c r="AI90" s="5" t="s">
        <v>248</v>
      </c>
      <c r="AT90" s="6" t="s">
        <v>238</v>
      </c>
      <c r="AW90" s="5" t="s">
        <v>304</v>
      </c>
      <c r="AX90" s="5" t="s">
        <v>304</v>
      </c>
      <c r="AY90" s="5" t="s">
        <v>250</v>
      </c>
      <c r="AZ90" s="5" t="s">
        <v>305</v>
      </c>
      <c r="BA90" s="5" t="s">
        <v>251</v>
      </c>
      <c r="BB90" s="5" t="s">
        <v>238</v>
      </c>
      <c r="BC90" s="5" t="s">
        <v>253</v>
      </c>
      <c r="BD90" s="5" t="s">
        <v>238</v>
      </c>
      <c r="BF90" s="5" t="s">
        <v>760</v>
      </c>
      <c r="BH90" s="5" t="s">
        <v>283</v>
      </c>
      <c r="BI90" s="6" t="s">
        <v>293</v>
      </c>
      <c r="BJ90" s="5" t="s">
        <v>255</v>
      </c>
      <c r="BK90" s="5" t="s">
        <v>256</v>
      </c>
      <c r="BL90" s="5" t="s">
        <v>238</v>
      </c>
      <c r="BM90" s="7">
        <f>0</f>
        <v>0</v>
      </c>
      <c r="BN90" s="8">
        <f>0</f>
        <v>0</v>
      </c>
      <c r="BO90" s="5" t="s">
        <v>257</v>
      </c>
      <c r="BP90" s="5" t="s">
        <v>258</v>
      </c>
      <c r="BQ90" s="5" t="s">
        <v>238</v>
      </c>
      <c r="BR90" s="5" t="s">
        <v>238</v>
      </c>
      <c r="BS90" s="5" t="s">
        <v>238</v>
      </c>
      <c r="BT90" s="5" t="s">
        <v>238</v>
      </c>
      <c r="CC90" s="5" t="s">
        <v>258</v>
      </c>
      <c r="CD90" s="5" t="s">
        <v>238</v>
      </c>
      <c r="CE90" s="5" t="s">
        <v>238</v>
      </c>
      <c r="CI90" s="5" t="s">
        <v>527</v>
      </c>
      <c r="CJ90" s="5" t="s">
        <v>260</v>
      </c>
      <c r="CK90" s="5" t="s">
        <v>238</v>
      </c>
      <c r="CM90" s="5" t="s">
        <v>908</v>
      </c>
      <c r="CN90" s="6" t="s">
        <v>262</v>
      </c>
      <c r="CO90" s="5" t="s">
        <v>263</v>
      </c>
      <c r="CP90" s="5" t="s">
        <v>264</v>
      </c>
      <c r="CQ90" s="5" t="s">
        <v>285</v>
      </c>
      <c r="CR90" s="5" t="s">
        <v>238</v>
      </c>
      <c r="CS90" s="5">
        <v>0</v>
      </c>
      <c r="CT90" s="5" t="s">
        <v>265</v>
      </c>
      <c r="CU90" s="5" t="s">
        <v>266</v>
      </c>
      <c r="CV90" s="5" t="s">
        <v>267</v>
      </c>
      <c r="CW90" s="7">
        <f>0</f>
        <v>0</v>
      </c>
      <c r="CX90" s="8">
        <f>1117800</f>
        <v>1117800</v>
      </c>
      <c r="CY90" s="8">
        <f>1</f>
        <v>1</v>
      </c>
      <c r="DA90" s="5" t="s">
        <v>238</v>
      </c>
      <c r="DB90" s="5" t="s">
        <v>238</v>
      </c>
      <c r="DD90" s="5" t="s">
        <v>238</v>
      </c>
      <c r="DE90" s="8">
        <f>0</f>
        <v>0</v>
      </c>
      <c r="DG90" s="5" t="s">
        <v>238</v>
      </c>
      <c r="DH90" s="5" t="s">
        <v>238</v>
      </c>
      <c r="DI90" s="5" t="s">
        <v>238</v>
      </c>
      <c r="DJ90" s="5" t="s">
        <v>238</v>
      </c>
      <c r="DK90" s="5" t="s">
        <v>271</v>
      </c>
      <c r="DL90" s="5" t="s">
        <v>272</v>
      </c>
      <c r="DM90" s="7">
        <f>18.63</f>
        <v>18.63</v>
      </c>
      <c r="DN90" s="5" t="s">
        <v>238</v>
      </c>
      <c r="DO90" s="5" t="s">
        <v>238</v>
      </c>
      <c r="DP90" s="5" t="s">
        <v>238</v>
      </c>
      <c r="DQ90" s="5" t="s">
        <v>238</v>
      </c>
      <c r="DT90" s="5" t="s">
        <v>3428</v>
      </c>
      <c r="DU90" s="5" t="s">
        <v>271</v>
      </c>
      <c r="HM90" s="5" t="s">
        <v>271</v>
      </c>
      <c r="HP90" s="5" t="s">
        <v>272</v>
      </c>
      <c r="HQ90" s="5" t="s">
        <v>272</v>
      </c>
      <c r="HR90" s="5" t="s">
        <v>238</v>
      </c>
      <c r="HS90" s="5" t="s">
        <v>238</v>
      </c>
      <c r="HT90" s="5" t="s">
        <v>238</v>
      </c>
      <c r="HU90" s="5" t="s">
        <v>238</v>
      </c>
      <c r="HV90" s="5" t="s">
        <v>238</v>
      </c>
      <c r="HW90" s="5" t="s">
        <v>238</v>
      </c>
      <c r="HX90" s="5" t="s">
        <v>238</v>
      </c>
      <c r="HY90" s="5" t="s">
        <v>238</v>
      </c>
      <c r="HZ90" s="5" t="s">
        <v>238</v>
      </c>
      <c r="IA90" s="5" t="s">
        <v>238</v>
      </c>
      <c r="IB90" s="5" t="s">
        <v>238</v>
      </c>
      <c r="IC90" s="5" t="s">
        <v>238</v>
      </c>
      <c r="ID90" s="5" t="s">
        <v>238</v>
      </c>
    </row>
    <row r="91" spans="1:238" x14ac:dyDescent="0.4">
      <c r="A91" s="5">
        <v>93</v>
      </c>
      <c r="B91" s="5">
        <v>1</v>
      </c>
      <c r="C91" s="5">
        <v>2</v>
      </c>
      <c r="D91" s="5" t="s">
        <v>3423</v>
      </c>
      <c r="E91" s="5" t="s">
        <v>751</v>
      </c>
      <c r="F91" s="5" t="s">
        <v>282</v>
      </c>
      <c r="G91" s="5" t="s">
        <v>752</v>
      </c>
      <c r="H91" s="6" t="s">
        <v>3424</v>
      </c>
      <c r="I91" s="5" t="s">
        <v>3422</v>
      </c>
      <c r="J91" s="7">
        <f>23.38</f>
        <v>23.38</v>
      </c>
      <c r="K91" s="5" t="s">
        <v>270</v>
      </c>
      <c r="L91" s="8">
        <f>1</f>
        <v>1</v>
      </c>
      <c r="M91" s="8">
        <f>1402800</f>
        <v>1402800</v>
      </c>
      <c r="N91" s="6" t="s">
        <v>906</v>
      </c>
      <c r="O91" s="5" t="s">
        <v>651</v>
      </c>
      <c r="P91" s="5" t="s">
        <v>909</v>
      </c>
      <c r="R91" s="8">
        <f>1402799</f>
        <v>1402799</v>
      </c>
      <c r="S91" s="5" t="s">
        <v>240</v>
      </c>
      <c r="T91" s="5" t="s">
        <v>237</v>
      </c>
      <c r="W91" s="5" t="s">
        <v>241</v>
      </c>
      <c r="X91" s="5" t="s">
        <v>750</v>
      </c>
      <c r="Y91" s="5" t="s">
        <v>238</v>
      </c>
      <c r="AB91" s="5" t="s">
        <v>238</v>
      </c>
      <c r="AC91" s="6" t="s">
        <v>238</v>
      </c>
      <c r="AD91" s="6" t="s">
        <v>238</v>
      </c>
      <c r="AF91" s="6" t="s">
        <v>238</v>
      </c>
      <c r="AG91" s="6" t="s">
        <v>246</v>
      </c>
      <c r="AH91" s="5" t="s">
        <v>247</v>
      </c>
      <c r="AI91" s="5" t="s">
        <v>248</v>
      </c>
      <c r="AT91" s="6" t="s">
        <v>238</v>
      </c>
      <c r="AW91" s="5" t="s">
        <v>304</v>
      </c>
      <c r="AX91" s="5" t="s">
        <v>304</v>
      </c>
      <c r="AY91" s="5" t="s">
        <v>250</v>
      </c>
      <c r="AZ91" s="5" t="s">
        <v>305</v>
      </c>
      <c r="BA91" s="5" t="s">
        <v>251</v>
      </c>
      <c r="BB91" s="5" t="s">
        <v>238</v>
      </c>
      <c r="BC91" s="5" t="s">
        <v>253</v>
      </c>
      <c r="BD91" s="5" t="s">
        <v>238</v>
      </c>
      <c r="BF91" s="5" t="s">
        <v>760</v>
      </c>
      <c r="BH91" s="5" t="s">
        <v>283</v>
      </c>
      <c r="BI91" s="6" t="s">
        <v>293</v>
      </c>
      <c r="BJ91" s="5" t="s">
        <v>255</v>
      </c>
      <c r="BK91" s="5" t="s">
        <v>256</v>
      </c>
      <c r="BL91" s="5" t="s">
        <v>238</v>
      </c>
      <c r="BM91" s="7">
        <f>0</f>
        <v>0</v>
      </c>
      <c r="BN91" s="8">
        <f>0</f>
        <v>0</v>
      </c>
      <c r="BO91" s="5" t="s">
        <v>257</v>
      </c>
      <c r="BP91" s="5" t="s">
        <v>258</v>
      </c>
      <c r="BQ91" s="5" t="s">
        <v>238</v>
      </c>
      <c r="BR91" s="5" t="s">
        <v>238</v>
      </c>
      <c r="BS91" s="5" t="s">
        <v>238</v>
      </c>
      <c r="BT91" s="5" t="s">
        <v>238</v>
      </c>
      <c r="CC91" s="5" t="s">
        <v>258</v>
      </c>
      <c r="CD91" s="5" t="s">
        <v>238</v>
      </c>
      <c r="CE91" s="5" t="s">
        <v>238</v>
      </c>
      <c r="CI91" s="5" t="s">
        <v>527</v>
      </c>
      <c r="CJ91" s="5" t="s">
        <v>260</v>
      </c>
      <c r="CK91" s="5" t="s">
        <v>238</v>
      </c>
      <c r="CM91" s="5" t="s">
        <v>908</v>
      </c>
      <c r="CN91" s="6" t="s">
        <v>262</v>
      </c>
      <c r="CO91" s="5" t="s">
        <v>263</v>
      </c>
      <c r="CP91" s="5" t="s">
        <v>264</v>
      </c>
      <c r="CQ91" s="5" t="s">
        <v>285</v>
      </c>
      <c r="CR91" s="5" t="s">
        <v>238</v>
      </c>
      <c r="CS91" s="5">
        <v>0</v>
      </c>
      <c r="CT91" s="5" t="s">
        <v>265</v>
      </c>
      <c r="CU91" s="5" t="s">
        <v>266</v>
      </c>
      <c r="CV91" s="5" t="s">
        <v>331</v>
      </c>
      <c r="CW91" s="7">
        <f>0</f>
        <v>0</v>
      </c>
      <c r="CX91" s="8">
        <f>1402800</f>
        <v>1402800</v>
      </c>
      <c r="CY91" s="8">
        <f>1</f>
        <v>1</v>
      </c>
      <c r="DA91" s="5" t="s">
        <v>238</v>
      </c>
      <c r="DB91" s="5" t="s">
        <v>238</v>
      </c>
      <c r="DD91" s="5" t="s">
        <v>238</v>
      </c>
      <c r="DE91" s="8">
        <f>0</f>
        <v>0</v>
      </c>
      <c r="DG91" s="5" t="s">
        <v>238</v>
      </c>
      <c r="DH91" s="5" t="s">
        <v>238</v>
      </c>
      <c r="DI91" s="5" t="s">
        <v>238</v>
      </c>
      <c r="DJ91" s="5" t="s">
        <v>238</v>
      </c>
      <c r="DK91" s="5" t="s">
        <v>271</v>
      </c>
      <c r="DL91" s="5" t="s">
        <v>272</v>
      </c>
      <c r="DM91" s="7">
        <f>23.38</f>
        <v>23.38</v>
      </c>
      <c r="DN91" s="5" t="s">
        <v>238</v>
      </c>
      <c r="DO91" s="5" t="s">
        <v>238</v>
      </c>
      <c r="DP91" s="5" t="s">
        <v>238</v>
      </c>
      <c r="DQ91" s="5" t="s">
        <v>238</v>
      </c>
      <c r="DT91" s="5" t="s">
        <v>3425</v>
      </c>
      <c r="DU91" s="5" t="s">
        <v>271</v>
      </c>
      <c r="HM91" s="5" t="s">
        <v>271</v>
      </c>
      <c r="HP91" s="5" t="s">
        <v>272</v>
      </c>
      <c r="HQ91" s="5" t="s">
        <v>272</v>
      </c>
      <c r="HR91" s="5" t="s">
        <v>238</v>
      </c>
      <c r="HS91" s="5" t="s">
        <v>238</v>
      </c>
      <c r="HT91" s="5" t="s">
        <v>238</v>
      </c>
      <c r="HU91" s="5" t="s">
        <v>238</v>
      </c>
      <c r="HV91" s="5" t="s">
        <v>238</v>
      </c>
      <c r="HW91" s="5" t="s">
        <v>238</v>
      </c>
      <c r="HX91" s="5" t="s">
        <v>238</v>
      </c>
      <c r="HY91" s="5" t="s">
        <v>238</v>
      </c>
      <c r="HZ91" s="5" t="s">
        <v>238</v>
      </c>
      <c r="IA91" s="5" t="s">
        <v>238</v>
      </c>
      <c r="IB91" s="5" t="s">
        <v>238</v>
      </c>
      <c r="IC91" s="5" t="s">
        <v>238</v>
      </c>
      <c r="ID91" s="5" t="s">
        <v>238</v>
      </c>
    </row>
    <row r="92" spans="1:238" x14ac:dyDescent="0.4">
      <c r="A92" s="5">
        <v>94</v>
      </c>
      <c r="B92" s="5">
        <v>1</v>
      </c>
      <c r="C92" s="5">
        <v>2</v>
      </c>
      <c r="D92" s="5" t="s">
        <v>4315</v>
      </c>
      <c r="E92" s="5" t="s">
        <v>751</v>
      </c>
      <c r="F92" s="5" t="s">
        <v>282</v>
      </c>
      <c r="G92" s="5" t="s">
        <v>752</v>
      </c>
      <c r="H92" s="6" t="s">
        <v>4316</v>
      </c>
      <c r="I92" s="5" t="s">
        <v>4314</v>
      </c>
      <c r="J92" s="7">
        <f>23.19</f>
        <v>23.19</v>
      </c>
      <c r="K92" s="5" t="s">
        <v>270</v>
      </c>
      <c r="L92" s="8">
        <f>1</f>
        <v>1</v>
      </c>
      <c r="M92" s="8">
        <f>1391400</f>
        <v>1391400</v>
      </c>
      <c r="N92" s="6" t="s">
        <v>906</v>
      </c>
      <c r="O92" s="5" t="s">
        <v>268</v>
      </c>
      <c r="P92" s="5" t="s">
        <v>909</v>
      </c>
      <c r="R92" s="8">
        <f>1391399</f>
        <v>1391399</v>
      </c>
      <c r="S92" s="5" t="s">
        <v>240</v>
      </c>
      <c r="T92" s="5" t="s">
        <v>237</v>
      </c>
      <c r="W92" s="5" t="s">
        <v>241</v>
      </c>
      <c r="X92" s="5" t="s">
        <v>750</v>
      </c>
      <c r="Y92" s="5" t="s">
        <v>238</v>
      </c>
      <c r="AB92" s="5" t="s">
        <v>238</v>
      </c>
      <c r="AC92" s="6" t="s">
        <v>238</v>
      </c>
      <c r="AD92" s="6" t="s">
        <v>238</v>
      </c>
      <c r="AF92" s="6" t="s">
        <v>238</v>
      </c>
      <c r="AG92" s="6" t="s">
        <v>246</v>
      </c>
      <c r="AH92" s="5" t="s">
        <v>247</v>
      </c>
      <c r="AI92" s="5" t="s">
        <v>248</v>
      </c>
      <c r="AT92" s="6" t="s">
        <v>238</v>
      </c>
      <c r="AW92" s="5" t="s">
        <v>304</v>
      </c>
      <c r="AX92" s="5" t="s">
        <v>304</v>
      </c>
      <c r="AY92" s="5" t="s">
        <v>250</v>
      </c>
      <c r="AZ92" s="5" t="s">
        <v>305</v>
      </c>
      <c r="BA92" s="5" t="s">
        <v>251</v>
      </c>
      <c r="BB92" s="5" t="s">
        <v>238</v>
      </c>
      <c r="BC92" s="5" t="s">
        <v>253</v>
      </c>
      <c r="BD92" s="5" t="s">
        <v>238</v>
      </c>
      <c r="BF92" s="5" t="s">
        <v>760</v>
      </c>
      <c r="BH92" s="5" t="s">
        <v>283</v>
      </c>
      <c r="BI92" s="6" t="s">
        <v>293</v>
      </c>
      <c r="BJ92" s="5" t="s">
        <v>255</v>
      </c>
      <c r="BK92" s="5" t="s">
        <v>256</v>
      </c>
      <c r="BL92" s="5" t="s">
        <v>238</v>
      </c>
      <c r="BM92" s="7">
        <f>0</f>
        <v>0</v>
      </c>
      <c r="BN92" s="8">
        <f>0</f>
        <v>0</v>
      </c>
      <c r="BO92" s="5" t="s">
        <v>257</v>
      </c>
      <c r="BP92" s="5" t="s">
        <v>258</v>
      </c>
      <c r="BQ92" s="5" t="s">
        <v>238</v>
      </c>
      <c r="BR92" s="5" t="s">
        <v>238</v>
      </c>
      <c r="BS92" s="5" t="s">
        <v>238</v>
      </c>
      <c r="BT92" s="5" t="s">
        <v>238</v>
      </c>
      <c r="CC92" s="5" t="s">
        <v>258</v>
      </c>
      <c r="CD92" s="5" t="s">
        <v>238</v>
      </c>
      <c r="CE92" s="5" t="s">
        <v>238</v>
      </c>
      <c r="CI92" s="5" t="s">
        <v>527</v>
      </c>
      <c r="CJ92" s="5" t="s">
        <v>260</v>
      </c>
      <c r="CK92" s="5" t="s">
        <v>238</v>
      </c>
      <c r="CM92" s="5" t="s">
        <v>908</v>
      </c>
      <c r="CN92" s="6" t="s">
        <v>262</v>
      </c>
      <c r="CO92" s="5" t="s">
        <v>263</v>
      </c>
      <c r="CP92" s="5" t="s">
        <v>264</v>
      </c>
      <c r="CQ92" s="5" t="s">
        <v>285</v>
      </c>
      <c r="CR92" s="5" t="s">
        <v>238</v>
      </c>
      <c r="CS92" s="5">
        <v>0</v>
      </c>
      <c r="CT92" s="5" t="s">
        <v>265</v>
      </c>
      <c r="CU92" s="5" t="s">
        <v>266</v>
      </c>
      <c r="CV92" s="5" t="s">
        <v>267</v>
      </c>
      <c r="CW92" s="7">
        <f>0</f>
        <v>0</v>
      </c>
      <c r="CX92" s="8">
        <f>1391400</f>
        <v>1391400</v>
      </c>
      <c r="CY92" s="8">
        <f>1</f>
        <v>1</v>
      </c>
      <c r="DA92" s="5" t="s">
        <v>238</v>
      </c>
      <c r="DB92" s="5" t="s">
        <v>238</v>
      </c>
      <c r="DD92" s="5" t="s">
        <v>238</v>
      </c>
      <c r="DE92" s="8">
        <f>0</f>
        <v>0</v>
      </c>
      <c r="DG92" s="5" t="s">
        <v>238</v>
      </c>
      <c r="DH92" s="5" t="s">
        <v>238</v>
      </c>
      <c r="DI92" s="5" t="s">
        <v>238</v>
      </c>
      <c r="DJ92" s="5" t="s">
        <v>238</v>
      </c>
      <c r="DK92" s="5" t="s">
        <v>271</v>
      </c>
      <c r="DL92" s="5" t="s">
        <v>272</v>
      </c>
      <c r="DM92" s="7">
        <f>23.19</f>
        <v>23.19</v>
      </c>
      <c r="DN92" s="5" t="s">
        <v>238</v>
      </c>
      <c r="DO92" s="5" t="s">
        <v>238</v>
      </c>
      <c r="DP92" s="5" t="s">
        <v>238</v>
      </c>
      <c r="DQ92" s="5" t="s">
        <v>238</v>
      </c>
      <c r="DT92" s="5" t="s">
        <v>4317</v>
      </c>
      <c r="DU92" s="5" t="s">
        <v>271</v>
      </c>
      <c r="HM92" s="5" t="s">
        <v>271</v>
      </c>
      <c r="HP92" s="5" t="s">
        <v>272</v>
      </c>
      <c r="HQ92" s="5" t="s">
        <v>272</v>
      </c>
      <c r="HR92" s="5" t="s">
        <v>238</v>
      </c>
      <c r="HS92" s="5" t="s">
        <v>238</v>
      </c>
      <c r="HT92" s="5" t="s">
        <v>238</v>
      </c>
      <c r="HU92" s="5" t="s">
        <v>238</v>
      </c>
      <c r="HV92" s="5" t="s">
        <v>238</v>
      </c>
      <c r="HW92" s="5" t="s">
        <v>238</v>
      </c>
      <c r="HX92" s="5" t="s">
        <v>238</v>
      </c>
      <c r="HY92" s="5" t="s">
        <v>238</v>
      </c>
      <c r="HZ92" s="5" t="s">
        <v>238</v>
      </c>
      <c r="IA92" s="5" t="s">
        <v>238</v>
      </c>
      <c r="IB92" s="5" t="s">
        <v>238</v>
      </c>
      <c r="IC92" s="5" t="s">
        <v>238</v>
      </c>
      <c r="ID92" s="5" t="s">
        <v>238</v>
      </c>
    </row>
    <row r="93" spans="1:238" x14ac:dyDescent="0.4">
      <c r="A93" s="5">
        <v>95</v>
      </c>
      <c r="B93" s="5">
        <v>1</v>
      </c>
      <c r="C93" s="5">
        <v>2</v>
      </c>
      <c r="D93" s="5" t="s">
        <v>4311</v>
      </c>
      <c r="E93" s="5" t="s">
        <v>751</v>
      </c>
      <c r="F93" s="5" t="s">
        <v>282</v>
      </c>
      <c r="G93" s="5" t="s">
        <v>752</v>
      </c>
      <c r="H93" s="6" t="s">
        <v>4312</v>
      </c>
      <c r="I93" s="5" t="s">
        <v>4310</v>
      </c>
      <c r="J93" s="7">
        <f>29.12</f>
        <v>29.12</v>
      </c>
      <c r="K93" s="5" t="s">
        <v>270</v>
      </c>
      <c r="L93" s="8">
        <f>1</f>
        <v>1</v>
      </c>
      <c r="M93" s="8">
        <f>1747200</f>
        <v>1747200</v>
      </c>
      <c r="N93" s="6" t="s">
        <v>906</v>
      </c>
      <c r="O93" s="5" t="s">
        <v>268</v>
      </c>
      <c r="P93" s="5" t="s">
        <v>909</v>
      </c>
      <c r="R93" s="8">
        <f>1747199</f>
        <v>1747199</v>
      </c>
      <c r="S93" s="5" t="s">
        <v>240</v>
      </c>
      <c r="T93" s="5" t="s">
        <v>237</v>
      </c>
      <c r="W93" s="5" t="s">
        <v>241</v>
      </c>
      <c r="X93" s="5" t="s">
        <v>750</v>
      </c>
      <c r="Y93" s="5" t="s">
        <v>238</v>
      </c>
      <c r="AB93" s="5" t="s">
        <v>238</v>
      </c>
      <c r="AC93" s="6" t="s">
        <v>238</v>
      </c>
      <c r="AD93" s="6" t="s">
        <v>238</v>
      </c>
      <c r="AF93" s="6" t="s">
        <v>238</v>
      </c>
      <c r="AG93" s="6" t="s">
        <v>246</v>
      </c>
      <c r="AH93" s="5" t="s">
        <v>247</v>
      </c>
      <c r="AI93" s="5" t="s">
        <v>248</v>
      </c>
      <c r="AT93" s="6" t="s">
        <v>238</v>
      </c>
      <c r="AW93" s="5" t="s">
        <v>304</v>
      </c>
      <c r="AX93" s="5" t="s">
        <v>304</v>
      </c>
      <c r="AY93" s="5" t="s">
        <v>250</v>
      </c>
      <c r="AZ93" s="5" t="s">
        <v>305</v>
      </c>
      <c r="BA93" s="5" t="s">
        <v>251</v>
      </c>
      <c r="BB93" s="5" t="s">
        <v>238</v>
      </c>
      <c r="BC93" s="5" t="s">
        <v>253</v>
      </c>
      <c r="BD93" s="5" t="s">
        <v>238</v>
      </c>
      <c r="BF93" s="5" t="s">
        <v>760</v>
      </c>
      <c r="BH93" s="5" t="s">
        <v>283</v>
      </c>
      <c r="BI93" s="6" t="s">
        <v>293</v>
      </c>
      <c r="BJ93" s="5" t="s">
        <v>255</v>
      </c>
      <c r="BK93" s="5" t="s">
        <v>256</v>
      </c>
      <c r="BL93" s="5" t="s">
        <v>238</v>
      </c>
      <c r="BM93" s="7">
        <f>0</f>
        <v>0</v>
      </c>
      <c r="BN93" s="8">
        <f>0</f>
        <v>0</v>
      </c>
      <c r="BO93" s="5" t="s">
        <v>257</v>
      </c>
      <c r="BP93" s="5" t="s">
        <v>258</v>
      </c>
      <c r="BQ93" s="5" t="s">
        <v>238</v>
      </c>
      <c r="BR93" s="5" t="s">
        <v>238</v>
      </c>
      <c r="BS93" s="5" t="s">
        <v>238</v>
      </c>
      <c r="BT93" s="5" t="s">
        <v>238</v>
      </c>
      <c r="CC93" s="5" t="s">
        <v>258</v>
      </c>
      <c r="CD93" s="5" t="s">
        <v>238</v>
      </c>
      <c r="CE93" s="5" t="s">
        <v>238</v>
      </c>
      <c r="CI93" s="5" t="s">
        <v>527</v>
      </c>
      <c r="CJ93" s="5" t="s">
        <v>260</v>
      </c>
      <c r="CK93" s="5" t="s">
        <v>238</v>
      </c>
      <c r="CM93" s="5" t="s">
        <v>908</v>
      </c>
      <c r="CN93" s="6" t="s">
        <v>262</v>
      </c>
      <c r="CO93" s="5" t="s">
        <v>263</v>
      </c>
      <c r="CP93" s="5" t="s">
        <v>264</v>
      </c>
      <c r="CQ93" s="5" t="s">
        <v>285</v>
      </c>
      <c r="CR93" s="5" t="s">
        <v>238</v>
      </c>
      <c r="CS93" s="5">
        <v>0</v>
      </c>
      <c r="CT93" s="5" t="s">
        <v>265</v>
      </c>
      <c r="CU93" s="5" t="s">
        <v>266</v>
      </c>
      <c r="CV93" s="5" t="s">
        <v>267</v>
      </c>
      <c r="CW93" s="7">
        <f>0</f>
        <v>0</v>
      </c>
      <c r="CX93" s="8">
        <f>1747200</f>
        <v>1747200</v>
      </c>
      <c r="CY93" s="8">
        <f>1</f>
        <v>1</v>
      </c>
      <c r="DA93" s="5" t="s">
        <v>238</v>
      </c>
      <c r="DB93" s="5" t="s">
        <v>238</v>
      </c>
      <c r="DD93" s="5" t="s">
        <v>238</v>
      </c>
      <c r="DE93" s="8">
        <f>0</f>
        <v>0</v>
      </c>
      <c r="DG93" s="5" t="s">
        <v>238</v>
      </c>
      <c r="DH93" s="5" t="s">
        <v>238</v>
      </c>
      <c r="DI93" s="5" t="s">
        <v>238</v>
      </c>
      <c r="DJ93" s="5" t="s">
        <v>238</v>
      </c>
      <c r="DK93" s="5" t="s">
        <v>271</v>
      </c>
      <c r="DL93" s="5" t="s">
        <v>272</v>
      </c>
      <c r="DM93" s="7">
        <f>29.12</f>
        <v>29.12</v>
      </c>
      <c r="DN93" s="5" t="s">
        <v>238</v>
      </c>
      <c r="DO93" s="5" t="s">
        <v>238</v>
      </c>
      <c r="DP93" s="5" t="s">
        <v>238</v>
      </c>
      <c r="DQ93" s="5" t="s">
        <v>238</v>
      </c>
      <c r="DT93" s="5" t="s">
        <v>4313</v>
      </c>
      <c r="DU93" s="5" t="s">
        <v>271</v>
      </c>
      <c r="HM93" s="5" t="s">
        <v>271</v>
      </c>
      <c r="HP93" s="5" t="s">
        <v>272</v>
      </c>
      <c r="HQ93" s="5" t="s">
        <v>272</v>
      </c>
      <c r="HR93" s="5" t="s">
        <v>238</v>
      </c>
      <c r="HS93" s="5" t="s">
        <v>238</v>
      </c>
      <c r="HT93" s="5" t="s">
        <v>238</v>
      </c>
      <c r="HU93" s="5" t="s">
        <v>238</v>
      </c>
      <c r="HV93" s="5" t="s">
        <v>238</v>
      </c>
      <c r="HW93" s="5" t="s">
        <v>238</v>
      </c>
      <c r="HX93" s="5" t="s">
        <v>238</v>
      </c>
      <c r="HY93" s="5" t="s">
        <v>238</v>
      </c>
      <c r="HZ93" s="5" t="s">
        <v>238</v>
      </c>
      <c r="IA93" s="5" t="s">
        <v>238</v>
      </c>
      <c r="IB93" s="5" t="s">
        <v>238</v>
      </c>
      <c r="IC93" s="5" t="s">
        <v>238</v>
      </c>
      <c r="ID93" s="5" t="s">
        <v>238</v>
      </c>
    </row>
    <row r="94" spans="1:238" x14ac:dyDescent="0.4">
      <c r="A94" s="5">
        <v>96</v>
      </c>
      <c r="B94" s="5">
        <v>1</v>
      </c>
      <c r="C94" s="5">
        <v>2</v>
      </c>
      <c r="D94" s="5" t="s">
        <v>4307</v>
      </c>
      <c r="E94" s="5" t="s">
        <v>751</v>
      </c>
      <c r="F94" s="5" t="s">
        <v>282</v>
      </c>
      <c r="G94" s="5" t="s">
        <v>752</v>
      </c>
      <c r="H94" s="6" t="s">
        <v>4308</v>
      </c>
      <c r="I94" s="5" t="s">
        <v>4306</v>
      </c>
      <c r="J94" s="7">
        <f>23.38</f>
        <v>23.38</v>
      </c>
      <c r="K94" s="5" t="s">
        <v>270</v>
      </c>
      <c r="L94" s="8">
        <f>1</f>
        <v>1</v>
      </c>
      <c r="M94" s="8">
        <f>1402800</f>
        <v>1402800</v>
      </c>
      <c r="N94" s="6" t="s">
        <v>906</v>
      </c>
      <c r="O94" s="5" t="s">
        <v>651</v>
      </c>
      <c r="P94" s="5" t="s">
        <v>909</v>
      </c>
      <c r="R94" s="8">
        <f>1402799</f>
        <v>1402799</v>
      </c>
      <c r="S94" s="5" t="s">
        <v>240</v>
      </c>
      <c r="T94" s="5" t="s">
        <v>237</v>
      </c>
      <c r="W94" s="5" t="s">
        <v>241</v>
      </c>
      <c r="X94" s="5" t="s">
        <v>750</v>
      </c>
      <c r="Y94" s="5" t="s">
        <v>238</v>
      </c>
      <c r="AB94" s="5" t="s">
        <v>238</v>
      </c>
      <c r="AC94" s="6" t="s">
        <v>238</v>
      </c>
      <c r="AD94" s="6" t="s">
        <v>238</v>
      </c>
      <c r="AF94" s="6" t="s">
        <v>238</v>
      </c>
      <c r="AG94" s="6" t="s">
        <v>246</v>
      </c>
      <c r="AH94" s="5" t="s">
        <v>247</v>
      </c>
      <c r="AI94" s="5" t="s">
        <v>248</v>
      </c>
      <c r="AT94" s="6" t="s">
        <v>238</v>
      </c>
      <c r="AW94" s="5" t="s">
        <v>304</v>
      </c>
      <c r="AX94" s="5" t="s">
        <v>304</v>
      </c>
      <c r="AY94" s="5" t="s">
        <v>250</v>
      </c>
      <c r="AZ94" s="5" t="s">
        <v>305</v>
      </c>
      <c r="BA94" s="5" t="s">
        <v>251</v>
      </c>
      <c r="BB94" s="5" t="s">
        <v>238</v>
      </c>
      <c r="BC94" s="5" t="s">
        <v>253</v>
      </c>
      <c r="BD94" s="5" t="s">
        <v>238</v>
      </c>
      <c r="BF94" s="5" t="s">
        <v>760</v>
      </c>
      <c r="BH94" s="5" t="s">
        <v>283</v>
      </c>
      <c r="BI94" s="6" t="s">
        <v>293</v>
      </c>
      <c r="BJ94" s="5" t="s">
        <v>255</v>
      </c>
      <c r="BK94" s="5" t="s">
        <v>256</v>
      </c>
      <c r="BL94" s="5" t="s">
        <v>238</v>
      </c>
      <c r="BM94" s="7">
        <f>0</f>
        <v>0</v>
      </c>
      <c r="BN94" s="8">
        <f>0</f>
        <v>0</v>
      </c>
      <c r="BO94" s="5" t="s">
        <v>257</v>
      </c>
      <c r="BP94" s="5" t="s">
        <v>258</v>
      </c>
      <c r="BQ94" s="5" t="s">
        <v>238</v>
      </c>
      <c r="BR94" s="5" t="s">
        <v>238</v>
      </c>
      <c r="BS94" s="5" t="s">
        <v>238</v>
      </c>
      <c r="BT94" s="5" t="s">
        <v>238</v>
      </c>
      <c r="CC94" s="5" t="s">
        <v>258</v>
      </c>
      <c r="CD94" s="5" t="s">
        <v>238</v>
      </c>
      <c r="CE94" s="5" t="s">
        <v>238</v>
      </c>
      <c r="CI94" s="5" t="s">
        <v>527</v>
      </c>
      <c r="CJ94" s="5" t="s">
        <v>260</v>
      </c>
      <c r="CK94" s="5" t="s">
        <v>238</v>
      </c>
      <c r="CM94" s="5" t="s">
        <v>908</v>
      </c>
      <c r="CN94" s="6" t="s">
        <v>262</v>
      </c>
      <c r="CO94" s="5" t="s">
        <v>263</v>
      </c>
      <c r="CP94" s="5" t="s">
        <v>264</v>
      </c>
      <c r="CQ94" s="5" t="s">
        <v>285</v>
      </c>
      <c r="CR94" s="5" t="s">
        <v>238</v>
      </c>
      <c r="CS94" s="5">
        <v>0</v>
      </c>
      <c r="CT94" s="5" t="s">
        <v>265</v>
      </c>
      <c r="CU94" s="5" t="s">
        <v>266</v>
      </c>
      <c r="CV94" s="5" t="s">
        <v>331</v>
      </c>
      <c r="CW94" s="7">
        <f>0</f>
        <v>0</v>
      </c>
      <c r="CX94" s="8">
        <f>1402800</f>
        <v>1402800</v>
      </c>
      <c r="CY94" s="8">
        <f>1</f>
        <v>1</v>
      </c>
      <c r="DA94" s="5" t="s">
        <v>238</v>
      </c>
      <c r="DB94" s="5" t="s">
        <v>238</v>
      </c>
      <c r="DD94" s="5" t="s">
        <v>238</v>
      </c>
      <c r="DE94" s="8">
        <f>0</f>
        <v>0</v>
      </c>
      <c r="DG94" s="5" t="s">
        <v>238</v>
      </c>
      <c r="DH94" s="5" t="s">
        <v>238</v>
      </c>
      <c r="DI94" s="5" t="s">
        <v>238</v>
      </c>
      <c r="DJ94" s="5" t="s">
        <v>238</v>
      </c>
      <c r="DK94" s="5" t="s">
        <v>271</v>
      </c>
      <c r="DL94" s="5" t="s">
        <v>272</v>
      </c>
      <c r="DM94" s="7">
        <f>23.38</f>
        <v>23.38</v>
      </c>
      <c r="DN94" s="5" t="s">
        <v>238</v>
      </c>
      <c r="DO94" s="5" t="s">
        <v>238</v>
      </c>
      <c r="DP94" s="5" t="s">
        <v>238</v>
      </c>
      <c r="DQ94" s="5" t="s">
        <v>238</v>
      </c>
      <c r="DT94" s="5" t="s">
        <v>4309</v>
      </c>
      <c r="DU94" s="5" t="s">
        <v>271</v>
      </c>
      <c r="HM94" s="5" t="s">
        <v>271</v>
      </c>
      <c r="HP94" s="5" t="s">
        <v>272</v>
      </c>
      <c r="HQ94" s="5" t="s">
        <v>272</v>
      </c>
      <c r="HR94" s="5" t="s">
        <v>238</v>
      </c>
      <c r="HS94" s="5" t="s">
        <v>238</v>
      </c>
      <c r="HT94" s="5" t="s">
        <v>238</v>
      </c>
      <c r="HU94" s="5" t="s">
        <v>238</v>
      </c>
      <c r="HV94" s="5" t="s">
        <v>238</v>
      </c>
      <c r="HW94" s="5" t="s">
        <v>238</v>
      </c>
      <c r="HX94" s="5" t="s">
        <v>238</v>
      </c>
      <c r="HY94" s="5" t="s">
        <v>238</v>
      </c>
      <c r="HZ94" s="5" t="s">
        <v>238</v>
      </c>
      <c r="IA94" s="5" t="s">
        <v>238</v>
      </c>
      <c r="IB94" s="5" t="s">
        <v>238</v>
      </c>
      <c r="IC94" s="5" t="s">
        <v>238</v>
      </c>
      <c r="ID94" s="5" t="s">
        <v>238</v>
      </c>
    </row>
    <row r="95" spans="1:238" x14ac:dyDescent="0.4">
      <c r="A95" s="5">
        <v>97</v>
      </c>
      <c r="B95" s="5">
        <v>1</v>
      </c>
      <c r="C95" s="5">
        <v>2</v>
      </c>
      <c r="D95" s="5" t="s">
        <v>4298</v>
      </c>
      <c r="E95" s="5" t="s">
        <v>751</v>
      </c>
      <c r="F95" s="5" t="s">
        <v>282</v>
      </c>
      <c r="G95" s="5" t="s">
        <v>752</v>
      </c>
      <c r="H95" s="6" t="s">
        <v>4299</v>
      </c>
      <c r="I95" s="5" t="s">
        <v>4297</v>
      </c>
      <c r="J95" s="7">
        <f>87.21</f>
        <v>87.21</v>
      </c>
      <c r="K95" s="5" t="s">
        <v>270</v>
      </c>
      <c r="L95" s="8">
        <f>1</f>
        <v>1</v>
      </c>
      <c r="M95" s="8">
        <f>11337300</f>
        <v>11337300</v>
      </c>
      <c r="N95" s="6" t="s">
        <v>906</v>
      </c>
      <c r="O95" s="5" t="s">
        <v>650</v>
      </c>
      <c r="P95" s="5" t="s">
        <v>909</v>
      </c>
      <c r="R95" s="8">
        <f>11337299</f>
        <v>11337299</v>
      </c>
      <c r="S95" s="5" t="s">
        <v>240</v>
      </c>
      <c r="T95" s="5" t="s">
        <v>237</v>
      </c>
      <c r="W95" s="5" t="s">
        <v>241</v>
      </c>
      <c r="X95" s="5" t="s">
        <v>750</v>
      </c>
      <c r="Y95" s="5" t="s">
        <v>238</v>
      </c>
      <c r="AB95" s="5" t="s">
        <v>238</v>
      </c>
      <c r="AC95" s="6" t="s">
        <v>238</v>
      </c>
      <c r="AD95" s="6" t="s">
        <v>238</v>
      </c>
      <c r="AF95" s="6" t="s">
        <v>238</v>
      </c>
      <c r="AG95" s="6" t="s">
        <v>246</v>
      </c>
      <c r="AH95" s="5" t="s">
        <v>247</v>
      </c>
      <c r="AI95" s="5" t="s">
        <v>248</v>
      </c>
      <c r="AT95" s="6" t="s">
        <v>238</v>
      </c>
      <c r="AW95" s="5" t="s">
        <v>304</v>
      </c>
      <c r="AX95" s="5" t="s">
        <v>304</v>
      </c>
      <c r="AY95" s="5" t="s">
        <v>250</v>
      </c>
      <c r="AZ95" s="5" t="s">
        <v>305</v>
      </c>
      <c r="BA95" s="5" t="s">
        <v>251</v>
      </c>
      <c r="BB95" s="5" t="s">
        <v>238</v>
      </c>
      <c r="BC95" s="5" t="s">
        <v>253</v>
      </c>
      <c r="BD95" s="5" t="s">
        <v>238</v>
      </c>
      <c r="BF95" s="5" t="s">
        <v>760</v>
      </c>
      <c r="BH95" s="5" t="s">
        <v>283</v>
      </c>
      <c r="BI95" s="6" t="s">
        <v>293</v>
      </c>
      <c r="BJ95" s="5" t="s">
        <v>255</v>
      </c>
      <c r="BK95" s="5" t="s">
        <v>256</v>
      </c>
      <c r="BL95" s="5" t="s">
        <v>238</v>
      </c>
      <c r="BM95" s="7">
        <f>0</f>
        <v>0</v>
      </c>
      <c r="BN95" s="8">
        <f>0</f>
        <v>0</v>
      </c>
      <c r="BO95" s="5" t="s">
        <v>257</v>
      </c>
      <c r="BP95" s="5" t="s">
        <v>258</v>
      </c>
      <c r="BQ95" s="5" t="s">
        <v>238</v>
      </c>
      <c r="BR95" s="5" t="s">
        <v>238</v>
      </c>
      <c r="BS95" s="5" t="s">
        <v>238</v>
      </c>
      <c r="BT95" s="5" t="s">
        <v>238</v>
      </c>
      <c r="CC95" s="5" t="s">
        <v>258</v>
      </c>
      <c r="CD95" s="5" t="s">
        <v>238</v>
      </c>
      <c r="CE95" s="5" t="s">
        <v>238</v>
      </c>
      <c r="CI95" s="5" t="s">
        <v>527</v>
      </c>
      <c r="CJ95" s="5" t="s">
        <v>260</v>
      </c>
      <c r="CK95" s="5" t="s">
        <v>238</v>
      </c>
      <c r="CM95" s="5" t="s">
        <v>908</v>
      </c>
      <c r="CN95" s="6" t="s">
        <v>262</v>
      </c>
      <c r="CO95" s="5" t="s">
        <v>263</v>
      </c>
      <c r="CP95" s="5" t="s">
        <v>264</v>
      </c>
      <c r="CQ95" s="5" t="s">
        <v>285</v>
      </c>
      <c r="CR95" s="5" t="s">
        <v>238</v>
      </c>
      <c r="CS95" s="5">
        <v>0</v>
      </c>
      <c r="CT95" s="5" t="s">
        <v>265</v>
      </c>
      <c r="CU95" s="5" t="s">
        <v>266</v>
      </c>
      <c r="CV95" s="5" t="s">
        <v>649</v>
      </c>
      <c r="CW95" s="7">
        <f>0</f>
        <v>0</v>
      </c>
      <c r="CX95" s="8">
        <f>11337300</f>
        <v>11337300</v>
      </c>
      <c r="CY95" s="8">
        <f>1</f>
        <v>1</v>
      </c>
      <c r="DA95" s="5" t="s">
        <v>238</v>
      </c>
      <c r="DB95" s="5" t="s">
        <v>238</v>
      </c>
      <c r="DD95" s="5" t="s">
        <v>238</v>
      </c>
      <c r="DE95" s="8">
        <f>0</f>
        <v>0</v>
      </c>
      <c r="DG95" s="5" t="s">
        <v>238</v>
      </c>
      <c r="DH95" s="5" t="s">
        <v>238</v>
      </c>
      <c r="DI95" s="5" t="s">
        <v>238</v>
      </c>
      <c r="DJ95" s="5" t="s">
        <v>238</v>
      </c>
      <c r="DK95" s="5" t="s">
        <v>271</v>
      </c>
      <c r="DL95" s="5" t="s">
        <v>272</v>
      </c>
      <c r="DM95" s="7">
        <f>87.21</f>
        <v>87.21</v>
      </c>
      <c r="DN95" s="5" t="s">
        <v>238</v>
      </c>
      <c r="DO95" s="5" t="s">
        <v>238</v>
      </c>
      <c r="DP95" s="5" t="s">
        <v>238</v>
      </c>
      <c r="DQ95" s="5" t="s">
        <v>238</v>
      </c>
      <c r="DT95" s="5" t="s">
        <v>4300</v>
      </c>
      <c r="DU95" s="5" t="s">
        <v>271</v>
      </c>
      <c r="HM95" s="5" t="s">
        <v>271</v>
      </c>
      <c r="HP95" s="5" t="s">
        <v>272</v>
      </c>
      <c r="HQ95" s="5" t="s">
        <v>272</v>
      </c>
      <c r="HR95" s="5" t="s">
        <v>238</v>
      </c>
      <c r="HS95" s="5" t="s">
        <v>238</v>
      </c>
      <c r="HT95" s="5" t="s">
        <v>238</v>
      </c>
      <c r="HU95" s="5" t="s">
        <v>238</v>
      </c>
      <c r="HV95" s="5" t="s">
        <v>238</v>
      </c>
      <c r="HW95" s="5" t="s">
        <v>238</v>
      </c>
      <c r="HX95" s="5" t="s">
        <v>238</v>
      </c>
      <c r="HY95" s="5" t="s">
        <v>238</v>
      </c>
      <c r="HZ95" s="5" t="s">
        <v>238</v>
      </c>
      <c r="IA95" s="5" t="s">
        <v>238</v>
      </c>
      <c r="IB95" s="5" t="s">
        <v>238</v>
      </c>
      <c r="IC95" s="5" t="s">
        <v>238</v>
      </c>
      <c r="ID95" s="5" t="s">
        <v>238</v>
      </c>
    </row>
    <row r="96" spans="1:238" x14ac:dyDescent="0.4">
      <c r="A96" s="5">
        <v>99</v>
      </c>
      <c r="B96" s="5">
        <v>1</v>
      </c>
      <c r="C96" s="5">
        <v>2</v>
      </c>
      <c r="D96" s="5" t="s">
        <v>4288</v>
      </c>
      <c r="E96" s="5" t="s">
        <v>751</v>
      </c>
      <c r="F96" s="5" t="s">
        <v>282</v>
      </c>
      <c r="G96" s="5" t="s">
        <v>752</v>
      </c>
      <c r="H96" s="6" t="s">
        <v>4289</v>
      </c>
      <c r="I96" s="5" t="s">
        <v>4287</v>
      </c>
      <c r="J96" s="7">
        <f>23.19</f>
        <v>23.19</v>
      </c>
      <c r="K96" s="5" t="s">
        <v>270</v>
      </c>
      <c r="L96" s="8">
        <f>1</f>
        <v>1</v>
      </c>
      <c r="M96" s="8">
        <f>1391400</f>
        <v>1391400</v>
      </c>
      <c r="N96" s="6" t="s">
        <v>906</v>
      </c>
      <c r="O96" s="5" t="s">
        <v>268</v>
      </c>
      <c r="P96" s="5" t="s">
        <v>909</v>
      </c>
      <c r="R96" s="8">
        <f>1391399</f>
        <v>1391399</v>
      </c>
      <c r="S96" s="5" t="s">
        <v>240</v>
      </c>
      <c r="T96" s="5" t="s">
        <v>237</v>
      </c>
      <c r="W96" s="5" t="s">
        <v>241</v>
      </c>
      <c r="X96" s="5" t="s">
        <v>750</v>
      </c>
      <c r="Y96" s="5" t="s">
        <v>238</v>
      </c>
      <c r="AB96" s="5" t="s">
        <v>238</v>
      </c>
      <c r="AC96" s="6" t="s">
        <v>238</v>
      </c>
      <c r="AD96" s="6" t="s">
        <v>238</v>
      </c>
      <c r="AF96" s="6" t="s">
        <v>238</v>
      </c>
      <c r="AG96" s="6" t="s">
        <v>246</v>
      </c>
      <c r="AH96" s="5" t="s">
        <v>247</v>
      </c>
      <c r="AI96" s="5" t="s">
        <v>248</v>
      </c>
      <c r="AT96" s="6" t="s">
        <v>238</v>
      </c>
      <c r="AW96" s="5" t="s">
        <v>304</v>
      </c>
      <c r="AX96" s="5" t="s">
        <v>304</v>
      </c>
      <c r="AY96" s="5" t="s">
        <v>250</v>
      </c>
      <c r="AZ96" s="5" t="s">
        <v>305</v>
      </c>
      <c r="BA96" s="5" t="s">
        <v>251</v>
      </c>
      <c r="BB96" s="5" t="s">
        <v>238</v>
      </c>
      <c r="BC96" s="5" t="s">
        <v>253</v>
      </c>
      <c r="BD96" s="5" t="s">
        <v>238</v>
      </c>
      <c r="BF96" s="5" t="s">
        <v>760</v>
      </c>
      <c r="BH96" s="5" t="s">
        <v>283</v>
      </c>
      <c r="BI96" s="6" t="s">
        <v>293</v>
      </c>
      <c r="BJ96" s="5" t="s">
        <v>255</v>
      </c>
      <c r="BK96" s="5" t="s">
        <v>256</v>
      </c>
      <c r="BL96" s="5" t="s">
        <v>238</v>
      </c>
      <c r="BM96" s="7">
        <f>0</f>
        <v>0</v>
      </c>
      <c r="BN96" s="8">
        <f>0</f>
        <v>0</v>
      </c>
      <c r="BO96" s="5" t="s">
        <v>257</v>
      </c>
      <c r="BP96" s="5" t="s">
        <v>258</v>
      </c>
      <c r="BQ96" s="5" t="s">
        <v>238</v>
      </c>
      <c r="BR96" s="5" t="s">
        <v>238</v>
      </c>
      <c r="BS96" s="5" t="s">
        <v>238</v>
      </c>
      <c r="BT96" s="5" t="s">
        <v>238</v>
      </c>
      <c r="CC96" s="5" t="s">
        <v>258</v>
      </c>
      <c r="CD96" s="5" t="s">
        <v>238</v>
      </c>
      <c r="CE96" s="5" t="s">
        <v>238</v>
      </c>
      <c r="CI96" s="5" t="s">
        <v>527</v>
      </c>
      <c r="CJ96" s="5" t="s">
        <v>260</v>
      </c>
      <c r="CK96" s="5" t="s">
        <v>238</v>
      </c>
      <c r="CM96" s="5" t="s">
        <v>908</v>
      </c>
      <c r="CN96" s="6" t="s">
        <v>262</v>
      </c>
      <c r="CO96" s="5" t="s">
        <v>263</v>
      </c>
      <c r="CP96" s="5" t="s">
        <v>264</v>
      </c>
      <c r="CQ96" s="5" t="s">
        <v>285</v>
      </c>
      <c r="CR96" s="5" t="s">
        <v>238</v>
      </c>
      <c r="CS96" s="5">
        <v>0</v>
      </c>
      <c r="CT96" s="5" t="s">
        <v>265</v>
      </c>
      <c r="CU96" s="5" t="s">
        <v>266</v>
      </c>
      <c r="CV96" s="5" t="s">
        <v>267</v>
      </c>
      <c r="CW96" s="7">
        <f>0</f>
        <v>0</v>
      </c>
      <c r="CX96" s="8">
        <f>1391400</f>
        <v>1391400</v>
      </c>
      <c r="CY96" s="8">
        <f>1</f>
        <v>1</v>
      </c>
      <c r="DA96" s="5" t="s">
        <v>238</v>
      </c>
      <c r="DB96" s="5" t="s">
        <v>238</v>
      </c>
      <c r="DD96" s="5" t="s">
        <v>238</v>
      </c>
      <c r="DE96" s="8">
        <f>0</f>
        <v>0</v>
      </c>
      <c r="DG96" s="5" t="s">
        <v>238</v>
      </c>
      <c r="DH96" s="5" t="s">
        <v>238</v>
      </c>
      <c r="DI96" s="5" t="s">
        <v>238</v>
      </c>
      <c r="DJ96" s="5" t="s">
        <v>238</v>
      </c>
      <c r="DK96" s="5" t="s">
        <v>271</v>
      </c>
      <c r="DL96" s="5" t="s">
        <v>272</v>
      </c>
      <c r="DM96" s="7">
        <f>23.19</f>
        <v>23.19</v>
      </c>
      <c r="DN96" s="5" t="s">
        <v>238</v>
      </c>
      <c r="DO96" s="5" t="s">
        <v>238</v>
      </c>
      <c r="DP96" s="5" t="s">
        <v>238</v>
      </c>
      <c r="DQ96" s="5" t="s">
        <v>238</v>
      </c>
      <c r="DT96" s="5" t="s">
        <v>4290</v>
      </c>
      <c r="DU96" s="5" t="s">
        <v>271</v>
      </c>
      <c r="HM96" s="5" t="s">
        <v>271</v>
      </c>
      <c r="HP96" s="5" t="s">
        <v>272</v>
      </c>
      <c r="HQ96" s="5" t="s">
        <v>272</v>
      </c>
      <c r="HR96" s="5" t="s">
        <v>238</v>
      </c>
      <c r="HS96" s="5" t="s">
        <v>238</v>
      </c>
      <c r="HT96" s="5" t="s">
        <v>238</v>
      </c>
      <c r="HU96" s="5" t="s">
        <v>238</v>
      </c>
      <c r="HV96" s="5" t="s">
        <v>238</v>
      </c>
      <c r="HW96" s="5" t="s">
        <v>238</v>
      </c>
      <c r="HX96" s="5" t="s">
        <v>238</v>
      </c>
      <c r="HY96" s="5" t="s">
        <v>238</v>
      </c>
      <c r="HZ96" s="5" t="s">
        <v>238</v>
      </c>
      <c r="IA96" s="5" t="s">
        <v>238</v>
      </c>
      <c r="IB96" s="5" t="s">
        <v>238</v>
      </c>
      <c r="IC96" s="5" t="s">
        <v>238</v>
      </c>
      <c r="ID96" s="5" t="s">
        <v>238</v>
      </c>
    </row>
    <row r="97" spans="1:238" x14ac:dyDescent="0.4">
      <c r="A97" s="5">
        <v>100</v>
      </c>
      <c r="B97" s="5">
        <v>1</v>
      </c>
      <c r="C97" s="5">
        <v>2</v>
      </c>
      <c r="D97" s="5" t="s">
        <v>4284</v>
      </c>
      <c r="E97" s="5" t="s">
        <v>751</v>
      </c>
      <c r="F97" s="5" t="s">
        <v>282</v>
      </c>
      <c r="G97" s="5" t="s">
        <v>752</v>
      </c>
      <c r="H97" s="6" t="s">
        <v>4285</v>
      </c>
      <c r="I97" s="5" t="s">
        <v>4283</v>
      </c>
      <c r="J97" s="7">
        <f>24.9</f>
        <v>24.9</v>
      </c>
      <c r="K97" s="5" t="s">
        <v>270</v>
      </c>
      <c r="L97" s="8">
        <f>1</f>
        <v>1</v>
      </c>
      <c r="M97" s="8">
        <f>1494000</f>
        <v>1494000</v>
      </c>
      <c r="N97" s="6" t="s">
        <v>906</v>
      </c>
      <c r="O97" s="5" t="s">
        <v>651</v>
      </c>
      <c r="P97" s="5" t="s">
        <v>909</v>
      </c>
      <c r="R97" s="8">
        <f>1493999</f>
        <v>1493999</v>
      </c>
      <c r="S97" s="5" t="s">
        <v>240</v>
      </c>
      <c r="T97" s="5" t="s">
        <v>237</v>
      </c>
      <c r="W97" s="5" t="s">
        <v>241</v>
      </c>
      <c r="X97" s="5" t="s">
        <v>750</v>
      </c>
      <c r="Y97" s="5" t="s">
        <v>238</v>
      </c>
      <c r="AB97" s="5" t="s">
        <v>238</v>
      </c>
      <c r="AC97" s="6" t="s">
        <v>238</v>
      </c>
      <c r="AD97" s="6" t="s">
        <v>238</v>
      </c>
      <c r="AF97" s="6" t="s">
        <v>238</v>
      </c>
      <c r="AG97" s="6" t="s">
        <v>246</v>
      </c>
      <c r="AH97" s="5" t="s">
        <v>247</v>
      </c>
      <c r="AI97" s="5" t="s">
        <v>248</v>
      </c>
      <c r="AT97" s="6" t="s">
        <v>238</v>
      </c>
      <c r="AW97" s="5" t="s">
        <v>304</v>
      </c>
      <c r="AX97" s="5" t="s">
        <v>304</v>
      </c>
      <c r="AY97" s="5" t="s">
        <v>250</v>
      </c>
      <c r="AZ97" s="5" t="s">
        <v>305</v>
      </c>
      <c r="BA97" s="5" t="s">
        <v>251</v>
      </c>
      <c r="BB97" s="5" t="s">
        <v>238</v>
      </c>
      <c r="BC97" s="5" t="s">
        <v>253</v>
      </c>
      <c r="BD97" s="5" t="s">
        <v>238</v>
      </c>
      <c r="BF97" s="5" t="s">
        <v>760</v>
      </c>
      <c r="BH97" s="5" t="s">
        <v>283</v>
      </c>
      <c r="BI97" s="6" t="s">
        <v>293</v>
      </c>
      <c r="BJ97" s="5" t="s">
        <v>255</v>
      </c>
      <c r="BK97" s="5" t="s">
        <v>256</v>
      </c>
      <c r="BL97" s="5" t="s">
        <v>238</v>
      </c>
      <c r="BM97" s="7">
        <f>0</f>
        <v>0</v>
      </c>
      <c r="BN97" s="8">
        <f>0</f>
        <v>0</v>
      </c>
      <c r="BO97" s="5" t="s">
        <v>257</v>
      </c>
      <c r="BP97" s="5" t="s">
        <v>258</v>
      </c>
      <c r="BQ97" s="5" t="s">
        <v>238</v>
      </c>
      <c r="BR97" s="5" t="s">
        <v>238</v>
      </c>
      <c r="BS97" s="5" t="s">
        <v>238</v>
      </c>
      <c r="BT97" s="5" t="s">
        <v>238</v>
      </c>
      <c r="CC97" s="5" t="s">
        <v>258</v>
      </c>
      <c r="CD97" s="5" t="s">
        <v>238</v>
      </c>
      <c r="CE97" s="5" t="s">
        <v>238</v>
      </c>
      <c r="CI97" s="5" t="s">
        <v>527</v>
      </c>
      <c r="CJ97" s="5" t="s">
        <v>260</v>
      </c>
      <c r="CK97" s="5" t="s">
        <v>238</v>
      </c>
      <c r="CM97" s="5" t="s">
        <v>908</v>
      </c>
      <c r="CN97" s="6" t="s">
        <v>262</v>
      </c>
      <c r="CO97" s="5" t="s">
        <v>263</v>
      </c>
      <c r="CP97" s="5" t="s">
        <v>264</v>
      </c>
      <c r="CQ97" s="5" t="s">
        <v>285</v>
      </c>
      <c r="CR97" s="5" t="s">
        <v>238</v>
      </c>
      <c r="CS97" s="5">
        <v>0</v>
      </c>
      <c r="CT97" s="5" t="s">
        <v>265</v>
      </c>
      <c r="CU97" s="5" t="s">
        <v>266</v>
      </c>
      <c r="CV97" s="5" t="s">
        <v>331</v>
      </c>
      <c r="CW97" s="7">
        <f>0</f>
        <v>0</v>
      </c>
      <c r="CX97" s="8">
        <f>1494000</f>
        <v>1494000</v>
      </c>
      <c r="CY97" s="8">
        <f>1</f>
        <v>1</v>
      </c>
      <c r="DA97" s="5" t="s">
        <v>238</v>
      </c>
      <c r="DB97" s="5" t="s">
        <v>238</v>
      </c>
      <c r="DD97" s="5" t="s">
        <v>238</v>
      </c>
      <c r="DE97" s="8">
        <f>0</f>
        <v>0</v>
      </c>
      <c r="DG97" s="5" t="s">
        <v>238</v>
      </c>
      <c r="DH97" s="5" t="s">
        <v>238</v>
      </c>
      <c r="DI97" s="5" t="s">
        <v>238</v>
      </c>
      <c r="DJ97" s="5" t="s">
        <v>238</v>
      </c>
      <c r="DK97" s="5" t="s">
        <v>271</v>
      </c>
      <c r="DL97" s="5" t="s">
        <v>272</v>
      </c>
      <c r="DM97" s="7">
        <f>24.9</f>
        <v>24.9</v>
      </c>
      <c r="DN97" s="5" t="s">
        <v>238</v>
      </c>
      <c r="DO97" s="5" t="s">
        <v>238</v>
      </c>
      <c r="DP97" s="5" t="s">
        <v>238</v>
      </c>
      <c r="DQ97" s="5" t="s">
        <v>238</v>
      </c>
      <c r="DT97" s="5" t="s">
        <v>4286</v>
      </c>
      <c r="DU97" s="5" t="s">
        <v>271</v>
      </c>
      <c r="HM97" s="5" t="s">
        <v>271</v>
      </c>
      <c r="HP97" s="5" t="s">
        <v>272</v>
      </c>
      <c r="HQ97" s="5" t="s">
        <v>272</v>
      </c>
      <c r="HR97" s="5" t="s">
        <v>238</v>
      </c>
      <c r="HS97" s="5" t="s">
        <v>238</v>
      </c>
      <c r="HT97" s="5" t="s">
        <v>238</v>
      </c>
      <c r="HU97" s="5" t="s">
        <v>238</v>
      </c>
      <c r="HV97" s="5" t="s">
        <v>238</v>
      </c>
      <c r="HW97" s="5" t="s">
        <v>238</v>
      </c>
      <c r="HX97" s="5" t="s">
        <v>238</v>
      </c>
      <c r="HY97" s="5" t="s">
        <v>238</v>
      </c>
      <c r="HZ97" s="5" t="s">
        <v>238</v>
      </c>
      <c r="IA97" s="5" t="s">
        <v>238</v>
      </c>
      <c r="IB97" s="5" t="s">
        <v>238</v>
      </c>
      <c r="IC97" s="5" t="s">
        <v>238</v>
      </c>
      <c r="ID97" s="5" t="s">
        <v>238</v>
      </c>
    </row>
    <row r="98" spans="1:238" x14ac:dyDescent="0.4">
      <c r="A98" s="5">
        <v>101</v>
      </c>
      <c r="B98" s="5">
        <v>1</v>
      </c>
      <c r="C98" s="5">
        <v>2</v>
      </c>
      <c r="D98" s="5" t="s">
        <v>4276</v>
      </c>
      <c r="E98" s="5" t="s">
        <v>751</v>
      </c>
      <c r="F98" s="5" t="s">
        <v>282</v>
      </c>
      <c r="G98" s="5" t="s">
        <v>752</v>
      </c>
      <c r="H98" s="6" t="s">
        <v>4277</v>
      </c>
      <c r="I98" s="5" t="s">
        <v>4275</v>
      </c>
      <c r="J98" s="7">
        <f>23.38</f>
        <v>23.38</v>
      </c>
      <c r="K98" s="5" t="s">
        <v>270</v>
      </c>
      <c r="L98" s="8">
        <f>1</f>
        <v>1</v>
      </c>
      <c r="M98" s="8">
        <f>1402800</f>
        <v>1402800</v>
      </c>
      <c r="N98" s="6" t="s">
        <v>906</v>
      </c>
      <c r="O98" s="5" t="s">
        <v>651</v>
      </c>
      <c r="P98" s="5" t="s">
        <v>909</v>
      </c>
      <c r="R98" s="8">
        <f>1402799</f>
        <v>1402799</v>
      </c>
      <c r="S98" s="5" t="s">
        <v>240</v>
      </c>
      <c r="T98" s="5" t="s">
        <v>237</v>
      </c>
      <c r="W98" s="5" t="s">
        <v>241</v>
      </c>
      <c r="X98" s="5" t="s">
        <v>750</v>
      </c>
      <c r="Y98" s="5" t="s">
        <v>238</v>
      </c>
      <c r="AB98" s="5" t="s">
        <v>238</v>
      </c>
      <c r="AC98" s="6" t="s">
        <v>238</v>
      </c>
      <c r="AD98" s="6" t="s">
        <v>238</v>
      </c>
      <c r="AF98" s="6" t="s">
        <v>238</v>
      </c>
      <c r="AG98" s="6" t="s">
        <v>246</v>
      </c>
      <c r="AH98" s="5" t="s">
        <v>247</v>
      </c>
      <c r="AI98" s="5" t="s">
        <v>248</v>
      </c>
      <c r="AT98" s="6" t="s">
        <v>238</v>
      </c>
      <c r="AW98" s="5" t="s">
        <v>304</v>
      </c>
      <c r="AX98" s="5" t="s">
        <v>304</v>
      </c>
      <c r="AY98" s="5" t="s">
        <v>250</v>
      </c>
      <c r="AZ98" s="5" t="s">
        <v>305</v>
      </c>
      <c r="BA98" s="5" t="s">
        <v>251</v>
      </c>
      <c r="BB98" s="5" t="s">
        <v>238</v>
      </c>
      <c r="BC98" s="5" t="s">
        <v>253</v>
      </c>
      <c r="BD98" s="5" t="s">
        <v>238</v>
      </c>
      <c r="BF98" s="5" t="s">
        <v>760</v>
      </c>
      <c r="BH98" s="5" t="s">
        <v>283</v>
      </c>
      <c r="BI98" s="6" t="s">
        <v>293</v>
      </c>
      <c r="BJ98" s="5" t="s">
        <v>255</v>
      </c>
      <c r="BK98" s="5" t="s">
        <v>256</v>
      </c>
      <c r="BL98" s="5" t="s">
        <v>238</v>
      </c>
      <c r="BM98" s="7">
        <f>0</f>
        <v>0</v>
      </c>
      <c r="BN98" s="8">
        <f>0</f>
        <v>0</v>
      </c>
      <c r="BO98" s="5" t="s">
        <v>257</v>
      </c>
      <c r="BP98" s="5" t="s">
        <v>258</v>
      </c>
      <c r="BQ98" s="5" t="s">
        <v>238</v>
      </c>
      <c r="BR98" s="5" t="s">
        <v>238</v>
      </c>
      <c r="BS98" s="5" t="s">
        <v>238</v>
      </c>
      <c r="BT98" s="5" t="s">
        <v>238</v>
      </c>
      <c r="CC98" s="5" t="s">
        <v>258</v>
      </c>
      <c r="CD98" s="5" t="s">
        <v>238</v>
      </c>
      <c r="CE98" s="5" t="s">
        <v>238</v>
      </c>
      <c r="CI98" s="5" t="s">
        <v>527</v>
      </c>
      <c r="CJ98" s="5" t="s">
        <v>260</v>
      </c>
      <c r="CK98" s="5" t="s">
        <v>238</v>
      </c>
      <c r="CM98" s="5" t="s">
        <v>908</v>
      </c>
      <c r="CN98" s="6" t="s">
        <v>262</v>
      </c>
      <c r="CO98" s="5" t="s">
        <v>263</v>
      </c>
      <c r="CP98" s="5" t="s">
        <v>264</v>
      </c>
      <c r="CQ98" s="5" t="s">
        <v>285</v>
      </c>
      <c r="CR98" s="5" t="s">
        <v>238</v>
      </c>
      <c r="CS98" s="5">
        <v>0</v>
      </c>
      <c r="CT98" s="5" t="s">
        <v>265</v>
      </c>
      <c r="CU98" s="5" t="s">
        <v>266</v>
      </c>
      <c r="CV98" s="5" t="s">
        <v>331</v>
      </c>
      <c r="CW98" s="7">
        <f>0</f>
        <v>0</v>
      </c>
      <c r="CX98" s="8">
        <f>1402800</f>
        <v>1402800</v>
      </c>
      <c r="CY98" s="8">
        <f>1</f>
        <v>1</v>
      </c>
      <c r="DA98" s="5" t="s">
        <v>238</v>
      </c>
      <c r="DB98" s="5" t="s">
        <v>238</v>
      </c>
      <c r="DD98" s="5" t="s">
        <v>238</v>
      </c>
      <c r="DE98" s="8">
        <f>0</f>
        <v>0</v>
      </c>
      <c r="DG98" s="5" t="s">
        <v>238</v>
      </c>
      <c r="DH98" s="5" t="s">
        <v>238</v>
      </c>
      <c r="DI98" s="5" t="s">
        <v>238</v>
      </c>
      <c r="DJ98" s="5" t="s">
        <v>238</v>
      </c>
      <c r="DK98" s="5" t="s">
        <v>271</v>
      </c>
      <c r="DL98" s="5" t="s">
        <v>272</v>
      </c>
      <c r="DM98" s="7">
        <f>23.38</f>
        <v>23.38</v>
      </c>
      <c r="DN98" s="5" t="s">
        <v>238</v>
      </c>
      <c r="DO98" s="5" t="s">
        <v>238</v>
      </c>
      <c r="DP98" s="5" t="s">
        <v>238</v>
      </c>
      <c r="DQ98" s="5" t="s">
        <v>238</v>
      </c>
      <c r="DT98" s="5" t="s">
        <v>4278</v>
      </c>
      <c r="DU98" s="5" t="s">
        <v>271</v>
      </c>
      <c r="HM98" s="5" t="s">
        <v>271</v>
      </c>
      <c r="HP98" s="5" t="s">
        <v>272</v>
      </c>
      <c r="HQ98" s="5" t="s">
        <v>272</v>
      </c>
      <c r="HR98" s="5" t="s">
        <v>238</v>
      </c>
      <c r="HS98" s="5" t="s">
        <v>238</v>
      </c>
      <c r="HT98" s="5" t="s">
        <v>238</v>
      </c>
      <c r="HU98" s="5" t="s">
        <v>238</v>
      </c>
      <c r="HV98" s="5" t="s">
        <v>238</v>
      </c>
      <c r="HW98" s="5" t="s">
        <v>238</v>
      </c>
      <c r="HX98" s="5" t="s">
        <v>238</v>
      </c>
      <c r="HY98" s="5" t="s">
        <v>238</v>
      </c>
      <c r="HZ98" s="5" t="s">
        <v>238</v>
      </c>
      <c r="IA98" s="5" t="s">
        <v>238</v>
      </c>
      <c r="IB98" s="5" t="s">
        <v>238</v>
      </c>
      <c r="IC98" s="5" t="s">
        <v>238</v>
      </c>
      <c r="ID98" s="5" t="s">
        <v>238</v>
      </c>
    </row>
    <row r="99" spans="1:238" x14ac:dyDescent="0.4">
      <c r="A99" s="5">
        <v>103</v>
      </c>
      <c r="B99" s="5">
        <v>1</v>
      </c>
      <c r="C99" s="5">
        <v>2</v>
      </c>
      <c r="D99" s="5" t="s">
        <v>4269</v>
      </c>
      <c r="E99" s="5" t="s">
        <v>751</v>
      </c>
      <c r="F99" s="5" t="s">
        <v>282</v>
      </c>
      <c r="G99" s="5" t="s">
        <v>752</v>
      </c>
      <c r="H99" s="6" t="s">
        <v>4270</v>
      </c>
      <c r="I99" s="5" t="s">
        <v>4268</v>
      </c>
      <c r="J99" s="7">
        <f>23.19</f>
        <v>23.19</v>
      </c>
      <c r="K99" s="5" t="s">
        <v>270</v>
      </c>
      <c r="L99" s="8">
        <f>1</f>
        <v>1</v>
      </c>
      <c r="M99" s="8">
        <f>1391400</f>
        <v>1391400</v>
      </c>
      <c r="N99" s="6" t="s">
        <v>906</v>
      </c>
      <c r="O99" s="5" t="s">
        <v>268</v>
      </c>
      <c r="P99" s="5" t="s">
        <v>909</v>
      </c>
      <c r="R99" s="8">
        <f>1391399</f>
        <v>1391399</v>
      </c>
      <c r="S99" s="5" t="s">
        <v>240</v>
      </c>
      <c r="T99" s="5" t="s">
        <v>237</v>
      </c>
      <c r="W99" s="5" t="s">
        <v>241</v>
      </c>
      <c r="X99" s="5" t="s">
        <v>750</v>
      </c>
      <c r="Y99" s="5" t="s">
        <v>238</v>
      </c>
      <c r="AB99" s="5" t="s">
        <v>238</v>
      </c>
      <c r="AC99" s="6" t="s">
        <v>238</v>
      </c>
      <c r="AD99" s="6" t="s">
        <v>238</v>
      </c>
      <c r="AF99" s="6" t="s">
        <v>238</v>
      </c>
      <c r="AG99" s="6" t="s">
        <v>246</v>
      </c>
      <c r="AH99" s="5" t="s">
        <v>247</v>
      </c>
      <c r="AI99" s="5" t="s">
        <v>248</v>
      </c>
      <c r="AT99" s="6" t="s">
        <v>238</v>
      </c>
      <c r="AW99" s="5" t="s">
        <v>304</v>
      </c>
      <c r="AX99" s="5" t="s">
        <v>304</v>
      </c>
      <c r="AY99" s="5" t="s">
        <v>250</v>
      </c>
      <c r="AZ99" s="5" t="s">
        <v>305</v>
      </c>
      <c r="BA99" s="5" t="s">
        <v>251</v>
      </c>
      <c r="BB99" s="5" t="s">
        <v>238</v>
      </c>
      <c r="BC99" s="5" t="s">
        <v>253</v>
      </c>
      <c r="BD99" s="5" t="s">
        <v>238</v>
      </c>
      <c r="BF99" s="5" t="s">
        <v>760</v>
      </c>
      <c r="BH99" s="5" t="s">
        <v>283</v>
      </c>
      <c r="BI99" s="6" t="s">
        <v>293</v>
      </c>
      <c r="BJ99" s="5" t="s">
        <v>255</v>
      </c>
      <c r="BK99" s="5" t="s">
        <v>256</v>
      </c>
      <c r="BL99" s="5" t="s">
        <v>238</v>
      </c>
      <c r="BM99" s="7">
        <f>0</f>
        <v>0</v>
      </c>
      <c r="BN99" s="8">
        <f>0</f>
        <v>0</v>
      </c>
      <c r="BO99" s="5" t="s">
        <v>257</v>
      </c>
      <c r="BP99" s="5" t="s">
        <v>258</v>
      </c>
      <c r="BQ99" s="5" t="s">
        <v>238</v>
      </c>
      <c r="BR99" s="5" t="s">
        <v>238</v>
      </c>
      <c r="BS99" s="5" t="s">
        <v>238</v>
      </c>
      <c r="BT99" s="5" t="s">
        <v>238</v>
      </c>
      <c r="CC99" s="5" t="s">
        <v>258</v>
      </c>
      <c r="CD99" s="5" t="s">
        <v>238</v>
      </c>
      <c r="CE99" s="5" t="s">
        <v>238</v>
      </c>
      <c r="CI99" s="5" t="s">
        <v>527</v>
      </c>
      <c r="CJ99" s="5" t="s">
        <v>260</v>
      </c>
      <c r="CK99" s="5" t="s">
        <v>238</v>
      </c>
      <c r="CM99" s="5" t="s">
        <v>908</v>
      </c>
      <c r="CN99" s="6" t="s">
        <v>262</v>
      </c>
      <c r="CO99" s="5" t="s">
        <v>263</v>
      </c>
      <c r="CP99" s="5" t="s">
        <v>264</v>
      </c>
      <c r="CQ99" s="5" t="s">
        <v>285</v>
      </c>
      <c r="CR99" s="5" t="s">
        <v>238</v>
      </c>
      <c r="CS99" s="5">
        <v>0</v>
      </c>
      <c r="CT99" s="5" t="s">
        <v>265</v>
      </c>
      <c r="CU99" s="5" t="s">
        <v>266</v>
      </c>
      <c r="CV99" s="5" t="s">
        <v>267</v>
      </c>
      <c r="CW99" s="7">
        <f>0</f>
        <v>0</v>
      </c>
      <c r="CX99" s="8">
        <f>1391400</f>
        <v>1391400</v>
      </c>
      <c r="CY99" s="8">
        <f>1</f>
        <v>1</v>
      </c>
      <c r="DA99" s="5" t="s">
        <v>238</v>
      </c>
      <c r="DB99" s="5" t="s">
        <v>238</v>
      </c>
      <c r="DD99" s="5" t="s">
        <v>238</v>
      </c>
      <c r="DE99" s="8">
        <f>0</f>
        <v>0</v>
      </c>
      <c r="DG99" s="5" t="s">
        <v>238</v>
      </c>
      <c r="DH99" s="5" t="s">
        <v>238</v>
      </c>
      <c r="DI99" s="5" t="s">
        <v>238</v>
      </c>
      <c r="DJ99" s="5" t="s">
        <v>238</v>
      </c>
      <c r="DK99" s="5" t="s">
        <v>271</v>
      </c>
      <c r="DL99" s="5" t="s">
        <v>272</v>
      </c>
      <c r="DM99" s="7">
        <f>23.19</f>
        <v>23.19</v>
      </c>
      <c r="DN99" s="5" t="s">
        <v>238</v>
      </c>
      <c r="DO99" s="5" t="s">
        <v>238</v>
      </c>
      <c r="DP99" s="5" t="s">
        <v>238</v>
      </c>
      <c r="DQ99" s="5" t="s">
        <v>238</v>
      </c>
      <c r="DT99" s="5" t="s">
        <v>4271</v>
      </c>
      <c r="DU99" s="5" t="s">
        <v>271</v>
      </c>
      <c r="HM99" s="5" t="s">
        <v>271</v>
      </c>
      <c r="HP99" s="5" t="s">
        <v>272</v>
      </c>
      <c r="HQ99" s="5" t="s">
        <v>272</v>
      </c>
      <c r="HR99" s="5" t="s">
        <v>238</v>
      </c>
      <c r="HS99" s="5" t="s">
        <v>238</v>
      </c>
      <c r="HT99" s="5" t="s">
        <v>238</v>
      </c>
      <c r="HU99" s="5" t="s">
        <v>238</v>
      </c>
      <c r="HV99" s="5" t="s">
        <v>238</v>
      </c>
      <c r="HW99" s="5" t="s">
        <v>238</v>
      </c>
      <c r="HX99" s="5" t="s">
        <v>238</v>
      </c>
      <c r="HY99" s="5" t="s">
        <v>238</v>
      </c>
      <c r="HZ99" s="5" t="s">
        <v>238</v>
      </c>
      <c r="IA99" s="5" t="s">
        <v>238</v>
      </c>
      <c r="IB99" s="5" t="s">
        <v>238</v>
      </c>
      <c r="IC99" s="5" t="s">
        <v>238</v>
      </c>
      <c r="ID99" s="5" t="s">
        <v>238</v>
      </c>
    </row>
    <row r="100" spans="1:238" x14ac:dyDescent="0.4">
      <c r="A100" s="5">
        <v>104</v>
      </c>
      <c r="B100" s="5">
        <v>1</v>
      </c>
      <c r="C100" s="5">
        <v>2</v>
      </c>
      <c r="D100" s="5" t="s">
        <v>4265</v>
      </c>
      <c r="E100" s="5" t="s">
        <v>751</v>
      </c>
      <c r="F100" s="5" t="s">
        <v>282</v>
      </c>
      <c r="G100" s="5" t="s">
        <v>752</v>
      </c>
      <c r="H100" s="6" t="s">
        <v>4266</v>
      </c>
      <c r="I100" s="5" t="s">
        <v>4264</v>
      </c>
      <c r="J100" s="7">
        <f>9.92</f>
        <v>9.92</v>
      </c>
      <c r="K100" s="5" t="s">
        <v>270</v>
      </c>
      <c r="L100" s="8">
        <f>1</f>
        <v>1</v>
      </c>
      <c r="M100" s="8">
        <f>595200</f>
        <v>595200</v>
      </c>
      <c r="N100" s="6" t="s">
        <v>906</v>
      </c>
      <c r="O100" s="5" t="s">
        <v>651</v>
      </c>
      <c r="P100" s="5" t="s">
        <v>909</v>
      </c>
      <c r="R100" s="8">
        <f>595199</f>
        <v>595199</v>
      </c>
      <c r="S100" s="5" t="s">
        <v>240</v>
      </c>
      <c r="T100" s="5" t="s">
        <v>237</v>
      </c>
      <c r="W100" s="5" t="s">
        <v>241</v>
      </c>
      <c r="X100" s="5" t="s">
        <v>750</v>
      </c>
      <c r="Y100" s="5" t="s">
        <v>238</v>
      </c>
      <c r="AB100" s="5" t="s">
        <v>238</v>
      </c>
      <c r="AC100" s="6" t="s">
        <v>238</v>
      </c>
      <c r="AD100" s="6" t="s">
        <v>238</v>
      </c>
      <c r="AF100" s="6" t="s">
        <v>238</v>
      </c>
      <c r="AG100" s="6" t="s">
        <v>246</v>
      </c>
      <c r="AH100" s="5" t="s">
        <v>247</v>
      </c>
      <c r="AI100" s="5" t="s">
        <v>248</v>
      </c>
      <c r="AT100" s="6" t="s">
        <v>238</v>
      </c>
      <c r="AW100" s="5" t="s">
        <v>304</v>
      </c>
      <c r="AX100" s="5" t="s">
        <v>304</v>
      </c>
      <c r="AY100" s="5" t="s">
        <v>250</v>
      </c>
      <c r="AZ100" s="5" t="s">
        <v>305</v>
      </c>
      <c r="BA100" s="5" t="s">
        <v>251</v>
      </c>
      <c r="BB100" s="5" t="s">
        <v>238</v>
      </c>
      <c r="BC100" s="5" t="s">
        <v>253</v>
      </c>
      <c r="BD100" s="5" t="s">
        <v>238</v>
      </c>
      <c r="BF100" s="5" t="s">
        <v>760</v>
      </c>
      <c r="BH100" s="5" t="s">
        <v>283</v>
      </c>
      <c r="BI100" s="6" t="s">
        <v>293</v>
      </c>
      <c r="BJ100" s="5" t="s">
        <v>255</v>
      </c>
      <c r="BK100" s="5" t="s">
        <v>256</v>
      </c>
      <c r="BL100" s="5" t="s">
        <v>238</v>
      </c>
      <c r="BM100" s="7">
        <f>0</f>
        <v>0</v>
      </c>
      <c r="BN100" s="8">
        <f>0</f>
        <v>0</v>
      </c>
      <c r="BO100" s="5" t="s">
        <v>257</v>
      </c>
      <c r="BP100" s="5" t="s">
        <v>258</v>
      </c>
      <c r="BQ100" s="5" t="s">
        <v>238</v>
      </c>
      <c r="BR100" s="5" t="s">
        <v>238</v>
      </c>
      <c r="BS100" s="5" t="s">
        <v>238</v>
      </c>
      <c r="BT100" s="5" t="s">
        <v>238</v>
      </c>
      <c r="CC100" s="5" t="s">
        <v>258</v>
      </c>
      <c r="CD100" s="5" t="s">
        <v>238</v>
      </c>
      <c r="CE100" s="5" t="s">
        <v>238</v>
      </c>
      <c r="CI100" s="5" t="s">
        <v>527</v>
      </c>
      <c r="CJ100" s="5" t="s">
        <v>260</v>
      </c>
      <c r="CK100" s="5" t="s">
        <v>238</v>
      </c>
      <c r="CM100" s="5" t="s">
        <v>908</v>
      </c>
      <c r="CN100" s="6" t="s">
        <v>262</v>
      </c>
      <c r="CO100" s="5" t="s">
        <v>263</v>
      </c>
      <c r="CP100" s="5" t="s">
        <v>264</v>
      </c>
      <c r="CQ100" s="5" t="s">
        <v>285</v>
      </c>
      <c r="CR100" s="5" t="s">
        <v>238</v>
      </c>
      <c r="CS100" s="5">
        <v>0</v>
      </c>
      <c r="CT100" s="5" t="s">
        <v>265</v>
      </c>
      <c r="CU100" s="5" t="s">
        <v>266</v>
      </c>
      <c r="CV100" s="5" t="s">
        <v>331</v>
      </c>
      <c r="CW100" s="7">
        <f>0</f>
        <v>0</v>
      </c>
      <c r="CX100" s="8">
        <f>595200</f>
        <v>595200</v>
      </c>
      <c r="CY100" s="8">
        <f>1</f>
        <v>1</v>
      </c>
      <c r="DA100" s="5" t="s">
        <v>238</v>
      </c>
      <c r="DB100" s="5" t="s">
        <v>238</v>
      </c>
      <c r="DD100" s="5" t="s">
        <v>238</v>
      </c>
      <c r="DE100" s="8">
        <f>0</f>
        <v>0</v>
      </c>
      <c r="DG100" s="5" t="s">
        <v>238</v>
      </c>
      <c r="DH100" s="5" t="s">
        <v>238</v>
      </c>
      <c r="DI100" s="5" t="s">
        <v>238</v>
      </c>
      <c r="DJ100" s="5" t="s">
        <v>238</v>
      </c>
      <c r="DK100" s="5" t="s">
        <v>271</v>
      </c>
      <c r="DL100" s="5" t="s">
        <v>272</v>
      </c>
      <c r="DM100" s="7">
        <f>9.92</f>
        <v>9.92</v>
      </c>
      <c r="DN100" s="5" t="s">
        <v>238</v>
      </c>
      <c r="DO100" s="5" t="s">
        <v>238</v>
      </c>
      <c r="DP100" s="5" t="s">
        <v>238</v>
      </c>
      <c r="DQ100" s="5" t="s">
        <v>238</v>
      </c>
      <c r="DT100" s="5" t="s">
        <v>4267</v>
      </c>
      <c r="DU100" s="5" t="s">
        <v>271</v>
      </c>
      <c r="HM100" s="5" t="s">
        <v>271</v>
      </c>
      <c r="HP100" s="5" t="s">
        <v>272</v>
      </c>
      <c r="HQ100" s="5" t="s">
        <v>272</v>
      </c>
      <c r="HR100" s="5" t="s">
        <v>238</v>
      </c>
      <c r="HS100" s="5" t="s">
        <v>238</v>
      </c>
      <c r="HT100" s="5" t="s">
        <v>238</v>
      </c>
      <c r="HU100" s="5" t="s">
        <v>238</v>
      </c>
      <c r="HV100" s="5" t="s">
        <v>238</v>
      </c>
      <c r="HW100" s="5" t="s">
        <v>238</v>
      </c>
      <c r="HX100" s="5" t="s">
        <v>238</v>
      </c>
      <c r="HY100" s="5" t="s">
        <v>238</v>
      </c>
      <c r="HZ100" s="5" t="s">
        <v>238</v>
      </c>
      <c r="IA100" s="5" t="s">
        <v>238</v>
      </c>
      <c r="IB100" s="5" t="s">
        <v>238</v>
      </c>
      <c r="IC100" s="5" t="s">
        <v>238</v>
      </c>
      <c r="ID100" s="5" t="s">
        <v>238</v>
      </c>
    </row>
    <row r="101" spans="1:238" x14ac:dyDescent="0.4">
      <c r="A101" s="5">
        <v>105</v>
      </c>
      <c r="B101" s="5">
        <v>1</v>
      </c>
      <c r="C101" s="5">
        <v>2</v>
      </c>
      <c r="D101" s="5" t="s">
        <v>3844</v>
      </c>
      <c r="E101" s="5" t="s">
        <v>751</v>
      </c>
      <c r="F101" s="5" t="s">
        <v>282</v>
      </c>
      <c r="G101" s="5" t="s">
        <v>752</v>
      </c>
      <c r="H101" s="6" t="s">
        <v>3846</v>
      </c>
      <c r="I101" s="5" t="s">
        <v>4262</v>
      </c>
      <c r="J101" s="7">
        <f>9.94</f>
        <v>9.94</v>
      </c>
      <c r="K101" s="5" t="s">
        <v>270</v>
      </c>
      <c r="L101" s="8">
        <f>1</f>
        <v>1</v>
      </c>
      <c r="M101" s="8">
        <f>596400</f>
        <v>596400</v>
      </c>
      <c r="N101" s="6" t="s">
        <v>906</v>
      </c>
      <c r="O101" s="5" t="s">
        <v>651</v>
      </c>
      <c r="P101" s="5" t="s">
        <v>909</v>
      </c>
      <c r="R101" s="8">
        <f>596399</f>
        <v>596399</v>
      </c>
      <c r="S101" s="5" t="s">
        <v>240</v>
      </c>
      <c r="T101" s="5" t="s">
        <v>237</v>
      </c>
      <c r="W101" s="5" t="s">
        <v>241</v>
      </c>
      <c r="X101" s="5" t="s">
        <v>750</v>
      </c>
      <c r="Y101" s="5" t="s">
        <v>238</v>
      </c>
      <c r="AB101" s="5" t="s">
        <v>238</v>
      </c>
      <c r="AC101" s="6" t="s">
        <v>238</v>
      </c>
      <c r="AD101" s="6" t="s">
        <v>238</v>
      </c>
      <c r="AF101" s="6" t="s">
        <v>238</v>
      </c>
      <c r="AG101" s="6" t="s">
        <v>246</v>
      </c>
      <c r="AH101" s="5" t="s">
        <v>247</v>
      </c>
      <c r="AI101" s="5" t="s">
        <v>248</v>
      </c>
      <c r="AT101" s="6" t="s">
        <v>238</v>
      </c>
      <c r="AW101" s="5" t="s">
        <v>304</v>
      </c>
      <c r="AX101" s="5" t="s">
        <v>304</v>
      </c>
      <c r="AY101" s="5" t="s">
        <v>250</v>
      </c>
      <c r="AZ101" s="5" t="s">
        <v>305</v>
      </c>
      <c r="BA101" s="5" t="s">
        <v>251</v>
      </c>
      <c r="BB101" s="5" t="s">
        <v>238</v>
      </c>
      <c r="BC101" s="5" t="s">
        <v>253</v>
      </c>
      <c r="BD101" s="5" t="s">
        <v>238</v>
      </c>
      <c r="BF101" s="5" t="s">
        <v>760</v>
      </c>
      <c r="BH101" s="5" t="s">
        <v>283</v>
      </c>
      <c r="BI101" s="6" t="s">
        <v>293</v>
      </c>
      <c r="BJ101" s="5" t="s">
        <v>255</v>
      </c>
      <c r="BK101" s="5" t="s">
        <v>256</v>
      </c>
      <c r="BL101" s="5" t="s">
        <v>238</v>
      </c>
      <c r="BM101" s="7">
        <f>0</f>
        <v>0</v>
      </c>
      <c r="BN101" s="8">
        <f>0</f>
        <v>0</v>
      </c>
      <c r="BO101" s="5" t="s">
        <v>257</v>
      </c>
      <c r="BP101" s="5" t="s">
        <v>258</v>
      </c>
      <c r="BQ101" s="5" t="s">
        <v>238</v>
      </c>
      <c r="BR101" s="5" t="s">
        <v>238</v>
      </c>
      <c r="BS101" s="5" t="s">
        <v>238</v>
      </c>
      <c r="BT101" s="5" t="s">
        <v>238</v>
      </c>
      <c r="CC101" s="5" t="s">
        <v>258</v>
      </c>
      <c r="CD101" s="5" t="s">
        <v>238</v>
      </c>
      <c r="CE101" s="5" t="s">
        <v>238</v>
      </c>
      <c r="CI101" s="5" t="s">
        <v>527</v>
      </c>
      <c r="CJ101" s="5" t="s">
        <v>260</v>
      </c>
      <c r="CK101" s="5" t="s">
        <v>238</v>
      </c>
      <c r="CM101" s="5" t="s">
        <v>908</v>
      </c>
      <c r="CN101" s="6" t="s">
        <v>262</v>
      </c>
      <c r="CO101" s="5" t="s">
        <v>263</v>
      </c>
      <c r="CP101" s="5" t="s">
        <v>264</v>
      </c>
      <c r="CQ101" s="5" t="s">
        <v>285</v>
      </c>
      <c r="CR101" s="5" t="s">
        <v>238</v>
      </c>
      <c r="CS101" s="5">
        <v>0</v>
      </c>
      <c r="CT101" s="5" t="s">
        <v>265</v>
      </c>
      <c r="CU101" s="5" t="s">
        <v>266</v>
      </c>
      <c r="CV101" s="5" t="s">
        <v>331</v>
      </c>
      <c r="CW101" s="7">
        <f>0</f>
        <v>0</v>
      </c>
      <c r="CX101" s="8">
        <f>596400</f>
        <v>596400</v>
      </c>
      <c r="CY101" s="8">
        <f>1</f>
        <v>1</v>
      </c>
      <c r="DA101" s="5" t="s">
        <v>238</v>
      </c>
      <c r="DB101" s="5" t="s">
        <v>238</v>
      </c>
      <c r="DD101" s="5" t="s">
        <v>238</v>
      </c>
      <c r="DE101" s="8">
        <f>0</f>
        <v>0</v>
      </c>
      <c r="DG101" s="5" t="s">
        <v>238</v>
      </c>
      <c r="DH101" s="5" t="s">
        <v>238</v>
      </c>
      <c r="DI101" s="5" t="s">
        <v>238</v>
      </c>
      <c r="DJ101" s="5" t="s">
        <v>238</v>
      </c>
      <c r="DK101" s="5" t="s">
        <v>271</v>
      </c>
      <c r="DL101" s="5" t="s">
        <v>272</v>
      </c>
      <c r="DM101" s="7">
        <f>9.94</f>
        <v>9.94</v>
      </c>
      <c r="DN101" s="5" t="s">
        <v>238</v>
      </c>
      <c r="DO101" s="5" t="s">
        <v>238</v>
      </c>
      <c r="DP101" s="5" t="s">
        <v>238</v>
      </c>
      <c r="DQ101" s="5" t="s">
        <v>238</v>
      </c>
      <c r="DT101" s="5" t="s">
        <v>3847</v>
      </c>
      <c r="DU101" s="5" t="s">
        <v>271</v>
      </c>
      <c r="HM101" s="5" t="s">
        <v>271</v>
      </c>
      <c r="HP101" s="5" t="s">
        <v>272</v>
      </c>
      <c r="HQ101" s="5" t="s">
        <v>272</v>
      </c>
      <c r="HR101" s="5" t="s">
        <v>238</v>
      </c>
      <c r="HS101" s="5" t="s">
        <v>238</v>
      </c>
      <c r="HT101" s="5" t="s">
        <v>238</v>
      </c>
      <c r="HU101" s="5" t="s">
        <v>238</v>
      </c>
      <c r="HV101" s="5" t="s">
        <v>238</v>
      </c>
      <c r="HW101" s="5" t="s">
        <v>238</v>
      </c>
      <c r="HX101" s="5" t="s">
        <v>238</v>
      </c>
      <c r="HY101" s="5" t="s">
        <v>238</v>
      </c>
      <c r="HZ101" s="5" t="s">
        <v>238</v>
      </c>
      <c r="IA101" s="5" t="s">
        <v>238</v>
      </c>
      <c r="IB101" s="5" t="s">
        <v>238</v>
      </c>
      <c r="IC101" s="5" t="s">
        <v>238</v>
      </c>
      <c r="ID101" s="5" t="s">
        <v>238</v>
      </c>
    </row>
    <row r="102" spans="1:238" x14ac:dyDescent="0.4">
      <c r="A102" s="5">
        <v>106</v>
      </c>
      <c r="B102" s="5">
        <v>1</v>
      </c>
      <c r="C102" s="5">
        <v>5</v>
      </c>
      <c r="D102" s="5" t="s">
        <v>3844</v>
      </c>
      <c r="E102" s="5" t="s">
        <v>751</v>
      </c>
      <c r="F102" s="5" t="s">
        <v>282</v>
      </c>
      <c r="G102" s="5" t="s">
        <v>752</v>
      </c>
      <c r="H102" s="6" t="s">
        <v>3846</v>
      </c>
      <c r="I102" s="5" t="s">
        <v>3843</v>
      </c>
      <c r="J102" s="7">
        <f>0</f>
        <v>0</v>
      </c>
      <c r="K102" s="5" t="s">
        <v>270</v>
      </c>
      <c r="L102" s="8">
        <f>426600</f>
        <v>426600</v>
      </c>
      <c r="M102" s="8">
        <f>540000</f>
        <v>540000</v>
      </c>
      <c r="N102" s="6" t="s">
        <v>3845</v>
      </c>
      <c r="O102" s="5" t="s">
        <v>651</v>
      </c>
      <c r="P102" s="5" t="s">
        <v>356</v>
      </c>
      <c r="Q102" s="8">
        <f>22680</f>
        <v>22680</v>
      </c>
      <c r="R102" s="8">
        <f>113400</f>
        <v>113400</v>
      </c>
      <c r="S102" s="5" t="s">
        <v>240</v>
      </c>
      <c r="T102" s="5" t="s">
        <v>287</v>
      </c>
      <c r="W102" s="5" t="s">
        <v>241</v>
      </c>
      <c r="X102" s="5" t="s">
        <v>750</v>
      </c>
      <c r="Y102" s="5" t="s">
        <v>238</v>
      </c>
      <c r="AB102" s="5" t="s">
        <v>238</v>
      </c>
      <c r="AC102" s="6" t="s">
        <v>238</v>
      </c>
      <c r="AD102" s="6" t="s">
        <v>238</v>
      </c>
      <c r="AF102" s="6" t="s">
        <v>238</v>
      </c>
      <c r="AG102" s="6" t="s">
        <v>246</v>
      </c>
      <c r="AH102" s="5" t="s">
        <v>247</v>
      </c>
      <c r="AI102" s="5" t="s">
        <v>248</v>
      </c>
      <c r="AO102" s="5" t="s">
        <v>238</v>
      </c>
      <c r="AP102" s="5" t="s">
        <v>238</v>
      </c>
      <c r="AQ102" s="5" t="s">
        <v>238</v>
      </c>
      <c r="AR102" s="6" t="s">
        <v>238</v>
      </c>
      <c r="AS102" s="6" t="s">
        <v>238</v>
      </c>
      <c r="AT102" s="6" t="s">
        <v>238</v>
      </c>
      <c r="AW102" s="5" t="s">
        <v>304</v>
      </c>
      <c r="AX102" s="5" t="s">
        <v>304</v>
      </c>
      <c r="AY102" s="5" t="s">
        <v>250</v>
      </c>
      <c r="AZ102" s="5" t="s">
        <v>305</v>
      </c>
      <c r="BA102" s="5" t="s">
        <v>251</v>
      </c>
      <c r="BB102" s="5" t="s">
        <v>238</v>
      </c>
      <c r="BC102" s="5" t="s">
        <v>253</v>
      </c>
      <c r="BD102" s="5" t="s">
        <v>238</v>
      </c>
      <c r="BF102" s="5" t="s">
        <v>238</v>
      </c>
      <c r="BH102" s="5" t="s">
        <v>283</v>
      </c>
      <c r="BI102" s="6" t="s">
        <v>293</v>
      </c>
      <c r="BJ102" s="5" t="s">
        <v>294</v>
      </c>
      <c r="BK102" s="5" t="s">
        <v>294</v>
      </c>
      <c r="BL102" s="5" t="s">
        <v>238</v>
      </c>
      <c r="BM102" s="7">
        <f>0</f>
        <v>0</v>
      </c>
      <c r="BN102" s="8">
        <f>-22680</f>
        <v>-22680</v>
      </c>
      <c r="BO102" s="5" t="s">
        <v>257</v>
      </c>
      <c r="BP102" s="5" t="s">
        <v>258</v>
      </c>
      <c r="BQ102" s="5" t="s">
        <v>238</v>
      </c>
      <c r="BR102" s="5" t="s">
        <v>238</v>
      </c>
      <c r="BS102" s="5" t="s">
        <v>238</v>
      </c>
      <c r="BT102" s="5" t="s">
        <v>238</v>
      </c>
      <c r="CC102" s="5" t="s">
        <v>258</v>
      </c>
      <c r="CD102" s="5" t="s">
        <v>238</v>
      </c>
      <c r="CE102" s="5" t="s">
        <v>238</v>
      </c>
      <c r="CI102" s="5" t="s">
        <v>259</v>
      </c>
      <c r="CJ102" s="5" t="s">
        <v>260</v>
      </c>
      <c r="CK102" s="5" t="s">
        <v>238</v>
      </c>
      <c r="CM102" s="5" t="s">
        <v>376</v>
      </c>
      <c r="CN102" s="6" t="s">
        <v>262</v>
      </c>
      <c r="CO102" s="5" t="s">
        <v>263</v>
      </c>
      <c r="CP102" s="5" t="s">
        <v>264</v>
      </c>
      <c r="CQ102" s="5" t="s">
        <v>285</v>
      </c>
      <c r="CR102" s="5" t="s">
        <v>238</v>
      </c>
      <c r="CS102" s="5">
        <v>4.2000000000000003E-2</v>
      </c>
      <c r="CT102" s="5" t="s">
        <v>265</v>
      </c>
      <c r="CU102" s="5" t="s">
        <v>266</v>
      </c>
      <c r="CV102" s="5" t="s">
        <v>331</v>
      </c>
      <c r="CW102" s="7">
        <f>0</f>
        <v>0</v>
      </c>
      <c r="CX102" s="8">
        <f>540000</f>
        <v>540000</v>
      </c>
      <c r="CY102" s="8">
        <f>426600</f>
        <v>426600</v>
      </c>
      <c r="DA102" s="5" t="s">
        <v>238</v>
      </c>
      <c r="DB102" s="5" t="s">
        <v>238</v>
      </c>
      <c r="DD102" s="5" t="s">
        <v>238</v>
      </c>
      <c r="DE102" s="8">
        <f>0</f>
        <v>0</v>
      </c>
      <c r="DG102" s="5" t="s">
        <v>238</v>
      </c>
      <c r="DH102" s="5" t="s">
        <v>238</v>
      </c>
      <c r="DI102" s="5" t="s">
        <v>238</v>
      </c>
      <c r="DJ102" s="5" t="s">
        <v>238</v>
      </c>
      <c r="DK102" s="5" t="s">
        <v>272</v>
      </c>
      <c r="DL102" s="5" t="s">
        <v>272</v>
      </c>
      <c r="DM102" s="8" t="s">
        <v>238</v>
      </c>
      <c r="DN102" s="5" t="s">
        <v>238</v>
      </c>
      <c r="DO102" s="5" t="s">
        <v>238</v>
      </c>
      <c r="DP102" s="5" t="s">
        <v>238</v>
      </c>
      <c r="DQ102" s="5" t="s">
        <v>238</v>
      </c>
      <c r="DT102" s="5" t="s">
        <v>3847</v>
      </c>
      <c r="DU102" s="5" t="s">
        <v>274</v>
      </c>
      <c r="GL102" s="5" t="s">
        <v>3848</v>
      </c>
      <c r="HM102" s="5" t="s">
        <v>379</v>
      </c>
      <c r="HP102" s="5" t="s">
        <v>272</v>
      </c>
      <c r="HQ102" s="5" t="s">
        <v>272</v>
      </c>
      <c r="HR102" s="5" t="s">
        <v>238</v>
      </c>
      <c r="HS102" s="5" t="s">
        <v>238</v>
      </c>
      <c r="HT102" s="5" t="s">
        <v>238</v>
      </c>
      <c r="HU102" s="5" t="s">
        <v>238</v>
      </c>
      <c r="HV102" s="5" t="s">
        <v>238</v>
      </c>
      <c r="HW102" s="5" t="s">
        <v>238</v>
      </c>
      <c r="HX102" s="5" t="s">
        <v>238</v>
      </c>
      <c r="HY102" s="5" t="s">
        <v>238</v>
      </c>
      <c r="HZ102" s="5" t="s">
        <v>238</v>
      </c>
      <c r="IA102" s="5" t="s">
        <v>238</v>
      </c>
      <c r="IB102" s="5" t="s">
        <v>238</v>
      </c>
      <c r="IC102" s="5" t="s">
        <v>238</v>
      </c>
      <c r="ID102" s="5" t="s">
        <v>238</v>
      </c>
    </row>
    <row r="103" spans="1:238" x14ac:dyDescent="0.4">
      <c r="A103" s="5">
        <v>107</v>
      </c>
      <c r="B103" s="5">
        <v>1</v>
      </c>
      <c r="C103" s="5">
        <v>2</v>
      </c>
      <c r="D103" s="5" t="s">
        <v>4254</v>
      </c>
      <c r="E103" s="5" t="s">
        <v>751</v>
      </c>
      <c r="F103" s="5" t="s">
        <v>282</v>
      </c>
      <c r="G103" s="5" t="s">
        <v>752</v>
      </c>
      <c r="H103" s="6" t="s">
        <v>4255</v>
      </c>
      <c r="I103" s="5" t="s">
        <v>4253</v>
      </c>
      <c r="J103" s="7">
        <f>18</f>
        <v>18</v>
      </c>
      <c r="K103" s="5" t="s">
        <v>270</v>
      </c>
      <c r="L103" s="8">
        <f>1</f>
        <v>1</v>
      </c>
      <c r="M103" s="8">
        <f>1080000</f>
        <v>1080000</v>
      </c>
      <c r="N103" s="6" t="s">
        <v>906</v>
      </c>
      <c r="O103" s="5" t="s">
        <v>651</v>
      </c>
      <c r="P103" s="5" t="s">
        <v>909</v>
      </c>
      <c r="R103" s="8">
        <f>1079999</f>
        <v>1079999</v>
      </c>
      <c r="S103" s="5" t="s">
        <v>240</v>
      </c>
      <c r="T103" s="5" t="s">
        <v>237</v>
      </c>
      <c r="W103" s="5" t="s">
        <v>241</v>
      </c>
      <c r="X103" s="5" t="s">
        <v>750</v>
      </c>
      <c r="Y103" s="5" t="s">
        <v>238</v>
      </c>
      <c r="AB103" s="5" t="s">
        <v>238</v>
      </c>
      <c r="AC103" s="6" t="s">
        <v>238</v>
      </c>
      <c r="AD103" s="6" t="s">
        <v>238</v>
      </c>
      <c r="AF103" s="6" t="s">
        <v>238</v>
      </c>
      <c r="AG103" s="6" t="s">
        <v>246</v>
      </c>
      <c r="AH103" s="5" t="s">
        <v>247</v>
      </c>
      <c r="AI103" s="5" t="s">
        <v>248</v>
      </c>
      <c r="AT103" s="6" t="s">
        <v>238</v>
      </c>
      <c r="AW103" s="5" t="s">
        <v>304</v>
      </c>
      <c r="AX103" s="5" t="s">
        <v>304</v>
      </c>
      <c r="AY103" s="5" t="s">
        <v>250</v>
      </c>
      <c r="AZ103" s="5" t="s">
        <v>305</v>
      </c>
      <c r="BA103" s="5" t="s">
        <v>251</v>
      </c>
      <c r="BB103" s="5" t="s">
        <v>238</v>
      </c>
      <c r="BC103" s="5" t="s">
        <v>253</v>
      </c>
      <c r="BD103" s="5" t="s">
        <v>238</v>
      </c>
      <c r="BF103" s="5" t="s">
        <v>760</v>
      </c>
      <c r="BH103" s="5" t="s">
        <v>283</v>
      </c>
      <c r="BI103" s="6" t="s">
        <v>293</v>
      </c>
      <c r="BJ103" s="5" t="s">
        <v>255</v>
      </c>
      <c r="BK103" s="5" t="s">
        <v>256</v>
      </c>
      <c r="BL103" s="5" t="s">
        <v>238</v>
      </c>
      <c r="BM103" s="7">
        <f>0</f>
        <v>0</v>
      </c>
      <c r="BN103" s="8">
        <f>0</f>
        <v>0</v>
      </c>
      <c r="BO103" s="5" t="s">
        <v>257</v>
      </c>
      <c r="BP103" s="5" t="s">
        <v>258</v>
      </c>
      <c r="BQ103" s="5" t="s">
        <v>238</v>
      </c>
      <c r="BR103" s="5" t="s">
        <v>238</v>
      </c>
      <c r="BS103" s="5" t="s">
        <v>238</v>
      </c>
      <c r="BT103" s="5" t="s">
        <v>238</v>
      </c>
      <c r="CC103" s="5" t="s">
        <v>258</v>
      </c>
      <c r="CD103" s="5" t="s">
        <v>238</v>
      </c>
      <c r="CE103" s="5" t="s">
        <v>238</v>
      </c>
      <c r="CI103" s="5" t="s">
        <v>527</v>
      </c>
      <c r="CJ103" s="5" t="s">
        <v>260</v>
      </c>
      <c r="CK103" s="5" t="s">
        <v>238</v>
      </c>
      <c r="CM103" s="5" t="s">
        <v>908</v>
      </c>
      <c r="CN103" s="6" t="s">
        <v>262</v>
      </c>
      <c r="CO103" s="5" t="s">
        <v>263</v>
      </c>
      <c r="CP103" s="5" t="s">
        <v>264</v>
      </c>
      <c r="CQ103" s="5" t="s">
        <v>285</v>
      </c>
      <c r="CR103" s="5" t="s">
        <v>238</v>
      </c>
      <c r="CS103" s="5">
        <v>0</v>
      </c>
      <c r="CT103" s="5" t="s">
        <v>265</v>
      </c>
      <c r="CU103" s="5" t="s">
        <v>266</v>
      </c>
      <c r="CV103" s="5" t="s">
        <v>331</v>
      </c>
      <c r="CW103" s="7">
        <f>0</f>
        <v>0</v>
      </c>
      <c r="CX103" s="8">
        <f>1080000</f>
        <v>1080000</v>
      </c>
      <c r="CY103" s="8">
        <f>1</f>
        <v>1</v>
      </c>
      <c r="DA103" s="5" t="s">
        <v>238</v>
      </c>
      <c r="DB103" s="5" t="s">
        <v>238</v>
      </c>
      <c r="DD103" s="5" t="s">
        <v>238</v>
      </c>
      <c r="DE103" s="8">
        <f>0</f>
        <v>0</v>
      </c>
      <c r="DG103" s="5" t="s">
        <v>238</v>
      </c>
      <c r="DH103" s="5" t="s">
        <v>238</v>
      </c>
      <c r="DI103" s="5" t="s">
        <v>238</v>
      </c>
      <c r="DJ103" s="5" t="s">
        <v>238</v>
      </c>
      <c r="DK103" s="5" t="s">
        <v>271</v>
      </c>
      <c r="DL103" s="5" t="s">
        <v>272</v>
      </c>
      <c r="DM103" s="7">
        <f>18</f>
        <v>18</v>
      </c>
      <c r="DN103" s="5" t="s">
        <v>238</v>
      </c>
      <c r="DO103" s="5" t="s">
        <v>238</v>
      </c>
      <c r="DP103" s="5" t="s">
        <v>238</v>
      </c>
      <c r="DQ103" s="5" t="s">
        <v>238</v>
      </c>
      <c r="DT103" s="5" t="s">
        <v>4256</v>
      </c>
      <c r="DU103" s="5" t="s">
        <v>271</v>
      </c>
      <c r="HM103" s="5" t="s">
        <v>271</v>
      </c>
      <c r="HP103" s="5" t="s">
        <v>272</v>
      </c>
      <c r="HQ103" s="5" t="s">
        <v>272</v>
      </c>
      <c r="HR103" s="5" t="s">
        <v>238</v>
      </c>
      <c r="HS103" s="5" t="s">
        <v>238</v>
      </c>
      <c r="HT103" s="5" t="s">
        <v>238</v>
      </c>
      <c r="HU103" s="5" t="s">
        <v>238</v>
      </c>
      <c r="HV103" s="5" t="s">
        <v>238</v>
      </c>
      <c r="HW103" s="5" t="s">
        <v>238</v>
      </c>
      <c r="HX103" s="5" t="s">
        <v>238</v>
      </c>
      <c r="HY103" s="5" t="s">
        <v>238</v>
      </c>
      <c r="HZ103" s="5" t="s">
        <v>238</v>
      </c>
      <c r="IA103" s="5" t="s">
        <v>238</v>
      </c>
      <c r="IB103" s="5" t="s">
        <v>238</v>
      </c>
      <c r="IC103" s="5" t="s">
        <v>238</v>
      </c>
      <c r="ID103" s="5" t="s">
        <v>238</v>
      </c>
    </row>
    <row r="104" spans="1:238" x14ac:dyDescent="0.4">
      <c r="A104" s="5">
        <v>108</v>
      </c>
      <c r="B104" s="5">
        <v>1</v>
      </c>
      <c r="C104" s="5">
        <v>2</v>
      </c>
      <c r="D104" s="5" t="s">
        <v>4248</v>
      </c>
      <c r="E104" s="5" t="s">
        <v>751</v>
      </c>
      <c r="F104" s="5" t="s">
        <v>282</v>
      </c>
      <c r="G104" s="5" t="s">
        <v>752</v>
      </c>
      <c r="H104" s="6" t="s">
        <v>4249</v>
      </c>
      <c r="I104" s="5" t="s">
        <v>4247</v>
      </c>
      <c r="J104" s="7">
        <f>9.72</f>
        <v>9.7200000000000006</v>
      </c>
      <c r="K104" s="5" t="s">
        <v>270</v>
      </c>
      <c r="L104" s="8">
        <f>1</f>
        <v>1</v>
      </c>
      <c r="M104" s="8">
        <f>583200</f>
        <v>583200</v>
      </c>
      <c r="N104" s="6" t="s">
        <v>906</v>
      </c>
      <c r="O104" s="5" t="s">
        <v>651</v>
      </c>
      <c r="P104" s="5" t="s">
        <v>909</v>
      </c>
      <c r="R104" s="8">
        <f>583199</f>
        <v>583199</v>
      </c>
      <c r="S104" s="5" t="s">
        <v>240</v>
      </c>
      <c r="T104" s="5" t="s">
        <v>237</v>
      </c>
      <c r="W104" s="5" t="s">
        <v>241</v>
      </c>
      <c r="X104" s="5" t="s">
        <v>750</v>
      </c>
      <c r="Y104" s="5" t="s">
        <v>238</v>
      </c>
      <c r="AB104" s="5" t="s">
        <v>238</v>
      </c>
      <c r="AC104" s="6" t="s">
        <v>238</v>
      </c>
      <c r="AD104" s="6" t="s">
        <v>238</v>
      </c>
      <c r="AF104" s="6" t="s">
        <v>238</v>
      </c>
      <c r="AG104" s="6" t="s">
        <v>246</v>
      </c>
      <c r="AH104" s="5" t="s">
        <v>247</v>
      </c>
      <c r="AI104" s="5" t="s">
        <v>248</v>
      </c>
      <c r="AT104" s="6" t="s">
        <v>238</v>
      </c>
      <c r="AW104" s="5" t="s">
        <v>304</v>
      </c>
      <c r="AX104" s="5" t="s">
        <v>304</v>
      </c>
      <c r="AY104" s="5" t="s">
        <v>250</v>
      </c>
      <c r="AZ104" s="5" t="s">
        <v>305</v>
      </c>
      <c r="BA104" s="5" t="s">
        <v>251</v>
      </c>
      <c r="BB104" s="5" t="s">
        <v>238</v>
      </c>
      <c r="BC104" s="5" t="s">
        <v>253</v>
      </c>
      <c r="BD104" s="5" t="s">
        <v>238</v>
      </c>
      <c r="BF104" s="5" t="s">
        <v>760</v>
      </c>
      <c r="BH104" s="5" t="s">
        <v>283</v>
      </c>
      <c r="BI104" s="6" t="s">
        <v>293</v>
      </c>
      <c r="BJ104" s="5" t="s">
        <v>255</v>
      </c>
      <c r="BK104" s="5" t="s">
        <v>256</v>
      </c>
      <c r="BL104" s="5" t="s">
        <v>238</v>
      </c>
      <c r="BM104" s="7">
        <f>0</f>
        <v>0</v>
      </c>
      <c r="BN104" s="8">
        <f>0</f>
        <v>0</v>
      </c>
      <c r="BO104" s="5" t="s">
        <v>257</v>
      </c>
      <c r="BP104" s="5" t="s">
        <v>258</v>
      </c>
      <c r="BQ104" s="5" t="s">
        <v>238</v>
      </c>
      <c r="BR104" s="5" t="s">
        <v>238</v>
      </c>
      <c r="BS104" s="5" t="s">
        <v>238</v>
      </c>
      <c r="BT104" s="5" t="s">
        <v>238</v>
      </c>
      <c r="CC104" s="5" t="s">
        <v>258</v>
      </c>
      <c r="CD104" s="5" t="s">
        <v>238</v>
      </c>
      <c r="CE104" s="5" t="s">
        <v>238</v>
      </c>
      <c r="CI104" s="5" t="s">
        <v>527</v>
      </c>
      <c r="CJ104" s="5" t="s">
        <v>260</v>
      </c>
      <c r="CK104" s="5" t="s">
        <v>238</v>
      </c>
      <c r="CM104" s="5" t="s">
        <v>908</v>
      </c>
      <c r="CN104" s="6" t="s">
        <v>262</v>
      </c>
      <c r="CO104" s="5" t="s">
        <v>263</v>
      </c>
      <c r="CP104" s="5" t="s">
        <v>264</v>
      </c>
      <c r="CQ104" s="5" t="s">
        <v>285</v>
      </c>
      <c r="CR104" s="5" t="s">
        <v>238</v>
      </c>
      <c r="CS104" s="5">
        <v>0</v>
      </c>
      <c r="CT104" s="5" t="s">
        <v>265</v>
      </c>
      <c r="CU104" s="5" t="s">
        <v>266</v>
      </c>
      <c r="CV104" s="5" t="s">
        <v>331</v>
      </c>
      <c r="CW104" s="7">
        <f>0</f>
        <v>0</v>
      </c>
      <c r="CX104" s="8">
        <f>583200</f>
        <v>583200</v>
      </c>
      <c r="CY104" s="8">
        <f>1</f>
        <v>1</v>
      </c>
      <c r="DA104" s="5" t="s">
        <v>238</v>
      </c>
      <c r="DB104" s="5" t="s">
        <v>238</v>
      </c>
      <c r="DD104" s="5" t="s">
        <v>238</v>
      </c>
      <c r="DE104" s="8">
        <f>0</f>
        <v>0</v>
      </c>
      <c r="DG104" s="5" t="s">
        <v>238</v>
      </c>
      <c r="DH104" s="5" t="s">
        <v>238</v>
      </c>
      <c r="DI104" s="5" t="s">
        <v>238</v>
      </c>
      <c r="DJ104" s="5" t="s">
        <v>238</v>
      </c>
      <c r="DK104" s="5" t="s">
        <v>271</v>
      </c>
      <c r="DL104" s="5" t="s">
        <v>272</v>
      </c>
      <c r="DM104" s="7">
        <f>9.72</f>
        <v>9.7200000000000006</v>
      </c>
      <c r="DN104" s="5" t="s">
        <v>238</v>
      </c>
      <c r="DO104" s="5" t="s">
        <v>238</v>
      </c>
      <c r="DP104" s="5" t="s">
        <v>238</v>
      </c>
      <c r="DQ104" s="5" t="s">
        <v>238</v>
      </c>
      <c r="DT104" s="5" t="s">
        <v>4250</v>
      </c>
      <c r="DU104" s="5" t="s">
        <v>271</v>
      </c>
      <c r="HM104" s="5" t="s">
        <v>271</v>
      </c>
      <c r="HP104" s="5" t="s">
        <v>272</v>
      </c>
      <c r="HQ104" s="5" t="s">
        <v>272</v>
      </c>
      <c r="HR104" s="5" t="s">
        <v>238</v>
      </c>
      <c r="HS104" s="5" t="s">
        <v>238</v>
      </c>
      <c r="HT104" s="5" t="s">
        <v>238</v>
      </c>
      <c r="HU104" s="5" t="s">
        <v>238</v>
      </c>
      <c r="HV104" s="5" t="s">
        <v>238</v>
      </c>
      <c r="HW104" s="5" t="s">
        <v>238</v>
      </c>
      <c r="HX104" s="5" t="s">
        <v>238</v>
      </c>
      <c r="HY104" s="5" t="s">
        <v>238</v>
      </c>
      <c r="HZ104" s="5" t="s">
        <v>238</v>
      </c>
      <c r="IA104" s="5" t="s">
        <v>238</v>
      </c>
      <c r="IB104" s="5" t="s">
        <v>238</v>
      </c>
      <c r="IC104" s="5" t="s">
        <v>238</v>
      </c>
      <c r="ID104" s="5" t="s">
        <v>238</v>
      </c>
    </row>
    <row r="105" spans="1:238" x14ac:dyDescent="0.4">
      <c r="A105" s="5">
        <v>109</v>
      </c>
      <c r="B105" s="5">
        <v>1</v>
      </c>
      <c r="C105" s="5">
        <v>2</v>
      </c>
      <c r="D105" s="5" t="s">
        <v>4241</v>
      </c>
      <c r="E105" s="5" t="s">
        <v>751</v>
      </c>
      <c r="F105" s="5" t="s">
        <v>282</v>
      </c>
      <c r="G105" s="5" t="s">
        <v>752</v>
      </c>
      <c r="H105" s="6" t="s">
        <v>4242</v>
      </c>
      <c r="I105" s="5" t="s">
        <v>4240</v>
      </c>
      <c r="J105" s="7">
        <f>9.92</f>
        <v>9.92</v>
      </c>
      <c r="K105" s="5" t="s">
        <v>270</v>
      </c>
      <c r="L105" s="8">
        <f>1</f>
        <v>1</v>
      </c>
      <c r="M105" s="8">
        <f>595200</f>
        <v>595200</v>
      </c>
      <c r="N105" s="6" t="s">
        <v>906</v>
      </c>
      <c r="O105" s="5" t="s">
        <v>651</v>
      </c>
      <c r="P105" s="5" t="s">
        <v>909</v>
      </c>
      <c r="R105" s="8">
        <f>595199</f>
        <v>595199</v>
      </c>
      <c r="S105" s="5" t="s">
        <v>240</v>
      </c>
      <c r="T105" s="5" t="s">
        <v>237</v>
      </c>
      <c r="W105" s="5" t="s">
        <v>241</v>
      </c>
      <c r="X105" s="5" t="s">
        <v>750</v>
      </c>
      <c r="Y105" s="5" t="s">
        <v>238</v>
      </c>
      <c r="AB105" s="5" t="s">
        <v>238</v>
      </c>
      <c r="AC105" s="6" t="s">
        <v>238</v>
      </c>
      <c r="AD105" s="6" t="s">
        <v>238</v>
      </c>
      <c r="AF105" s="6" t="s">
        <v>238</v>
      </c>
      <c r="AG105" s="6" t="s">
        <v>246</v>
      </c>
      <c r="AH105" s="5" t="s">
        <v>247</v>
      </c>
      <c r="AI105" s="5" t="s">
        <v>248</v>
      </c>
      <c r="AT105" s="6" t="s">
        <v>238</v>
      </c>
      <c r="AW105" s="5" t="s">
        <v>304</v>
      </c>
      <c r="AX105" s="5" t="s">
        <v>304</v>
      </c>
      <c r="AY105" s="5" t="s">
        <v>250</v>
      </c>
      <c r="AZ105" s="5" t="s">
        <v>305</v>
      </c>
      <c r="BA105" s="5" t="s">
        <v>251</v>
      </c>
      <c r="BB105" s="5" t="s">
        <v>238</v>
      </c>
      <c r="BC105" s="5" t="s">
        <v>253</v>
      </c>
      <c r="BD105" s="5" t="s">
        <v>238</v>
      </c>
      <c r="BF105" s="5" t="s">
        <v>760</v>
      </c>
      <c r="BH105" s="5" t="s">
        <v>283</v>
      </c>
      <c r="BI105" s="6" t="s">
        <v>293</v>
      </c>
      <c r="BJ105" s="5" t="s">
        <v>255</v>
      </c>
      <c r="BK105" s="5" t="s">
        <v>256</v>
      </c>
      <c r="BL105" s="5" t="s">
        <v>238</v>
      </c>
      <c r="BM105" s="7">
        <f>0</f>
        <v>0</v>
      </c>
      <c r="BN105" s="8">
        <f>0</f>
        <v>0</v>
      </c>
      <c r="BO105" s="5" t="s">
        <v>257</v>
      </c>
      <c r="BP105" s="5" t="s">
        <v>258</v>
      </c>
      <c r="BQ105" s="5" t="s">
        <v>238</v>
      </c>
      <c r="BR105" s="5" t="s">
        <v>238</v>
      </c>
      <c r="BS105" s="5" t="s">
        <v>238</v>
      </c>
      <c r="BT105" s="5" t="s">
        <v>238</v>
      </c>
      <c r="CC105" s="5" t="s">
        <v>258</v>
      </c>
      <c r="CD105" s="5" t="s">
        <v>238</v>
      </c>
      <c r="CE105" s="5" t="s">
        <v>238</v>
      </c>
      <c r="CI105" s="5" t="s">
        <v>527</v>
      </c>
      <c r="CJ105" s="5" t="s">
        <v>260</v>
      </c>
      <c r="CK105" s="5" t="s">
        <v>238</v>
      </c>
      <c r="CM105" s="5" t="s">
        <v>908</v>
      </c>
      <c r="CN105" s="6" t="s">
        <v>262</v>
      </c>
      <c r="CO105" s="5" t="s">
        <v>263</v>
      </c>
      <c r="CP105" s="5" t="s">
        <v>264</v>
      </c>
      <c r="CQ105" s="5" t="s">
        <v>285</v>
      </c>
      <c r="CR105" s="5" t="s">
        <v>238</v>
      </c>
      <c r="CS105" s="5">
        <v>0</v>
      </c>
      <c r="CT105" s="5" t="s">
        <v>265</v>
      </c>
      <c r="CU105" s="5" t="s">
        <v>266</v>
      </c>
      <c r="CV105" s="5" t="s">
        <v>331</v>
      </c>
      <c r="CW105" s="7">
        <f>0</f>
        <v>0</v>
      </c>
      <c r="CX105" s="8">
        <f>595200</f>
        <v>595200</v>
      </c>
      <c r="CY105" s="8">
        <f>1</f>
        <v>1</v>
      </c>
      <c r="DA105" s="5" t="s">
        <v>238</v>
      </c>
      <c r="DB105" s="5" t="s">
        <v>238</v>
      </c>
      <c r="DD105" s="5" t="s">
        <v>238</v>
      </c>
      <c r="DE105" s="8">
        <f>0</f>
        <v>0</v>
      </c>
      <c r="DG105" s="5" t="s">
        <v>238</v>
      </c>
      <c r="DH105" s="5" t="s">
        <v>238</v>
      </c>
      <c r="DI105" s="5" t="s">
        <v>238</v>
      </c>
      <c r="DJ105" s="5" t="s">
        <v>238</v>
      </c>
      <c r="DK105" s="5" t="s">
        <v>271</v>
      </c>
      <c r="DL105" s="5" t="s">
        <v>272</v>
      </c>
      <c r="DM105" s="7">
        <f>9.92</f>
        <v>9.92</v>
      </c>
      <c r="DN105" s="5" t="s">
        <v>238</v>
      </c>
      <c r="DO105" s="5" t="s">
        <v>238</v>
      </c>
      <c r="DP105" s="5" t="s">
        <v>238</v>
      </c>
      <c r="DQ105" s="5" t="s">
        <v>238</v>
      </c>
      <c r="DT105" s="5" t="s">
        <v>4243</v>
      </c>
      <c r="DU105" s="5" t="s">
        <v>271</v>
      </c>
      <c r="HM105" s="5" t="s">
        <v>271</v>
      </c>
      <c r="HP105" s="5" t="s">
        <v>272</v>
      </c>
      <c r="HQ105" s="5" t="s">
        <v>272</v>
      </c>
      <c r="HR105" s="5" t="s">
        <v>238</v>
      </c>
      <c r="HS105" s="5" t="s">
        <v>238</v>
      </c>
      <c r="HT105" s="5" t="s">
        <v>238</v>
      </c>
      <c r="HU105" s="5" t="s">
        <v>238</v>
      </c>
      <c r="HV105" s="5" t="s">
        <v>238</v>
      </c>
      <c r="HW105" s="5" t="s">
        <v>238</v>
      </c>
      <c r="HX105" s="5" t="s">
        <v>238</v>
      </c>
      <c r="HY105" s="5" t="s">
        <v>238</v>
      </c>
      <c r="HZ105" s="5" t="s">
        <v>238</v>
      </c>
      <c r="IA105" s="5" t="s">
        <v>238</v>
      </c>
      <c r="IB105" s="5" t="s">
        <v>238</v>
      </c>
      <c r="IC105" s="5" t="s">
        <v>238</v>
      </c>
      <c r="ID105" s="5" t="s">
        <v>238</v>
      </c>
    </row>
    <row r="106" spans="1:238" x14ac:dyDescent="0.4">
      <c r="A106" s="5">
        <v>110</v>
      </c>
      <c r="B106" s="5">
        <v>1</v>
      </c>
      <c r="C106" s="5">
        <v>2</v>
      </c>
      <c r="D106" s="5" t="s">
        <v>4234</v>
      </c>
      <c r="E106" s="5" t="s">
        <v>751</v>
      </c>
      <c r="F106" s="5" t="s">
        <v>282</v>
      </c>
      <c r="G106" s="5" t="s">
        <v>752</v>
      </c>
      <c r="H106" s="6" t="s">
        <v>4235</v>
      </c>
      <c r="I106" s="5" t="s">
        <v>4233</v>
      </c>
      <c r="J106" s="7">
        <f>19.87</f>
        <v>19.87</v>
      </c>
      <c r="K106" s="5" t="s">
        <v>270</v>
      </c>
      <c r="L106" s="8">
        <f>1</f>
        <v>1</v>
      </c>
      <c r="M106" s="8">
        <f>1192200</f>
        <v>1192200</v>
      </c>
      <c r="N106" s="6" t="s">
        <v>906</v>
      </c>
      <c r="O106" s="5" t="s">
        <v>651</v>
      </c>
      <c r="P106" s="5" t="s">
        <v>909</v>
      </c>
      <c r="R106" s="8">
        <f>1192199</f>
        <v>1192199</v>
      </c>
      <c r="S106" s="5" t="s">
        <v>240</v>
      </c>
      <c r="T106" s="5" t="s">
        <v>237</v>
      </c>
      <c r="W106" s="5" t="s">
        <v>241</v>
      </c>
      <c r="X106" s="5" t="s">
        <v>750</v>
      </c>
      <c r="Y106" s="5" t="s">
        <v>238</v>
      </c>
      <c r="AB106" s="5" t="s">
        <v>238</v>
      </c>
      <c r="AC106" s="6" t="s">
        <v>238</v>
      </c>
      <c r="AD106" s="6" t="s">
        <v>238</v>
      </c>
      <c r="AF106" s="6" t="s">
        <v>238</v>
      </c>
      <c r="AG106" s="6" t="s">
        <v>2938</v>
      </c>
      <c r="AH106" s="5" t="s">
        <v>247</v>
      </c>
      <c r="AI106" s="5" t="s">
        <v>248</v>
      </c>
      <c r="AT106" s="6" t="s">
        <v>238</v>
      </c>
      <c r="AW106" s="5" t="s">
        <v>304</v>
      </c>
      <c r="AX106" s="5" t="s">
        <v>304</v>
      </c>
      <c r="AY106" s="5" t="s">
        <v>250</v>
      </c>
      <c r="AZ106" s="5" t="s">
        <v>305</v>
      </c>
      <c r="BA106" s="5" t="s">
        <v>251</v>
      </c>
      <c r="BB106" s="5" t="s">
        <v>238</v>
      </c>
      <c r="BC106" s="5" t="s">
        <v>253</v>
      </c>
      <c r="BD106" s="5" t="s">
        <v>238</v>
      </c>
      <c r="BF106" s="5" t="s">
        <v>760</v>
      </c>
      <c r="BH106" s="5" t="s">
        <v>283</v>
      </c>
      <c r="BI106" s="6" t="s">
        <v>293</v>
      </c>
      <c r="BJ106" s="5" t="s">
        <v>255</v>
      </c>
      <c r="BK106" s="5" t="s">
        <v>256</v>
      </c>
      <c r="BL106" s="5" t="s">
        <v>238</v>
      </c>
      <c r="BM106" s="7">
        <f>0</f>
        <v>0</v>
      </c>
      <c r="BN106" s="8">
        <f>0</f>
        <v>0</v>
      </c>
      <c r="BO106" s="5" t="s">
        <v>257</v>
      </c>
      <c r="BP106" s="5" t="s">
        <v>258</v>
      </c>
      <c r="BQ106" s="5" t="s">
        <v>238</v>
      </c>
      <c r="BR106" s="5" t="s">
        <v>238</v>
      </c>
      <c r="BS106" s="5" t="s">
        <v>238</v>
      </c>
      <c r="BT106" s="5" t="s">
        <v>238</v>
      </c>
      <c r="CC106" s="5" t="s">
        <v>258</v>
      </c>
      <c r="CD106" s="5" t="s">
        <v>238</v>
      </c>
      <c r="CE106" s="5" t="s">
        <v>238</v>
      </c>
      <c r="CI106" s="5" t="s">
        <v>527</v>
      </c>
      <c r="CJ106" s="5" t="s">
        <v>260</v>
      </c>
      <c r="CK106" s="5" t="s">
        <v>238</v>
      </c>
      <c r="CM106" s="5" t="s">
        <v>908</v>
      </c>
      <c r="CN106" s="6" t="s">
        <v>262</v>
      </c>
      <c r="CO106" s="5" t="s">
        <v>263</v>
      </c>
      <c r="CP106" s="5" t="s">
        <v>264</v>
      </c>
      <c r="CQ106" s="5" t="s">
        <v>285</v>
      </c>
      <c r="CR106" s="5" t="s">
        <v>238</v>
      </c>
      <c r="CS106" s="5">
        <v>0</v>
      </c>
      <c r="CT106" s="5" t="s">
        <v>265</v>
      </c>
      <c r="CU106" s="5" t="s">
        <v>266</v>
      </c>
      <c r="CV106" s="5" t="s">
        <v>331</v>
      </c>
      <c r="CW106" s="7">
        <f>0</f>
        <v>0</v>
      </c>
      <c r="CX106" s="8">
        <f>1192200</f>
        <v>1192200</v>
      </c>
      <c r="CY106" s="8">
        <f>1</f>
        <v>1</v>
      </c>
      <c r="DA106" s="5" t="s">
        <v>238</v>
      </c>
      <c r="DB106" s="5" t="s">
        <v>238</v>
      </c>
      <c r="DD106" s="5" t="s">
        <v>238</v>
      </c>
      <c r="DE106" s="8">
        <f>0</f>
        <v>0</v>
      </c>
      <c r="DG106" s="5" t="s">
        <v>238</v>
      </c>
      <c r="DH106" s="5" t="s">
        <v>238</v>
      </c>
      <c r="DI106" s="5" t="s">
        <v>238</v>
      </c>
      <c r="DJ106" s="5" t="s">
        <v>238</v>
      </c>
      <c r="DK106" s="5" t="s">
        <v>271</v>
      </c>
      <c r="DL106" s="5" t="s">
        <v>272</v>
      </c>
      <c r="DM106" s="7">
        <f>19.87</f>
        <v>19.87</v>
      </c>
      <c r="DN106" s="5" t="s">
        <v>238</v>
      </c>
      <c r="DO106" s="5" t="s">
        <v>238</v>
      </c>
      <c r="DP106" s="5" t="s">
        <v>238</v>
      </c>
      <c r="DQ106" s="5" t="s">
        <v>238</v>
      </c>
      <c r="DT106" s="5" t="s">
        <v>4236</v>
      </c>
      <c r="DU106" s="5" t="s">
        <v>271</v>
      </c>
      <c r="HM106" s="5" t="s">
        <v>271</v>
      </c>
      <c r="HP106" s="5" t="s">
        <v>272</v>
      </c>
      <c r="HQ106" s="5" t="s">
        <v>272</v>
      </c>
      <c r="HR106" s="5" t="s">
        <v>238</v>
      </c>
      <c r="HS106" s="5" t="s">
        <v>238</v>
      </c>
      <c r="HT106" s="5" t="s">
        <v>238</v>
      </c>
      <c r="HU106" s="5" t="s">
        <v>238</v>
      </c>
      <c r="HV106" s="5" t="s">
        <v>238</v>
      </c>
      <c r="HW106" s="5" t="s">
        <v>238</v>
      </c>
      <c r="HX106" s="5" t="s">
        <v>238</v>
      </c>
      <c r="HY106" s="5" t="s">
        <v>238</v>
      </c>
      <c r="HZ106" s="5" t="s">
        <v>238</v>
      </c>
      <c r="IA106" s="5" t="s">
        <v>238</v>
      </c>
      <c r="IB106" s="5" t="s">
        <v>238</v>
      </c>
      <c r="IC106" s="5" t="s">
        <v>238</v>
      </c>
      <c r="ID106" s="5" t="s">
        <v>238</v>
      </c>
    </row>
    <row r="107" spans="1:238" x14ac:dyDescent="0.4">
      <c r="A107" s="5">
        <v>112</v>
      </c>
      <c r="B107" s="5">
        <v>1</v>
      </c>
      <c r="C107" s="5">
        <v>2</v>
      </c>
      <c r="D107" s="5" t="s">
        <v>4224</v>
      </c>
      <c r="E107" s="5" t="s">
        <v>751</v>
      </c>
      <c r="F107" s="5" t="s">
        <v>282</v>
      </c>
      <c r="G107" s="5" t="s">
        <v>752</v>
      </c>
      <c r="H107" s="6" t="s">
        <v>4225</v>
      </c>
      <c r="I107" s="5" t="s">
        <v>4223</v>
      </c>
      <c r="J107" s="7">
        <f>9.92</f>
        <v>9.92</v>
      </c>
      <c r="K107" s="5" t="s">
        <v>270</v>
      </c>
      <c r="L107" s="8">
        <f>1</f>
        <v>1</v>
      </c>
      <c r="M107" s="8">
        <f>595200</f>
        <v>595200</v>
      </c>
      <c r="N107" s="6" t="s">
        <v>906</v>
      </c>
      <c r="O107" s="5" t="s">
        <v>651</v>
      </c>
      <c r="P107" s="5" t="s">
        <v>909</v>
      </c>
      <c r="R107" s="8">
        <f>595199</f>
        <v>595199</v>
      </c>
      <c r="S107" s="5" t="s">
        <v>240</v>
      </c>
      <c r="T107" s="5" t="s">
        <v>237</v>
      </c>
      <c r="W107" s="5" t="s">
        <v>241</v>
      </c>
      <c r="X107" s="5" t="s">
        <v>750</v>
      </c>
      <c r="Y107" s="5" t="s">
        <v>238</v>
      </c>
      <c r="AB107" s="5" t="s">
        <v>238</v>
      </c>
      <c r="AC107" s="6" t="s">
        <v>238</v>
      </c>
      <c r="AD107" s="6" t="s">
        <v>238</v>
      </c>
      <c r="AF107" s="6" t="s">
        <v>238</v>
      </c>
      <c r="AG107" s="6" t="s">
        <v>246</v>
      </c>
      <c r="AH107" s="5" t="s">
        <v>247</v>
      </c>
      <c r="AI107" s="5" t="s">
        <v>248</v>
      </c>
      <c r="AT107" s="6" t="s">
        <v>238</v>
      </c>
      <c r="AW107" s="5" t="s">
        <v>304</v>
      </c>
      <c r="AX107" s="5" t="s">
        <v>304</v>
      </c>
      <c r="AY107" s="5" t="s">
        <v>250</v>
      </c>
      <c r="AZ107" s="5" t="s">
        <v>305</v>
      </c>
      <c r="BA107" s="5" t="s">
        <v>251</v>
      </c>
      <c r="BB107" s="5" t="s">
        <v>238</v>
      </c>
      <c r="BC107" s="5" t="s">
        <v>253</v>
      </c>
      <c r="BD107" s="5" t="s">
        <v>238</v>
      </c>
      <c r="BF107" s="5" t="s">
        <v>760</v>
      </c>
      <c r="BH107" s="5" t="s">
        <v>283</v>
      </c>
      <c r="BI107" s="6" t="s">
        <v>293</v>
      </c>
      <c r="BJ107" s="5" t="s">
        <v>255</v>
      </c>
      <c r="BK107" s="5" t="s">
        <v>256</v>
      </c>
      <c r="BL107" s="5" t="s">
        <v>238</v>
      </c>
      <c r="BM107" s="7">
        <f>0</f>
        <v>0</v>
      </c>
      <c r="BN107" s="8">
        <f>0</f>
        <v>0</v>
      </c>
      <c r="BO107" s="5" t="s">
        <v>257</v>
      </c>
      <c r="BP107" s="5" t="s">
        <v>258</v>
      </c>
      <c r="BQ107" s="5" t="s">
        <v>238</v>
      </c>
      <c r="BR107" s="5" t="s">
        <v>238</v>
      </c>
      <c r="BS107" s="5" t="s">
        <v>238</v>
      </c>
      <c r="BT107" s="5" t="s">
        <v>238</v>
      </c>
      <c r="CC107" s="5" t="s">
        <v>258</v>
      </c>
      <c r="CD107" s="5" t="s">
        <v>238</v>
      </c>
      <c r="CE107" s="5" t="s">
        <v>238</v>
      </c>
      <c r="CI107" s="5" t="s">
        <v>527</v>
      </c>
      <c r="CJ107" s="5" t="s">
        <v>260</v>
      </c>
      <c r="CK107" s="5" t="s">
        <v>238</v>
      </c>
      <c r="CM107" s="5" t="s">
        <v>908</v>
      </c>
      <c r="CN107" s="6" t="s">
        <v>262</v>
      </c>
      <c r="CO107" s="5" t="s">
        <v>263</v>
      </c>
      <c r="CP107" s="5" t="s">
        <v>264</v>
      </c>
      <c r="CQ107" s="5" t="s">
        <v>285</v>
      </c>
      <c r="CR107" s="5" t="s">
        <v>238</v>
      </c>
      <c r="CS107" s="5">
        <v>0</v>
      </c>
      <c r="CT107" s="5" t="s">
        <v>265</v>
      </c>
      <c r="CU107" s="5" t="s">
        <v>266</v>
      </c>
      <c r="CV107" s="5" t="s">
        <v>331</v>
      </c>
      <c r="CW107" s="7">
        <f>0</f>
        <v>0</v>
      </c>
      <c r="CX107" s="8">
        <f>595200</f>
        <v>595200</v>
      </c>
      <c r="CY107" s="8">
        <f>1</f>
        <v>1</v>
      </c>
      <c r="DA107" s="5" t="s">
        <v>238</v>
      </c>
      <c r="DB107" s="5" t="s">
        <v>238</v>
      </c>
      <c r="DD107" s="5" t="s">
        <v>238</v>
      </c>
      <c r="DE107" s="8">
        <f>0</f>
        <v>0</v>
      </c>
      <c r="DG107" s="5" t="s">
        <v>238</v>
      </c>
      <c r="DH107" s="5" t="s">
        <v>238</v>
      </c>
      <c r="DI107" s="5" t="s">
        <v>238</v>
      </c>
      <c r="DJ107" s="5" t="s">
        <v>238</v>
      </c>
      <c r="DK107" s="5" t="s">
        <v>271</v>
      </c>
      <c r="DL107" s="5" t="s">
        <v>272</v>
      </c>
      <c r="DM107" s="7">
        <f>9.92</f>
        <v>9.92</v>
      </c>
      <c r="DN107" s="5" t="s">
        <v>238</v>
      </c>
      <c r="DO107" s="5" t="s">
        <v>238</v>
      </c>
      <c r="DP107" s="5" t="s">
        <v>238</v>
      </c>
      <c r="DQ107" s="5" t="s">
        <v>238</v>
      </c>
      <c r="DT107" s="5" t="s">
        <v>4226</v>
      </c>
      <c r="DU107" s="5" t="s">
        <v>271</v>
      </c>
      <c r="HM107" s="5" t="s">
        <v>271</v>
      </c>
      <c r="HP107" s="5" t="s">
        <v>272</v>
      </c>
      <c r="HQ107" s="5" t="s">
        <v>272</v>
      </c>
      <c r="HR107" s="5" t="s">
        <v>238</v>
      </c>
      <c r="HS107" s="5" t="s">
        <v>238</v>
      </c>
      <c r="HT107" s="5" t="s">
        <v>238</v>
      </c>
      <c r="HU107" s="5" t="s">
        <v>238</v>
      </c>
      <c r="HV107" s="5" t="s">
        <v>238</v>
      </c>
      <c r="HW107" s="5" t="s">
        <v>238</v>
      </c>
      <c r="HX107" s="5" t="s">
        <v>238</v>
      </c>
      <c r="HY107" s="5" t="s">
        <v>238</v>
      </c>
      <c r="HZ107" s="5" t="s">
        <v>238</v>
      </c>
      <c r="IA107" s="5" t="s">
        <v>238</v>
      </c>
      <c r="IB107" s="5" t="s">
        <v>238</v>
      </c>
      <c r="IC107" s="5" t="s">
        <v>238</v>
      </c>
      <c r="ID107" s="5" t="s">
        <v>238</v>
      </c>
    </row>
    <row r="108" spans="1:238" x14ac:dyDescent="0.4">
      <c r="A108" s="5">
        <v>114</v>
      </c>
      <c r="B108" s="5">
        <v>1</v>
      </c>
      <c r="C108" s="5">
        <v>2</v>
      </c>
      <c r="D108" s="5" t="s">
        <v>4219</v>
      </c>
      <c r="E108" s="5" t="s">
        <v>751</v>
      </c>
      <c r="F108" s="5" t="s">
        <v>282</v>
      </c>
      <c r="G108" s="5" t="s">
        <v>752</v>
      </c>
      <c r="H108" s="6" t="s">
        <v>4220</v>
      </c>
      <c r="I108" s="5" t="s">
        <v>4218</v>
      </c>
      <c r="J108" s="7">
        <f>9.92</f>
        <v>9.92</v>
      </c>
      <c r="K108" s="5" t="s">
        <v>270</v>
      </c>
      <c r="L108" s="8">
        <f>1</f>
        <v>1</v>
      </c>
      <c r="M108" s="8">
        <f>595200</f>
        <v>595200</v>
      </c>
      <c r="N108" s="6" t="s">
        <v>906</v>
      </c>
      <c r="O108" s="5" t="s">
        <v>651</v>
      </c>
      <c r="P108" s="5" t="s">
        <v>909</v>
      </c>
      <c r="R108" s="8">
        <f>595199</f>
        <v>595199</v>
      </c>
      <c r="S108" s="5" t="s">
        <v>240</v>
      </c>
      <c r="T108" s="5" t="s">
        <v>237</v>
      </c>
      <c r="W108" s="5" t="s">
        <v>241</v>
      </c>
      <c r="X108" s="5" t="s">
        <v>750</v>
      </c>
      <c r="Y108" s="5" t="s">
        <v>238</v>
      </c>
      <c r="AB108" s="5" t="s">
        <v>238</v>
      </c>
      <c r="AC108" s="6" t="s">
        <v>238</v>
      </c>
      <c r="AD108" s="6" t="s">
        <v>238</v>
      </c>
      <c r="AF108" s="6" t="s">
        <v>238</v>
      </c>
      <c r="AG108" s="6" t="s">
        <v>246</v>
      </c>
      <c r="AH108" s="5" t="s">
        <v>247</v>
      </c>
      <c r="AI108" s="5" t="s">
        <v>248</v>
      </c>
      <c r="AT108" s="6" t="s">
        <v>238</v>
      </c>
      <c r="AW108" s="5" t="s">
        <v>304</v>
      </c>
      <c r="AX108" s="5" t="s">
        <v>304</v>
      </c>
      <c r="AY108" s="5" t="s">
        <v>250</v>
      </c>
      <c r="AZ108" s="5" t="s">
        <v>305</v>
      </c>
      <c r="BA108" s="5" t="s">
        <v>251</v>
      </c>
      <c r="BB108" s="5" t="s">
        <v>238</v>
      </c>
      <c r="BC108" s="5" t="s">
        <v>253</v>
      </c>
      <c r="BD108" s="5" t="s">
        <v>238</v>
      </c>
      <c r="BF108" s="5" t="s">
        <v>760</v>
      </c>
      <c r="BH108" s="5" t="s">
        <v>283</v>
      </c>
      <c r="BI108" s="6" t="s">
        <v>293</v>
      </c>
      <c r="BJ108" s="5" t="s">
        <v>255</v>
      </c>
      <c r="BK108" s="5" t="s">
        <v>256</v>
      </c>
      <c r="BL108" s="5" t="s">
        <v>238</v>
      </c>
      <c r="BM108" s="7">
        <f>0</f>
        <v>0</v>
      </c>
      <c r="BN108" s="8">
        <f>0</f>
        <v>0</v>
      </c>
      <c r="BO108" s="5" t="s">
        <v>257</v>
      </c>
      <c r="BP108" s="5" t="s">
        <v>258</v>
      </c>
      <c r="BQ108" s="5" t="s">
        <v>238</v>
      </c>
      <c r="BR108" s="5" t="s">
        <v>238</v>
      </c>
      <c r="BS108" s="5" t="s">
        <v>238</v>
      </c>
      <c r="BT108" s="5" t="s">
        <v>238</v>
      </c>
      <c r="CC108" s="5" t="s">
        <v>258</v>
      </c>
      <c r="CD108" s="5" t="s">
        <v>238</v>
      </c>
      <c r="CE108" s="5" t="s">
        <v>238</v>
      </c>
      <c r="CI108" s="5" t="s">
        <v>527</v>
      </c>
      <c r="CJ108" s="5" t="s">
        <v>260</v>
      </c>
      <c r="CK108" s="5" t="s">
        <v>238</v>
      </c>
      <c r="CM108" s="5" t="s">
        <v>908</v>
      </c>
      <c r="CN108" s="6" t="s">
        <v>262</v>
      </c>
      <c r="CO108" s="5" t="s">
        <v>263</v>
      </c>
      <c r="CP108" s="5" t="s">
        <v>264</v>
      </c>
      <c r="CQ108" s="5" t="s">
        <v>285</v>
      </c>
      <c r="CR108" s="5" t="s">
        <v>238</v>
      </c>
      <c r="CS108" s="5">
        <v>0</v>
      </c>
      <c r="CT108" s="5" t="s">
        <v>265</v>
      </c>
      <c r="CU108" s="5" t="s">
        <v>266</v>
      </c>
      <c r="CV108" s="5" t="s">
        <v>331</v>
      </c>
      <c r="CW108" s="7">
        <f>0</f>
        <v>0</v>
      </c>
      <c r="CX108" s="8">
        <f>595200</f>
        <v>595200</v>
      </c>
      <c r="CY108" s="8">
        <f>1</f>
        <v>1</v>
      </c>
      <c r="DA108" s="5" t="s">
        <v>238</v>
      </c>
      <c r="DB108" s="5" t="s">
        <v>238</v>
      </c>
      <c r="DD108" s="5" t="s">
        <v>238</v>
      </c>
      <c r="DE108" s="8">
        <f>0</f>
        <v>0</v>
      </c>
      <c r="DG108" s="5" t="s">
        <v>238</v>
      </c>
      <c r="DH108" s="5" t="s">
        <v>238</v>
      </c>
      <c r="DI108" s="5" t="s">
        <v>238</v>
      </c>
      <c r="DJ108" s="5" t="s">
        <v>238</v>
      </c>
      <c r="DK108" s="5" t="s">
        <v>271</v>
      </c>
      <c r="DL108" s="5" t="s">
        <v>272</v>
      </c>
      <c r="DM108" s="7">
        <f>9.92</f>
        <v>9.92</v>
      </c>
      <c r="DN108" s="5" t="s">
        <v>238</v>
      </c>
      <c r="DO108" s="5" t="s">
        <v>238</v>
      </c>
      <c r="DP108" s="5" t="s">
        <v>238</v>
      </c>
      <c r="DQ108" s="5" t="s">
        <v>238</v>
      </c>
      <c r="DT108" s="5" t="s">
        <v>4221</v>
      </c>
      <c r="DU108" s="5" t="s">
        <v>271</v>
      </c>
      <c r="HM108" s="5" t="s">
        <v>271</v>
      </c>
      <c r="HP108" s="5" t="s">
        <v>272</v>
      </c>
      <c r="HQ108" s="5" t="s">
        <v>272</v>
      </c>
      <c r="HR108" s="5" t="s">
        <v>238</v>
      </c>
      <c r="HS108" s="5" t="s">
        <v>238</v>
      </c>
      <c r="HT108" s="5" t="s">
        <v>238</v>
      </c>
      <c r="HU108" s="5" t="s">
        <v>238</v>
      </c>
      <c r="HV108" s="5" t="s">
        <v>238</v>
      </c>
      <c r="HW108" s="5" t="s">
        <v>238</v>
      </c>
      <c r="HX108" s="5" t="s">
        <v>238</v>
      </c>
      <c r="HY108" s="5" t="s">
        <v>238</v>
      </c>
      <c r="HZ108" s="5" t="s">
        <v>238</v>
      </c>
      <c r="IA108" s="5" t="s">
        <v>238</v>
      </c>
      <c r="IB108" s="5" t="s">
        <v>238</v>
      </c>
      <c r="IC108" s="5" t="s">
        <v>238</v>
      </c>
      <c r="ID108" s="5" t="s">
        <v>238</v>
      </c>
    </row>
    <row r="109" spans="1:238" x14ac:dyDescent="0.4">
      <c r="A109" s="5">
        <v>115</v>
      </c>
      <c r="B109" s="5">
        <v>1</v>
      </c>
      <c r="C109" s="5">
        <v>2</v>
      </c>
      <c r="D109" s="5" t="s">
        <v>4209</v>
      </c>
      <c r="E109" s="5" t="s">
        <v>751</v>
      </c>
      <c r="F109" s="5" t="s">
        <v>282</v>
      </c>
      <c r="G109" s="5" t="s">
        <v>752</v>
      </c>
      <c r="H109" s="6" t="s">
        <v>4210</v>
      </c>
      <c r="I109" s="5" t="s">
        <v>4208</v>
      </c>
      <c r="J109" s="7">
        <f>49.58</f>
        <v>49.58</v>
      </c>
      <c r="K109" s="5" t="s">
        <v>270</v>
      </c>
      <c r="L109" s="8">
        <f>1</f>
        <v>1</v>
      </c>
      <c r="M109" s="8">
        <f>2974800</f>
        <v>2974800</v>
      </c>
      <c r="N109" s="6" t="s">
        <v>906</v>
      </c>
      <c r="O109" s="5" t="s">
        <v>268</v>
      </c>
      <c r="P109" s="5" t="s">
        <v>909</v>
      </c>
      <c r="R109" s="8">
        <f>2974799</f>
        <v>2974799</v>
      </c>
      <c r="S109" s="5" t="s">
        <v>240</v>
      </c>
      <c r="T109" s="5" t="s">
        <v>237</v>
      </c>
      <c r="W109" s="5" t="s">
        <v>241</v>
      </c>
      <c r="X109" s="5" t="s">
        <v>750</v>
      </c>
      <c r="Y109" s="5" t="s">
        <v>238</v>
      </c>
      <c r="AB109" s="5" t="s">
        <v>238</v>
      </c>
      <c r="AC109" s="6" t="s">
        <v>238</v>
      </c>
      <c r="AD109" s="6" t="s">
        <v>238</v>
      </c>
      <c r="AF109" s="6" t="s">
        <v>238</v>
      </c>
      <c r="AG109" s="6" t="s">
        <v>246</v>
      </c>
      <c r="AH109" s="5" t="s">
        <v>247</v>
      </c>
      <c r="AI109" s="5" t="s">
        <v>248</v>
      </c>
      <c r="AT109" s="6" t="s">
        <v>238</v>
      </c>
      <c r="AW109" s="5" t="s">
        <v>304</v>
      </c>
      <c r="AX109" s="5" t="s">
        <v>304</v>
      </c>
      <c r="AY109" s="5" t="s">
        <v>250</v>
      </c>
      <c r="AZ109" s="5" t="s">
        <v>305</v>
      </c>
      <c r="BA109" s="5" t="s">
        <v>251</v>
      </c>
      <c r="BB109" s="5" t="s">
        <v>238</v>
      </c>
      <c r="BC109" s="5" t="s">
        <v>253</v>
      </c>
      <c r="BD109" s="5" t="s">
        <v>238</v>
      </c>
      <c r="BF109" s="5" t="s">
        <v>760</v>
      </c>
      <c r="BH109" s="5" t="s">
        <v>283</v>
      </c>
      <c r="BI109" s="6" t="s">
        <v>293</v>
      </c>
      <c r="BJ109" s="5" t="s">
        <v>255</v>
      </c>
      <c r="BK109" s="5" t="s">
        <v>256</v>
      </c>
      <c r="BL109" s="5" t="s">
        <v>238</v>
      </c>
      <c r="BM109" s="7">
        <f>0</f>
        <v>0</v>
      </c>
      <c r="BN109" s="8">
        <f>0</f>
        <v>0</v>
      </c>
      <c r="BO109" s="5" t="s">
        <v>257</v>
      </c>
      <c r="BP109" s="5" t="s">
        <v>258</v>
      </c>
      <c r="BQ109" s="5" t="s">
        <v>238</v>
      </c>
      <c r="BR109" s="5" t="s">
        <v>238</v>
      </c>
      <c r="BS109" s="5" t="s">
        <v>238</v>
      </c>
      <c r="BT109" s="5" t="s">
        <v>238</v>
      </c>
      <c r="CC109" s="5" t="s">
        <v>258</v>
      </c>
      <c r="CD109" s="5" t="s">
        <v>238</v>
      </c>
      <c r="CE109" s="5" t="s">
        <v>238</v>
      </c>
      <c r="CI109" s="5" t="s">
        <v>527</v>
      </c>
      <c r="CJ109" s="5" t="s">
        <v>260</v>
      </c>
      <c r="CK109" s="5" t="s">
        <v>238</v>
      </c>
      <c r="CM109" s="5" t="s">
        <v>908</v>
      </c>
      <c r="CN109" s="6" t="s">
        <v>262</v>
      </c>
      <c r="CO109" s="5" t="s">
        <v>263</v>
      </c>
      <c r="CP109" s="5" t="s">
        <v>264</v>
      </c>
      <c r="CQ109" s="5" t="s">
        <v>285</v>
      </c>
      <c r="CR109" s="5" t="s">
        <v>238</v>
      </c>
      <c r="CS109" s="5">
        <v>0</v>
      </c>
      <c r="CT109" s="5" t="s">
        <v>265</v>
      </c>
      <c r="CU109" s="5" t="s">
        <v>266</v>
      </c>
      <c r="CV109" s="5" t="s">
        <v>267</v>
      </c>
      <c r="CW109" s="7">
        <f>0</f>
        <v>0</v>
      </c>
      <c r="CX109" s="8">
        <f>2974800</f>
        <v>2974800</v>
      </c>
      <c r="CY109" s="8">
        <f>1</f>
        <v>1</v>
      </c>
      <c r="DA109" s="5" t="s">
        <v>238</v>
      </c>
      <c r="DB109" s="5" t="s">
        <v>238</v>
      </c>
      <c r="DD109" s="5" t="s">
        <v>238</v>
      </c>
      <c r="DE109" s="8">
        <f>0</f>
        <v>0</v>
      </c>
      <c r="DG109" s="5" t="s">
        <v>238</v>
      </c>
      <c r="DH109" s="5" t="s">
        <v>238</v>
      </c>
      <c r="DI109" s="5" t="s">
        <v>238</v>
      </c>
      <c r="DJ109" s="5" t="s">
        <v>238</v>
      </c>
      <c r="DK109" s="5" t="s">
        <v>274</v>
      </c>
      <c r="DL109" s="5" t="s">
        <v>272</v>
      </c>
      <c r="DM109" s="7">
        <f>49.58</f>
        <v>49.58</v>
      </c>
      <c r="DN109" s="5" t="s">
        <v>238</v>
      </c>
      <c r="DO109" s="5" t="s">
        <v>238</v>
      </c>
      <c r="DP109" s="5" t="s">
        <v>238</v>
      </c>
      <c r="DQ109" s="5" t="s">
        <v>238</v>
      </c>
      <c r="DT109" s="5" t="s">
        <v>4211</v>
      </c>
      <c r="DU109" s="5" t="s">
        <v>271</v>
      </c>
      <c r="HM109" s="5" t="s">
        <v>271</v>
      </c>
      <c r="HP109" s="5" t="s">
        <v>272</v>
      </c>
      <c r="HQ109" s="5" t="s">
        <v>272</v>
      </c>
      <c r="HR109" s="5" t="s">
        <v>238</v>
      </c>
      <c r="HS109" s="5" t="s">
        <v>238</v>
      </c>
      <c r="HT109" s="5" t="s">
        <v>238</v>
      </c>
      <c r="HU109" s="5" t="s">
        <v>238</v>
      </c>
      <c r="HV109" s="5" t="s">
        <v>238</v>
      </c>
      <c r="HW109" s="5" t="s">
        <v>238</v>
      </c>
      <c r="HX109" s="5" t="s">
        <v>238</v>
      </c>
      <c r="HY109" s="5" t="s">
        <v>238</v>
      </c>
      <c r="HZ109" s="5" t="s">
        <v>238</v>
      </c>
      <c r="IA109" s="5" t="s">
        <v>238</v>
      </c>
      <c r="IB109" s="5" t="s">
        <v>238</v>
      </c>
      <c r="IC109" s="5" t="s">
        <v>238</v>
      </c>
      <c r="ID109" s="5" t="s">
        <v>238</v>
      </c>
    </row>
    <row r="110" spans="1:238" x14ac:dyDescent="0.4">
      <c r="A110" s="5">
        <v>117</v>
      </c>
      <c r="B110" s="5">
        <v>1</v>
      </c>
      <c r="C110" s="5">
        <v>6</v>
      </c>
      <c r="D110" s="5" t="s">
        <v>4076</v>
      </c>
      <c r="E110" s="5" t="s">
        <v>751</v>
      </c>
      <c r="F110" s="5" t="s">
        <v>282</v>
      </c>
      <c r="G110" s="5" t="s">
        <v>752</v>
      </c>
      <c r="H110" s="6" t="s">
        <v>4077</v>
      </c>
      <c r="I110" s="5" t="s">
        <v>4075</v>
      </c>
      <c r="J110" s="7">
        <f>19.87</f>
        <v>19.87</v>
      </c>
      <c r="K110" s="5" t="s">
        <v>270</v>
      </c>
      <c r="L110" s="8">
        <f>4665389</f>
        <v>4665389</v>
      </c>
      <c r="M110" s="8">
        <f>5387285</f>
        <v>5387285</v>
      </c>
      <c r="N110" s="6" t="s">
        <v>2976</v>
      </c>
      <c r="O110" s="5" t="s">
        <v>268</v>
      </c>
      <c r="P110" s="5" t="s">
        <v>272</v>
      </c>
      <c r="Q110" s="8">
        <f>5387284</f>
        <v>5387284</v>
      </c>
      <c r="R110" s="8">
        <f>721896</f>
        <v>721896</v>
      </c>
      <c r="S110" s="5" t="s">
        <v>240</v>
      </c>
      <c r="T110" s="5" t="s">
        <v>237</v>
      </c>
      <c r="W110" s="5" t="s">
        <v>241</v>
      </c>
      <c r="X110" s="5" t="s">
        <v>750</v>
      </c>
      <c r="Y110" s="5" t="s">
        <v>238</v>
      </c>
      <c r="AB110" s="5" t="s">
        <v>238</v>
      </c>
      <c r="AC110" s="6" t="s">
        <v>238</v>
      </c>
      <c r="AD110" s="6" t="s">
        <v>238</v>
      </c>
      <c r="AE110" s="5" t="s">
        <v>238</v>
      </c>
      <c r="AF110" s="6" t="s">
        <v>238</v>
      </c>
      <c r="AG110" s="6" t="s">
        <v>246</v>
      </c>
      <c r="AH110" s="5" t="s">
        <v>247</v>
      </c>
      <c r="AI110" s="5" t="s">
        <v>248</v>
      </c>
      <c r="AO110" s="5" t="s">
        <v>238</v>
      </c>
      <c r="AP110" s="5" t="s">
        <v>238</v>
      </c>
      <c r="AQ110" s="5" t="s">
        <v>238</v>
      </c>
      <c r="AR110" s="6" t="s">
        <v>238</v>
      </c>
      <c r="AS110" s="6" t="s">
        <v>238</v>
      </c>
      <c r="AT110" s="6" t="s">
        <v>238</v>
      </c>
      <c r="AW110" s="5" t="s">
        <v>304</v>
      </c>
      <c r="AX110" s="5" t="s">
        <v>304</v>
      </c>
      <c r="AY110" s="5" t="s">
        <v>250</v>
      </c>
      <c r="AZ110" s="5" t="s">
        <v>305</v>
      </c>
      <c r="BA110" s="5" t="s">
        <v>251</v>
      </c>
      <c r="BB110" s="5" t="s">
        <v>238</v>
      </c>
      <c r="BC110" s="5" t="s">
        <v>253</v>
      </c>
      <c r="BD110" s="5" t="s">
        <v>3170</v>
      </c>
      <c r="BF110" s="5" t="s">
        <v>238</v>
      </c>
      <c r="BH110" s="5" t="s">
        <v>283</v>
      </c>
      <c r="BI110" s="6" t="s">
        <v>293</v>
      </c>
      <c r="BJ110" s="5" t="s">
        <v>294</v>
      </c>
      <c r="BK110" s="5" t="s">
        <v>870</v>
      </c>
      <c r="BL110" s="5" t="s">
        <v>238</v>
      </c>
      <c r="BM110" s="7">
        <f>0</f>
        <v>0</v>
      </c>
      <c r="BN110" s="8">
        <f>-360948</f>
        <v>-360948</v>
      </c>
      <c r="BO110" s="5" t="s">
        <v>257</v>
      </c>
      <c r="BP110" s="5" t="s">
        <v>258</v>
      </c>
      <c r="BQ110" s="5" t="s">
        <v>238</v>
      </c>
      <c r="BR110" s="5" t="s">
        <v>238</v>
      </c>
      <c r="BS110" s="5" t="s">
        <v>238</v>
      </c>
      <c r="BT110" s="5" t="s">
        <v>238</v>
      </c>
      <c r="BY110" s="6" t="s">
        <v>238</v>
      </c>
      <c r="BZ110" s="5" t="s">
        <v>238</v>
      </c>
      <c r="CA110" s="5" t="s">
        <v>238</v>
      </c>
      <c r="CB110" s="5" t="s">
        <v>238</v>
      </c>
      <c r="CC110" s="5" t="s">
        <v>258</v>
      </c>
      <c r="CD110" s="5" t="s">
        <v>238</v>
      </c>
      <c r="CE110" s="5" t="s">
        <v>238</v>
      </c>
      <c r="CI110" s="5" t="s">
        <v>259</v>
      </c>
      <c r="CJ110" s="5" t="s">
        <v>260</v>
      </c>
      <c r="CK110" s="5" t="s">
        <v>272</v>
      </c>
      <c r="CM110" s="5" t="s">
        <v>408</v>
      </c>
      <c r="CN110" s="6" t="s">
        <v>262</v>
      </c>
      <c r="CO110" s="5" t="s">
        <v>263</v>
      </c>
      <c r="CP110" s="5" t="s">
        <v>264</v>
      </c>
      <c r="CQ110" s="5" t="s">
        <v>285</v>
      </c>
      <c r="CR110" s="5" t="s">
        <v>238</v>
      </c>
      <c r="CS110" s="5">
        <v>6.7000000000000004E-2</v>
      </c>
      <c r="CT110" s="5" t="s">
        <v>265</v>
      </c>
      <c r="CU110" s="5" t="s">
        <v>266</v>
      </c>
      <c r="CV110" s="5" t="s">
        <v>267</v>
      </c>
      <c r="CW110" s="7">
        <f>0</f>
        <v>0</v>
      </c>
      <c r="CX110" s="8">
        <f>5387285</f>
        <v>5387285</v>
      </c>
      <c r="CY110" s="8">
        <f>4665389</f>
        <v>4665389</v>
      </c>
      <c r="CZ110" s="8" t="s">
        <v>238</v>
      </c>
      <c r="DA110" s="5" t="s">
        <v>238</v>
      </c>
      <c r="DB110" s="5" t="s">
        <v>238</v>
      </c>
      <c r="DD110" s="5" t="s">
        <v>238</v>
      </c>
      <c r="DE110" s="8">
        <f>0</f>
        <v>0</v>
      </c>
      <c r="DF110" s="6" t="s">
        <v>238</v>
      </c>
      <c r="DG110" s="5" t="s">
        <v>238</v>
      </c>
      <c r="DH110" s="5" t="s">
        <v>238</v>
      </c>
      <c r="DI110" s="5" t="s">
        <v>238</v>
      </c>
      <c r="DJ110" s="5" t="s">
        <v>238</v>
      </c>
      <c r="DK110" s="5" t="s">
        <v>272</v>
      </c>
      <c r="DL110" s="5" t="s">
        <v>272</v>
      </c>
      <c r="DM110" s="7">
        <f>19.87</f>
        <v>19.87</v>
      </c>
      <c r="DN110" s="5" t="s">
        <v>238</v>
      </c>
      <c r="DO110" s="5" t="s">
        <v>247</v>
      </c>
      <c r="DP110" s="5" t="s">
        <v>3170</v>
      </c>
      <c r="DQ110" s="5" t="s">
        <v>3170</v>
      </c>
      <c r="DR110" s="5" t="s">
        <v>238</v>
      </c>
      <c r="DS110" s="5" t="s">
        <v>238</v>
      </c>
      <c r="DT110" s="5" t="s">
        <v>4078</v>
      </c>
      <c r="DU110" s="5" t="s">
        <v>274</v>
      </c>
      <c r="HP110" s="5" t="s">
        <v>272</v>
      </c>
      <c r="HQ110" s="5" t="s">
        <v>272</v>
      </c>
      <c r="HR110" s="5" t="s">
        <v>238</v>
      </c>
      <c r="HS110" s="5" t="s">
        <v>238</v>
      </c>
      <c r="HT110" s="5" t="s">
        <v>238</v>
      </c>
      <c r="HU110" s="5" t="s">
        <v>238</v>
      </c>
      <c r="HV110" s="5" t="s">
        <v>238</v>
      </c>
      <c r="HW110" s="5" t="s">
        <v>238</v>
      </c>
      <c r="HX110" s="5" t="s">
        <v>238</v>
      </c>
      <c r="HY110" s="5" t="s">
        <v>238</v>
      </c>
      <c r="HZ110" s="5" t="s">
        <v>238</v>
      </c>
      <c r="IA110" s="5" t="s">
        <v>238</v>
      </c>
      <c r="IB110" s="5" t="s">
        <v>238</v>
      </c>
      <c r="IC110" s="5" t="s">
        <v>238</v>
      </c>
      <c r="ID110" s="5" t="s">
        <v>238</v>
      </c>
    </row>
    <row r="111" spans="1:238" x14ac:dyDescent="0.4">
      <c r="A111" s="5">
        <v>118</v>
      </c>
      <c r="B111" s="5">
        <v>1</v>
      </c>
      <c r="C111" s="5">
        <v>2</v>
      </c>
      <c r="D111" s="5" t="s">
        <v>4193</v>
      </c>
      <c r="E111" s="5" t="s">
        <v>751</v>
      </c>
      <c r="F111" s="5" t="s">
        <v>282</v>
      </c>
      <c r="G111" s="5" t="s">
        <v>752</v>
      </c>
      <c r="H111" s="6" t="s">
        <v>4194</v>
      </c>
      <c r="I111" s="5" t="s">
        <v>4192</v>
      </c>
      <c r="J111" s="7">
        <f>29.74</f>
        <v>29.74</v>
      </c>
      <c r="K111" s="5" t="s">
        <v>270</v>
      </c>
      <c r="L111" s="8">
        <f>1</f>
        <v>1</v>
      </c>
      <c r="M111" s="8">
        <f>1784400</f>
        <v>1784400</v>
      </c>
      <c r="N111" s="6" t="s">
        <v>906</v>
      </c>
      <c r="O111" s="5" t="s">
        <v>268</v>
      </c>
      <c r="P111" s="5" t="s">
        <v>909</v>
      </c>
      <c r="R111" s="8">
        <f>1784399</f>
        <v>1784399</v>
      </c>
      <c r="S111" s="5" t="s">
        <v>240</v>
      </c>
      <c r="T111" s="5" t="s">
        <v>237</v>
      </c>
      <c r="W111" s="5" t="s">
        <v>241</v>
      </c>
      <c r="X111" s="5" t="s">
        <v>750</v>
      </c>
      <c r="Y111" s="5" t="s">
        <v>238</v>
      </c>
      <c r="AB111" s="5" t="s">
        <v>238</v>
      </c>
      <c r="AC111" s="6" t="s">
        <v>238</v>
      </c>
      <c r="AD111" s="6" t="s">
        <v>238</v>
      </c>
      <c r="AF111" s="6" t="s">
        <v>238</v>
      </c>
      <c r="AG111" s="6" t="s">
        <v>246</v>
      </c>
      <c r="AH111" s="5" t="s">
        <v>247</v>
      </c>
      <c r="AI111" s="5" t="s">
        <v>248</v>
      </c>
      <c r="AT111" s="6" t="s">
        <v>238</v>
      </c>
      <c r="AW111" s="5" t="s">
        <v>304</v>
      </c>
      <c r="AX111" s="5" t="s">
        <v>304</v>
      </c>
      <c r="AY111" s="5" t="s">
        <v>250</v>
      </c>
      <c r="AZ111" s="5" t="s">
        <v>305</v>
      </c>
      <c r="BA111" s="5" t="s">
        <v>251</v>
      </c>
      <c r="BB111" s="5" t="s">
        <v>238</v>
      </c>
      <c r="BC111" s="5" t="s">
        <v>253</v>
      </c>
      <c r="BD111" s="5" t="s">
        <v>238</v>
      </c>
      <c r="BF111" s="5" t="s">
        <v>760</v>
      </c>
      <c r="BH111" s="5" t="s">
        <v>283</v>
      </c>
      <c r="BI111" s="6" t="s">
        <v>293</v>
      </c>
      <c r="BJ111" s="5" t="s">
        <v>255</v>
      </c>
      <c r="BK111" s="5" t="s">
        <v>256</v>
      </c>
      <c r="BL111" s="5" t="s">
        <v>238</v>
      </c>
      <c r="BM111" s="7">
        <f>0</f>
        <v>0</v>
      </c>
      <c r="BN111" s="8">
        <f>0</f>
        <v>0</v>
      </c>
      <c r="BO111" s="5" t="s">
        <v>257</v>
      </c>
      <c r="BP111" s="5" t="s">
        <v>258</v>
      </c>
      <c r="BQ111" s="5" t="s">
        <v>238</v>
      </c>
      <c r="BR111" s="5" t="s">
        <v>238</v>
      </c>
      <c r="BS111" s="5" t="s">
        <v>238</v>
      </c>
      <c r="BT111" s="5" t="s">
        <v>238</v>
      </c>
      <c r="CC111" s="5" t="s">
        <v>258</v>
      </c>
      <c r="CD111" s="5" t="s">
        <v>238</v>
      </c>
      <c r="CE111" s="5" t="s">
        <v>238</v>
      </c>
      <c r="CI111" s="5" t="s">
        <v>527</v>
      </c>
      <c r="CJ111" s="5" t="s">
        <v>260</v>
      </c>
      <c r="CK111" s="5" t="s">
        <v>238</v>
      </c>
      <c r="CM111" s="5" t="s">
        <v>908</v>
      </c>
      <c r="CN111" s="6" t="s">
        <v>262</v>
      </c>
      <c r="CO111" s="5" t="s">
        <v>263</v>
      </c>
      <c r="CP111" s="5" t="s">
        <v>264</v>
      </c>
      <c r="CQ111" s="5" t="s">
        <v>285</v>
      </c>
      <c r="CR111" s="5" t="s">
        <v>238</v>
      </c>
      <c r="CS111" s="5">
        <v>0</v>
      </c>
      <c r="CT111" s="5" t="s">
        <v>265</v>
      </c>
      <c r="CU111" s="5" t="s">
        <v>266</v>
      </c>
      <c r="CV111" s="5" t="s">
        <v>267</v>
      </c>
      <c r="CW111" s="7">
        <f>0</f>
        <v>0</v>
      </c>
      <c r="CX111" s="8">
        <f>1784400</f>
        <v>1784400</v>
      </c>
      <c r="CY111" s="8">
        <f>1</f>
        <v>1</v>
      </c>
      <c r="DA111" s="5" t="s">
        <v>238</v>
      </c>
      <c r="DB111" s="5" t="s">
        <v>238</v>
      </c>
      <c r="DD111" s="5" t="s">
        <v>238</v>
      </c>
      <c r="DE111" s="8">
        <f>0</f>
        <v>0</v>
      </c>
      <c r="DG111" s="5" t="s">
        <v>238</v>
      </c>
      <c r="DH111" s="5" t="s">
        <v>238</v>
      </c>
      <c r="DI111" s="5" t="s">
        <v>238</v>
      </c>
      <c r="DJ111" s="5" t="s">
        <v>238</v>
      </c>
      <c r="DK111" s="5" t="s">
        <v>271</v>
      </c>
      <c r="DL111" s="5" t="s">
        <v>272</v>
      </c>
      <c r="DM111" s="7">
        <f>29.74</f>
        <v>29.74</v>
      </c>
      <c r="DN111" s="5" t="s">
        <v>238</v>
      </c>
      <c r="DO111" s="5" t="s">
        <v>238</v>
      </c>
      <c r="DP111" s="5" t="s">
        <v>238</v>
      </c>
      <c r="DQ111" s="5" t="s">
        <v>238</v>
      </c>
      <c r="DT111" s="5" t="s">
        <v>4195</v>
      </c>
      <c r="DU111" s="5" t="s">
        <v>271</v>
      </c>
      <c r="HM111" s="5" t="s">
        <v>271</v>
      </c>
      <c r="HP111" s="5" t="s">
        <v>272</v>
      </c>
      <c r="HQ111" s="5" t="s">
        <v>272</v>
      </c>
      <c r="HR111" s="5" t="s">
        <v>238</v>
      </c>
      <c r="HS111" s="5" t="s">
        <v>238</v>
      </c>
      <c r="HT111" s="5" t="s">
        <v>238</v>
      </c>
      <c r="HU111" s="5" t="s">
        <v>238</v>
      </c>
      <c r="HV111" s="5" t="s">
        <v>238</v>
      </c>
      <c r="HW111" s="5" t="s">
        <v>238</v>
      </c>
      <c r="HX111" s="5" t="s">
        <v>238</v>
      </c>
      <c r="HY111" s="5" t="s">
        <v>238</v>
      </c>
      <c r="HZ111" s="5" t="s">
        <v>238</v>
      </c>
      <c r="IA111" s="5" t="s">
        <v>238</v>
      </c>
      <c r="IB111" s="5" t="s">
        <v>238</v>
      </c>
      <c r="IC111" s="5" t="s">
        <v>238</v>
      </c>
      <c r="ID111" s="5" t="s">
        <v>238</v>
      </c>
    </row>
    <row r="112" spans="1:238" x14ac:dyDescent="0.4">
      <c r="A112" s="5">
        <v>121</v>
      </c>
      <c r="B112" s="5">
        <v>1</v>
      </c>
      <c r="C112" s="5">
        <v>2</v>
      </c>
      <c r="D112" s="5" t="s">
        <v>4173</v>
      </c>
      <c r="E112" s="5" t="s">
        <v>751</v>
      </c>
      <c r="F112" s="5" t="s">
        <v>282</v>
      </c>
      <c r="G112" s="5" t="s">
        <v>752</v>
      </c>
      <c r="H112" s="6" t="s">
        <v>4174</v>
      </c>
      <c r="I112" s="5" t="s">
        <v>4172</v>
      </c>
      <c r="J112" s="7">
        <f>9.92</f>
        <v>9.92</v>
      </c>
      <c r="K112" s="5" t="s">
        <v>270</v>
      </c>
      <c r="L112" s="8">
        <f>1</f>
        <v>1</v>
      </c>
      <c r="M112" s="8">
        <f>595200</f>
        <v>595200</v>
      </c>
      <c r="N112" s="6" t="s">
        <v>906</v>
      </c>
      <c r="O112" s="5" t="s">
        <v>651</v>
      </c>
      <c r="P112" s="5" t="s">
        <v>909</v>
      </c>
      <c r="R112" s="8">
        <f>595199</f>
        <v>595199</v>
      </c>
      <c r="S112" s="5" t="s">
        <v>240</v>
      </c>
      <c r="T112" s="5" t="s">
        <v>237</v>
      </c>
      <c r="W112" s="5" t="s">
        <v>241</v>
      </c>
      <c r="X112" s="5" t="s">
        <v>750</v>
      </c>
      <c r="Y112" s="5" t="s">
        <v>238</v>
      </c>
      <c r="AB112" s="5" t="s">
        <v>238</v>
      </c>
      <c r="AC112" s="6" t="s">
        <v>238</v>
      </c>
      <c r="AD112" s="6" t="s">
        <v>238</v>
      </c>
      <c r="AF112" s="6" t="s">
        <v>238</v>
      </c>
      <c r="AG112" s="6" t="s">
        <v>246</v>
      </c>
      <c r="AH112" s="5" t="s">
        <v>247</v>
      </c>
      <c r="AI112" s="5" t="s">
        <v>248</v>
      </c>
      <c r="AT112" s="6" t="s">
        <v>238</v>
      </c>
      <c r="AW112" s="5" t="s">
        <v>304</v>
      </c>
      <c r="AX112" s="5" t="s">
        <v>304</v>
      </c>
      <c r="AY112" s="5" t="s">
        <v>250</v>
      </c>
      <c r="AZ112" s="5" t="s">
        <v>305</v>
      </c>
      <c r="BA112" s="5" t="s">
        <v>251</v>
      </c>
      <c r="BB112" s="5" t="s">
        <v>238</v>
      </c>
      <c r="BC112" s="5" t="s">
        <v>253</v>
      </c>
      <c r="BD112" s="5" t="s">
        <v>238</v>
      </c>
      <c r="BF112" s="5" t="s">
        <v>760</v>
      </c>
      <c r="BH112" s="5" t="s">
        <v>283</v>
      </c>
      <c r="BI112" s="6" t="s">
        <v>293</v>
      </c>
      <c r="BJ112" s="5" t="s">
        <v>255</v>
      </c>
      <c r="BK112" s="5" t="s">
        <v>256</v>
      </c>
      <c r="BL112" s="5" t="s">
        <v>238</v>
      </c>
      <c r="BM112" s="7">
        <f>0</f>
        <v>0</v>
      </c>
      <c r="BN112" s="8">
        <f>0</f>
        <v>0</v>
      </c>
      <c r="BO112" s="5" t="s">
        <v>257</v>
      </c>
      <c r="BP112" s="5" t="s">
        <v>258</v>
      </c>
      <c r="BQ112" s="5" t="s">
        <v>238</v>
      </c>
      <c r="BR112" s="5" t="s">
        <v>238</v>
      </c>
      <c r="BS112" s="5" t="s">
        <v>238</v>
      </c>
      <c r="BT112" s="5" t="s">
        <v>238</v>
      </c>
      <c r="CC112" s="5" t="s">
        <v>258</v>
      </c>
      <c r="CD112" s="5" t="s">
        <v>238</v>
      </c>
      <c r="CE112" s="5" t="s">
        <v>238</v>
      </c>
      <c r="CI112" s="5" t="s">
        <v>527</v>
      </c>
      <c r="CJ112" s="5" t="s">
        <v>260</v>
      </c>
      <c r="CK112" s="5" t="s">
        <v>238</v>
      </c>
      <c r="CM112" s="5" t="s">
        <v>908</v>
      </c>
      <c r="CN112" s="6" t="s">
        <v>262</v>
      </c>
      <c r="CO112" s="5" t="s">
        <v>263</v>
      </c>
      <c r="CP112" s="5" t="s">
        <v>264</v>
      </c>
      <c r="CQ112" s="5" t="s">
        <v>285</v>
      </c>
      <c r="CR112" s="5" t="s">
        <v>238</v>
      </c>
      <c r="CS112" s="5">
        <v>0</v>
      </c>
      <c r="CT112" s="5" t="s">
        <v>265</v>
      </c>
      <c r="CU112" s="5" t="s">
        <v>266</v>
      </c>
      <c r="CV112" s="5" t="s">
        <v>331</v>
      </c>
      <c r="CW112" s="7">
        <f>0</f>
        <v>0</v>
      </c>
      <c r="CX112" s="8">
        <f>595200</f>
        <v>595200</v>
      </c>
      <c r="CY112" s="8">
        <f>1</f>
        <v>1</v>
      </c>
      <c r="DA112" s="5" t="s">
        <v>238</v>
      </c>
      <c r="DB112" s="5" t="s">
        <v>238</v>
      </c>
      <c r="DD112" s="5" t="s">
        <v>238</v>
      </c>
      <c r="DE112" s="8">
        <f>0</f>
        <v>0</v>
      </c>
      <c r="DG112" s="5" t="s">
        <v>238</v>
      </c>
      <c r="DH112" s="5" t="s">
        <v>238</v>
      </c>
      <c r="DI112" s="5" t="s">
        <v>238</v>
      </c>
      <c r="DJ112" s="5" t="s">
        <v>238</v>
      </c>
      <c r="DK112" s="5" t="s">
        <v>271</v>
      </c>
      <c r="DL112" s="5" t="s">
        <v>272</v>
      </c>
      <c r="DM112" s="7">
        <f>9.92</f>
        <v>9.92</v>
      </c>
      <c r="DN112" s="5" t="s">
        <v>238</v>
      </c>
      <c r="DO112" s="5" t="s">
        <v>238</v>
      </c>
      <c r="DP112" s="5" t="s">
        <v>238</v>
      </c>
      <c r="DQ112" s="5" t="s">
        <v>238</v>
      </c>
      <c r="DT112" s="5" t="s">
        <v>4175</v>
      </c>
      <c r="DU112" s="5" t="s">
        <v>271</v>
      </c>
      <c r="HM112" s="5" t="s">
        <v>271</v>
      </c>
      <c r="HP112" s="5" t="s">
        <v>272</v>
      </c>
      <c r="HQ112" s="5" t="s">
        <v>272</v>
      </c>
      <c r="HR112" s="5" t="s">
        <v>238</v>
      </c>
      <c r="HS112" s="5" t="s">
        <v>238</v>
      </c>
      <c r="HT112" s="5" t="s">
        <v>238</v>
      </c>
      <c r="HU112" s="5" t="s">
        <v>238</v>
      </c>
      <c r="HV112" s="5" t="s">
        <v>238</v>
      </c>
      <c r="HW112" s="5" t="s">
        <v>238</v>
      </c>
      <c r="HX112" s="5" t="s">
        <v>238</v>
      </c>
      <c r="HY112" s="5" t="s">
        <v>238</v>
      </c>
      <c r="HZ112" s="5" t="s">
        <v>238</v>
      </c>
      <c r="IA112" s="5" t="s">
        <v>238</v>
      </c>
      <c r="IB112" s="5" t="s">
        <v>238</v>
      </c>
      <c r="IC112" s="5" t="s">
        <v>238</v>
      </c>
      <c r="ID112" s="5" t="s">
        <v>238</v>
      </c>
    </row>
    <row r="113" spans="1:238" x14ac:dyDescent="0.4">
      <c r="A113" s="5">
        <v>122</v>
      </c>
      <c r="B113" s="5">
        <v>1</v>
      </c>
      <c r="C113" s="5">
        <v>2</v>
      </c>
      <c r="D113" s="5" t="s">
        <v>4160</v>
      </c>
      <c r="E113" s="5" t="s">
        <v>751</v>
      </c>
      <c r="F113" s="5" t="s">
        <v>282</v>
      </c>
      <c r="G113" s="5" t="s">
        <v>752</v>
      </c>
      <c r="H113" s="6" t="s">
        <v>4161</v>
      </c>
      <c r="I113" s="5" t="s">
        <v>4159</v>
      </c>
      <c r="J113" s="7">
        <f>115</f>
        <v>115</v>
      </c>
      <c r="K113" s="5" t="s">
        <v>270</v>
      </c>
      <c r="L113" s="8">
        <f>1</f>
        <v>1</v>
      </c>
      <c r="M113" s="8">
        <f>6900000</f>
        <v>6900000</v>
      </c>
      <c r="N113" s="6" t="s">
        <v>906</v>
      </c>
      <c r="O113" s="5" t="s">
        <v>268</v>
      </c>
      <c r="P113" s="5" t="s">
        <v>909</v>
      </c>
      <c r="R113" s="8">
        <f>6899999</f>
        <v>6899999</v>
      </c>
      <c r="S113" s="5" t="s">
        <v>240</v>
      </c>
      <c r="T113" s="5" t="s">
        <v>237</v>
      </c>
      <c r="W113" s="5" t="s">
        <v>241</v>
      </c>
      <c r="X113" s="5" t="s">
        <v>750</v>
      </c>
      <c r="Y113" s="5" t="s">
        <v>238</v>
      </c>
      <c r="AB113" s="5" t="s">
        <v>238</v>
      </c>
      <c r="AC113" s="6" t="s">
        <v>238</v>
      </c>
      <c r="AD113" s="6" t="s">
        <v>238</v>
      </c>
      <c r="AF113" s="6" t="s">
        <v>238</v>
      </c>
      <c r="AG113" s="6" t="s">
        <v>246</v>
      </c>
      <c r="AH113" s="5" t="s">
        <v>247</v>
      </c>
      <c r="AI113" s="5" t="s">
        <v>248</v>
      </c>
      <c r="AT113" s="6" t="s">
        <v>238</v>
      </c>
      <c r="AW113" s="5" t="s">
        <v>304</v>
      </c>
      <c r="AX113" s="5" t="s">
        <v>304</v>
      </c>
      <c r="AY113" s="5" t="s">
        <v>250</v>
      </c>
      <c r="AZ113" s="5" t="s">
        <v>305</v>
      </c>
      <c r="BA113" s="5" t="s">
        <v>251</v>
      </c>
      <c r="BB113" s="5" t="s">
        <v>238</v>
      </c>
      <c r="BC113" s="5" t="s">
        <v>253</v>
      </c>
      <c r="BD113" s="5" t="s">
        <v>238</v>
      </c>
      <c r="BF113" s="5" t="s">
        <v>760</v>
      </c>
      <c r="BH113" s="5" t="s">
        <v>283</v>
      </c>
      <c r="BI113" s="6" t="s">
        <v>293</v>
      </c>
      <c r="BJ113" s="5" t="s">
        <v>255</v>
      </c>
      <c r="BK113" s="5" t="s">
        <v>256</v>
      </c>
      <c r="BL113" s="5" t="s">
        <v>238</v>
      </c>
      <c r="BM113" s="7">
        <f>0</f>
        <v>0</v>
      </c>
      <c r="BN113" s="8">
        <f>0</f>
        <v>0</v>
      </c>
      <c r="BO113" s="5" t="s">
        <v>257</v>
      </c>
      <c r="BP113" s="5" t="s">
        <v>258</v>
      </c>
      <c r="BQ113" s="5" t="s">
        <v>238</v>
      </c>
      <c r="BR113" s="5" t="s">
        <v>238</v>
      </c>
      <c r="BS113" s="5" t="s">
        <v>238</v>
      </c>
      <c r="BT113" s="5" t="s">
        <v>238</v>
      </c>
      <c r="CC113" s="5" t="s">
        <v>258</v>
      </c>
      <c r="CD113" s="5" t="s">
        <v>238</v>
      </c>
      <c r="CE113" s="5" t="s">
        <v>238</v>
      </c>
      <c r="CI113" s="5" t="s">
        <v>527</v>
      </c>
      <c r="CJ113" s="5" t="s">
        <v>260</v>
      </c>
      <c r="CK113" s="5" t="s">
        <v>238</v>
      </c>
      <c r="CM113" s="5" t="s">
        <v>908</v>
      </c>
      <c r="CN113" s="6" t="s">
        <v>262</v>
      </c>
      <c r="CO113" s="5" t="s">
        <v>263</v>
      </c>
      <c r="CP113" s="5" t="s">
        <v>264</v>
      </c>
      <c r="CQ113" s="5" t="s">
        <v>285</v>
      </c>
      <c r="CR113" s="5" t="s">
        <v>238</v>
      </c>
      <c r="CS113" s="5">
        <v>0</v>
      </c>
      <c r="CT113" s="5" t="s">
        <v>265</v>
      </c>
      <c r="CU113" s="5" t="s">
        <v>266</v>
      </c>
      <c r="CV113" s="5" t="s">
        <v>267</v>
      </c>
      <c r="CW113" s="7">
        <f>0</f>
        <v>0</v>
      </c>
      <c r="CX113" s="8">
        <f>6900000</f>
        <v>6900000</v>
      </c>
      <c r="CY113" s="8">
        <f>1</f>
        <v>1</v>
      </c>
      <c r="DA113" s="5" t="s">
        <v>238</v>
      </c>
      <c r="DB113" s="5" t="s">
        <v>238</v>
      </c>
      <c r="DD113" s="5" t="s">
        <v>238</v>
      </c>
      <c r="DE113" s="8">
        <f>0</f>
        <v>0</v>
      </c>
      <c r="DG113" s="5" t="s">
        <v>238</v>
      </c>
      <c r="DH113" s="5" t="s">
        <v>238</v>
      </c>
      <c r="DI113" s="5" t="s">
        <v>238</v>
      </c>
      <c r="DJ113" s="5" t="s">
        <v>238</v>
      </c>
      <c r="DK113" s="5" t="s">
        <v>274</v>
      </c>
      <c r="DL113" s="5" t="s">
        <v>272</v>
      </c>
      <c r="DM113" s="7">
        <f>115</f>
        <v>115</v>
      </c>
      <c r="DN113" s="5" t="s">
        <v>238</v>
      </c>
      <c r="DO113" s="5" t="s">
        <v>238</v>
      </c>
      <c r="DP113" s="5" t="s">
        <v>238</v>
      </c>
      <c r="DQ113" s="5" t="s">
        <v>238</v>
      </c>
      <c r="DT113" s="5" t="s">
        <v>4162</v>
      </c>
      <c r="DU113" s="5" t="s">
        <v>271</v>
      </c>
      <c r="HM113" s="5" t="s">
        <v>271</v>
      </c>
      <c r="HP113" s="5" t="s">
        <v>272</v>
      </c>
      <c r="HQ113" s="5" t="s">
        <v>272</v>
      </c>
      <c r="HR113" s="5" t="s">
        <v>238</v>
      </c>
      <c r="HS113" s="5" t="s">
        <v>238</v>
      </c>
      <c r="HT113" s="5" t="s">
        <v>238</v>
      </c>
      <c r="HU113" s="5" t="s">
        <v>238</v>
      </c>
      <c r="HV113" s="5" t="s">
        <v>238</v>
      </c>
      <c r="HW113" s="5" t="s">
        <v>238</v>
      </c>
      <c r="HX113" s="5" t="s">
        <v>238</v>
      </c>
      <c r="HY113" s="5" t="s">
        <v>238</v>
      </c>
      <c r="HZ113" s="5" t="s">
        <v>238</v>
      </c>
      <c r="IA113" s="5" t="s">
        <v>238</v>
      </c>
      <c r="IB113" s="5" t="s">
        <v>238</v>
      </c>
      <c r="IC113" s="5" t="s">
        <v>238</v>
      </c>
      <c r="ID113" s="5" t="s">
        <v>238</v>
      </c>
    </row>
    <row r="114" spans="1:238" x14ac:dyDescent="0.4">
      <c r="A114" s="5">
        <v>123</v>
      </c>
      <c r="B114" s="5">
        <v>1</v>
      </c>
      <c r="C114" s="5">
        <v>2</v>
      </c>
      <c r="D114" s="5" t="s">
        <v>4156</v>
      </c>
      <c r="E114" s="5" t="s">
        <v>751</v>
      </c>
      <c r="F114" s="5" t="s">
        <v>282</v>
      </c>
      <c r="G114" s="5" t="s">
        <v>752</v>
      </c>
      <c r="H114" s="6" t="s">
        <v>4157</v>
      </c>
      <c r="I114" s="5" t="s">
        <v>4155</v>
      </c>
      <c r="J114" s="7">
        <f>88</f>
        <v>88</v>
      </c>
      <c r="K114" s="5" t="s">
        <v>270</v>
      </c>
      <c r="L114" s="8">
        <f>1</f>
        <v>1</v>
      </c>
      <c r="M114" s="8">
        <f>11440000</f>
        <v>11440000</v>
      </c>
      <c r="N114" s="6" t="s">
        <v>906</v>
      </c>
      <c r="O114" s="5" t="s">
        <v>639</v>
      </c>
      <c r="P114" s="5" t="s">
        <v>909</v>
      </c>
      <c r="R114" s="8">
        <f>11439999</f>
        <v>11439999</v>
      </c>
      <c r="S114" s="5" t="s">
        <v>240</v>
      </c>
      <c r="T114" s="5" t="s">
        <v>237</v>
      </c>
      <c r="W114" s="5" t="s">
        <v>241</v>
      </c>
      <c r="X114" s="5" t="s">
        <v>750</v>
      </c>
      <c r="Y114" s="5" t="s">
        <v>238</v>
      </c>
      <c r="AB114" s="5" t="s">
        <v>238</v>
      </c>
      <c r="AC114" s="6" t="s">
        <v>238</v>
      </c>
      <c r="AD114" s="6" t="s">
        <v>238</v>
      </c>
      <c r="AF114" s="6" t="s">
        <v>238</v>
      </c>
      <c r="AG114" s="6" t="s">
        <v>246</v>
      </c>
      <c r="AH114" s="5" t="s">
        <v>247</v>
      </c>
      <c r="AI114" s="5" t="s">
        <v>248</v>
      </c>
      <c r="AT114" s="6" t="s">
        <v>238</v>
      </c>
      <c r="AW114" s="5" t="s">
        <v>304</v>
      </c>
      <c r="AX114" s="5" t="s">
        <v>304</v>
      </c>
      <c r="AY114" s="5" t="s">
        <v>250</v>
      </c>
      <c r="AZ114" s="5" t="s">
        <v>305</v>
      </c>
      <c r="BA114" s="5" t="s">
        <v>251</v>
      </c>
      <c r="BB114" s="5" t="s">
        <v>238</v>
      </c>
      <c r="BC114" s="5" t="s">
        <v>253</v>
      </c>
      <c r="BD114" s="5" t="s">
        <v>238</v>
      </c>
      <c r="BF114" s="5" t="s">
        <v>760</v>
      </c>
      <c r="BH114" s="5" t="s">
        <v>283</v>
      </c>
      <c r="BI114" s="6" t="s">
        <v>293</v>
      </c>
      <c r="BJ114" s="5" t="s">
        <v>255</v>
      </c>
      <c r="BK114" s="5" t="s">
        <v>256</v>
      </c>
      <c r="BL114" s="5" t="s">
        <v>238</v>
      </c>
      <c r="BM114" s="7">
        <f>0</f>
        <v>0</v>
      </c>
      <c r="BN114" s="8">
        <f>0</f>
        <v>0</v>
      </c>
      <c r="BO114" s="5" t="s">
        <v>257</v>
      </c>
      <c r="BP114" s="5" t="s">
        <v>258</v>
      </c>
      <c r="BQ114" s="5" t="s">
        <v>238</v>
      </c>
      <c r="BR114" s="5" t="s">
        <v>238</v>
      </c>
      <c r="BS114" s="5" t="s">
        <v>238</v>
      </c>
      <c r="BT114" s="5" t="s">
        <v>238</v>
      </c>
      <c r="CC114" s="5" t="s">
        <v>258</v>
      </c>
      <c r="CD114" s="5" t="s">
        <v>238</v>
      </c>
      <c r="CE114" s="5" t="s">
        <v>238</v>
      </c>
      <c r="CI114" s="5" t="s">
        <v>527</v>
      </c>
      <c r="CJ114" s="5" t="s">
        <v>260</v>
      </c>
      <c r="CK114" s="5" t="s">
        <v>238</v>
      </c>
      <c r="CM114" s="5" t="s">
        <v>908</v>
      </c>
      <c r="CN114" s="6" t="s">
        <v>262</v>
      </c>
      <c r="CO114" s="5" t="s">
        <v>263</v>
      </c>
      <c r="CP114" s="5" t="s">
        <v>264</v>
      </c>
      <c r="CQ114" s="5" t="s">
        <v>285</v>
      </c>
      <c r="CR114" s="5" t="s">
        <v>238</v>
      </c>
      <c r="CS114" s="5">
        <v>0</v>
      </c>
      <c r="CT114" s="5" t="s">
        <v>265</v>
      </c>
      <c r="CU114" s="5" t="s">
        <v>266</v>
      </c>
      <c r="CV114" s="5" t="s">
        <v>308</v>
      </c>
      <c r="CW114" s="7">
        <f>0</f>
        <v>0</v>
      </c>
      <c r="CX114" s="8">
        <f>11440000</f>
        <v>11440000</v>
      </c>
      <c r="CY114" s="8">
        <f>1</f>
        <v>1</v>
      </c>
      <c r="DA114" s="5" t="s">
        <v>238</v>
      </c>
      <c r="DB114" s="5" t="s">
        <v>238</v>
      </c>
      <c r="DD114" s="5" t="s">
        <v>238</v>
      </c>
      <c r="DE114" s="8">
        <f>0</f>
        <v>0</v>
      </c>
      <c r="DG114" s="5" t="s">
        <v>238</v>
      </c>
      <c r="DH114" s="5" t="s">
        <v>238</v>
      </c>
      <c r="DI114" s="5" t="s">
        <v>238</v>
      </c>
      <c r="DJ114" s="5" t="s">
        <v>238</v>
      </c>
      <c r="DK114" s="5" t="s">
        <v>271</v>
      </c>
      <c r="DL114" s="5" t="s">
        <v>272</v>
      </c>
      <c r="DM114" s="7">
        <f>88</f>
        <v>88</v>
      </c>
      <c r="DN114" s="5" t="s">
        <v>238</v>
      </c>
      <c r="DO114" s="5" t="s">
        <v>238</v>
      </c>
      <c r="DP114" s="5" t="s">
        <v>238</v>
      </c>
      <c r="DQ114" s="5" t="s">
        <v>238</v>
      </c>
      <c r="DT114" s="5" t="s">
        <v>4158</v>
      </c>
      <c r="DU114" s="5" t="s">
        <v>271</v>
      </c>
      <c r="HM114" s="5" t="s">
        <v>271</v>
      </c>
      <c r="HP114" s="5" t="s">
        <v>272</v>
      </c>
      <c r="HQ114" s="5" t="s">
        <v>272</v>
      </c>
      <c r="HR114" s="5" t="s">
        <v>238</v>
      </c>
      <c r="HS114" s="5" t="s">
        <v>238</v>
      </c>
      <c r="HT114" s="5" t="s">
        <v>238</v>
      </c>
      <c r="HU114" s="5" t="s">
        <v>238</v>
      </c>
      <c r="HV114" s="5" t="s">
        <v>238</v>
      </c>
      <c r="HW114" s="5" t="s">
        <v>238</v>
      </c>
      <c r="HX114" s="5" t="s">
        <v>238</v>
      </c>
      <c r="HY114" s="5" t="s">
        <v>238</v>
      </c>
      <c r="HZ114" s="5" t="s">
        <v>238</v>
      </c>
      <c r="IA114" s="5" t="s">
        <v>238</v>
      </c>
      <c r="IB114" s="5" t="s">
        <v>238</v>
      </c>
      <c r="IC114" s="5" t="s">
        <v>238</v>
      </c>
      <c r="ID114" s="5" t="s">
        <v>238</v>
      </c>
    </row>
    <row r="115" spans="1:238" x14ac:dyDescent="0.4">
      <c r="A115" s="5">
        <v>124</v>
      </c>
      <c r="B115" s="5">
        <v>1</v>
      </c>
      <c r="C115" s="5">
        <v>3</v>
      </c>
      <c r="D115" s="5" t="s">
        <v>4071</v>
      </c>
      <c r="E115" s="5" t="s">
        <v>751</v>
      </c>
      <c r="F115" s="5" t="s">
        <v>282</v>
      </c>
      <c r="G115" s="5" t="s">
        <v>752</v>
      </c>
      <c r="H115" s="6" t="s">
        <v>4073</v>
      </c>
      <c r="I115" s="5" t="s">
        <v>4070</v>
      </c>
      <c r="J115" s="7">
        <f>19.87</f>
        <v>19.87</v>
      </c>
      <c r="K115" s="5" t="s">
        <v>270</v>
      </c>
      <c r="L115" s="8">
        <f>1</f>
        <v>1</v>
      </c>
      <c r="M115" s="8">
        <f>2424140</f>
        <v>2424140</v>
      </c>
      <c r="N115" s="6" t="s">
        <v>4072</v>
      </c>
      <c r="O115" s="5" t="s">
        <v>268</v>
      </c>
      <c r="P115" s="5" t="s">
        <v>631</v>
      </c>
      <c r="Q115" s="8" t="s">
        <v>238</v>
      </c>
      <c r="R115" s="8">
        <f>2424139</f>
        <v>2424139</v>
      </c>
      <c r="S115" s="5" t="s">
        <v>240</v>
      </c>
      <c r="T115" s="5" t="s">
        <v>237</v>
      </c>
      <c r="W115" s="5" t="s">
        <v>241</v>
      </c>
      <c r="X115" s="5" t="s">
        <v>750</v>
      </c>
      <c r="Y115" s="5" t="s">
        <v>238</v>
      </c>
      <c r="AB115" s="5" t="s">
        <v>238</v>
      </c>
      <c r="AC115" s="6" t="s">
        <v>238</v>
      </c>
      <c r="AD115" s="6" t="s">
        <v>238</v>
      </c>
      <c r="AE115" s="5" t="s">
        <v>238</v>
      </c>
      <c r="AF115" s="6" t="s">
        <v>238</v>
      </c>
      <c r="AG115" s="6" t="s">
        <v>246</v>
      </c>
      <c r="AH115" s="5" t="s">
        <v>247</v>
      </c>
      <c r="AI115" s="5" t="s">
        <v>248</v>
      </c>
      <c r="AO115" s="5" t="s">
        <v>238</v>
      </c>
      <c r="AP115" s="5" t="s">
        <v>238</v>
      </c>
      <c r="AQ115" s="5" t="s">
        <v>238</v>
      </c>
      <c r="AR115" s="6" t="s">
        <v>238</v>
      </c>
      <c r="AS115" s="6" t="s">
        <v>238</v>
      </c>
      <c r="AT115" s="6" t="s">
        <v>238</v>
      </c>
      <c r="AW115" s="5" t="s">
        <v>304</v>
      </c>
      <c r="AX115" s="5" t="s">
        <v>304</v>
      </c>
      <c r="AY115" s="5" t="s">
        <v>250</v>
      </c>
      <c r="AZ115" s="5" t="s">
        <v>305</v>
      </c>
      <c r="BA115" s="5" t="s">
        <v>251</v>
      </c>
      <c r="BB115" s="5" t="s">
        <v>238</v>
      </c>
      <c r="BC115" s="5" t="s">
        <v>253</v>
      </c>
      <c r="BD115" s="5" t="s">
        <v>3170</v>
      </c>
      <c r="BF115" s="5" t="s">
        <v>760</v>
      </c>
      <c r="BH115" s="5" t="s">
        <v>283</v>
      </c>
      <c r="BI115" s="6" t="s">
        <v>293</v>
      </c>
      <c r="BJ115" s="5" t="s">
        <v>255</v>
      </c>
      <c r="BK115" s="5" t="s">
        <v>870</v>
      </c>
      <c r="BL115" s="5" t="s">
        <v>238</v>
      </c>
      <c r="BM115" s="7">
        <f>0</f>
        <v>0</v>
      </c>
      <c r="BN115" s="8">
        <f>0</f>
        <v>0</v>
      </c>
      <c r="BO115" s="5" t="s">
        <v>257</v>
      </c>
      <c r="BP115" s="5" t="s">
        <v>258</v>
      </c>
      <c r="BQ115" s="5" t="s">
        <v>238</v>
      </c>
      <c r="BR115" s="5" t="s">
        <v>238</v>
      </c>
      <c r="BS115" s="5" t="s">
        <v>238</v>
      </c>
      <c r="BT115" s="5" t="s">
        <v>238</v>
      </c>
      <c r="BY115" s="6" t="s">
        <v>238</v>
      </c>
      <c r="BZ115" s="5" t="s">
        <v>238</v>
      </c>
      <c r="CA115" s="5" t="s">
        <v>238</v>
      </c>
      <c r="CB115" s="5" t="s">
        <v>238</v>
      </c>
      <c r="CC115" s="5" t="s">
        <v>258</v>
      </c>
      <c r="CD115" s="5" t="s">
        <v>238</v>
      </c>
      <c r="CE115" s="5" t="s">
        <v>238</v>
      </c>
      <c r="CI115" s="5" t="s">
        <v>259</v>
      </c>
      <c r="CJ115" s="5" t="s">
        <v>260</v>
      </c>
      <c r="CK115" s="5" t="s">
        <v>272</v>
      </c>
      <c r="CM115" s="5" t="s">
        <v>330</v>
      </c>
      <c r="CN115" s="6" t="s">
        <v>262</v>
      </c>
      <c r="CO115" s="5" t="s">
        <v>263</v>
      </c>
      <c r="CP115" s="5" t="s">
        <v>264</v>
      </c>
      <c r="CQ115" s="5" t="s">
        <v>285</v>
      </c>
      <c r="CR115" s="5" t="s">
        <v>238</v>
      </c>
      <c r="CS115" s="5">
        <v>0</v>
      </c>
      <c r="CT115" s="5" t="s">
        <v>265</v>
      </c>
      <c r="CU115" s="5" t="s">
        <v>266</v>
      </c>
      <c r="CV115" s="5" t="s">
        <v>267</v>
      </c>
      <c r="CW115" s="7">
        <f>0</f>
        <v>0</v>
      </c>
      <c r="CX115" s="8">
        <f>2424140</f>
        <v>2424140</v>
      </c>
      <c r="CY115" s="8">
        <f>1</f>
        <v>1</v>
      </c>
      <c r="CZ115" s="8" t="s">
        <v>238</v>
      </c>
      <c r="DA115" s="5" t="s">
        <v>238</v>
      </c>
      <c r="DB115" s="5" t="s">
        <v>238</v>
      </c>
      <c r="DD115" s="5" t="s">
        <v>238</v>
      </c>
      <c r="DE115" s="8">
        <f>0</f>
        <v>0</v>
      </c>
      <c r="DF115" s="6" t="s">
        <v>238</v>
      </c>
      <c r="DG115" s="5" t="s">
        <v>238</v>
      </c>
      <c r="DH115" s="5" t="s">
        <v>238</v>
      </c>
      <c r="DI115" s="5" t="s">
        <v>238</v>
      </c>
      <c r="DJ115" s="5" t="s">
        <v>238</v>
      </c>
      <c r="DK115" s="5" t="s">
        <v>271</v>
      </c>
      <c r="DL115" s="5" t="s">
        <v>272</v>
      </c>
      <c r="DM115" s="7">
        <f>19.87</f>
        <v>19.87</v>
      </c>
      <c r="DN115" s="5" t="s">
        <v>238</v>
      </c>
      <c r="DO115" s="5" t="s">
        <v>247</v>
      </c>
      <c r="DP115" s="5" t="s">
        <v>3170</v>
      </c>
      <c r="DQ115" s="5" t="s">
        <v>3170</v>
      </c>
      <c r="DR115" s="5" t="s">
        <v>238</v>
      </c>
      <c r="DS115" s="5" t="s">
        <v>238</v>
      </c>
      <c r="DT115" s="5" t="s">
        <v>4074</v>
      </c>
      <c r="DU115" s="5" t="s">
        <v>271</v>
      </c>
      <c r="HP115" s="5" t="s">
        <v>272</v>
      </c>
      <c r="HQ115" s="5" t="s">
        <v>272</v>
      </c>
      <c r="HR115" s="5" t="s">
        <v>238</v>
      </c>
      <c r="HS115" s="5" t="s">
        <v>238</v>
      </c>
      <c r="HT115" s="5" t="s">
        <v>238</v>
      </c>
      <c r="HU115" s="5" t="s">
        <v>238</v>
      </c>
      <c r="HV115" s="5" t="s">
        <v>238</v>
      </c>
      <c r="HW115" s="5" t="s">
        <v>238</v>
      </c>
      <c r="HX115" s="5" t="s">
        <v>238</v>
      </c>
      <c r="HY115" s="5" t="s">
        <v>238</v>
      </c>
      <c r="HZ115" s="5" t="s">
        <v>238</v>
      </c>
      <c r="IA115" s="5" t="s">
        <v>238</v>
      </c>
      <c r="IB115" s="5" t="s">
        <v>238</v>
      </c>
      <c r="IC115" s="5" t="s">
        <v>238</v>
      </c>
      <c r="ID115" s="5" t="s">
        <v>238</v>
      </c>
    </row>
    <row r="116" spans="1:238" x14ac:dyDescent="0.4">
      <c r="A116" s="5">
        <v>125</v>
      </c>
      <c r="B116" s="5">
        <v>1</v>
      </c>
      <c r="C116" s="5">
        <v>5</v>
      </c>
      <c r="D116" s="5" t="s">
        <v>3839</v>
      </c>
      <c r="E116" s="5" t="s">
        <v>751</v>
      </c>
      <c r="F116" s="5" t="s">
        <v>282</v>
      </c>
      <c r="G116" s="5" t="s">
        <v>752</v>
      </c>
      <c r="H116" s="6" t="s">
        <v>1343</v>
      </c>
      <c r="I116" s="5" t="s">
        <v>3838</v>
      </c>
      <c r="J116" s="7">
        <f>99</f>
        <v>99</v>
      </c>
      <c r="K116" s="5" t="s">
        <v>270</v>
      </c>
      <c r="L116" s="8">
        <f>4628646</f>
        <v>4628646</v>
      </c>
      <c r="M116" s="8">
        <f>19206000</f>
        <v>19206000</v>
      </c>
      <c r="N116" s="6" t="s">
        <v>3840</v>
      </c>
      <c r="O116" s="5" t="s">
        <v>650</v>
      </c>
      <c r="P116" s="5" t="s">
        <v>818</v>
      </c>
      <c r="Q116" s="8">
        <f>633798</f>
        <v>633798</v>
      </c>
      <c r="R116" s="8">
        <f>14577354</f>
        <v>14577354</v>
      </c>
      <c r="S116" s="5" t="s">
        <v>240</v>
      </c>
      <c r="T116" s="5" t="s">
        <v>237</v>
      </c>
      <c r="W116" s="5" t="s">
        <v>241</v>
      </c>
      <c r="X116" s="5" t="s">
        <v>750</v>
      </c>
      <c r="Y116" s="5" t="s">
        <v>238</v>
      </c>
      <c r="AB116" s="5" t="s">
        <v>238</v>
      </c>
      <c r="AC116" s="6" t="s">
        <v>238</v>
      </c>
      <c r="AD116" s="6" t="s">
        <v>238</v>
      </c>
      <c r="AF116" s="6" t="s">
        <v>238</v>
      </c>
      <c r="AG116" s="6" t="s">
        <v>246</v>
      </c>
      <c r="AH116" s="5" t="s">
        <v>247</v>
      </c>
      <c r="AI116" s="5" t="s">
        <v>248</v>
      </c>
      <c r="AO116" s="5" t="s">
        <v>238</v>
      </c>
      <c r="AP116" s="5" t="s">
        <v>238</v>
      </c>
      <c r="AQ116" s="5" t="s">
        <v>238</v>
      </c>
      <c r="AR116" s="6" t="s">
        <v>238</v>
      </c>
      <c r="AS116" s="6" t="s">
        <v>238</v>
      </c>
      <c r="AT116" s="6" t="s">
        <v>238</v>
      </c>
      <c r="AW116" s="5" t="s">
        <v>304</v>
      </c>
      <c r="AX116" s="5" t="s">
        <v>304</v>
      </c>
      <c r="AY116" s="5" t="s">
        <v>250</v>
      </c>
      <c r="AZ116" s="5" t="s">
        <v>305</v>
      </c>
      <c r="BA116" s="5" t="s">
        <v>251</v>
      </c>
      <c r="BB116" s="5" t="s">
        <v>238</v>
      </c>
      <c r="BC116" s="5" t="s">
        <v>253</v>
      </c>
      <c r="BD116" s="5" t="s">
        <v>238</v>
      </c>
      <c r="BF116" s="5" t="s">
        <v>760</v>
      </c>
      <c r="BH116" s="5" t="s">
        <v>283</v>
      </c>
      <c r="BI116" s="6" t="s">
        <v>293</v>
      </c>
      <c r="BJ116" s="5" t="s">
        <v>294</v>
      </c>
      <c r="BK116" s="5" t="s">
        <v>294</v>
      </c>
      <c r="BL116" s="5" t="s">
        <v>238</v>
      </c>
      <c r="BM116" s="7">
        <f>0</f>
        <v>0</v>
      </c>
      <c r="BN116" s="8">
        <f>-633798</f>
        <v>-633798</v>
      </c>
      <c r="BO116" s="5" t="s">
        <v>257</v>
      </c>
      <c r="BP116" s="5" t="s">
        <v>258</v>
      </c>
      <c r="BQ116" s="5" t="s">
        <v>238</v>
      </c>
      <c r="BR116" s="5" t="s">
        <v>238</v>
      </c>
      <c r="BS116" s="5" t="s">
        <v>238</v>
      </c>
      <c r="BT116" s="5" t="s">
        <v>238</v>
      </c>
      <c r="CC116" s="5" t="s">
        <v>258</v>
      </c>
      <c r="CD116" s="5" t="s">
        <v>238</v>
      </c>
      <c r="CE116" s="5" t="s">
        <v>238</v>
      </c>
      <c r="CI116" s="5" t="s">
        <v>259</v>
      </c>
      <c r="CJ116" s="5" t="s">
        <v>260</v>
      </c>
      <c r="CK116" s="5" t="s">
        <v>238</v>
      </c>
      <c r="CM116" s="5" t="s">
        <v>261</v>
      </c>
      <c r="CN116" s="6" t="s">
        <v>262</v>
      </c>
      <c r="CO116" s="5" t="s">
        <v>263</v>
      </c>
      <c r="CP116" s="5" t="s">
        <v>264</v>
      </c>
      <c r="CQ116" s="5" t="s">
        <v>285</v>
      </c>
      <c r="CR116" s="5" t="s">
        <v>238</v>
      </c>
      <c r="CS116" s="5">
        <v>3.3000000000000002E-2</v>
      </c>
      <c r="CT116" s="5" t="s">
        <v>265</v>
      </c>
      <c r="CU116" s="5" t="s">
        <v>266</v>
      </c>
      <c r="CV116" s="5" t="s">
        <v>649</v>
      </c>
      <c r="CW116" s="7">
        <f>0</f>
        <v>0</v>
      </c>
      <c r="CX116" s="8">
        <f>19206000</f>
        <v>19206000</v>
      </c>
      <c r="CY116" s="8">
        <f>4628646</f>
        <v>4628646</v>
      </c>
      <c r="DA116" s="5" t="s">
        <v>238</v>
      </c>
      <c r="DB116" s="5" t="s">
        <v>238</v>
      </c>
      <c r="DD116" s="5" t="s">
        <v>238</v>
      </c>
      <c r="DE116" s="8">
        <f>0</f>
        <v>0</v>
      </c>
      <c r="DG116" s="5" t="s">
        <v>238</v>
      </c>
      <c r="DH116" s="5" t="s">
        <v>238</v>
      </c>
      <c r="DI116" s="5" t="s">
        <v>238</v>
      </c>
      <c r="DJ116" s="5" t="s">
        <v>238</v>
      </c>
      <c r="DK116" s="5" t="s">
        <v>274</v>
      </c>
      <c r="DL116" s="5" t="s">
        <v>272</v>
      </c>
      <c r="DM116" s="7">
        <f>99</f>
        <v>99</v>
      </c>
      <c r="DN116" s="5" t="s">
        <v>238</v>
      </c>
      <c r="DO116" s="5" t="s">
        <v>238</v>
      </c>
      <c r="DP116" s="5" t="s">
        <v>238</v>
      </c>
      <c r="DQ116" s="5" t="s">
        <v>238</v>
      </c>
      <c r="DT116" s="5" t="s">
        <v>3841</v>
      </c>
      <c r="DU116" s="5" t="s">
        <v>271</v>
      </c>
      <c r="GL116" s="5" t="s">
        <v>3842</v>
      </c>
      <c r="HM116" s="5" t="s">
        <v>313</v>
      </c>
      <c r="HP116" s="5" t="s">
        <v>272</v>
      </c>
      <c r="HQ116" s="5" t="s">
        <v>272</v>
      </c>
      <c r="HR116" s="5" t="s">
        <v>238</v>
      </c>
      <c r="HS116" s="5" t="s">
        <v>238</v>
      </c>
      <c r="HT116" s="5" t="s">
        <v>238</v>
      </c>
      <c r="HU116" s="5" t="s">
        <v>238</v>
      </c>
      <c r="HV116" s="5" t="s">
        <v>238</v>
      </c>
      <c r="HW116" s="5" t="s">
        <v>238</v>
      </c>
      <c r="HX116" s="5" t="s">
        <v>238</v>
      </c>
      <c r="HY116" s="5" t="s">
        <v>238</v>
      </c>
      <c r="HZ116" s="5" t="s">
        <v>238</v>
      </c>
      <c r="IA116" s="5" t="s">
        <v>238</v>
      </c>
      <c r="IB116" s="5" t="s">
        <v>238</v>
      </c>
      <c r="IC116" s="5" t="s">
        <v>238</v>
      </c>
      <c r="ID116" s="5" t="s">
        <v>238</v>
      </c>
    </row>
    <row r="117" spans="1:238" x14ac:dyDescent="0.4">
      <c r="A117" s="5">
        <v>126</v>
      </c>
      <c r="B117" s="5">
        <v>1</v>
      </c>
      <c r="C117" s="5">
        <v>6</v>
      </c>
      <c r="D117" s="5" t="s">
        <v>4067</v>
      </c>
      <c r="E117" s="5" t="s">
        <v>751</v>
      </c>
      <c r="F117" s="5" t="s">
        <v>282</v>
      </c>
      <c r="G117" s="5" t="s">
        <v>752</v>
      </c>
      <c r="H117" s="6" t="s">
        <v>4068</v>
      </c>
      <c r="I117" s="5" t="s">
        <v>4066</v>
      </c>
      <c r="J117" s="7">
        <f>33</f>
        <v>33</v>
      </c>
      <c r="K117" s="5" t="s">
        <v>270</v>
      </c>
      <c r="L117" s="8">
        <f>75174</f>
        <v>75174</v>
      </c>
      <c r="M117" s="8">
        <f>2211000</f>
        <v>2211000</v>
      </c>
      <c r="N117" s="6" t="s">
        <v>3804</v>
      </c>
      <c r="O117" s="5" t="s">
        <v>651</v>
      </c>
      <c r="P117" s="5" t="s">
        <v>818</v>
      </c>
      <c r="Q117" s="8">
        <f>92862</f>
        <v>92862</v>
      </c>
      <c r="R117" s="8">
        <f>2135826</f>
        <v>2135826</v>
      </c>
      <c r="S117" s="5" t="s">
        <v>240</v>
      </c>
      <c r="T117" s="5" t="s">
        <v>237</v>
      </c>
      <c r="W117" s="5" t="s">
        <v>241</v>
      </c>
      <c r="X117" s="5" t="s">
        <v>750</v>
      </c>
      <c r="Y117" s="5" t="s">
        <v>238</v>
      </c>
      <c r="AB117" s="5" t="s">
        <v>238</v>
      </c>
      <c r="AC117" s="6" t="s">
        <v>238</v>
      </c>
      <c r="AD117" s="6" t="s">
        <v>238</v>
      </c>
      <c r="AE117" s="5" t="s">
        <v>238</v>
      </c>
      <c r="AF117" s="6" t="s">
        <v>238</v>
      </c>
      <c r="AG117" s="6" t="s">
        <v>246</v>
      </c>
      <c r="AH117" s="5" t="s">
        <v>247</v>
      </c>
      <c r="AI117" s="5" t="s">
        <v>248</v>
      </c>
      <c r="AO117" s="5" t="s">
        <v>238</v>
      </c>
      <c r="AP117" s="5" t="s">
        <v>238</v>
      </c>
      <c r="AQ117" s="5" t="s">
        <v>238</v>
      </c>
      <c r="AR117" s="6" t="s">
        <v>238</v>
      </c>
      <c r="AS117" s="6" t="s">
        <v>238</v>
      </c>
      <c r="AT117" s="6" t="s">
        <v>238</v>
      </c>
      <c r="AW117" s="5" t="s">
        <v>304</v>
      </c>
      <c r="AX117" s="5" t="s">
        <v>304</v>
      </c>
      <c r="AY117" s="5" t="s">
        <v>250</v>
      </c>
      <c r="AZ117" s="5" t="s">
        <v>305</v>
      </c>
      <c r="BA117" s="5" t="s">
        <v>251</v>
      </c>
      <c r="BB117" s="5" t="s">
        <v>238</v>
      </c>
      <c r="BC117" s="5" t="s">
        <v>253</v>
      </c>
      <c r="BD117" s="5" t="s">
        <v>3170</v>
      </c>
      <c r="BF117" s="5" t="s">
        <v>760</v>
      </c>
      <c r="BH117" s="5" t="s">
        <v>283</v>
      </c>
      <c r="BI117" s="6" t="s">
        <v>293</v>
      </c>
      <c r="BJ117" s="5" t="s">
        <v>294</v>
      </c>
      <c r="BK117" s="5" t="s">
        <v>870</v>
      </c>
      <c r="BL117" s="5" t="s">
        <v>238</v>
      </c>
      <c r="BM117" s="7">
        <f>0</f>
        <v>0</v>
      </c>
      <c r="BN117" s="8">
        <f>-92862</f>
        <v>-92862</v>
      </c>
      <c r="BO117" s="5" t="s">
        <v>257</v>
      </c>
      <c r="BP117" s="5" t="s">
        <v>258</v>
      </c>
      <c r="BQ117" s="5" t="s">
        <v>238</v>
      </c>
      <c r="BR117" s="5" t="s">
        <v>238</v>
      </c>
      <c r="BS117" s="5" t="s">
        <v>238</v>
      </c>
      <c r="BT117" s="5" t="s">
        <v>238</v>
      </c>
      <c r="BY117" s="6" t="s">
        <v>238</v>
      </c>
      <c r="BZ117" s="5" t="s">
        <v>238</v>
      </c>
      <c r="CA117" s="5" t="s">
        <v>238</v>
      </c>
      <c r="CB117" s="5" t="s">
        <v>238</v>
      </c>
      <c r="CC117" s="5" t="s">
        <v>258</v>
      </c>
      <c r="CD117" s="5" t="s">
        <v>238</v>
      </c>
      <c r="CE117" s="5" t="s">
        <v>238</v>
      </c>
      <c r="CI117" s="5" t="s">
        <v>259</v>
      </c>
      <c r="CJ117" s="5" t="s">
        <v>260</v>
      </c>
      <c r="CK117" s="5" t="s">
        <v>272</v>
      </c>
      <c r="CM117" s="5" t="s">
        <v>261</v>
      </c>
      <c r="CN117" s="6" t="s">
        <v>262</v>
      </c>
      <c r="CO117" s="5" t="s">
        <v>263</v>
      </c>
      <c r="CP117" s="5" t="s">
        <v>264</v>
      </c>
      <c r="CQ117" s="5" t="s">
        <v>285</v>
      </c>
      <c r="CR117" s="5" t="s">
        <v>238</v>
      </c>
      <c r="CS117" s="5">
        <v>4.2000000000000003E-2</v>
      </c>
      <c r="CT117" s="5" t="s">
        <v>265</v>
      </c>
      <c r="CU117" s="5" t="s">
        <v>266</v>
      </c>
      <c r="CV117" s="5" t="s">
        <v>331</v>
      </c>
      <c r="CW117" s="7">
        <f>0</f>
        <v>0</v>
      </c>
      <c r="CX117" s="8">
        <f>2211000</f>
        <v>2211000</v>
      </c>
      <c r="CY117" s="8">
        <f>75174</f>
        <v>75174</v>
      </c>
      <c r="CZ117" s="8" t="s">
        <v>238</v>
      </c>
      <c r="DA117" s="5" t="s">
        <v>238</v>
      </c>
      <c r="DB117" s="5" t="s">
        <v>238</v>
      </c>
      <c r="DD117" s="5" t="s">
        <v>238</v>
      </c>
      <c r="DE117" s="8">
        <f>0</f>
        <v>0</v>
      </c>
      <c r="DF117" s="6" t="s">
        <v>238</v>
      </c>
      <c r="DG117" s="5" t="s">
        <v>238</v>
      </c>
      <c r="DH117" s="5" t="s">
        <v>238</v>
      </c>
      <c r="DI117" s="5" t="s">
        <v>238</v>
      </c>
      <c r="DJ117" s="5" t="s">
        <v>238</v>
      </c>
      <c r="DK117" s="5" t="s">
        <v>271</v>
      </c>
      <c r="DL117" s="5" t="s">
        <v>272</v>
      </c>
      <c r="DM117" s="7">
        <f>33</f>
        <v>33</v>
      </c>
      <c r="DN117" s="5" t="s">
        <v>238</v>
      </c>
      <c r="DO117" s="5" t="s">
        <v>247</v>
      </c>
      <c r="DP117" s="5" t="s">
        <v>3170</v>
      </c>
      <c r="DQ117" s="5" t="s">
        <v>3170</v>
      </c>
      <c r="DR117" s="5" t="s">
        <v>238</v>
      </c>
      <c r="DS117" s="5" t="s">
        <v>238</v>
      </c>
      <c r="DT117" s="5" t="s">
        <v>4069</v>
      </c>
      <c r="DU117" s="5" t="s">
        <v>271</v>
      </c>
      <c r="HP117" s="5" t="s">
        <v>272</v>
      </c>
      <c r="HQ117" s="5" t="s">
        <v>272</v>
      </c>
      <c r="HR117" s="5" t="s">
        <v>238</v>
      </c>
      <c r="HS117" s="5" t="s">
        <v>238</v>
      </c>
      <c r="HT117" s="5" t="s">
        <v>238</v>
      </c>
      <c r="HU117" s="5" t="s">
        <v>238</v>
      </c>
      <c r="HV117" s="5" t="s">
        <v>238</v>
      </c>
      <c r="HW117" s="5" t="s">
        <v>238</v>
      </c>
      <c r="HX117" s="5" t="s">
        <v>238</v>
      </c>
      <c r="HY117" s="5" t="s">
        <v>238</v>
      </c>
      <c r="HZ117" s="5" t="s">
        <v>238</v>
      </c>
      <c r="IA117" s="5" t="s">
        <v>238</v>
      </c>
      <c r="IB117" s="5" t="s">
        <v>238</v>
      </c>
      <c r="IC117" s="5" t="s">
        <v>238</v>
      </c>
      <c r="ID117" s="5" t="s">
        <v>238</v>
      </c>
    </row>
    <row r="118" spans="1:238" x14ac:dyDescent="0.4">
      <c r="A118" s="5">
        <v>127</v>
      </c>
      <c r="B118" s="5">
        <v>1</v>
      </c>
      <c r="C118" s="5">
        <v>5</v>
      </c>
      <c r="D118" s="5" t="s">
        <v>3834</v>
      </c>
      <c r="E118" s="5" t="s">
        <v>751</v>
      </c>
      <c r="F118" s="5" t="s">
        <v>282</v>
      </c>
      <c r="G118" s="5" t="s">
        <v>752</v>
      </c>
      <c r="H118" s="6" t="s">
        <v>3835</v>
      </c>
      <c r="I118" s="5" t="s">
        <v>3833</v>
      </c>
      <c r="J118" s="7">
        <f>19</f>
        <v>19</v>
      </c>
      <c r="K118" s="5" t="s">
        <v>270</v>
      </c>
      <c r="L118" s="8">
        <f>119852</f>
        <v>119852</v>
      </c>
      <c r="M118" s="8">
        <f>1577000</f>
        <v>1577000</v>
      </c>
      <c r="N118" s="6" t="s">
        <v>3798</v>
      </c>
      <c r="O118" s="5" t="s">
        <v>651</v>
      </c>
      <c r="P118" s="5" t="s">
        <v>712</v>
      </c>
      <c r="Q118" s="8">
        <f>66234</f>
        <v>66234</v>
      </c>
      <c r="R118" s="8">
        <f>1457148</f>
        <v>1457148</v>
      </c>
      <c r="S118" s="5" t="s">
        <v>240</v>
      </c>
      <c r="T118" s="5" t="s">
        <v>237</v>
      </c>
      <c r="W118" s="5" t="s">
        <v>241</v>
      </c>
      <c r="X118" s="5" t="s">
        <v>750</v>
      </c>
      <c r="Y118" s="5" t="s">
        <v>238</v>
      </c>
      <c r="AB118" s="5" t="s">
        <v>238</v>
      </c>
      <c r="AC118" s="6" t="s">
        <v>238</v>
      </c>
      <c r="AD118" s="6" t="s">
        <v>238</v>
      </c>
      <c r="AF118" s="6" t="s">
        <v>238</v>
      </c>
      <c r="AG118" s="6" t="s">
        <v>246</v>
      </c>
      <c r="AH118" s="5" t="s">
        <v>247</v>
      </c>
      <c r="AI118" s="5" t="s">
        <v>248</v>
      </c>
      <c r="AO118" s="5" t="s">
        <v>238</v>
      </c>
      <c r="AP118" s="5" t="s">
        <v>238</v>
      </c>
      <c r="AQ118" s="5" t="s">
        <v>238</v>
      </c>
      <c r="AR118" s="6" t="s">
        <v>238</v>
      </c>
      <c r="AS118" s="6" t="s">
        <v>238</v>
      </c>
      <c r="AT118" s="6" t="s">
        <v>238</v>
      </c>
      <c r="AW118" s="5" t="s">
        <v>304</v>
      </c>
      <c r="AX118" s="5" t="s">
        <v>304</v>
      </c>
      <c r="AY118" s="5" t="s">
        <v>250</v>
      </c>
      <c r="AZ118" s="5" t="s">
        <v>305</v>
      </c>
      <c r="BA118" s="5" t="s">
        <v>251</v>
      </c>
      <c r="BB118" s="5" t="s">
        <v>238</v>
      </c>
      <c r="BC118" s="5" t="s">
        <v>253</v>
      </c>
      <c r="BD118" s="5" t="s">
        <v>238</v>
      </c>
      <c r="BF118" s="5" t="s">
        <v>760</v>
      </c>
      <c r="BH118" s="5" t="s">
        <v>283</v>
      </c>
      <c r="BI118" s="6" t="s">
        <v>293</v>
      </c>
      <c r="BJ118" s="5" t="s">
        <v>294</v>
      </c>
      <c r="BK118" s="5" t="s">
        <v>294</v>
      </c>
      <c r="BL118" s="5" t="s">
        <v>238</v>
      </c>
      <c r="BM118" s="7">
        <f>0</f>
        <v>0</v>
      </c>
      <c r="BN118" s="8">
        <f>-66234</f>
        <v>-66234</v>
      </c>
      <c r="BO118" s="5" t="s">
        <v>257</v>
      </c>
      <c r="BP118" s="5" t="s">
        <v>258</v>
      </c>
      <c r="BQ118" s="5" t="s">
        <v>238</v>
      </c>
      <c r="BR118" s="5" t="s">
        <v>238</v>
      </c>
      <c r="BS118" s="5" t="s">
        <v>238</v>
      </c>
      <c r="BT118" s="5" t="s">
        <v>238</v>
      </c>
      <c r="CC118" s="5" t="s">
        <v>258</v>
      </c>
      <c r="CD118" s="5" t="s">
        <v>238</v>
      </c>
      <c r="CE118" s="5" t="s">
        <v>238</v>
      </c>
      <c r="CI118" s="5" t="s">
        <v>259</v>
      </c>
      <c r="CJ118" s="5" t="s">
        <v>260</v>
      </c>
      <c r="CK118" s="5" t="s">
        <v>238</v>
      </c>
      <c r="CM118" s="5" t="s">
        <v>711</v>
      </c>
      <c r="CN118" s="6" t="s">
        <v>262</v>
      </c>
      <c r="CO118" s="5" t="s">
        <v>263</v>
      </c>
      <c r="CP118" s="5" t="s">
        <v>264</v>
      </c>
      <c r="CQ118" s="5" t="s">
        <v>285</v>
      </c>
      <c r="CR118" s="5" t="s">
        <v>238</v>
      </c>
      <c r="CS118" s="5">
        <v>4.2000000000000003E-2</v>
      </c>
      <c r="CT118" s="5" t="s">
        <v>265</v>
      </c>
      <c r="CU118" s="5" t="s">
        <v>266</v>
      </c>
      <c r="CV118" s="5" t="s">
        <v>331</v>
      </c>
      <c r="CW118" s="7">
        <f>0</f>
        <v>0</v>
      </c>
      <c r="CX118" s="8">
        <f>1577000</f>
        <v>1577000</v>
      </c>
      <c r="CY118" s="8">
        <f>119852</f>
        <v>119852</v>
      </c>
      <c r="DA118" s="5" t="s">
        <v>238</v>
      </c>
      <c r="DB118" s="5" t="s">
        <v>238</v>
      </c>
      <c r="DD118" s="5" t="s">
        <v>238</v>
      </c>
      <c r="DE118" s="8">
        <f>0</f>
        <v>0</v>
      </c>
      <c r="DG118" s="5" t="s">
        <v>238</v>
      </c>
      <c r="DH118" s="5" t="s">
        <v>238</v>
      </c>
      <c r="DI118" s="5" t="s">
        <v>238</v>
      </c>
      <c r="DJ118" s="5" t="s">
        <v>238</v>
      </c>
      <c r="DK118" s="5" t="s">
        <v>271</v>
      </c>
      <c r="DL118" s="5" t="s">
        <v>272</v>
      </c>
      <c r="DM118" s="7">
        <f>19</f>
        <v>19</v>
      </c>
      <c r="DN118" s="5" t="s">
        <v>238</v>
      </c>
      <c r="DO118" s="5" t="s">
        <v>238</v>
      </c>
      <c r="DP118" s="5" t="s">
        <v>238</v>
      </c>
      <c r="DQ118" s="5" t="s">
        <v>238</v>
      </c>
      <c r="DT118" s="5" t="s">
        <v>3836</v>
      </c>
      <c r="DU118" s="5" t="s">
        <v>271</v>
      </c>
      <c r="GL118" s="5" t="s">
        <v>3837</v>
      </c>
      <c r="HM118" s="5" t="s">
        <v>313</v>
      </c>
      <c r="HP118" s="5" t="s">
        <v>272</v>
      </c>
      <c r="HQ118" s="5" t="s">
        <v>272</v>
      </c>
      <c r="HR118" s="5" t="s">
        <v>238</v>
      </c>
      <c r="HS118" s="5" t="s">
        <v>238</v>
      </c>
      <c r="HT118" s="5" t="s">
        <v>238</v>
      </c>
      <c r="HU118" s="5" t="s">
        <v>238</v>
      </c>
      <c r="HV118" s="5" t="s">
        <v>238</v>
      </c>
      <c r="HW118" s="5" t="s">
        <v>238</v>
      </c>
      <c r="HX118" s="5" t="s">
        <v>238</v>
      </c>
      <c r="HY118" s="5" t="s">
        <v>238</v>
      </c>
      <c r="HZ118" s="5" t="s">
        <v>238</v>
      </c>
      <c r="IA118" s="5" t="s">
        <v>238</v>
      </c>
      <c r="IB118" s="5" t="s">
        <v>238</v>
      </c>
      <c r="IC118" s="5" t="s">
        <v>238</v>
      </c>
      <c r="ID118" s="5" t="s">
        <v>238</v>
      </c>
    </row>
    <row r="119" spans="1:238" x14ac:dyDescent="0.4">
      <c r="A119" s="5">
        <v>128</v>
      </c>
      <c r="B119" s="5">
        <v>1</v>
      </c>
      <c r="C119" s="5">
        <v>5</v>
      </c>
      <c r="D119" s="5" t="s">
        <v>3820</v>
      </c>
      <c r="E119" s="5" t="s">
        <v>751</v>
      </c>
      <c r="F119" s="5" t="s">
        <v>282</v>
      </c>
      <c r="G119" s="5" t="s">
        <v>752</v>
      </c>
      <c r="H119" s="6" t="s">
        <v>3822</v>
      </c>
      <c r="I119" s="5" t="s">
        <v>3819</v>
      </c>
      <c r="J119" s="7">
        <f>18.7</f>
        <v>18.7</v>
      </c>
      <c r="K119" s="5" t="s">
        <v>270</v>
      </c>
      <c r="L119" s="8">
        <f>251340</f>
        <v>251340</v>
      </c>
      <c r="M119" s="8">
        <f>1570800</f>
        <v>1570800</v>
      </c>
      <c r="N119" s="6" t="s">
        <v>3821</v>
      </c>
      <c r="O119" s="5" t="s">
        <v>651</v>
      </c>
      <c r="P119" s="5" t="s">
        <v>611</v>
      </c>
      <c r="Q119" s="8">
        <f>65973</f>
        <v>65973</v>
      </c>
      <c r="R119" s="8">
        <f>1319460</f>
        <v>1319460</v>
      </c>
      <c r="S119" s="5" t="s">
        <v>240</v>
      </c>
      <c r="T119" s="5" t="s">
        <v>237</v>
      </c>
      <c r="W119" s="5" t="s">
        <v>241</v>
      </c>
      <c r="X119" s="5" t="s">
        <v>750</v>
      </c>
      <c r="Y119" s="5" t="s">
        <v>238</v>
      </c>
      <c r="AB119" s="5" t="s">
        <v>238</v>
      </c>
      <c r="AC119" s="6" t="s">
        <v>238</v>
      </c>
      <c r="AD119" s="6" t="s">
        <v>238</v>
      </c>
      <c r="AF119" s="6" t="s">
        <v>238</v>
      </c>
      <c r="AG119" s="6" t="s">
        <v>246</v>
      </c>
      <c r="AH119" s="5" t="s">
        <v>247</v>
      </c>
      <c r="AI119" s="5" t="s">
        <v>248</v>
      </c>
      <c r="AO119" s="5" t="s">
        <v>238</v>
      </c>
      <c r="AP119" s="5" t="s">
        <v>238</v>
      </c>
      <c r="AQ119" s="5" t="s">
        <v>238</v>
      </c>
      <c r="AR119" s="6" t="s">
        <v>238</v>
      </c>
      <c r="AS119" s="6" t="s">
        <v>238</v>
      </c>
      <c r="AT119" s="6" t="s">
        <v>238</v>
      </c>
      <c r="AW119" s="5" t="s">
        <v>304</v>
      </c>
      <c r="AX119" s="5" t="s">
        <v>304</v>
      </c>
      <c r="AY119" s="5" t="s">
        <v>250</v>
      </c>
      <c r="AZ119" s="5" t="s">
        <v>305</v>
      </c>
      <c r="BA119" s="5" t="s">
        <v>251</v>
      </c>
      <c r="BB119" s="5" t="s">
        <v>238</v>
      </c>
      <c r="BC119" s="5" t="s">
        <v>253</v>
      </c>
      <c r="BD119" s="5" t="s">
        <v>238</v>
      </c>
      <c r="BF119" s="5" t="s">
        <v>760</v>
      </c>
      <c r="BH119" s="5" t="s">
        <v>283</v>
      </c>
      <c r="BI119" s="6" t="s">
        <v>293</v>
      </c>
      <c r="BJ119" s="5" t="s">
        <v>294</v>
      </c>
      <c r="BK119" s="5" t="s">
        <v>294</v>
      </c>
      <c r="BL119" s="5" t="s">
        <v>238</v>
      </c>
      <c r="BM119" s="7">
        <f>0</f>
        <v>0</v>
      </c>
      <c r="BN119" s="8">
        <f>-65973</f>
        <v>-65973</v>
      </c>
      <c r="BO119" s="5" t="s">
        <v>257</v>
      </c>
      <c r="BP119" s="5" t="s">
        <v>258</v>
      </c>
      <c r="BQ119" s="5" t="s">
        <v>238</v>
      </c>
      <c r="BR119" s="5" t="s">
        <v>238</v>
      </c>
      <c r="BS119" s="5" t="s">
        <v>238</v>
      </c>
      <c r="BT119" s="5" t="s">
        <v>238</v>
      </c>
      <c r="CC119" s="5" t="s">
        <v>258</v>
      </c>
      <c r="CD119" s="5" t="s">
        <v>238</v>
      </c>
      <c r="CE119" s="5" t="s">
        <v>238</v>
      </c>
      <c r="CI119" s="5" t="s">
        <v>259</v>
      </c>
      <c r="CJ119" s="5" t="s">
        <v>260</v>
      </c>
      <c r="CK119" s="5" t="s">
        <v>238</v>
      </c>
      <c r="CM119" s="5" t="s">
        <v>1357</v>
      </c>
      <c r="CN119" s="6" t="s">
        <v>262</v>
      </c>
      <c r="CO119" s="5" t="s">
        <v>263</v>
      </c>
      <c r="CP119" s="5" t="s">
        <v>264</v>
      </c>
      <c r="CQ119" s="5" t="s">
        <v>285</v>
      </c>
      <c r="CR119" s="5" t="s">
        <v>238</v>
      </c>
      <c r="CS119" s="5">
        <v>4.2000000000000003E-2</v>
      </c>
      <c r="CT119" s="5" t="s">
        <v>265</v>
      </c>
      <c r="CU119" s="5" t="s">
        <v>266</v>
      </c>
      <c r="CV119" s="5" t="s">
        <v>331</v>
      </c>
      <c r="CW119" s="7">
        <f>0</f>
        <v>0</v>
      </c>
      <c r="CX119" s="8">
        <f>1570800</f>
        <v>1570800</v>
      </c>
      <c r="CY119" s="8">
        <f>251340</f>
        <v>251340</v>
      </c>
      <c r="DA119" s="5" t="s">
        <v>238</v>
      </c>
      <c r="DB119" s="5" t="s">
        <v>238</v>
      </c>
      <c r="DD119" s="5" t="s">
        <v>238</v>
      </c>
      <c r="DE119" s="8">
        <f>0</f>
        <v>0</v>
      </c>
      <c r="DG119" s="5" t="s">
        <v>238</v>
      </c>
      <c r="DH119" s="5" t="s">
        <v>238</v>
      </c>
      <c r="DI119" s="5" t="s">
        <v>238</v>
      </c>
      <c r="DJ119" s="5" t="s">
        <v>238</v>
      </c>
      <c r="DK119" s="5" t="s">
        <v>271</v>
      </c>
      <c r="DL119" s="5" t="s">
        <v>272</v>
      </c>
      <c r="DM119" s="7">
        <f>18.7</f>
        <v>18.7</v>
      </c>
      <c r="DN119" s="5" t="s">
        <v>238</v>
      </c>
      <c r="DO119" s="5" t="s">
        <v>238</v>
      </c>
      <c r="DP119" s="5" t="s">
        <v>238</v>
      </c>
      <c r="DQ119" s="5" t="s">
        <v>238</v>
      </c>
      <c r="DT119" s="5" t="s">
        <v>3823</v>
      </c>
      <c r="DU119" s="5" t="s">
        <v>271</v>
      </c>
      <c r="GL119" s="5" t="s">
        <v>3824</v>
      </c>
      <c r="HM119" s="5" t="s">
        <v>313</v>
      </c>
      <c r="HP119" s="5" t="s">
        <v>272</v>
      </c>
      <c r="HQ119" s="5" t="s">
        <v>272</v>
      </c>
      <c r="HR119" s="5" t="s">
        <v>238</v>
      </c>
      <c r="HS119" s="5" t="s">
        <v>238</v>
      </c>
      <c r="HT119" s="5" t="s">
        <v>238</v>
      </c>
      <c r="HU119" s="5" t="s">
        <v>238</v>
      </c>
      <c r="HV119" s="5" t="s">
        <v>238</v>
      </c>
      <c r="HW119" s="5" t="s">
        <v>238</v>
      </c>
      <c r="HX119" s="5" t="s">
        <v>238</v>
      </c>
      <c r="HY119" s="5" t="s">
        <v>238</v>
      </c>
      <c r="HZ119" s="5" t="s">
        <v>238</v>
      </c>
      <c r="IA119" s="5" t="s">
        <v>238</v>
      </c>
      <c r="IB119" s="5" t="s">
        <v>238</v>
      </c>
      <c r="IC119" s="5" t="s">
        <v>238</v>
      </c>
      <c r="ID119" s="5" t="s">
        <v>238</v>
      </c>
    </row>
    <row r="120" spans="1:238" x14ac:dyDescent="0.4">
      <c r="A120" s="5">
        <v>129</v>
      </c>
      <c r="B120" s="5">
        <v>1</v>
      </c>
      <c r="C120" s="5">
        <v>2</v>
      </c>
      <c r="D120" s="5" t="s">
        <v>4152</v>
      </c>
      <c r="E120" s="5" t="s">
        <v>751</v>
      </c>
      <c r="F120" s="5" t="s">
        <v>282</v>
      </c>
      <c r="G120" s="5" t="s">
        <v>752</v>
      </c>
      <c r="H120" s="6" t="s">
        <v>4153</v>
      </c>
      <c r="I120" s="5" t="s">
        <v>4151</v>
      </c>
      <c r="J120" s="7">
        <f>3.4</f>
        <v>3.4</v>
      </c>
      <c r="K120" s="5" t="s">
        <v>270</v>
      </c>
      <c r="L120" s="8">
        <f>1</f>
        <v>1</v>
      </c>
      <c r="M120" s="8">
        <f>204000</f>
        <v>204000</v>
      </c>
      <c r="N120" s="6" t="s">
        <v>906</v>
      </c>
      <c r="O120" s="5" t="s">
        <v>268</v>
      </c>
      <c r="P120" s="5" t="s">
        <v>909</v>
      </c>
      <c r="R120" s="8">
        <f>203999</f>
        <v>203999</v>
      </c>
      <c r="S120" s="5" t="s">
        <v>240</v>
      </c>
      <c r="T120" s="5" t="s">
        <v>237</v>
      </c>
      <c r="W120" s="5" t="s">
        <v>241</v>
      </c>
      <c r="X120" s="5" t="s">
        <v>750</v>
      </c>
      <c r="Y120" s="5" t="s">
        <v>238</v>
      </c>
      <c r="AB120" s="5" t="s">
        <v>238</v>
      </c>
      <c r="AC120" s="6" t="s">
        <v>238</v>
      </c>
      <c r="AD120" s="6" t="s">
        <v>238</v>
      </c>
      <c r="AF120" s="6" t="s">
        <v>238</v>
      </c>
      <c r="AG120" s="6" t="s">
        <v>246</v>
      </c>
      <c r="AH120" s="5" t="s">
        <v>247</v>
      </c>
      <c r="AI120" s="5" t="s">
        <v>248</v>
      </c>
      <c r="AT120" s="6" t="s">
        <v>238</v>
      </c>
      <c r="AW120" s="5" t="s">
        <v>304</v>
      </c>
      <c r="AX120" s="5" t="s">
        <v>304</v>
      </c>
      <c r="AY120" s="5" t="s">
        <v>250</v>
      </c>
      <c r="AZ120" s="5" t="s">
        <v>305</v>
      </c>
      <c r="BA120" s="5" t="s">
        <v>251</v>
      </c>
      <c r="BB120" s="5" t="s">
        <v>238</v>
      </c>
      <c r="BC120" s="5" t="s">
        <v>253</v>
      </c>
      <c r="BD120" s="5" t="s">
        <v>238</v>
      </c>
      <c r="BF120" s="5" t="s">
        <v>760</v>
      </c>
      <c r="BH120" s="5" t="s">
        <v>283</v>
      </c>
      <c r="BI120" s="6" t="s">
        <v>293</v>
      </c>
      <c r="BJ120" s="5" t="s">
        <v>255</v>
      </c>
      <c r="BK120" s="5" t="s">
        <v>256</v>
      </c>
      <c r="BL120" s="5" t="s">
        <v>238</v>
      </c>
      <c r="BM120" s="7">
        <f>0</f>
        <v>0</v>
      </c>
      <c r="BN120" s="8">
        <f>0</f>
        <v>0</v>
      </c>
      <c r="BO120" s="5" t="s">
        <v>257</v>
      </c>
      <c r="BP120" s="5" t="s">
        <v>258</v>
      </c>
      <c r="BQ120" s="5" t="s">
        <v>238</v>
      </c>
      <c r="BR120" s="5" t="s">
        <v>238</v>
      </c>
      <c r="BS120" s="5" t="s">
        <v>238</v>
      </c>
      <c r="BT120" s="5" t="s">
        <v>238</v>
      </c>
      <c r="CC120" s="5" t="s">
        <v>258</v>
      </c>
      <c r="CD120" s="5" t="s">
        <v>238</v>
      </c>
      <c r="CE120" s="5" t="s">
        <v>238</v>
      </c>
      <c r="CI120" s="5" t="s">
        <v>527</v>
      </c>
      <c r="CJ120" s="5" t="s">
        <v>260</v>
      </c>
      <c r="CK120" s="5" t="s">
        <v>238</v>
      </c>
      <c r="CM120" s="5" t="s">
        <v>908</v>
      </c>
      <c r="CN120" s="6" t="s">
        <v>262</v>
      </c>
      <c r="CO120" s="5" t="s">
        <v>263</v>
      </c>
      <c r="CP120" s="5" t="s">
        <v>264</v>
      </c>
      <c r="CQ120" s="5" t="s">
        <v>285</v>
      </c>
      <c r="CR120" s="5" t="s">
        <v>238</v>
      </c>
      <c r="CS120" s="5">
        <v>0</v>
      </c>
      <c r="CT120" s="5" t="s">
        <v>265</v>
      </c>
      <c r="CU120" s="5" t="s">
        <v>266</v>
      </c>
      <c r="CV120" s="5" t="s">
        <v>267</v>
      </c>
      <c r="CW120" s="7">
        <f>0</f>
        <v>0</v>
      </c>
      <c r="CX120" s="8">
        <f>204000</f>
        <v>204000</v>
      </c>
      <c r="CY120" s="8">
        <f>1</f>
        <v>1</v>
      </c>
      <c r="DA120" s="5" t="s">
        <v>238</v>
      </c>
      <c r="DB120" s="5" t="s">
        <v>238</v>
      </c>
      <c r="DD120" s="5" t="s">
        <v>238</v>
      </c>
      <c r="DE120" s="8">
        <f>0</f>
        <v>0</v>
      </c>
      <c r="DG120" s="5" t="s">
        <v>238</v>
      </c>
      <c r="DH120" s="5" t="s">
        <v>238</v>
      </c>
      <c r="DI120" s="5" t="s">
        <v>238</v>
      </c>
      <c r="DJ120" s="5" t="s">
        <v>238</v>
      </c>
      <c r="DK120" s="5" t="s">
        <v>271</v>
      </c>
      <c r="DL120" s="5" t="s">
        <v>272</v>
      </c>
      <c r="DM120" s="7">
        <f>3.4</f>
        <v>3.4</v>
      </c>
      <c r="DN120" s="5" t="s">
        <v>238</v>
      </c>
      <c r="DO120" s="5" t="s">
        <v>238</v>
      </c>
      <c r="DP120" s="5" t="s">
        <v>238</v>
      </c>
      <c r="DQ120" s="5" t="s">
        <v>238</v>
      </c>
      <c r="DT120" s="5" t="s">
        <v>4154</v>
      </c>
      <c r="DU120" s="5" t="s">
        <v>271</v>
      </c>
      <c r="HM120" s="5" t="s">
        <v>271</v>
      </c>
      <c r="HP120" s="5" t="s">
        <v>272</v>
      </c>
      <c r="HQ120" s="5" t="s">
        <v>272</v>
      </c>
      <c r="HR120" s="5" t="s">
        <v>238</v>
      </c>
      <c r="HS120" s="5" t="s">
        <v>238</v>
      </c>
      <c r="HT120" s="5" t="s">
        <v>238</v>
      </c>
      <c r="HU120" s="5" t="s">
        <v>238</v>
      </c>
      <c r="HV120" s="5" t="s">
        <v>238</v>
      </c>
      <c r="HW120" s="5" t="s">
        <v>238</v>
      </c>
      <c r="HX120" s="5" t="s">
        <v>238</v>
      </c>
      <c r="HY120" s="5" t="s">
        <v>238</v>
      </c>
      <c r="HZ120" s="5" t="s">
        <v>238</v>
      </c>
      <c r="IA120" s="5" t="s">
        <v>238</v>
      </c>
      <c r="IB120" s="5" t="s">
        <v>238</v>
      </c>
      <c r="IC120" s="5" t="s">
        <v>238</v>
      </c>
      <c r="ID120" s="5" t="s">
        <v>238</v>
      </c>
    </row>
    <row r="121" spans="1:238" x14ac:dyDescent="0.4">
      <c r="A121" s="5">
        <v>130</v>
      </c>
      <c r="B121" s="5">
        <v>1</v>
      </c>
      <c r="C121" s="5">
        <v>2</v>
      </c>
      <c r="D121" s="5" t="s">
        <v>4148</v>
      </c>
      <c r="E121" s="5" t="s">
        <v>751</v>
      </c>
      <c r="F121" s="5" t="s">
        <v>282</v>
      </c>
      <c r="G121" s="5" t="s">
        <v>752</v>
      </c>
      <c r="H121" s="6" t="s">
        <v>4149</v>
      </c>
      <c r="I121" s="5" t="s">
        <v>4147</v>
      </c>
      <c r="J121" s="7">
        <f>9.6</f>
        <v>9.6</v>
      </c>
      <c r="K121" s="5" t="s">
        <v>270</v>
      </c>
      <c r="L121" s="8">
        <f>1</f>
        <v>1</v>
      </c>
      <c r="M121" s="8">
        <f>576000</f>
        <v>576000</v>
      </c>
      <c r="N121" s="6" t="s">
        <v>906</v>
      </c>
      <c r="O121" s="5" t="s">
        <v>268</v>
      </c>
      <c r="P121" s="5" t="s">
        <v>909</v>
      </c>
      <c r="R121" s="8">
        <f>575999</f>
        <v>575999</v>
      </c>
      <c r="S121" s="5" t="s">
        <v>240</v>
      </c>
      <c r="T121" s="5" t="s">
        <v>237</v>
      </c>
      <c r="W121" s="5" t="s">
        <v>241</v>
      </c>
      <c r="X121" s="5" t="s">
        <v>750</v>
      </c>
      <c r="Y121" s="5" t="s">
        <v>238</v>
      </c>
      <c r="AB121" s="5" t="s">
        <v>238</v>
      </c>
      <c r="AC121" s="6" t="s">
        <v>238</v>
      </c>
      <c r="AD121" s="6" t="s">
        <v>238</v>
      </c>
      <c r="AF121" s="6" t="s">
        <v>238</v>
      </c>
      <c r="AG121" s="6" t="s">
        <v>246</v>
      </c>
      <c r="AH121" s="5" t="s">
        <v>247</v>
      </c>
      <c r="AI121" s="5" t="s">
        <v>248</v>
      </c>
      <c r="AT121" s="6" t="s">
        <v>238</v>
      </c>
      <c r="AW121" s="5" t="s">
        <v>304</v>
      </c>
      <c r="AX121" s="5" t="s">
        <v>304</v>
      </c>
      <c r="AY121" s="5" t="s">
        <v>250</v>
      </c>
      <c r="AZ121" s="5" t="s">
        <v>305</v>
      </c>
      <c r="BA121" s="5" t="s">
        <v>251</v>
      </c>
      <c r="BB121" s="5" t="s">
        <v>238</v>
      </c>
      <c r="BC121" s="5" t="s">
        <v>253</v>
      </c>
      <c r="BD121" s="5" t="s">
        <v>238</v>
      </c>
      <c r="BF121" s="5" t="s">
        <v>760</v>
      </c>
      <c r="BH121" s="5" t="s">
        <v>283</v>
      </c>
      <c r="BI121" s="6" t="s">
        <v>293</v>
      </c>
      <c r="BJ121" s="5" t="s">
        <v>255</v>
      </c>
      <c r="BK121" s="5" t="s">
        <v>256</v>
      </c>
      <c r="BL121" s="5" t="s">
        <v>238</v>
      </c>
      <c r="BM121" s="7">
        <f>0</f>
        <v>0</v>
      </c>
      <c r="BN121" s="8">
        <f>0</f>
        <v>0</v>
      </c>
      <c r="BO121" s="5" t="s">
        <v>257</v>
      </c>
      <c r="BP121" s="5" t="s">
        <v>258</v>
      </c>
      <c r="BQ121" s="5" t="s">
        <v>238</v>
      </c>
      <c r="BR121" s="5" t="s">
        <v>238</v>
      </c>
      <c r="BS121" s="5" t="s">
        <v>238</v>
      </c>
      <c r="BT121" s="5" t="s">
        <v>238</v>
      </c>
      <c r="CC121" s="5" t="s">
        <v>258</v>
      </c>
      <c r="CD121" s="5" t="s">
        <v>238</v>
      </c>
      <c r="CE121" s="5" t="s">
        <v>238</v>
      </c>
      <c r="CI121" s="5" t="s">
        <v>527</v>
      </c>
      <c r="CJ121" s="5" t="s">
        <v>260</v>
      </c>
      <c r="CK121" s="5" t="s">
        <v>238</v>
      </c>
      <c r="CM121" s="5" t="s">
        <v>908</v>
      </c>
      <c r="CN121" s="6" t="s">
        <v>262</v>
      </c>
      <c r="CO121" s="5" t="s">
        <v>263</v>
      </c>
      <c r="CP121" s="5" t="s">
        <v>264</v>
      </c>
      <c r="CQ121" s="5" t="s">
        <v>285</v>
      </c>
      <c r="CR121" s="5" t="s">
        <v>238</v>
      </c>
      <c r="CS121" s="5">
        <v>0</v>
      </c>
      <c r="CT121" s="5" t="s">
        <v>265</v>
      </c>
      <c r="CU121" s="5" t="s">
        <v>266</v>
      </c>
      <c r="CV121" s="5" t="s">
        <v>267</v>
      </c>
      <c r="CW121" s="7">
        <f>0</f>
        <v>0</v>
      </c>
      <c r="CX121" s="8">
        <f>576000</f>
        <v>576000</v>
      </c>
      <c r="CY121" s="8">
        <f>1</f>
        <v>1</v>
      </c>
      <c r="DA121" s="5" t="s">
        <v>238</v>
      </c>
      <c r="DB121" s="5" t="s">
        <v>238</v>
      </c>
      <c r="DD121" s="5" t="s">
        <v>238</v>
      </c>
      <c r="DE121" s="8">
        <f>0</f>
        <v>0</v>
      </c>
      <c r="DG121" s="5" t="s">
        <v>238</v>
      </c>
      <c r="DH121" s="5" t="s">
        <v>238</v>
      </c>
      <c r="DI121" s="5" t="s">
        <v>238</v>
      </c>
      <c r="DJ121" s="5" t="s">
        <v>238</v>
      </c>
      <c r="DK121" s="5" t="s">
        <v>271</v>
      </c>
      <c r="DL121" s="5" t="s">
        <v>272</v>
      </c>
      <c r="DM121" s="7">
        <f>9.6</f>
        <v>9.6</v>
      </c>
      <c r="DN121" s="5" t="s">
        <v>238</v>
      </c>
      <c r="DO121" s="5" t="s">
        <v>238</v>
      </c>
      <c r="DP121" s="5" t="s">
        <v>238</v>
      </c>
      <c r="DQ121" s="5" t="s">
        <v>238</v>
      </c>
      <c r="DT121" s="5" t="s">
        <v>4150</v>
      </c>
      <c r="DU121" s="5" t="s">
        <v>271</v>
      </c>
      <c r="HM121" s="5" t="s">
        <v>271</v>
      </c>
      <c r="HP121" s="5" t="s">
        <v>272</v>
      </c>
      <c r="HQ121" s="5" t="s">
        <v>272</v>
      </c>
      <c r="HR121" s="5" t="s">
        <v>238</v>
      </c>
      <c r="HS121" s="5" t="s">
        <v>238</v>
      </c>
      <c r="HT121" s="5" t="s">
        <v>238</v>
      </c>
      <c r="HU121" s="5" t="s">
        <v>238</v>
      </c>
      <c r="HV121" s="5" t="s">
        <v>238</v>
      </c>
      <c r="HW121" s="5" t="s">
        <v>238</v>
      </c>
      <c r="HX121" s="5" t="s">
        <v>238</v>
      </c>
      <c r="HY121" s="5" t="s">
        <v>238</v>
      </c>
      <c r="HZ121" s="5" t="s">
        <v>238</v>
      </c>
      <c r="IA121" s="5" t="s">
        <v>238</v>
      </c>
      <c r="IB121" s="5" t="s">
        <v>238</v>
      </c>
      <c r="IC121" s="5" t="s">
        <v>238</v>
      </c>
      <c r="ID121" s="5" t="s">
        <v>238</v>
      </c>
    </row>
    <row r="122" spans="1:238" x14ac:dyDescent="0.4">
      <c r="A122" s="5">
        <v>131</v>
      </c>
      <c r="B122" s="5">
        <v>1</v>
      </c>
      <c r="C122" s="5">
        <v>2</v>
      </c>
      <c r="D122" s="5" t="s">
        <v>4136</v>
      </c>
      <c r="E122" s="5" t="s">
        <v>751</v>
      </c>
      <c r="F122" s="5" t="s">
        <v>282</v>
      </c>
      <c r="G122" s="5" t="s">
        <v>752</v>
      </c>
      <c r="H122" s="6" t="s">
        <v>4137</v>
      </c>
      <c r="I122" s="5" t="s">
        <v>4145</v>
      </c>
      <c r="J122" s="7">
        <f>12.5</f>
        <v>12.5</v>
      </c>
      <c r="K122" s="5" t="s">
        <v>270</v>
      </c>
      <c r="L122" s="8">
        <f>1</f>
        <v>1</v>
      </c>
      <c r="M122" s="8">
        <f>1525000</f>
        <v>1525000</v>
      </c>
      <c r="N122" s="6" t="s">
        <v>4146</v>
      </c>
      <c r="O122" s="5" t="s">
        <v>268</v>
      </c>
      <c r="P122" s="5" t="s">
        <v>640</v>
      </c>
      <c r="R122" s="8">
        <f>1524999</f>
        <v>1524999</v>
      </c>
      <c r="S122" s="5" t="s">
        <v>240</v>
      </c>
      <c r="T122" s="5" t="s">
        <v>237</v>
      </c>
      <c r="W122" s="5" t="s">
        <v>241</v>
      </c>
      <c r="X122" s="5" t="s">
        <v>750</v>
      </c>
      <c r="Y122" s="5" t="s">
        <v>238</v>
      </c>
      <c r="AB122" s="5" t="s">
        <v>238</v>
      </c>
      <c r="AC122" s="6" t="s">
        <v>238</v>
      </c>
      <c r="AD122" s="6" t="s">
        <v>238</v>
      </c>
      <c r="AF122" s="6" t="s">
        <v>238</v>
      </c>
      <c r="AG122" s="6" t="s">
        <v>246</v>
      </c>
      <c r="AH122" s="5" t="s">
        <v>247</v>
      </c>
      <c r="AI122" s="5" t="s">
        <v>248</v>
      </c>
      <c r="AT122" s="6" t="s">
        <v>238</v>
      </c>
      <c r="AW122" s="5" t="s">
        <v>304</v>
      </c>
      <c r="AX122" s="5" t="s">
        <v>304</v>
      </c>
      <c r="AY122" s="5" t="s">
        <v>250</v>
      </c>
      <c r="AZ122" s="5" t="s">
        <v>305</v>
      </c>
      <c r="BA122" s="5" t="s">
        <v>251</v>
      </c>
      <c r="BB122" s="5" t="s">
        <v>238</v>
      </c>
      <c r="BC122" s="5" t="s">
        <v>253</v>
      </c>
      <c r="BD122" s="5" t="s">
        <v>238</v>
      </c>
      <c r="BF122" s="5" t="s">
        <v>760</v>
      </c>
      <c r="BH122" s="5" t="s">
        <v>283</v>
      </c>
      <c r="BI122" s="6" t="s">
        <v>293</v>
      </c>
      <c r="BJ122" s="5" t="s">
        <v>255</v>
      </c>
      <c r="BK122" s="5" t="s">
        <v>256</v>
      </c>
      <c r="BL122" s="5" t="s">
        <v>238</v>
      </c>
      <c r="BM122" s="7">
        <f>0</f>
        <v>0</v>
      </c>
      <c r="BN122" s="8">
        <f>0</f>
        <v>0</v>
      </c>
      <c r="BO122" s="5" t="s">
        <v>257</v>
      </c>
      <c r="BP122" s="5" t="s">
        <v>258</v>
      </c>
      <c r="BQ122" s="5" t="s">
        <v>238</v>
      </c>
      <c r="BR122" s="5" t="s">
        <v>238</v>
      </c>
      <c r="BS122" s="5" t="s">
        <v>238</v>
      </c>
      <c r="BT122" s="5" t="s">
        <v>238</v>
      </c>
      <c r="CC122" s="5" t="s">
        <v>258</v>
      </c>
      <c r="CD122" s="5" t="s">
        <v>238</v>
      </c>
      <c r="CE122" s="5" t="s">
        <v>238</v>
      </c>
      <c r="CI122" s="5" t="s">
        <v>259</v>
      </c>
      <c r="CJ122" s="5" t="s">
        <v>260</v>
      </c>
      <c r="CK122" s="5" t="s">
        <v>238</v>
      </c>
      <c r="CM122" s="5" t="s">
        <v>342</v>
      </c>
      <c r="CN122" s="6" t="s">
        <v>262</v>
      </c>
      <c r="CO122" s="5" t="s">
        <v>263</v>
      </c>
      <c r="CP122" s="5" t="s">
        <v>264</v>
      </c>
      <c r="CQ122" s="5" t="s">
        <v>285</v>
      </c>
      <c r="CR122" s="5" t="s">
        <v>238</v>
      </c>
      <c r="CS122" s="5">
        <v>0</v>
      </c>
      <c r="CT122" s="5" t="s">
        <v>265</v>
      </c>
      <c r="CU122" s="5" t="s">
        <v>266</v>
      </c>
      <c r="CV122" s="5" t="s">
        <v>267</v>
      </c>
      <c r="CW122" s="7">
        <f>0</f>
        <v>0</v>
      </c>
      <c r="CX122" s="8">
        <f>1525000</f>
        <v>1525000</v>
      </c>
      <c r="CY122" s="8">
        <f>1</f>
        <v>1</v>
      </c>
      <c r="DA122" s="5" t="s">
        <v>238</v>
      </c>
      <c r="DB122" s="5" t="s">
        <v>238</v>
      </c>
      <c r="DD122" s="5" t="s">
        <v>238</v>
      </c>
      <c r="DE122" s="8">
        <f>0</f>
        <v>0</v>
      </c>
      <c r="DG122" s="5" t="s">
        <v>238</v>
      </c>
      <c r="DH122" s="5" t="s">
        <v>238</v>
      </c>
      <c r="DI122" s="5" t="s">
        <v>238</v>
      </c>
      <c r="DJ122" s="5" t="s">
        <v>238</v>
      </c>
      <c r="DK122" s="5" t="s">
        <v>271</v>
      </c>
      <c r="DL122" s="5" t="s">
        <v>272</v>
      </c>
      <c r="DM122" s="7">
        <f>12.5</f>
        <v>12.5</v>
      </c>
      <c r="DN122" s="5" t="s">
        <v>238</v>
      </c>
      <c r="DO122" s="5" t="s">
        <v>238</v>
      </c>
      <c r="DP122" s="5" t="s">
        <v>238</v>
      </c>
      <c r="DQ122" s="5" t="s">
        <v>238</v>
      </c>
      <c r="DT122" s="5" t="s">
        <v>4138</v>
      </c>
      <c r="DU122" s="5" t="s">
        <v>271</v>
      </c>
      <c r="HM122" s="5" t="s">
        <v>271</v>
      </c>
      <c r="HP122" s="5" t="s">
        <v>272</v>
      </c>
      <c r="HQ122" s="5" t="s">
        <v>272</v>
      </c>
      <c r="HR122" s="5" t="s">
        <v>238</v>
      </c>
      <c r="HS122" s="5" t="s">
        <v>238</v>
      </c>
      <c r="HT122" s="5" t="s">
        <v>238</v>
      </c>
      <c r="HU122" s="5" t="s">
        <v>238</v>
      </c>
      <c r="HV122" s="5" t="s">
        <v>238</v>
      </c>
      <c r="HW122" s="5" t="s">
        <v>238</v>
      </c>
      <c r="HX122" s="5" t="s">
        <v>238</v>
      </c>
      <c r="HY122" s="5" t="s">
        <v>238</v>
      </c>
      <c r="HZ122" s="5" t="s">
        <v>238</v>
      </c>
      <c r="IA122" s="5" t="s">
        <v>238</v>
      </c>
      <c r="IB122" s="5" t="s">
        <v>238</v>
      </c>
      <c r="IC122" s="5" t="s">
        <v>238</v>
      </c>
      <c r="ID122" s="5" t="s">
        <v>238</v>
      </c>
    </row>
    <row r="123" spans="1:238" x14ac:dyDescent="0.4">
      <c r="A123" s="5">
        <v>132</v>
      </c>
      <c r="B123" s="5">
        <v>1</v>
      </c>
      <c r="C123" s="5">
        <v>2</v>
      </c>
      <c r="D123" s="5" t="s">
        <v>4136</v>
      </c>
      <c r="E123" s="5" t="s">
        <v>751</v>
      </c>
      <c r="F123" s="5" t="s">
        <v>282</v>
      </c>
      <c r="G123" s="5" t="s">
        <v>3289</v>
      </c>
      <c r="H123" s="6" t="s">
        <v>4137</v>
      </c>
      <c r="I123" s="5" t="s">
        <v>4135</v>
      </c>
      <c r="J123" s="7">
        <f>12.5</f>
        <v>12.5</v>
      </c>
      <c r="K123" s="5" t="s">
        <v>270</v>
      </c>
      <c r="L123" s="8">
        <f>1</f>
        <v>1</v>
      </c>
      <c r="M123" s="8">
        <f>750000</f>
        <v>750000</v>
      </c>
      <c r="N123" s="6" t="s">
        <v>906</v>
      </c>
      <c r="O123" s="5" t="s">
        <v>268</v>
      </c>
      <c r="P123" s="5" t="s">
        <v>909</v>
      </c>
      <c r="R123" s="8">
        <f>749999</f>
        <v>749999</v>
      </c>
      <c r="S123" s="5" t="s">
        <v>240</v>
      </c>
      <c r="T123" s="5" t="s">
        <v>237</v>
      </c>
      <c r="W123" s="5" t="s">
        <v>241</v>
      </c>
      <c r="X123" s="5" t="s">
        <v>750</v>
      </c>
      <c r="Y123" s="5" t="s">
        <v>238</v>
      </c>
      <c r="AB123" s="5" t="s">
        <v>238</v>
      </c>
      <c r="AC123" s="6" t="s">
        <v>238</v>
      </c>
      <c r="AD123" s="6" t="s">
        <v>238</v>
      </c>
      <c r="AF123" s="6" t="s">
        <v>238</v>
      </c>
      <c r="AG123" s="6" t="s">
        <v>246</v>
      </c>
      <c r="AH123" s="5" t="s">
        <v>247</v>
      </c>
      <c r="AI123" s="5" t="s">
        <v>248</v>
      </c>
      <c r="AT123" s="6" t="s">
        <v>238</v>
      </c>
      <c r="AW123" s="5" t="s">
        <v>304</v>
      </c>
      <c r="AX123" s="5" t="s">
        <v>304</v>
      </c>
      <c r="AY123" s="5" t="s">
        <v>250</v>
      </c>
      <c r="AZ123" s="5" t="s">
        <v>305</v>
      </c>
      <c r="BA123" s="5" t="s">
        <v>251</v>
      </c>
      <c r="BB123" s="5" t="s">
        <v>238</v>
      </c>
      <c r="BC123" s="5" t="s">
        <v>253</v>
      </c>
      <c r="BD123" s="5" t="s">
        <v>238</v>
      </c>
      <c r="BF123" s="5" t="s">
        <v>238</v>
      </c>
      <c r="BH123" s="5" t="s">
        <v>283</v>
      </c>
      <c r="BI123" s="6" t="s">
        <v>293</v>
      </c>
      <c r="BJ123" s="5" t="s">
        <v>255</v>
      </c>
      <c r="BK123" s="5" t="s">
        <v>256</v>
      </c>
      <c r="BL123" s="5" t="s">
        <v>238</v>
      </c>
      <c r="BM123" s="7">
        <f>0</f>
        <v>0</v>
      </c>
      <c r="BN123" s="8">
        <f>0</f>
        <v>0</v>
      </c>
      <c r="BO123" s="5" t="s">
        <v>257</v>
      </c>
      <c r="BP123" s="5" t="s">
        <v>258</v>
      </c>
      <c r="BQ123" s="5" t="s">
        <v>238</v>
      </c>
      <c r="BR123" s="5" t="s">
        <v>238</v>
      </c>
      <c r="BS123" s="5" t="s">
        <v>238</v>
      </c>
      <c r="BT123" s="5" t="s">
        <v>238</v>
      </c>
      <c r="CC123" s="5" t="s">
        <v>258</v>
      </c>
      <c r="CD123" s="5" t="s">
        <v>238</v>
      </c>
      <c r="CE123" s="5" t="s">
        <v>238</v>
      </c>
      <c r="CI123" s="5" t="s">
        <v>527</v>
      </c>
      <c r="CJ123" s="5" t="s">
        <v>260</v>
      </c>
      <c r="CK123" s="5" t="s">
        <v>238</v>
      </c>
      <c r="CM123" s="5" t="s">
        <v>908</v>
      </c>
      <c r="CN123" s="6" t="s">
        <v>262</v>
      </c>
      <c r="CO123" s="5" t="s">
        <v>263</v>
      </c>
      <c r="CP123" s="5" t="s">
        <v>264</v>
      </c>
      <c r="CQ123" s="5" t="s">
        <v>285</v>
      </c>
      <c r="CR123" s="5" t="s">
        <v>238</v>
      </c>
      <c r="CS123" s="5">
        <v>0</v>
      </c>
      <c r="CT123" s="5" t="s">
        <v>265</v>
      </c>
      <c r="CU123" s="5" t="s">
        <v>266</v>
      </c>
      <c r="CV123" s="5" t="s">
        <v>267</v>
      </c>
      <c r="CW123" s="7">
        <f>0</f>
        <v>0</v>
      </c>
      <c r="CX123" s="8">
        <f>750000</f>
        <v>750000</v>
      </c>
      <c r="CY123" s="8">
        <f>1</f>
        <v>1</v>
      </c>
      <c r="DA123" s="5" t="s">
        <v>238</v>
      </c>
      <c r="DB123" s="5" t="s">
        <v>238</v>
      </c>
      <c r="DD123" s="5" t="s">
        <v>238</v>
      </c>
      <c r="DE123" s="8">
        <f>0</f>
        <v>0</v>
      </c>
      <c r="DG123" s="5" t="s">
        <v>238</v>
      </c>
      <c r="DH123" s="5" t="s">
        <v>238</v>
      </c>
      <c r="DI123" s="5" t="s">
        <v>238</v>
      </c>
      <c r="DJ123" s="5" t="s">
        <v>238</v>
      </c>
      <c r="DK123" s="5" t="s">
        <v>271</v>
      </c>
      <c r="DL123" s="5" t="s">
        <v>272</v>
      </c>
      <c r="DM123" s="7">
        <f>12.5</f>
        <v>12.5</v>
      </c>
      <c r="DN123" s="5" t="s">
        <v>238</v>
      </c>
      <c r="DO123" s="5" t="s">
        <v>238</v>
      </c>
      <c r="DP123" s="5" t="s">
        <v>238</v>
      </c>
      <c r="DQ123" s="5" t="s">
        <v>238</v>
      </c>
      <c r="DT123" s="5" t="s">
        <v>4138</v>
      </c>
      <c r="DU123" s="5" t="s">
        <v>274</v>
      </c>
      <c r="HM123" s="5" t="s">
        <v>271</v>
      </c>
      <c r="HP123" s="5" t="s">
        <v>272</v>
      </c>
      <c r="HQ123" s="5" t="s">
        <v>272</v>
      </c>
      <c r="HR123" s="5" t="s">
        <v>238</v>
      </c>
      <c r="HS123" s="5" t="s">
        <v>238</v>
      </c>
      <c r="HT123" s="5" t="s">
        <v>238</v>
      </c>
      <c r="HU123" s="5" t="s">
        <v>238</v>
      </c>
      <c r="HV123" s="5" t="s">
        <v>238</v>
      </c>
      <c r="HW123" s="5" t="s">
        <v>238</v>
      </c>
      <c r="HX123" s="5" t="s">
        <v>238</v>
      </c>
      <c r="HY123" s="5" t="s">
        <v>238</v>
      </c>
      <c r="HZ123" s="5" t="s">
        <v>238</v>
      </c>
      <c r="IA123" s="5" t="s">
        <v>238</v>
      </c>
      <c r="IB123" s="5" t="s">
        <v>238</v>
      </c>
      <c r="IC123" s="5" t="s">
        <v>238</v>
      </c>
      <c r="ID123" s="5" t="s">
        <v>238</v>
      </c>
    </row>
    <row r="124" spans="1:238" x14ac:dyDescent="0.4">
      <c r="A124" s="5">
        <v>133</v>
      </c>
      <c r="B124" s="5">
        <v>1</v>
      </c>
      <c r="C124" s="5">
        <v>5</v>
      </c>
      <c r="D124" s="5" t="s">
        <v>3815</v>
      </c>
      <c r="E124" s="5" t="s">
        <v>751</v>
      </c>
      <c r="F124" s="5" t="s">
        <v>282</v>
      </c>
      <c r="G124" s="5" t="s">
        <v>752</v>
      </c>
      <c r="H124" s="6" t="s">
        <v>3816</v>
      </c>
      <c r="I124" s="5" t="s">
        <v>3814</v>
      </c>
      <c r="J124" s="7">
        <f>18</f>
        <v>18</v>
      </c>
      <c r="K124" s="5" t="s">
        <v>270</v>
      </c>
      <c r="L124" s="8">
        <f>1</f>
        <v>1</v>
      </c>
      <c r="M124" s="8">
        <f>990000</f>
        <v>990000</v>
      </c>
      <c r="N124" s="6" t="s">
        <v>3810</v>
      </c>
      <c r="O124" s="5" t="s">
        <v>651</v>
      </c>
      <c r="P124" s="5" t="s">
        <v>286</v>
      </c>
      <c r="Q124" s="8">
        <f>41580</f>
        <v>41580</v>
      </c>
      <c r="R124" s="8">
        <f>989999</f>
        <v>989999</v>
      </c>
      <c r="S124" s="5" t="s">
        <v>240</v>
      </c>
      <c r="T124" s="5" t="s">
        <v>237</v>
      </c>
      <c r="W124" s="5" t="s">
        <v>241</v>
      </c>
      <c r="X124" s="5" t="s">
        <v>750</v>
      </c>
      <c r="Y124" s="5" t="s">
        <v>238</v>
      </c>
      <c r="AB124" s="5" t="s">
        <v>238</v>
      </c>
      <c r="AC124" s="6" t="s">
        <v>238</v>
      </c>
      <c r="AD124" s="6" t="s">
        <v>238</v>
      </c>
      <c r="AF124" s="6" t="s">
        <v>238</v>
      </c>
      <c r="AG124" s="6" t="s">
        <v>246</v>
      </c>
      <c r="AH124" s="5" t="s">
        <v>247</v>
      </c>
      <c r="AI124" s="5" t="s">
        <v>248</v>
      </c>
      <c r="AO124" s="5" t="s">
        <v>238</v>
      </c>
      <c r="AP124" s="5" t="s">
        <v>238</v>
      </c>
      <c r="AQ124" s="5" t="s">
        <v>238</v>
      </c>
      <c r="AR124" s="6" t="s">
        <v>238</v>
      </c>
      <c r="AS124" s="6" t="s">
        <v>238</v>
      </c>
      <c r="AT124" s="6" t="s">
        <v>238</v>
      </c>
      <c r="AW124" s="5" t="s">
        <v>304</v>
      </c>
      <c r="AX124" s="5" t="s">
        <v>304</v>
      </c>
      <c r="AY124" s="5" t="s">
        <v>250</v>
      </c>
      <c r="AZ124" s="5" t="s">
        <v>305</v>
      </c>
      <c r="BA124" s="5" t="s">
        <v>251</v>
      </c>
      <c r="BB124" s="5" t="s">
        <v>238</v>
      </c>
      <c r="BC124" s="5" t="s">
        <v>253</v>
      </c>
      <c r="BD124" s="5" t="s">
        <v>238</v>
      </c>
      <c r="BF124" s="5" t="s">
        <v>760</v>
      </c>
      <c r="BH124" s="5" t="s">
        <v>283</v>
      </c>
      <c r="BI124" s="6" t="s">
        <v>293</v>
      </c>
      <c r="BJ124" s="5" t="s">
        <v>294</v>
      </c>
      <c r="BK124" s="5" t="s">
        <v>294</v>
      </c>
      <c r="BL124" s="5" t="s">
        <v>238</v>
      </c>
      <c r="BM124" s="7">
        <f>0</f>
        <v>0</v>
      </c>
      <c r="BN124" s="8">
        <f>-33659</f>
        <v>-33659</v>
      </c>
      <c r="BO124" s="5" t="s">
        <v>257</v>
      </c>
      <c r="BP124" s="5" t="s">
        <v>258</v>
      </c>
      <c r="BQ124" s="5" t="s">
        <v>238</v>
      </c>
      <c r="BR124" s="5" t="s">
        <v>238</v>
      </c>
      <c r="BS124" s="5" t="s">
        <v>238</v>
      </c>
      <c r="BT124" s="5" t="s">
        <v>238</v>
      </c>
      <c r="CC124" s="5" t="s">
        <v>258</v>
      </c>
      <c r="CD124" s="5" t="s">
        <v>238</v>
      </c>
      <c r="CE124" s="5" t="s">
        <v>238</v>
      </c>
      <c r="CI124" s="5" t="s">
        <v>259</v>
      </c>
      <c r="CJ124" s="5" t="s">
        <v>260</v>
      </c>
      <c r="CK124" s="5" t="s">
        <v>238</v>
      </c>
      <c r="CM124" s="5" t="s">
        <v>330</v>
      </c>
      <c r="CN124" s="6" t="s">
        <v>262</v>
      </c>
      <c r="CO124" s="5" t="s">
        <v>263</v>
      </c>
      <c r="CP124" s="5" t="s">
        <v>264</v>
      </c>
      <c r="CQ124" s="5" t="s">
        <v>285</v>
      </c>
      <c r="CR124" s="5" t="s">
        <v>238</v>
      </c>
      <c r="CS124" s="5">
        <v>4.2000000000000003E-2</v>
      </c>
      <c r="CT124" s="5" t="s">
        <v>265</v>
      </c>
      <c r="CU124" s="5" t="s">
        <v>266</v>
      </c>
      <c r="CV124" s="5" t="s">
        <v>331</v>
      </c>
      <c r="CW124" s="7">
        <f>0</f>
        <v>0</v>
      </c>
      <c r="CX124" s="8">
        <f>990000</f>
        <v>990000</v>
      </c>
      <c r="CY124" s="8">
        <f>1</f>
        <v>1</v>
      </c>
      <c r="DA124" s="5" t="s">
        <v>238</v>
      </c>
      <c r="DB124" s="5" t="s">
        <v>238</v>
      </c>
      <c r="DD124" s="5" t="s">
        <v>238</v>
      </c>
      <c r="DE124" s="8">
        <f>0</f>
        <v>0</v>
      </c>
      <c r="DG124" s="5" t="s">
        <v>238</v>
      </c>
      <c r="DH124" s="5" t="s">
        <v>238</v>
      </c>
      <c r="DI124" s="5" t="s">
        <v>238</v>
      </c>
      <c r="DJ124" s="5" t="s">
        <v>238</v>
      </c>
      <c r="DK124" s="5" t="s">
        <v>271</v>
      </c>
      <c r="DL124" s="5" t="s">
        <v>272</v>
      </c>
      <c r="DM124" s="7">
        <f>18</f>
        <v>18</v>
      </c>
      <c r="DN124" s="5" t="s">
        <v>238</v>
      </c>
      <c r="DO124" s="5" t="s">
        <v>238</v>
      </c>
      <c r="DP124" s="5" t="s">
        <v>238</v>
      </c>
      <c r="DQ124" s="5" t="s">
        <v>238</v>
      </c>
      <c r="DT124" s="5" t="s">
        <v>3817</v>
      </c>
      <c r="DU124" s="5" t="s">
        <v>271</v>
      </c>
      <c r="GL124" s="5" t="s">
        <v>3818</v>
      </c>
      <c r="HM124" s="5" t="s">
        <v>313</v>
      </c>
      <c r="HP124" s="5" t="s">
        <v>272</v>
      </c>
      <c r="HQ124" s="5" t="s">
        <v>272</v>
      </c>
      <c r="HR124" s="5" t="s">
        <v>238</v>
      </c>
      <c r="HS124" s="5" t="s">
        <v>238</v>
      </c>
      <c r="HT124" s="5" t="s">
        <v>238</v>
      </c>
      <c r="HU124" s="5" t="s">
        <v>238</v>
      </c>
      <c r="HV124" s="5" t="s">
        <v>238</v>
      </c>
      <c r="HW124" s="5" t="s">
        <v>238</v>
      </c>
      <c r="HX124" s="5" t="s">
        <v>238</v>
      </c>
      <c r="HY124" s="5" t="s">
        <v>238</v>
      </c>
      <c r="HZ124" s="5" t="s">
        <v>238</v>
      </c>
      <c r="IA124" s="5" t="s">
        <v>238</v>
      </c>
      <c r="IB124" s="5" t="s">
        <v>238</v>
      </c>
      <c r="IC124" s="5" t="s">
        <v>238</v>
      </c>
      <c r="ID124" s="5" t="s">
        <v>238</v>
      </c>
    </row>
    <row r="125" spans="1:238" x14ac:dyDescent="0.4">
      <c r="A125" s="5">
        <v>134</v>
      </c>
      <c r="B125" s="5">
        <v>1</v>
      </c>
      <c r="C125" s="5">
        <v>2</v>
      </c>
      <c r="D125" s="5" t="s">
        <v>3815</v>
      </c>
      <c r="E125" s="5" t="s">
        <v>751</v>
      </c>
      <c r="F125" s="5" t="s">
        <v>282</v>
      </c>
      <c r="G125" s="5" t="s">
        <v>3289</v>
      </c>
      <c r="H125" s="6" t="s">
        <v>3816</v>
      </c>
      <c r="I125" s="5" t="s">
        <v>4040</v>
      </c>
      <c r="J125" s="7">
        <f>33.95</f>
        <v>33.950000000000003</v>
      </c>
      <c r="K125" s="5" t="s">
        <v>270</v>
      </c>
      <c r="L125" s="8">
        <f>1</f>
        <v>1</v>
      </c>
      <c r="M125" s="8">
        <f>2037000</f>
        <v>2037000</v>
      </c>
      <c r="N125" s="6" t="s">
        <v>906</v>
      </c>
      <c r="O125" s="5" t="s">
        <v>268</v>
      </c>
      <c r="P125" s="5" t="s">
        <v>909</v>
      </c>
      <c r="R125" s="8">
        <f>2036999</f>
        <v>2036999</v>
      </c>
      <c r="S125" s="5" t="s">
        <v>240</v>
      </c>
      <c r="T125" s="5" t="s">
        <v>237</v>
      </c>
      <c r="W125" s="5" t="s">
        <v>241</v>
      </c>
      <c r="X125" s="5" t="s">
        <v>750</v>
      </c>
      <c r="Y125" s="5" t="s">
        <v>238</v>
      </c>
      <c r="AB125" s="5" t="s">
        <v>238</v>
      </c>
      <c r="AC125" s="6" t="s">
        <v>238</v>
      </c>
      <c r="AD125" s="6" t="s">
        <v>238</v>
      </c>
      <c r="AF125" s="6" t="s">
        <v>238</v>
      </c>
      <c r="AG125" s="6" t="s">
        <v>246</v>
      </c>
      <c r="AH125" s="5" t="s">
        <v>247</v>
      </c>
      <c r="AI125" s="5" t="s">
        <v>248</v>
      </c>
      <c r="AT125" s="6" t="s">
        <v>238</v>
      </c>
      <c r="AW125" s="5" t="s">
        <v>304</v>
      </c>
      <c r="AX125" s="5" t="s">
        <v>304</v>
      </c>
      <c r="AY125" s="5" t="s">
        <v>250</v>
      </c>
      <c r="AZ125" s="5" t="s">
        <v>305</v>
      </c>
      <c r="BA125" s="5" t="s">
        <v>251</v>
      </c>
      <c r="BB125" s="5" t="s">
        <v>238</v>
      </c>
      <c r="BC125" s="5" t="s">
        <v>253</v>
      </c>
      <c r="BD125" s="5" t="s">
        <v>238</v>
      </c>
      <c r="BF125" s="5" t="s">
        <v>238</v>
      </c>
      <c r="BH125" s="5" t="s">
        <v>283</v>
      </c>
      <c r="BI125" s="6" t="s">
        <v>293</v>
      </c>
      <c r="BJ125" s="5" t="s">
        <v>255</v>
      </c>
      <c r="BK125" s="5" t="s">
        <v>256</v>
      </c>
      <c r="BL125" s="5" t="s">
        <v>238</v>
      </c>
      <c r="BM125" s="7">
        <f>0</f>
        <v>0</v>
      </c>
      <c r="BN125" s="8">
        <f>0</f>
        <v>0</v>
      </c>
      <c r="BO125" s="5" t="s">
        <v>257</v>
      </c>
      <c r="BP125" s="5" t="s">
        <v>258</v>
      </c>
      <c r="BQ125" s="5" t="s">
        <v>238</v>
      </c>
      <c r="BR125" s="5" t="s">
        <v>238</v>
      </c>
      <c r="BS125" s="5" t="s">
        <v>238</v>
      </c>
      <c r="BT125" s="5" t="s">
        <v>238</v>
      </c>
      <c r="CC125" s="5" t="s">
        <v>258</v>
      </c>
      <c r="CD125" s="5" t="s">
        <v>238</v>
      </c>
      <c r="CE125" s="5" t="s">
        <v>238</v>
      </c>
      <c r="CI125" s="5" t="s">
        <v>527</v>
      </c>
      <c r="CJ125" s="5" t="s">
        <v>260</v>
      </c>
      <c r="CK125" s="5" t="s">
        <v>238</v>
      </c>
      <c r="CM125" s="5" t="s">
        <v>908</v>
      </c>
      <c r="CN125" s="6" t="s">
        <v>262</v>
      </c>
      <c r="CO125" s="5" t="s">
        <v>263</v>
      </c>
      <c r="CP125" s="5" t="s">
        <v>264</v>
      </c>
      <c r="CQ125" s="5" t="s">
        <v>285</v>
      </c>
      <c r="CR125" s="5" t="s">
        <v>238</v>
      </c>
      <c r="CS125" s="5">
        <v>0</v>
      </c>
      <c r="CT125" s="5" t="s">
        <v>265</v>
      </c>
      <c r="CU125" s="5" t="s">
        <v>266</v>
      </c>
      <c r="CV125" s="5" t="s">
        <v>267</v>
      </c>
      <c r="CW125" s="7">
        <f>0</f>
        <v>0</v>
      </c>
      <c r="CX125" s="8">
        <f>2037000</f>
        <v>2037000</v>
      </c>
      <c r="CY125" s="8">
        <f>1</f>
        <v>1</v>
      </c>
      <c r="DA125" s="5" t="s">
        <v>238</v>
      </c>
      <c r="DB125" s="5" t="s">
        <v>238</v>
      </c>
      <c r="DD125" s="5" t="s">
        <v>238</v>
      </c>
      <c r="DE125" s="8">
        <f>0</f>
        <v>0</v>
      </c>
      <c r="DG125" s="5" t="s">
        <v>238</v>
      </c>
      <c r="DH125" s="5" t="s">
        <v>238</v>
      </c>
      <c r="DI125" s="5" t="s">
        <v>238</v>
      </c>
      <c r="DJ125" s="5" t="s">
        <v>238</v>
      </c>
      <c r="DK125" s="5" t="s">
        <v>271</v>
      </c>
      <c r="DL125" s="5" t="s">
        <v>272</v>
      </c>
      <c r="DM125" s="7">
        <f>33.95</f>
        <v>33.950000000000003</v>
      </c>
      <c r="DN125" s="5" t="s">
        <v>238</v>
      </c>
      <c r="DO125" s="5" t="s">
        <v>238</v>
      </c>
      <c r="DP125" s="5" t="s">
        <v>238</v>
      </c>
      <c r="DQ125" s="5" t="s">
        <v>238</v>
      </c>
      <c r="DT125" s="5" t="s">
        <v>3817</v>
      </c>
      <c r="DU125" s="5" t="s">
        <v>274</v>
      </c>
      <c r="HM125" s="5" t="s">
        <v>271</v>
      </c>
      <c r="HP125" s="5" t="s">
        <v>272</v>
      </c>
      <c r="HQ125" s="5" t="s">
        <v>272</v>
      </c>
      <c r="HR125" s="5" t="s">
        <v>238</v>
      </c>
      <c r="HS125" s="5" t="s">
        <v>238</v>
      </c>
      <c r="HT125" s="5" t="s">
        <v>238</v>
      </c>
      <c r="HU125" s="5" t="s">
        <v>238</v>
      </c>
      <c r="HV125" s="5" t="s">
        <v>238</v>
      </c>
      <c r="HW125" s="5" t="s">
        <v>238</v>
      </c>
      <c r="HX125" s="5" t="s">
        <v>238</v>
      </c>
      <c r="HY125" s="5" t="s">
        <v>238</v>
      </c>
      <c r="HZ125" s="5" t="s">
        <v>238</v>
      </c>
      <c r="IA125" s="5" t="s">
        <v>238</v>
      </c>
      <c r="IB125" s="5" t="s">
        <v>238</v>
      </c>
      <c r="IC125" s="5" t="s">
        <v>238</v>
      </c>
      <c r="ID125" s="5" t="s">
        <v>238</v>
      </c>
    </row>
    <row r="126" spans="1:238" x14ac:dyDescent="0.4">
      <c r="A126" s="5">
        <v>135</v>
      </c>
      <c r="B126" s="5">
        <v>1</v>
      </c>
      <c r="C126" s="5">
        <v>5</v>
      </c>
      <c r="D126" s="5" t="s">
        <v>3809</v>
      </c>
      <c r="E126" s="5" t="s">
        <v>751</v>
      </c>
      <c r="F126" s="5" t="s">
        <v>282</v>
      </c>
      <c r="G126" s="5" t="s">
        <v>752</v>
      </c>
      <c r="H126" s="6" t="s">
        <v>3811</v>
      </c>
      <c r="I126" s="5" t="s">
        <v>3808</v>
      </c>
      <c r="J126" s="7">
        <f>18</f>
        <v>18</v>
      </c>
      <c r="K126" s="5" t="s">
        <v>270</v>
      </c>
      <c r="L126" s="8">
        <f>1</f>
        <v>1</v>
      </c>
      <c r="M126" s="8">
        <f>1044000</f>
        <v>1044000</v>
      </c>
      <c r="N126" s="6" t="s">
        <v>3810</v>
      </c>
      <c r="O126" s="5" t="s">
        <v>651</v>
      </c>
      <c r="P126" s="5" t="s">
        <v>286</v>
      </c>
      <c r="Q126" s="8">
        <f>43848</f>
        <v>43848</v>
      </c>
      <c r="R126" s="8">
        <f>1043999</f>
        <v>1043999</v>
      </c>
      <c r="S126" s="5" t="s">
        <v>240</v>
      </c>
      <c r="T126" s="5" t="s">
        <v>237</v>
      </c>
      <c r="W126" s="5" t="s">
        <v>241</v>
      </c>
      <c r="X126" s="5" t="s">
        <v>750</v>
      </c>
      <c r="Y126" s="5" t="s">
        <v>238</v>
      </c>
      <c r="AB126" s="5" t="s">
        <v>238</v>
      </c>
      <c r="AC126" s="6" t="s">
        <v>238</v>
      </c>
      <c r="AD126" s="6" t="s">
        <v>238</v>
      </c>
      <c r="AF126" s="6" t="s">
        <v>238</v>
      </c>
      <c r="AG126" s="6" t="s">
        <v>246</v>
      </c>
      <c r="AH126" s="5" t="s">
        <v>247</v>
      </c>
      <c r="AI126" s="5" t="s">
        <v>248</v>
      </c>
      <c r="AO126" s="5" t="s">
        <v>238</v>
      </c>
      <c r="AP126" s="5" t="s">
        <v>238</v>
      </c>
      <c r="AQ126" s="5" t="s">
        <v>238</v>
      </c>
      <c r="AR126" s="6" t="s">
        <v>238</v>
      </c>
      <c r="AS126" s="6" t="s">
        <v>238</v>
      </c>
      <c r="AT126" s="6" t="s">
        <v>238</v>
      </c>
      <c r="AW126" s="5" t="s">
        <v>304</v>
      </c>
      <c r="AX126" s="5" t="s">
        <v>304</v>
      </c>
      <c r="AY126" s="5" t="s">
        <v>250</v>
      </c>
      <c r="AZ126" s="5" t="s">
        <v>305</v>
      </c>
      <c r="BA126" s="5" t="s">
        <v>251</v>
      </c>
      <c r="BB126" s="5" t="s">
        <v>238</v>
      </c>
      <c r="BC126" s="5" t="s">
        <v>253</v>
      </c>
      <c r="BD126" s="5" t="s">
        <v>238</v>
      </c>
      <c r="BF126" s="5" t="s">
        <v>760</v>
      </c>
      <c r="BH126" s="5" t="s">
        <v>283</v>
      </c>
      <c r="BI126" s="6" t="s">
        <v>293</v>
      </c>
      <c r="BJ126" s="5" t="s">
        <v>294</v>
      </c>
      <c r="BK126" s="5" t="s">
        <v>294</v>
      </c>
      <c r="BL126" s="5" t="s">
        <v>238</v>
      </c>
      <c r="BM126" s="7">
        <f>0</f>
        <v>0</v>
      </c>
      <c r="BN126" s="8">
        <f>-35495</f>
        <v>-35495</v>
      </c>
      <c r="BO126" s="5" t="s">
        <v>257</v>
      </c>
      <c r="BP126" s="5" t="s">
        <v>258</v>
      </c>
      <c r="BQ126" s="5" t="s">
        <v>238</v>
      </c>
      <c r="BR126" s="5" t="s">
        <v>238</v>
      </c>
      <c r="BS126" s="5" t="s">
        <v>238</v>
      </c>
      <c r="BT126" s="5" t="s">
        <v>238</v>
      </c>
      <c r="CC126" s="5" t="s">
        <v>258</v>
      </c>
      <c r="CD126" s="5" t="s">
        <v>238</v>
      </c>
      <c r="CE126" s="5" t="s">
        <v>238</v>
      </c>
      <c r="CI126" s="5" t="s">
        <v>259</v>
      </c>
      <c r="CJ126" s="5" t="s">
        <v>260</v>
      </c>
      <c r="CK126" s="5" t="s">
        <v>238</v>
      </c>
      <c r="CM126" s="5" t="s">
        <v>330</v>
      </c>
      <c r="CN126" s="6" t="s">
        <v>262</v>
      </c>
      <c r="CO126" s="5" t="s">
        <v>263</v>
      </c>
      <c r="CP126" s="5" t="s">
        <v>264</v>
      </c>
      <c r="CQ126" s="5" t="s">
        <v>285</v>
      </c>
      <c r="CR126" s="5" t="s">
        <v>238</v>
      </c>
      <c r="CS126" s="5">
        <v>4.2000000000000003E-2</v>
      </c>
      <c r="CT126" s="5" t="s">
        <v>265</v>
      </c>
      <c r="CU126" s="5" t="s">
        <v>266</v>
      </c>
      <c r="CV126" s="5" t="s">
        <v>331</v>
      </c>
      <c r="CW126" s="7">
        <f>0</f>
        <v>0</v>
      </c>
      <c r="CX126" s="8">
        <f>1044000</f>
        <v>1044000</v>
      </c>
      <c r="CY126" s="8">
        <f>1</f>
        <v>1</v>
      </c>
      <c r="DA126" s="5" t="s">
        <v>238</v>
      </c>
      <c r="DB126" s="5" t="s">
        <v>238</v>
      </c>
      <c r="DD126" s="5" t="s">
        <v>238</v>
      </c>
      <c r="DE126" s="8">
        <f>0</f>
        <v>0</v>
      </c>
      <c r="DG126" s="5" t="s">
        <v>238</v>
      </c>
      <c r="DH126" s="5" t="s">
        <v>238</v>
      </c>
      <c r="DI126" s="5" t="s">
        <v>238</v>
      </c>
      <c r="DJ126" s="5" t="s">
        <v>238</v>
      </c>
      <c r="DK126" s="5" t="s">
        <v>271</v>
      </c>
      <c r="DL126" s="5" t="s">
        <v>272</v>
      </c>
      <c r="DM126" s="7">
        <f>18</f>
        <v>18</v>
      </c>
      <c r="DN126" s="5" t="s">
        <v>238</v>
      </c>
      <c r="DO126" s="5" t="s">
        <v>238</v>
      </c>
      <c r="DP126" s="5" t="s">
        <v>238</v>
      </c>
      <c r="DQ126" s="5" t="s">
        <v>238</v>
      </c>
      <c r="DT126" s="5" t="s">
        <v>3812</v>
      </c>
      <c r="DU126" s="5" t="s">
        <v>271</v>
      </c>
      <c r="GL126" s="5" t="s">
        <v>3813</v>
      </c>
      <c r="HM126" s="5" t="s">
        <v>313</v>
      </c>
      <c r="HP126" s="5" t="s">
        <v>272</v>
      </c>
      <c r="HQ126" s="5" t="s">
        <v>272</v>
      </c>
      <c r="HR126" s="5" t="s">
        <v>238</v>
      </c>
      <c r="HS126" s="5" t="s">
        <v>238</v>
      </c>
      <c r="HT126" s="5" t="s">
        <v>238</v>
      </c>
      <c r="HU126" s="5" t="s">
        <v>238</v>
      </c>
      <c r="HV126" s="5" t="s">
        <v>238</v>
      </c>
      <c r="HW126" s="5" t="s">
        <v>238</v>
      </c>
      <c r="HX126" s="5" t="s">
        <v>238</v>
      </c>
      <c r="HY126" s="5" t="s">
        <v>238</v>
      </c>
      <c r="HZ126" s="5" t="s">
        <v>238</v>
      </c>
      <c r="IA126" s="5" t="s">
        <v>238</v>
      </c>
      <c r="IB126" s="5" t="s">
        <v>238</v>
      </c>
      <c r="IC126" s="5" t="s">
        <v>238</v>
      </c>
      <c r="ID126" s="5" t="s">
        <v>238</v>
      </c>
    </row>
    <row r="127" spans="1:238" x14ac:dyDescent="0.4">
      <c r="A127" s="5">
        <v>136</v>
      </c>
      <c r="B127" s="5">
        <v>1</v>
      </c>
      <c r="C127" s="5">
        <v>5</v>
      </c>
      <c r="D127" s="5" t="s">
        <v>3803</v>
      </c>
      <c r="E127" s="5" t="s">
        <v>751</v>
      </c>
      <c r="F127" s="5" t="s">
        <v>282</v>
      </c>
      <c r="G127" s="5" t="s">
        <v>752</v>
      </c>
      <c r="H127" s="6" t="s">
        <v>3805</v>
      </c>
      <c r="I127" s="5" t="s">
        <v>3802</v>
      </c>
      <c r="J127" s="7">
        <f>19</f>
        <v>19</v>
      </c>
      <c r="K127" s="5" t="s">
        <v>270</v>
      </c>
      <c r="L127" s="8">
        <f>51680</f>
        <v>51680</v>
      </c>
      <c r="M127" s="8">
        <f>1520000</f>
        <v>1520000</v>
      </c>
      <c r="N127" s="6" t="s">
        <v>3804</v>
      </c>
      <c r="O127" s="5" t="s">
        <v>651</v>
      </c>
      <c r="P127" s="5" t="s">
        <v>818</v>
      </c>
      <c r="Q127" s="8">
        <f>63840</f>
        <v>63840</v>
      </c>
      <c r="R127" s="8">
        <f>1468320</f>
        <v>1468320</v>
      </c>
      <c r="S127" s="5" t="s">
        <v>240</v>
      </c>
      <c r="T127" s="5" t="s">
        <v>237</v>
      </c>
      <c r="W127" s="5" t="s">
        <v>241</v>
      </c>
      <c r="X127" s="5" t="s">
        <v>750</v>
      </c>
      <c r="Y127" s="5" t="s">
        <v>238</v>
      </c>
      <c r="AB127" s="5" t="s">
        <v>238</v>
      </c>
      <c r="AC127" s="6" t="s">
        <v>238</v>
      </c>
      <c r="AD127" s="6" t="s">
        <v>238</v>
      </c>
      <c r="AF127" s="6" t="s">
        <v>238</v>
      </c>
      <c r="AG127" s="6" t="s">
        <v>246</v>
      </c>
      <c r="AH127" s="5" t="s">
        <v>247</v>
      </c>
      <c r="AI127" s="5" t="s">
        <v>248</v>
      </c>
      <c r="AO127" s="5" t="s">
        <v>238</v>
      </c>
      <c r="AP127" s="5" t="s">
        <v>238</v>
      </c>
      <c r="AQ127" s="5" t="s">
        <v>238</v>
      </c>
      <c r="AR127" s="6" t="s">
        <v>238</v>
      </c>
      <c r="AS127" s="6" t="s">
        <v>238</v>
      </c>
      <c r="AT127" s="6" t="s">
        <v>238</v>
      </c>
      <c r="AW127" s="5" t="s">
        <v>304</v>
      </c>
      <c r="AX127" s="5" t="s">
        <v>304</v>
      </c>
      <c r="AY127" s="5" t="s">
        <v>250</v>
      </c>
      <c r="AZ127" s="5" t="s">
        <v>305</v>
      </c>
      <c r="BA127" s="5" t="s">
        <v>251</v>
      </c>
      <c r="BB127" s="5" t="s">
        <v>238</v>
      </c>
      <c r="BC127" s="5" t="s">
        <v>253</v>
      </c>
      <c r="BD127" s="5" t="s">
        <v>238</v>
      </c>
      <c r="BF127" s="5" t="s">
        <v>760</v>
      </c>
      <c r="BH127" s="5" t="s">
        <v>283</v>
      </c>
      <c r="BI127" s="6" t="s">
        <v>293</v>
      </c>
      <c r="BJ127" s="5" t="s">
        <v>294</v>
      </c>
      <c r="BK127" s="5" t="s">
        <v>294</v>
      </c>
      <c r="BL127" s="5" t="s">
        <v>238</v>
      </c>
      <c r="BM127" s="7">
        <f>0</f>
        <v>0</v>
      </c>
      <c r="BN127" s="8">
        <f>-63840</f>
        <v>-63840</v>
      </c>
      <c r="BO127" s="5" t="s">
        <v>257</v>
      </c>
      <c r="BP127" s="5" t="s">
        <v>258</v>
      </c>
      <c r="BQ127" s="5" t="s">
        <v>238</v>
      </c>
      <c r="BR127" s="5" t="s">
        <v>238</v>
      </c>
      <c r="BS127" s="5" t="s">
        <v>238</v>
      </c>
      <c r="BT127" s="5" t="s">
        <v>238</v>
      </c>
      <c r="CC127" s="5" t="s">
        <v>258</v>
      </c>
      <c r="CD127" s="5" t="s">
        <v>238</v>
      </c>
      <c r="CE127" s="5" t="s">
        <v>238</v>
      </c>
      <c r="CI127" s="5" t="s">
        <v>259</v>
      </c>
      <c r="CJ127" s="5" t="s">
        <v>260</v>
      </c>
      <c r="CK127" s="5" t="s">
        <v>238</v>
      </c>
      <c r="CM127" s="5" t="s">
        <v>261</v>
      </c>
      <c r="CN127" s="6" t="s">
        <v>262</v>
      </c>
      <c r="CO127" s="5" t="s">
        <v>263</v>
      </c>
      <c r="CP127" s="5" t="s">
        <v>264</v>
      </c>
      <c r="CQ127" s="5" t="s">
        <v>285</v>
      </c>
      <c r="CR127" s="5" t="s">
        <v>238</v>
      </c>
      <c r="CS127" s="5">
        <v>4.2000000000000003E-2</v>
      </c>
      <c r="CT127" s="5" t="s">
        <v>265</v>
      </c>
      <c r="CU127" s="5" t="s">
        <v>266</v>
      </c>
      <c r="CV127" s="5" t="s">
        <v>331</v>
      </c>
      <c r="CW127" s="7">
        <f>0</f>
        <v>0</v>
      </c>
      <c r="CX127" s="8">
        <f>1520000</f>
        <v>1520000</v>
      </c>
      <c r="CY127" s="8">
        <f>51680</f>
        <v>51680</v>
      </c>
      <c r="DA127" s="5" t="s">
        <v>238</v>
      </c>
      <c r="DB127" s="5" t="s">
        <v>238</v>
      </c>
      <c r="DD127" s="5" t="s">
        <v>238</v>
      </c>
      <c r="DE127" s="8">
        <f>0</f>
        <v>0</v>
      </c>
      <c r="DG127" s="5" t="s">
        <v>238</v>
      </c>
      <c r="DH127" s="5" t="s">
        <v>238</v>
      </c>
      <c r="DI127" s="5" t="s">
        <v>238</v>
      </c>
      <c r="DJ127" s="5" t="s">
        <v>238</v>
      </c>
      <c r="DK127" s="5" t="s">
        <v>271</v>
      </c>
      <c r="DL127" s="5" t="s">
        <v>272</v>
      </c>
      <c r="DM127" s="7">
        <f>19</f>
        <v>19</v>
      </c>
      <c r="DN127" s="5" t="s">
        <v>238</v>
      </c>
      <c r="DO127" s="5" t="s">
        <v>238</v>
      </c>
      <c r="DP127" s="5" t="s">
        <v>238</v>
      </c>
      <c r="DQ127" s="5" t="s">
        <v>238</v>
      </c>
      <c r="DT127" s="5" t="s">
        <v>3806</v>
      </c>
      <c r="DU127" s="5" t="s">
        <v>271</v>
      </c>
      <c r="GL127" s="5" t="s">
        <v>3807</v>
      </c>
      <c r="HM127" s="5" t="s">
        <v>313</v>
      </c>
      <c r="HP127" s="5" t="s">
        <v>272</v>
      </c>
      <c r="HQ127" s="5" t="s">
        <v>272</v>
      </c>
      <c r="HR127" s="5" t="s">
        <v>238</v>
      </c>
      <c r="HS127" s="5" t="s">
        <v>238</v>
      </c>
      <c r="HT127" s="5" t="s">
        <v>238</v>
      </c>
      <c r="HU127" s="5" t="s">
        <v>238</v>
      </c>
      <c r="HV127" s="5" t="s">
        <v>238</v>
      </c>
      <c r="HW127" s="5" t="s">
        <v>238</v>
      </c>
      <c r="HX127" s="5" t="s">
        <v>238</v>
      </c>
      <c r="HY127" s="5" t="s">
        <v>238</v>
      </c>
      <c r="HZ127" s="5" t="s">
        <v>238</v>
      </c>
      <c r="IA127" s="5" t="s">
        <v>238</v>
      </c>
      <c r="IB127" s="5" t="s">
        <v>238</v>
      </c>
      <c r="IC127" s="5" t="s">
        <v>238</v>
      </c>
      <c r="ID127" s="5" t="s">
        <v>238</v>
      </c>
    </row>
    <row r="128" spans="1:238" x14ac:dyDescent="0.4">
      <c r="A128" s="5">
        <v>137</v>
      </c>
      <c r="B128" s="5">
        <v>1</v>
      </c>
      <c r="C128" s="5">
        <v>5</v>
      </c>
      <c r="D128" s="5" t="s">
        <v>3797</v>
      </c>
      <c r="E128" s="5" t="s">
        <v>751</v>
      </c>
      <c r="F128" s="5" t="s">
        <v>282</v>
      </c>
      <c r="G128" s="5" t="s">
        <v>752</v>
      </c>
      <c r="H128" s="6" t="s">
        <v>3799</v>
      </c>
      <c r="I128" s="5" t="s">
        <v>3796</v>
      </c>
      <c r="J128" s="7">
        <f>33</f>
        <v>33</v>
      </c>
      <c r="K128" s="5" t="s">
        <v>270</v>
      </c>
      <c r="L128" s="8">
        <f>346104</f>
        <v>346104</v>
      </c>
      <c r="M128" s="8">
        <f>4554000</f>
        <v>4554000</v>
      </c>
      <c r="N128" s="6" t="s">
        <v>3798</v>
      </c>
      <c r="O128" s="5" t="s">
        <v>651</v>
      </c>
      <c r="P128" s="5" t="s">
        <v>712</v>
      </c>
      <c r="Q128" s="8">
        <f>191268</f>
        <v>191268</v>
      </c>
      <c r="R128" s="8">
        <f>4207896</f>
        <v>4207896</v>
      </c>
      <c r="S128" s="5" t="s">
        <v>240</v>
      </c>
      <c r="T128" s="5" t="s">
        <v>237</v>
      </c>
      <c r="W128" s="5" t="s">
        <v>241</v>
      </c>
      <c r="X128" s="5" t="s">
        <v>750</v>
      </c>
      <c r="Y128" s="5" t="s">
        <v>238</v>
      </c>
      <c r="AB128" s="5" t="s">
        <v>238</v>
      </c>
      <c r="AC128" s="6" t="s">
        <v>238</v>
      </c>
      <c r="AD128" s="6" t="s">
        <v>238</v>
      </c>
      <c r="AF128" s="6" t="s">
        <v>238</v>
      </c>
      <c r="AG128" s="6" t="s">
        <v>246</v>
      </c>
      <c r="AH128" s="5" t="s">
        <v>247</v>
      </c>
      <c r="AI128" s="5" t="s">
        <v>248</v>
      </c>
      <c r="AO128" s="5" t="s">
        <v>238</v>
      </c>
      <c r="AP128" s="5" t="s">
        <v>238</v>
      </c>
      <c r="AQ128" s="5" t="s">
        <v>238</v>
      </c>
      <c r="AR128" s="6" t="s">
        <v>238</v>
      </c>
      <c r="AS128" s="6" t="s">
        <v>238</v>
      </c>
      <c r="AT128" s="6" t="s">
        <v>238</v>
      </c>
      <c r="AW128" s="5" t="s">
        <v>304</v>
      </c>
      <c r="AX128" s="5" t="s">
        <v>304</v>
      </c>
      <c r="AY128" s="5" t="s">
        <v>250</v>
      </c>
      <c r="AZ128" s="5" t="s">
        <v>305</v>
      </c>
      <c r="BA128" s="5" t="s">
        <v>251</v>
      </c>
      <c r="BB128" s="5" t="s">
        <v>238</v>
      </c>
      <c r="BC128" s="5" t="s">
        <v>253</v>
      </c>
      <c r="BD128" s="5" t="s">
        <v>238</v>
      </c>
      <c r="BF128" s="5" t="s">
        <v>760</v>
      </c>
      <c r="BH128" s="5" t="s">
        <v>283</v>
      </c>
      <c r="BI128" s="6" t="s">
        <v>293</v>
      </c>
      <c r="BJ128" s="5" t="s">
        <v>294</v>
      </c>
      <c r="BK128" s="5" t="s">
        <v>294</v>
      </c>
      <c r="BL128" s="5" t="s">
        <v>238</v>
      </c>
      <c r="BM128" s="7">
        <f>0</f>
        <v>0</v>
      </c>
      <c r="BN128" s="8">
        <f>-191268</f>
        <v>-191268</v>
      </c>
      <c r="BO128" s="5" t="s">
        <v>257</v>
      </c>
      <c r="BP128" s="5" t="s">
        <v>258</v>
      </c>
      <c r="BQ128" s="5" t="s">
        <v>238</v>
      </c>
      <c r="BR128" s="5" t="s">
        <v>238</v>
      </c>
      <c r="BS128" s="5" t="s">
        <v>238</v>
      </c>
      <c r="BT128" s="5" t="s">
        <v>238</v>
      </c>
      <c r="CC128" s="5" t="s">
        <v>258</v>
      </c>
      <c r="CD128" s="5" t="s">
        <v>238</v>
      </c>
      <c r="CE128" s="5" t="s">
        <v>238</v>
      </c>
      <c r="CI128" s="5" t="s">
        <v>259</v>
      </c>
      <c r="CJ128" s="5" t="s">
        <v>260</v>
      </c>
      <c r="CK128" s="5" t="s">
        <v>238</v>
      </c>
      <c r="CM128" s="5" t="s">
        <v>711</v>
      </c>
      <c r="CN128" s="6" t="s">
        <v>262</v>
      </c>
      <c r="CO128" s="5" t="s">
        <v>263</v>
      </c>
      <c r="CP128" s="5" t="s">
        <v>264</v>
      </c>
      <c r="CQ128" s="5" t="s">
        <v>285</v>
      </c>
      <c r="CR128" s="5" t="s">
        <v>238</v>
      </c>
      <c r="CS128" s="5">
        <v>4.2000000000000003E-2</v>
      </c>
      <c r="CT128" s="5" t="s">
        <v>265</v>
      </c>
      <c r="CU128" s="5" t="s">
        <v>266</v>
      </c>
      <c r="CV128" s="5" t="s">
        <v>331</v>
      </c>
      <c r="CW128" s="7">
        <f>0</f>
        <v>0</v>
      </c>
      <c r="CX128" s="8">
        <f>4554000</f>
        <v>4554000</v>
      </c>
      <c r="CY128" s="8">
        <f>346104</f>
        <v>346104</v>
      </c>
      <c r="DA128" s="5" t="s">
        <v>238</v>
      </c>
      <c r="DB128" s="5" t="s">
        <v>238</v>
      </c>
      <c r="DD128" s="5" t="s">
        <v>238</v>
      </c>
      <c r="DE128" s="8">
        <f>0</f>
        <v>0</v>
      </c>
      <c r="DG128" s="5" t="s">
        <v>238</v>
      </c>
      <c r="DH128" s="5" t="s">
        <v>238</v>
      </c>
      <c r="DI128" s="5" t="s">
        <v>238</v>
      </c>
      <c r="DJ128" s="5" t="s">
        <v>238</v>
      </c>
      <c r="DK128" s="5" t="s">
        <v>271</v>
      </c>
      <c r="DL128" s="5" t="s">
        <v>272</v>
      </c>
      <c r="DM128" s="7">
        <f>33</f>
        <v>33</v>
      </c>
      <c r="DN128" s="5" t="s">
        <v>238</v>
      </c>
      <c r="DO128" s="5" t="s">
        <v>238</v>
      </c>
      <c r="DP128" s="5" t="s">
        <v>238</v>
      </c>
      <c r="DQ128" s="5" t="s">
        <v>238</v>
      </c>
      <c r="DT128" s="5" t="s">
        <v>3800</v>
      </c>
      <c r="DU128" s="5" t="s">
        <v>271</v>
      </c>
      <c r="GL128" s="5" t="s">
        <v>3801</v>
      </c>
      <c r="HM128" s="5" t="s">
        <v>313</v>
      </c>
      <c r="HP128" s="5" t="s">
        <v>272</v>
      </c>
      <c r="HQ128" s="5" t="s">
        <v>272</v>
      </c>
      <c r="HR128" s="5" t="s">
        <v>238</v>
      </c>
      <c r="HS128" s="5" t="s">
        <v>238</v>
      </c>
      <c r="HT128" s="5" t="s">
        <v>238</v>
      </c>
      <c r="HU128" s="5" t="s">
        <v>238</v>
      </c>
      <c r="HV128" s="5" t="s">
        <v>238</v>
      </c>
      <c r="HW128" s="5" t="s">
        <v>238</v>
      </c>
      <c r="HX128" s="5" t="s">
        <v>238</v>
      </c>
      <c r="HY128" s="5" t="s">
        <v>238</v>
      </c>
      <c r="HZ128" s="5" t="s">
        <v>238</v>
      </c>
      <c r="IA128" s="5" t="s">
        <v>238</v>
      </c>
      <c r="IB128" s="5" t="s">
        <v>238</v>
      </c>
      <c r="IC128" s="5" t="s">
        <v>238</v>
      </c>
      <c r="ID128" s="5" t="s">
        <v>238</v>
      </c>
    </row>
    <row r="129" spans="1:238" x14ac:dyDescent="0.4">
      <c r="A129" s="5">
        <v>138</v>
      </c>
      <c r="B129" s="5">
        <v>1</v>
      </c>
      <c r="C129" s="5">
        <v>2</v>
      </c>
      <c r="D129" s="5" t="s">
        <v>4037</v>
      </c>
      <c r="E129" s="5" t="s">
        <v>751</v>
      </c>
      <c r="F129" s="5" t="s">
        <v>282</v>
      </c>
      <c r="G129" s="5" t="s">
        <v>752</v>
      </c>
      <c r="H129" s="6" t="s">
        <v>4038</v>
      </c>
      <c r="I129" s="5" t="s">
        <v>4036</v>
      </c>
      <c r="J129" s="7">
        <f>28.98</f>
        <v>28.98</v>
      </c>
      <c r="K129" s="5" t="s">
        <v>270</v>
      </c>
      <c r="L129" s="8">
        <f>1</f>
        <v>1</v>
      </c>
      <c r="M129" s="8">
        <f>1738800</f>
        <v>1738800</v>
      </c>
      <c r="N129" s="6" t="s">
        <v>906</v>
      </c>
      <c r="O129" s="5" t="s">
        <v>268</v>
      </c>
      <c r="P129" s="5" t="s">
        <v>909</v>
      </c>
      <c r="R129" s="8">
        <f>1738799</f>
        <v>1738799</v>
      </c>
      <c r="S129" s="5" t="s">
        <v>240</v>
      </c>
      <c r="T129" s="5" t="s">
        <v>237</v>
      </c>
      <c r="W129" s="5" t="s">
        <v>241</v>
      </c>
      <c r="X129" s="5" t="s">
        <v>750</v>
      </c>
      <c r="Y129" s="5" t="s">
        <v>238</v>
      </c>
      <c r="AB129" s="5" t="s">
        <v>238</v>
      </c>
      <c r="AC129" s="6" t="s">
        <v>238</v>
      </c>
      <c r="AD129" s="6" t="s">
        <v>238</v>
      </c>
      <c r="AF129" s="6" t="s">
        <v>238</v>
      </c>
      <c r="AG129" s="6" t="s">
        <v>246</v>
      </c>
      <c r="AH129" s="5" t="s">
        <v>247</v>
      </c>
      <c r="AI129" s="5" t="s">
        <v>248</v>
      </c>
      <c r="AT129" s="6" t="s">
        <v>238</v>
      </c>
      <c r="AW129" s="5" t="s">
        <v>304</v>
      </c>
      <c r="AX129" s="5" t="s">
        <v>304</v>
      </c>
      <c r="AY129" s="5" t="s">
        <v>250</v>
      </c>
      <c r="AZ129" s="5" t="s">
        <v>305</v>
      </c>
      <c r="BA129" s="5" t="s">
        <v>251</v>
      </c>
      <c r="BB129" s="5" t="s">
        <v>238</v>
      </c>
      <c r="BC129" s="5" t="s">
        <v>253</v>
      </c>
      <c r="BD129" s="5" t="s">
        <v>238</v>
      </c>
      <c r="BF129" s="5" t="s">
        <v>760</v>
      </c>
      <c r="BH129" s="5" t="s">
        <v>283</v>
      </c>
      <c r="BI129" s="6" t="s">
        <v>293</v>
      </c>
      <c r="BJ129" s="5" t="s">
        <v>255</v>
      </c>
      <c r="BK129" s="5" t="s">
        <v>256</v>
      </c>
      <c r="BL129" s="5" t="s">
        <v>238</v>
      </c>
      <c r="BM129" s="7">
        <f>0</f>
        <v>0</v>
      </c>
      <c r="BN129" s="8">
        <f>0</f>
        <v>0</v>
      </c>
      <c r="BO129" s="5" t="s">
        <v>257</v>
      </c>
      <c r="BP129" s="5" t="s">
        <v>258</v>
      </c>
      <c r="BQ129" s="5" t="s">
        <v>238</v>
      </c>
      <c r="BR129" s="5" t="s">
        <v>238</v>
      </c>
      <c r="BS129" s="5" t="s">
        <v>238</v>
      </c>
      <c r="BT129" s="5" t="s">
        <v>238</v>
      </c>
      <c r="CC129" s="5" t="s">
        <v>258</v>
      </c>
      <c r="CD129" s="5" t="s">
        <v>238</v>
      </c>
      <c r="CE129" s="5" t="s">
        <v>238</v>
      </c>
      <c r="CI129" s="5" t="s">
        <v>527</v>
      </c>
      <c r="CJ129" s="5" t="s">
        <v>260</v>
      </c>
      <c r="CK129" s="5" t="s">
        <v>238</v>
      </c>
      <c r="CM129" s="5" t="s">
        <v>908</v>
      </c>
      <c r="CN129" s="6" t="s">
        <v>262</v>
      </c>
      <c r="CO129" s="5" t="s">
        <v>263</v>
      </c>
      <c r="CP129" s="5" t="s">
        <v>264</v>
      </c>
      <c r="CQ129" s="5" t="s">
        <v>285</v>
      </c>
      <c r="CR129" s="5" t="s">
        <v>238</v>
      </c>
      <c r="CS129" s="5">
        <v>0</v>
      </c>
      <c r="CT129" s="5" t="s">
        <v>265</v>
      </c>
      <c r="CU129" s="5" t="s">
        <v>266</v>
      </c>
      <c r="CV129" s="5" t="s">
        <v>267</v>
      </c>
      <c r="CW129" s="7">
        <f>0</f>
        <v>0</v>
      </c>
      <c r="CX129" s="8">
        <f>1738800</f>
        <v>1738800</v>
      </c>
      <c r="CY129" s="8">
        <f>1</f>
        <v>1</v>
      </c>
      <c r="DA129" s="5" t="s">
        <v>238</v>
      </c>
      <c r="DB129" s="5" t="s">
        <v>238</v>
      </c>
      <c r="DD129" s="5" t="s">
        <v>238</v>
      </c>
      <c r="DE129" s="8">
        <f>0</f>
        <v>0</v>
      </c>
      <c r="DG129" s="5" t="s">
        <v>238</v>
      </c>
      <c r="DH129" s="5" t="s">
        <v>238</v>
      </c>
      <c r="DI129" s="5" t="s">
        <v>238</v>
      </c>
      <c r="DJ129" s="5" t="s">
        <v>238</v>
      </c>
      <c r="DK129" s="5" t="s">
        <v>271</v>
      </c>
      <c r="DL129" s="5" t="s">
        <v>272</v>
      </c>
      <c r="DM129" s="7">
        <f>28.98</f>
        <v>28.98</v>
      </c>
      <c r="DN129" s="5" t="s">
        <v>238</v>
      </c>
      <c r="DO129" s="5" t="s">
        <v>238</v>
      </c>
      <c r="DP129" s="5" t="s">
        <v>238</v>
      </c>
      <c r="DQ129" s="5" t="s">
        <v>238</v>
      </c>
      <c r="DT129" s="5" t="s">
        <v>4039</v>
      </c>
      <c r="DU129" s="5" t="s">
        <v>271</v>
      </c>
      <c r="HM129" s="5" t="s">
        <v>271</v>
      </c>
      <c r="HP129" s="5" t="s">
        <v>272</v>
      </c>
      <c r="HQ129" s="5" t="s">
        <v>272</v>
      </c>
      <c r="HR129" s="5" t="s">
        <v>238</v>
      </c>
      <c r="HS129" s="5" t="s">
        <v>238</v>
      </c>
      <c r="HT129" s="5" t="s">
        <v>238</v>
      </c>
      <c r="HU129" s="5" t="s">
        <v>238</v>
      </c>
      <c r="HV129" s="5" t="s">
        <v>238</v>
      </c>
      <c r="HW129" s="5" t="s">
        <v>238</v>
      </c>
      <c r="HX129" s="5" t="s">
        <v>238</v>
      </c>
      <c r="HY129" s="5" t="s">
        <v>238</v>
      </c>
      <c r="HZ129" s="5" t="s">
        <v>238</v>
      </c>
      <c r="IA129" s="5" t="s">
        <v>238</v>
      </c>
      <c r="IB129" s="5" t="s">
        <v>238</v>
      </c>
      <c r="IC129" s="5" t="s">
        <v>238</v>
      </c>
      <c r="ID129" s="5" t="s">
        <v>238</v>
      </c>
    </row>
    <row r="130" spans="1:238" x14ac:dyDescent="0.4">
      <c r="A130" s="5">
        <v>139</v>
      </c>
      <c r="B130" s="5">
        <v>1</v>
      </c>
      <c r="C130" s="5">
        <v>2</v>
      </c>
      <c r="D130" s="5" t="s">
        <v>4007</v>
      </c>
      <c r="E130" s="5" t="s">
        <v>751</v>
      </c>
      <c r="F130" s="5" t="s">
        <v>282</v>
      </c>
      <c r="G130" s="5" t="s">
        <v>752</v>
      </c>
      <c r="H130" s="6" t="s">
        <v>4008</v>
      </c>
      <c r="I130" s="5" t="s">
        <v>4006</v>
      </c>
      <c r="J130" s="7">
        <f>9.94</f>
        <v>9.94</v>
      </c>
      <c r="K130" s="5" t="s">
        <v>270</v>
      </c>
      <c r="L130" s="8">
        <f>1</f>
        <v>1</v>
      </c>
      <c r="M130" s="8">
        <f>596400</f>
        <v>596400</v>
      </c>
      <c r="N130" s="6" t="s">
        <v>906</v>
      </c>
      <c r="O130" s="5" t="s">
        <v>268</v>
      </c>
      <c r="P130" s="5" t="s">
        <v>909</v>
      </c>
      <c r="R130" s="8">
        <f>596399</f>
        <v>596399</v>
      </c>
      <c r="S130" s="5" t="s">
        <v>240</v>
      </c>
      <c r="T130" s="5" t="s">
        <v>237</v>
      </c>
      <c r="W130" s="5" t="s">
        <v>241</v>
      </c>
      <c r="X130" s="5" t="s">
        <v>750</v>
      </c>
      <c r="Y130" s="5" t="s">
        <v>238</v>
      </c>
      <c r="AB130" s="5" t="s">
        <v>238</v>
      </c>
      <c r="AC130" s="6" t="s">
        <v>238</v>
      </c>
      <c r="AD130" s="6" t="s">
        <v>238</v>
      </c>
      <c r="AF130" s="6" t="s">
        <v>238</v>
      </c>
      <c r="AG130" s="6" t="s">
        <v>246</v>
      </c>
      <c r="AH130" s="5" t="s">
        <v>247</v>
      </c>
      <c r="AI130" s="5" t="s">
        <v>248</v>
      </c>
      <c r="AT130" s="6" t="s">
        <v>238</v>
      </c>
      <c r="AW130" s="5" t="s">
        <v>304</v>
      </c>
      <c r="AX130" s="5" t="s">
        <v>304</v>
      </c>
      <c r="AY130" s="5" t="s">
        <v>250</v>
      </c>
      <c r="AZ130" s="5" t="s">
        <v>305</v>
      </c>
      <c r="BA130" s="5" t="s">
        <v>251</v>
      </c>
      <c r="BB130" s="5" t="s">
        <v>238</v>
      </c>
      <c r="BC130" s="5" t="s">
        <v>253</v>
      </c>
      <c r="BD130" s="5" t="s">
        <v>238</v>
      </c>
      <c r="BF130" s="5" t="s">
        <v>760</v>
      </c>
      <c r="BH130" s="5" t="s">
        <v>283</v>
      </c>
      <c r="BI130" s="6" t="s">
        <v>293</v>
      </c>
      <c r="BJ130" s="5" t="s">
        <v>255</v>
      </c>
      <c r="BK130" s="5" t="s">
        <v>256</v>
      </c>
      <c r="BL130" s="5" t="s">
        <v>238</v>
      </c>
      <c r="BM130" s="7">
        <f>0</f>
        <v>0</v>
      </c>
      <c r="BN130" s="8">
        <f>0</f>
        <v>0</v>
      </c>
      <c r="BO130" s="5" t="s">
        <v>257</v>
      </c>
      <c r="BP130" s="5" t="s">
        <v>258</v>
      </c>
      <c r="BQ130" s="5" t="s">
        <v>238</v>
      </c>
      <c r="BR130" s="5" t="s">
        <v>238</v>
      </c>
      <c r="BS130" s="5" t="s">
        <v>238</v>
      </c>
      <c r="BT130" s="5" t="s">
        <v>238</v>
      </c>
      <c r="CC130" s="5" t="s">
        <v>258</v>
      </c>
      <c r="CD130" s="5" t="s">
        <v>238</v>
      </c>
      <c r="CE130" s="5" t="s">
        <v>238</v>
      </c>
      <c r="CI130" s="5" t="s">
        <v>527</v>
      </c>
      <c r="CJ130" s="5" t="s">
        <v>260</v>
      </c>
      <c r="CK130" s="5" t="s">
        <v>238</v>
      </c>
      <c r="CM130" s="5" t="s">
        <v>908</v>
      </c>
      <c r="CN130" s="6" t="s">
        <v>262</v>
      </c>
      <c r="CO130" s="5" t="s">
        <v>263</v>
      </c>
      <c r="CP130" s="5" t="s">
        <v>264</v>
      </c>
      <c r="CQ130" s="5" t="s">
        <v>285</v>
      </c>
      <c r="CR130" s="5" t="s">
        <v>238</v>
      </c>
      <c r="CS130" s="5">
        <v>0</v>
      </c>
      <c r="CT130" s="5" t="s">
        <v>265</v>
      </c>
      <c r="CU130" s="5" t="s">
        <v>266</v>
      </c>
      <c r="CV130" s="5" t="s">
        <v>267</v>
      </c>
      <c r="CW130" s="7">
        <f>0</f>
        <v>0</v>
      </c>
      <c r="CX130" s="8">
        <f>596400</f>
        <v>596400</v>
      </c>
      <c r="CY130" s="8">
        <f>1</f>
        <v>1</v>
      </c>
      <c r="DA130" s="5" t="s">
        <v>238</v>
      </c>
      <c r="DB130" s="5" t="s">
        <v>238</v>
      </c>
      <c r="DD130" s="5" t="s">
        <v>238</v>
      </c>
      <c r="DE130" s="8">
        <f>0</f>
        <v>0</v>
      </c>
      <c r="DG130" s="5" t="s">
        <v>238</v>
      </c>
      <c r="DH130" s="5" t="s">
        <v>238</v>
      </c>
      <c r="DI130" s="5" t="s">
        <v>238</v>
      </c>
      <c r="DJ130" s="5" t="s">
        <v>238</v>
      </c>
      <c r="DK130" s="5" t="s">
        <v>271</v>
      </c>
      <c r="DL130" s="5" t="s">
        <v>272</v>
      </c>
      <c r="DM130" s="7">
        <f>9.94</f>
        <v>9.94</v>
      </c>
      <c r="DN130" s="5" t="s">
        <v>238</v>
      </c>
      <c r="DO130" s="5" t="s">
        <v>238</v>
      </c>
      <c r="DP130" s="5" t="s">
        <v>238</v>
      </c>
      <c r="DQ130" s="5" t="s">
        <v>238</v>
      </c>
      <c r="DT130" s="5" t="s">
        <v>4009</v>
      </c>
      <c r="DU130" s="5" t="s">
        <v>271</v>
      </c>
      <c r="HM130" s="5" t="s">
        <v>271</v>
      </c>
      <c r="HP130" s="5" t="s">
        <v>272</v>
      </c>
      <c r="HQ130" s="5" t="s">
        <v>272</v>
      </c>
      <c r="HR130" s="5" t="s">
        <v>238</v>
      </c>
      <c r="HS130" s="5" t="s">
        <v>238</v>
      </c>
      <c r="HT130" s="5" t="s">
        <v>238</v>
      </c>
      <c r="HU130" s="5" t="s">
        <v>238</v>
      </c>
      <c r="HV130" s="5" t="s">
        <v>238</v>
      </c>
      <c r="HW130" s="5" t="s">
        <v>238</v>
      </c>
      <c r="HX130" s="5" t="s">
        <v>238</v>
      </c>
      <c r="HY130" s="5" t="s">
        <v>238</v>
      </c>
      <c r="HZ130" s="5" t="s">
        <v>238</v>
      </c>
      <c r="IA130" s="5" t="s">
        <v>238</v>
      </c>
      <c r="IB130" s="5" t="s">
        <v>238</v>
      </c>
      <c r="IC130" s="5" t="s">
        <v>238</v>
      </c>
      <c r="ID130" s="5" t="s">
        <v>238</v>
      </c>
    </row>
    <row r="131" spans="1:238" x14ac:dyDescent="0.4">
      <c r="A131" s="5">
        <v>140</v>
      </c>
      <c r="B131" s="5">
        <v>1</v>
      </c>
      <c r="C131" s="5">
        <v>5</v>
      </c>
      <c r="D131" s="5" t="s">
        <v>3792</v>
      </c>
      <c r="E131" s="5" t="s">
        <v>751</v>
      </c>
      <c r="F131" s="5" t="s">
        <v>282</v>
      </c>
      <c r="G131" s="5" t="s">
        <v>752</v>
      </c>
      <c r="H131" s="6" t="s">
        <v>3793</v>
      </c>
      <c r="I131" s="5" t="s">
        <v>3791</v>
      </c>
      <c r="J131" s="7">
        <f>19.87</f>
        <v>19.87</v>
      </c>
      <c r="K131" s="5" t="s">
        <v>270</v>
      </c>
      <c r="L131" s="8">
        <f>1000440</f>
        <v>1000440</v>
      </c>
      <c r="M131" s="8">
        <f>2520000</f>
        <v>2520000</v>
      </c>
      <c r="N131" s="6" t="s">
        <v>3695</v>
      </c>
      <c r="O131" s="5" t="s">
        <v>268</v>
      </c>
      <c r="P131" s="5" t="s">
        <v>389</v>
      </c>
      <c r="Q131" s="8">
        <f>168840</f>
        <v>168840</v>
      </c>
      <c r="R131" s="8">
        <f>1519560</f>
        <v>1519560</v>
      </c>
      <c r="S131" s="5" t="s">
        <v>240</v>
      </c>
      <c r="T131" s="5" t="s">
        <v>237</v>
      </c>
      <c r="W131" s="5" t="s">
        <v>241</v>
      </c>
      <c r="X131" s="5" t="s">
        <v>750</v>
      </c>
      <c r="Y131" s="5" t="s">
        <v>238</v>
      </c>
      <c r="AB131" s="5" t="s">
        <v>238</v>
      </c>
      <c r="AC131" s="6" t="s">
        <v>238</v>
      </c>
      <c r="AD131" s="6" t="s">
        <v>238</v>
      </c>
      <c r="AF131" s="6" t="s">
        <v>238</v>
      </c>
      <c r="AG131" s="6" t="s">
        <v>246</v>
      </c>
      <c r="AH131" s="5" t="s">
        <v>247</v>
      </c>
      <c r="AI131" s="5" t="s">
        <v>248</v>
      </c>
      <c r="AO131" s="5" t="s">
        <v>238</v>
      </c>
      <c r="AP131" s="5" t="s">
        <v>238</v>
      </c>
      <c r="AQ131" s="5" t="s">
        <v>238</v>
      </c>
      <c r="AR131" s="6" t="s">
        <v>238</v>
      </c>
      <c r="AS131" s="6" t="s">
        <v>238</v>
      </c>
      <c r="AT131" s="6" t="s">
        <v>238</v>
      </c>
      <c r="AW131" s="5" t="s">
        <v>304</v>
      </c>
      <c r="AX131" s="5" t="s">
        <v>304</v>
      </c>
      <c r="AY131" s="5" t="s">
        <v>250</v>
      </c>
      <c r="AZ131" s="5" t="s">
        <v>305</v>
      </c>
      <c r="BA131" s="5" t="s">
        <v>251</v>
      </c>
      <c r="BB131" s="5" t="s">
        <v>238</v>
      </c>
      <c r="BC131" s="5" t="s">
        <v>253</v>
      </c>
      <c r="BD131" s="5" t="s">
        <v>238</v>
      </c>
      <c r="BF131" s="5" t="s">
        <v>760</v>
      </c>
      <c r="BH131" s="5" t="s">
        <v>283</v>
      </c>
      <c r="BI131" s="6" t="s">
        <v>293</v>
      </c>
      <c r="BJ131" s="5" t="s">
        <v>294</v>
      </c>
      <c r="BK131" s="5" t="s">
        <v>294</v>
      </c>
      <c r="BL131" s="5" t="s">
        <v>238</v>
      </c>
      <c r="BM131" s="7">
        <f>0</f>
        <v>0</v>
      </c>
      <c r="BN131" s="8">
        <f>-168840</f>
        <v>-168840</v>
      </c>
      <c r="BO131" s="5" t="s">
        <v>257</v>
      </c>
      <c r="BP131" s="5" t="s">
        <v>258</v>
      </c>
      <c r="BQ131" s="5" t="s">
        <v>238</v>
      </c>
      <c r="BR131" s="5" t="s">
        <v>238</v>
      </c>
      <c r="BS131" s="5" t="s">
        <v>238</v>
      </c>
      <c r="BT131" s="5" t="s">
        <v>238</v>
      </c>
      <c r="CC131" s="5" t="s">
        <v>258</v>
      </c>
      <c r="CD131" s="5" t="s">
        <v>238</v>
      </c>
      <c r="CE131" s="5" t="s">
        <v>238</v>
      </c>
      <c r="CI131" s="5" t="s">
        <v>259</v>
      </c>
      <c r="CJ131" s="5" t="s">
        <v>260</v>
      </c>
      <c r="CK131" s="5" t="s">
        <v>238</v>
      </c>
      <c r="CM131" s="5" t="s">
        <v>1649</v>
      </c>
      <c r="CN131" s="6" t="s">
        <v>262</v>
      </c>
      <c r="CO131" s="5" t="s">
        <v>263</v>
      </c>
      <c r="CP131" s="5" t="s">
        <v>264</v>
      </c>
      <c r="CQ131" s="5" t="s">
        <v>285</v>
      </c>
      <c r="CR131" s="5" t="s">
        <v>238</v>
      </c>
      <c r="CS131" s="5">
        <v>6.7000000000000004E-2</v>
      </c>
      <c r="CT131" s="5" t="s">
        <v>265</v>
      </c>
      <c r="CU131" s="5" t="s">
        <v>266</v>
      </c>
      <c r="CV131" s="5" t="s">
        <v>267</v>
      </c>
      <c r="CW131" s="7">
        <f>0</f>
        <v>0</v>
      </c>
      <c r="CX131" s="8">
        <f>2520000</f>
        <v>2520000</v>
      </c>
      <c r="CY131" s="8">
        <f>1000440</f>
        <v>1000440</v>
      </c>
      <c r="DA131" s="5" t="s">
        <v>238</v>
      </c>
      <c r="DB131" s="5" t="s">
        <v>238</v>
      </c>
      <c r="DD131" s="5" t="s">
        <v>238</v>
      </c>
      <c r="DE131" s="8">
        <f>0</f>
        <v>0</v>
      </c>
      <c r="DG131" s="5" t="s">
        <v>238</v>
      </c>
      <c r="DH131" s="5" t="s">
        <v>238</v>
      </c>
      <c r="DI131" s="5" t="s">
        <v>238</v>
      </c>
      <c r="DJ131" s="5" t="s">
        <v>238</v>
      </c>
      <c r="DK131" s="5" t="s">
        <v>271</v>
      </c>
      <c r="DL131" s="5" t="s">
        <v>272</v>
      </c>
      <c r="DM131" s="7">
        <f>19.87</f>
        <v>19.87</v>
      </c>
      <c r="DN131" s="5" t="s">
        <v>238</v>
      </c>
      <c r="DO131" s="5" t="s">
        <v>238</v>
      </c>
      <c r="DP131" s="5" t="s">
        <v>238</v>
      </c>
      <c r="DQ131" s="5" t="s">
        <v>238</v>
      </c>
      <c r="DT131" s="5" t="s">
        <v>3794</v>
      </c>
      <c r="DU131" s="5" t="s">
        <v>271</v>
      </c>
      <c r="GL131" s="5" t="s">
        <v>3795</v>
      </c>
      <c r="HM131" s="5" t="s">
        <v>313</v>
      </c>
      <c r="HP131" s="5" t="s">
        <v>272</v>
      </c>
      <c r="HQ131" s="5" t="s">
        <v>272</v>
      </c>
      <c r="HR131" s="5" t="s">
        <v>238</v>
      </c>
      <c r="HS131" s="5" t="s">
        <v>238</v>
      </c>
      <c r="HT131" s="5" t="s">
        <v>238</v>
      </c>
      <c r="HU131" s="5" t="s">
        <v>238</v>
      </c>
      <c r="HV131" s="5" t="s">
        <v>238</v>
      </c>
      <c r="HW131" s="5" t="s">
        <v>238</v>
      </c>
      <c r="HX131" s="5" t="s">
        <v>238</v>
      </c>
      <c r="HY131" s="5" t="s">
        <v>238</v>
      </c>
      <c r="HZ131" s="5" t="s">
        <v>238</v>
      </c>
      <c r="IA131" s="5" t="s">
        <v>238</v>
      </c>
      <c r="IB131" s="5" t="s">
        <v>238</v>
      </c>
      <c r="IC131" s="5" t="s">
        <v>238</v>
      </c>
      <c r="ID131" s="5" t="s">
        <v>238</v>
      </c>
    </row>
    <row r="132" spans="1:238" x14ac:dyDescent="0.4">
      <c r="A132" s="5">
        <v>141</v>
      </c>
      <c r="B132" s="5">
        <v>1</v>
      </c>
      <c r="C132" s="5">
        <v>2</v>
      </c>
      <c r="D132" s="5" t="s">
        <v>4003</v>
      </c>
      <c r="E132" s="5" t="s">
        <v>751</v>
      </c>
      <c r="F132" s="5" t="s">
        <v>282</v>
      </c>
      <c r="G132" s="5" t="s">
        <v>752</v>
      </c>
      <c r="H132" s="6" t="s">
        <v>4004</v>
      </c>
      <c r="I132" s="5" t="s">
        <v>4002</v>
      </c>
      <c r="J132" s="7">
        <f>44.72</f>
        <v>44.72</v>
      </c>
      <c r="K132" s="5" t="s">
        <v>270</v>
      </c>
      <c r="L132" s="8">
        <f>1</f>
        <v>1</v>
      </c>
      <c r="M132" s="8">
        <f>2683200</f>
        <v>2683200</v>
      </c>
      <c r="N132" s="6" t="s">
        <v>906</v>
      </c>
      <c r="O132" s="5" t="s">
        <v>268</v>
      </c>
      <c r="P132" s="5" t="s">
        <v>909</v>
      </c>
      <c r="R132" s="8">
        <f>2683199</f>
        <v>2683199</v>
      </c>
      <c r="S132" s="5" t="s">
        <v>240</v>
      </c>
      <c r="T132" s="5" t="s">
        <v>237</v>
      </c>
      <c r="W132" s="5" t="s">
        <v>241</v>
      </c>
      <c r="X132" s="5" t="s">
        <v>750</v>
      </c>
      <c r="Y132" s="5" t="s">
        <v>238</v>
      </c>
      <c r="AB132" s="5" t="s">
        <v>238</v>
      </c>
      <c r="AC132" s="6" t="s">
        <v>238</v>
      </c>
      <c r="AD132" s="6" t="s">
        <v>238</v>
      </c>
      <c r="AF132" s="6" t="s">
        <v>238</v>
      </c>
      <c r="AG132" s="6" t="s">
        <v>246</v>
      </c>
      <c r="AH132" s="5" t="s">
        <v>247</v>
      </c>
      <c r="AI132" s="5" t="s">
        <v>248</v>
      </c>
      <c r="AT132" s="6" t="s">
        <v>238</v>
      </c>
      <c r="AW132" s="5" t="s">
        <v>304</v>
      </c>
      <c r="AX132" s="5" t="s">
        <v>304</v>
      </c>
      <c r="AY132" s="5" t="s">
        <v>250</v>
      </c>
      <c r="AZ132" s="5" t="s">
        <v>305</v>
      </c>
      <c r="BA132" s="5" t="s">
        <v>251</v>
      </c>
      <c r="BB132" s="5" t="s">
        <v>238</v>
      </c>
      <c r="BC132" s="5" t="s">
        <v>253</v>
      </c>
      <c r="BD132" s="5" t="s">
        <v>238</v>
      </c>
      <c r="BF132" s="5" t="s">
        <v>760</v>
      </c>
      <c r="BH132" s="5" t="s">
        <v>283</v>
      </c>
      <c r="BI132" s="6" t="s">
        <v>293</v>
      </c>
      <c r="BJ132" s="5" t="s">
        <v>255</v>
      </c>
      <c r="BK132" s="5" t="s">
        <v>256</v>
      </c>
      <c r="BL132" s="5" t="s">
        <v>238</v>
      </c>
      <c r="BM132" s="7">
        <f>0</f>
        <v>0</v>
      </c>
      <c r="BN132" s="8">
        <f>0</f>
        <v>0</v>
      </c>
      <c r="BO132" s="5" t="s">
        <v>257</v>
      </c>
      <c r="BP132" s="5" t="s">
        <v>258</v>
      </c>
      <c r="BQ132" s="5" t="s">
        <v>238</v>
      </c>
      <c r="BR132" s="5" t="s">
        <v>238</v>
      </c>
      <c r="BS132" s="5" t="s">
        <v>238</v>
      </c>
      <c r="BT132" s="5" t="s">
        <v>238</v>
      </c>
      <c r="CC132" s="5" t="s">
        <v>258</v>
      </c>
      <c r="CD132" s="5" t="s">
        <v>238</v>
      </c>
      <c r="CE132" s="5" t="s">
        <v>238</v>
      </c>
      <c r="CI132" s="5" t="s">
        <v>527</v>
      </c>
      <c r="CJ132" s="5" t="s">
        <v>260</v>
      </c>
      <c r="CK132" s="5" t="s">
        <v>238</v>
      </c>
      <c r="CM132" s="5" t="s">
        <v>908</v>
      </c>
      <c r="CN132" s="6" t="s">
        <v>262</v>
      </c>
      <c r="CO132" s="5" t="s">
        <v>263</v>
      </c>
      <c r="CP132" s="5" t="s">
        <v>264</v>
      </c>
      <c r="CQ132" s="5" t="s">
        <v>285</v>
      </c>
      <c r="CR132" s="5" t="s">
        <v>238</v>
      </c>
      <c r="CS132" s="5">
        <v>0</v>
      </c>
      <c r="CT132" s="5" t="s">
        <v>265</v>
      </c>
      <c r="CU132" s="5" t="s">
        <v>266</v>
      </c>
      <c r="CV132" s="5" t="s">
        <v>267</v>
      </c>
      <c r="CW132" s="7">
        <f>0</f>
        <v>0</v>
      </c>
      <c r="CX132" s="8">
        <f>2683200</f>
        <v>2683200</v>
      </c>
      <c r="CY132" s="8">
        <f>1</f>
        <v>1</v>
      </c>
      <c r="DA132" s="5" t="s">
        <v>238</v>
      </c>
      <c r="DB132" s="5" t="s">
        <v>238</v>
      </c>
      <c r="DD132" s="5" t="s">
        <v>238</v>
      </c>
      <c r="DE132" s="8">
        <f>0</f>
        <v>0</v>
      </c>
      <c r="DG132" s="5" t="s">
        <v>238</v>
      </c>
      <c r="DH132" s="5" t="s">
        <v>238</v>
      </c>
      <c r="DI132" s="5" t="s">
        <v>238</v>
      </c>
      <c r="DJ132" s="5" t="s">
        <v>238</v>
      </c>
      <c r="DK132" s="5" t="s">
        <v>271</v>
      </c>
      <c r="DL132" s="5" t="s">
        <v>272</v>
      </c>
      <c r="DM132" s="7">
        <f>44.72</f>
        <v>44.72</v>
      </c>
      <c r="DN132" s="5" t="s">
        <v>238</v>
      </c>
      <c r="DO132" s="5" t="s">
        <v>238</v>
      </c>
      <c r="DP132" s="5" t="s">
        <v>238</v>
      </c>
      <c r="DQ132" s="5" t="s">
        <v>238</v>
      </c>
      <c r="DT132" s="5" t="s">
        <v>4005</v>
      </c>
      <c r="DU132" s="5" t="s">
        <v>271</v>
      </c>
      <c r="HM132" s="5" t="s">
        <v>271</v>
      </c>
      <c r="HP132" s="5" t="s">
        <v>272</v>
      </c>
      <c r="HQ132" s="5" t="s">
        <v>272</v>
      </c>
      <c r="HR132" s="5" t="s">
        <v>238</v>
      </c>
      <c r="HS132" s="5" t="s">
        <v>238</v>
      </c>
      <c r="HT132" s="5" t="s">
        <v>238</v>
      </c>
      <c r="HU132" s="5" t="s">
        <v>238</v>
      </c>
      <c r="HV132" s="5" t="s">
        <v>238</v>
      </c>
      <c r="HW132" s="5" t="s">
        <v>238</v>
      </c>
      <c r="HX132" s="5" t="s">
        <v>238</v>
      </c>
      <c r="HY132" s="5" t="s">
        <v>238</v>
      </c>
      <c r="HZ132" s="5" t="s">
        <v>238</v>
      </c>
      <c r="IA132" s="5" t="s">
        <v>238</v>
      </c>
      <c r="IB132" s="5" t="s">
        <v>238</v>
      </c>
      <c r="IC132" s="5" t="s">
        <v>238</v>
      </c>
      <c r="ID132" s="5" t="s">
        <v>238</v>
      </c>
    </row>
    <row r="133" spans="1:238" x14ac:dyDescent="0.4">
      <c r="A133" s="5">
        <v>143</v>
      </c>
      <c r="B133" s="5">
        <v>1</v>
      </c>
      <c r="C133" s="5">
        <v>5</v>
      </c>
      <c r="D133" s="5" t="s">
        <v>3787</v>
      </c>
      <c r="E133" s="5" t="s">
        <v>751</v>
      </c>
      <c r="F133" s="5" t="s">
        <v>282</v>
      </c>
      <c r="G133" s="5" t="s">
        <v>752</v>
      </c>
      <c r="H133" s="6" t="s">
        <v>3788</v>
      </c>
      <c r="I133" s="5" t="s">
        <v>3786</v>
      </c>
      <c r="J133" s="7">
        <f>33.12</f>
        <v>33.119999999999997</v>
      </c>
      <c r="K133" s="5" t="s">
        <v>270</v>
      </c>
      <c r="L133" s="8">
        <f>6622273</f>
        <v>6622273</v>
      </c>
      <c r="M133" s="8">
        <f>8288200</f>
        <v>8288200</v>
      </c>
      <c r="N133" s="6" t="s">
        <v>2238</v>
      </c>
      <c r="O133" s="5" t="s">
        <v>268</v>
      </c>
      <c r="P133" s="5" t="s">
        <v>271</v>
      </c>
      <c r="Q133" s="8">
        <f>555309</f>
        <v>555309</v>
      </c>
      <c r="R133" s="8">
        <f>1665927</f>
        <v>1665927</v>
      </c>
      <c r="S133" s="5" t="s">
        <v>240</v>
      </c>
      <c r="T133" s="5" t="s">
        <v>237</v>
      </c>
      <c r="W133" s="5" t="s">
        <v>241</v>
      </c>
      <c r="X133" s="5" t="s">
        <v>750</v>
      </c>
      <c r="Y133" s="5" t="s">
        <v>238</v>
      </c>
      <c r="AB133" s="5" t="s">
        <v>238</v>
      </c>
      <c r="AC133" s="6" t="s">
        <v>238</v>
      </c>
      <c r="AD133" s="6" t="s">
        <v>238</v>
      </c>
      <c r="AF133" s="6" t="s">
        <v>238</v>
      </c>
      <c r="AG133" s="6" t="s">
        <v>246</v>
      </c>
      <c r="AH133" s="5" t="s">
        <v>247</v>
      </c>
      <c r="AI133" s="5" t="s">
        <v>248</v>
      </c>
      <c r="AO133" s="5" t="s">
        <v>238</v>
      </c>
      <c r="AP133" s="5" t="s">
        <v>238</v>
      </c>
      <c r="AQ133" s="5" t="s">
        <v>238</v>
      </c>
      <c r="AR133" s="6" t="s">
        <v>238</v>
      </c>
      <c r="AS133" s="6" t="s">
        <v>238</v>
      </c>
      <c r="AT133" s="6" t="s">
        <v>238</v>
      </c>
      <c r="AW133" s="5" t="s">
        <v>304</v>
      </c>
      <c r="AX133" s="5" t="s">
        <v>304</v>
      </c>
      <c r="AY133" s="5" t="s">
        <v>250</v>
      </c>
      <c r="AZ133" s="5" t="s">
        <v>305</v>
      </c>
      <c r="BA133" s="5" t="s">
        <v>251</v>
      </c>
      <c r="BB133" s="5" t="s">
        <v>238</v>
      </c>
      <c r="BC133" s="5" t="s">
        <v>253</v>
      </c>
      <c r="BD133" s="5" t="s">
        <v>238</v>
      </c>
      <c r="BF133" s="5" t="s">
        <v>238</v>
      </c>
      <c r="BH133" s="5" t="s">
        <v>283</v>
      </c>
      <c r="BI133" s="6" t="s">
        <v>293</v>
      </c>
      <c r="BJ133" s="5" t="s">
        <v>294</v>
      </c>
      <c r="BK133" s="5" t="s">
        <v>294</v>
      </c>
      <c r="BL133" s="5" t="s">
        <v>238</v>
      </c>
      <c r="BM133" s="7">
        <f>0</f>
        <v>0</v>
      </c>
      <c r="BN133" s="8">
        <f>-555309</f>
        <v>-555309</v>
      </c>
      <c r="BO133" s="5" t="s">
        <v>257</v>
      </c>
      <c r="BP133" s="5" t="s">
        <v>258</v>
      </c>
      <c r="BQ133" s="5" t="s">
        <v>238</v>
      </c>
      <c r="BR133" s="5" t="s">
        <v>238</v>
      </c>
      <c r="BS133" s="5" t="s">
        <v>238</v>
      </c>
      <c r="BT133" s="5" t="s">
        <v>238</v>
      </c>
      <c r="CC133" s="5" t="s">
        <v>258</v>
      </c>
      <c r="CD133" s="5" t="s">
        <v>238</v>
      </c>
      <c r="CE133" s="5" t="s">
        <v>238</v>
      </c>
      <c r="CI133" s="5" t="s">
        <v>259</v>
      </c>
      <c r="CJ133" s="5" t="s">
        <v>260</v>
      </c>
      <c r="CK133" s="5" t="s">
        <v>238</v>
      </c>
      <c r="CM133" s="5" t="s">
        <v>291</v>
      </c>
      <c r="CN133" s="6" t="s">
        <v>262</v>
      </c>
      <c r="CO133" s="5" t="s">
        <v>263</v>
      </c>
      <c r="CP133" s="5" t="s">
        <v>264</v>
      </c>
      <c r="CQ133" s="5" t="s">
        <v>285</v>
      </c>
      <c r="CR133" s="5" t="s">
        <v>238</v>
      </c>
      <c r="CS133" s="5">
        <v>6.7000000000000004E-2</v>
      </c>
      <c r="CT133" s="5" t="s">
        <v>265</v>
      </c>
      <c r="CU133" s="5" t="s">
        <v>266</v>
      </c>
      <c r="CV133" s="5" t="s">
        <v>267</v>
      </c>
      <c r="CW133" s="7">
        <f>0</f>
        <v>0</v>
      </c>
      <c r="CX133" s="8">
        <f>8288200</f>
        <v>8288200</v>
      </c>
      <c r="CY133" s="8">
        <f>6622273</f>
        <v>6622273</v>
      </c>
      <c r="DA133" s="5" t="s">
        <v>238</v>
      </c>
      <c r="DB133" s="5" t="s">
        <v>238</v>
      </c>
      <c r="DD133" s="5" t="s">
        <v>238</v>
      </c>
      <c r="DE133" s="8">
        <f>0</f>
        <v>0</v>
      </c>
      <c r="DG133" s="5" t="s">
        <v>238</v>
      </c>
      <c r="DH133" s="5" t="s">
        <v>238</v>
      </c>
      <c r="DI133" s="5" t="s">
        <v>238</v>
      </c>
      <c r="DJ133" s="5" t="s">
        <v>238</v>
      </c>
      <c r="DK133" s="5" t="s">
        <v>272</v>
      </c>
      <c r="DL133" s="5" t="s">
        <v>272</v>
      </c>
      <c r="DM133" s="7">
        <f>33.12</f>
        <v>33.119999999999997</v>
      </c>
      <c r="DN133" s="5" t="s">
        <v>238</v>
      </c>
      <c r="DO133" s="5" t="s">
        <v>238</v>
      </c>
      <c r="DP133" s="5" t="s">
        <v>238</v>
      </c>
      <c r="DQ133" s="5" t="s">
        <v>238</v>
      </c>
      <c r="DT133" s="5" t="s">
        <v>3789</v>
      </c>
      <c r="DU133" s="5" t="s">
        <v>274</v>
      </c>
      <c r="GL133" s="5" t="s">
        <v>3790</v>
      </c>
      <c r="HM133" s="5" t="s">
        <v>356</v>
      </c>
      <c r="HP133" s="5" t="s">
        <v>272</v>
      </c>
      <c r="HQ133" s="5" t="s">
        <v>272</v>
      </c>
      <c r="HR133" s="5" t="s">
        <v>238</v>
      </c>
      <c r="HS133" s="5" t="s">
        <v>238</v>
      </c>
      <c r="HT133" s="5" t="s">
        <v>238</v>
      </c>
      <c r="HU133" s="5" t="s">
        <v>238</v>
      </c>
      <c r="HV133" s="5" t="s">
        <v>238</v>
      </c>
      <c r="HW133" s="5" t="s">
        <v>238</v>
      </c>
      <c r="HX133" s="5" t="s">
        <v>238</v>
      </c>
      <c r="HY133" s="5" t="s">
        <v>238</v>
      </c>
      <c r="HZ133" s="5" t="s">
        <v>238</v>
      </c>
      <c r="IA133" s="5" t="s">
        <v>238</v>
      </c>
      <c r="IB133" s="5" t="s">
        <v>238</v>
      </c>
      <c r="IC133" s="5" t="s">
        <v>238</v>
      </c>
      <c r="ID133" s="5" t="s">
        <v>238</v>
      </c>
    </row>
    <row r="134" spans="1:238" x14ac:dyDescent="0.4">
      <c r="A134" s="5">
        <v>144</v>
      </c>
      <c r="B134" s="5">
        <v>1</v>
      </c>
      <c r="C134" s="5">
        <v>2</v>
      </c>
      <c r="D134" s="5" t="s">
        <v>3782</v>
      </c>
      <c r="E134" s="5" t="s">
        <v>751</v>
      </c>
      <c r="F134" s="5" t="s">
        <v>282</v>
      </c>
      <c r="G134" s="5" t="s">
        <v>752</v>
      </c>
      <c r="H134" s="6" t="s">
        <v>3783</v>
      </c>
      <c r="I134" s="5" t="s">
        <v>3972</v>
      </c>
      <c r="J134" s="7">
        <f>27.38</f>
        <v>27.38</v>
      </c>
      <c r="K134" s="5" t="s">
        <v>270</v>
      </c>
      <c r="L134" s="8">
        <f>1</f>
        <v>1</v>
      </c>
      <c r="M134" s="8">
        <f>1642800</f>
        <v>1642800</v>
      </c>
      <c r="N134" s="6" t="s">
        <v>906</v>
      </c>
      <c r="O134" s="5" t="s">
        <v>268</v>
      </c>
      <c r="P134" s="5" t="s">
        <v>909</v>
      </c>
      <c r="R134" s="8">
        <f>1642799</f>
        <v>1642799</v>
      </c>
      <c r="S134" s="5" t="s">
        <v>240</v>
      </c>
      <c r="T134" s="5" t="s">
        <v>237</v>
      </c>
      <c r="W134" s="5" t="s">
        <v>241</v>
      </c>
      <c r="X134" s="5" t="s">
        <v>750</v>
      </c>
      <c r="Y134" s="5" t="s">
        <v>238</v>
      </c>
      <c r="AB134" s="5" t="s">
        <v>238</v>
      </c>
      <c r="AC134" s="6" t="s">
        <v>238</v>
      </c>
      <c r="AD134" s="6" t="s">
        <v>238</v>
      </c>
      <c r="AF134" s="6" t="s">
        <v>238</v>
      </c>
      <c r="AG134" s="6" t="s">
        <v>246</v>
      </c>
      <c r="AH134" s="5" t="s">
        <v>247</v>
      </c>
      <c r="AI134" s="5" t="s">
        <v>248</v>
      </c>
      <c r="AT134" s="6" t="s">
        <v>238</v>
      </c>
      <c r="AW134" s="5" t="s">
        <v>304</v>
      </c>
      <c r="AX134" s="5" t="s">
        <v>304</v>
      </c>
      <c r="AY134" s="5" t="s">
        <v>250</v>
      </c>
      <c r="AZ134" s="5" t="s">
        <v>305</v>
      </c>
      <c r="BA134" s="5" t="s">
        <v>251</v>
      </c>
      <c r="BB134" s="5" t="s">
        <v>238</v>
      </c>
      <c r="BC134" s="5" t="s">
        <v>253</v>
      </c>
      <c r="BD134" s="5" t="s">
        <v>238</v>
      </c>
      <c r="BF134" s="5" t="s">
        <v>760</v>
      </c>
      <c r="BH134" s="5" t="s">
        <v>283</v>
      </c>
      <c r="BI134" s="6" t="s">
        <v>293</v>
      </c>
      <c r="BJ134" s="5" t="s">
        <v>255</v>
      </c>
      <c r="BK134" s="5" t="s">
        <v>256</v>
      </c>
      <c r="BL134" s="5" t="s">
        <v>238</v>
      </c>
      <c r="BM134" s="7">
        <f>0</f>
        <v>0</v>
      </c>
      <c r="BN134" s="8">
        <f>0</f>
        <v>0</v>
      </c>
      <c r="BO134" s="5" t="s">
        <v>257</v>
      </c>
      <c r="BP134" s="5" t="s">
        <v>258</v>
      </c>
      <c r="BQ134" s="5" t="s">
        <v>238</v>
      </c>
      <c r="BR134" s="5" t="s">
        <v>238</v>
      </c>
      <c r="BS134" s="5" t="s">
        <v>238</v>
      </c>
      <c r="BT134" s="5" t="s">
        <v>238</v>
      </c>
      <c r="CC134" s="5" t="s">
        <v>258</v>
      </c>
      <c r="CD134" s="5" t="s">
        <v>238</v>
      </c>
      <c r="CE134" s="5" t="s">
        <v>238</v>
      </c>
      <c r="CI134" s="5" t="s">
        <v>527</v>
      </c>
      <c r="CJ134" s="5" t="s">
        <v>260</v>
      </c>
      <c r="CK134" s="5" t="s">
        <v>238</v>
      </c>
      <c r="CM134" s="5" t="s">
        <v>908</v>
      </c>
      <c r="CN134" s="6" t="s">
        <v>262</v>
      </c>
      <c r="CO134" s="5" t="s">
        <v>263</v>
      </c>
      <c r="CP134" s="5" t="s">
        <v>264</v>
      </c>
      <c r="CQ134" s="5" t="s">
        <v>285</v>
      </c>
      <c r="CR134" s="5" t="s">
        <v>238</v>
      </c>
      <c r="CS134" s="5">
        <v>0</v>
      </c>
      <c r="CT134" s="5" t="s">
        <v>265</v>
      </c>
      <c r="CU134" s="5" t="s">
        <v>266</v>
      </c>
      <c r="CV134" s="5" t="s">
        <v>267</v>
      </c>
      <c r="CW134" s="7">
        <f>0</f>
        <v>0</v>
      </c>
      <c r="CX134" s="8">
        <f>1642800</f>
        <v>1642800</v>
      </c>
      <c r="CY134" s="8">
        <f>1</f>
        <v>1</v>
      </c>
      <c r="DA134" s="5" t="s">
        <v>238</v>
      </c>
      <c r="DB134" s="5" t="s">
        <v>238</v>
      </c>
      <c r="DD134" s="5" t="s">
        <v>238</v>
      </c>
      <c r="DE134" s="8">
        <f>0</f>
        <v>0</v>
      </c>
      <c r="DG134" s="5" t="s">
        <v>238</v>
      </c>
      <c r="DH134" s="5" t="s">
        <v>238</v>
      </c>
      <c r="DI134" s="5" t="s">
        <v>238</v>
      </c>
      <c r="DJ134" s="5" t="s">
        <v>238</v>
      </c>
      <c r="DK134" s="5" t="s">
        <v>271</v>
      </c>
      <c r="DL134" s="5" t="s">
        <v>272</v>
      </c>
      <c r="DM134" s="7">
        <f>27.38</f>
        <v>27.38</v>
      </c>
      <c r="DN134" s="5" t="s">
        <v>238</v>
      </c>
      <c r="DO134" s="5" t="s">
        <v>238</v>
      </c>
      <c r="DP134" s="5" t="s">
        <v>238</v>
      </c>
      <c r="DQ134" s="5" t="s">
        <v>238</v>
      </c>
      <c r="DT134" s="5" t="s">
        <v>3784</v>
      </c>
      <c r="DU134" s="5" t="s">
        <v>271</v>
      </c>
      <c r="HM134" s="5" t="s">
        <v>271</v>
      </c>
      <c r="HP134" s="5" t="s">
        <v>272</v>
      </c>
      <c r="HQ134" s="5" t="s">
        <v>272</v>
      </c>
      <c r="HR134" s="5" t="s">
        <v>238</v>
      </c>
      <c r="HS134" s="5" t="s">
        <v>238</v>
      </c>
      <c r="HT134" s="5" t="s">
        <v>238</v>
      </c>
      <c r="HU134" s="5" t="s">
        <v>238</v>
      </c>
      <c r="HV134" s="5" t="s">
        <v>238</v>
      </c>
      <c r="HW134" s="5" t="s">
        <v>238</v>
      </c>
      <c r="HX134" s="5" t="s">
        <v>238</v>
      </c>
      <c r="HY134" s="5" t="s">
        <v>238</v>
      </c>
      <c r="HZ134" s="5" t="s">
        <v>238</v>
      </c>
      <c r="IA134" s="5" t="s">
        <v>238</v>
      </c>
      <c r="IB134" s="5" t="s">
        <v>238</v>
      </c>
      <c r="IC134" s="5" t="s">
        <v>238</v>
      </c>
      <c r="ID134" s="5" t="s">
        <v>238</v>
      </c>
    </row>
    <row r="135" spans="1:238" x14ac:dyDescent="0.4">
      <c r="A135" s="5">
        <v>145</v>
      </c>
      <c r="B135" s="5">
        <v>1</v>
      </c>
      <c r="C135" s="5">
        <v>5</v>
      </c>
      <c r="D135" s="5" t="s">
        <v>3782</v>
      </c>
      <c r="E135" s="5" t="s">
        <v>751</v>
      </c>
      <c r="F135" s="5" t="s">
        <v>282</v>
      </c>
      <c r="G135" s="5" t="s">
        <v>752</v>
      </c>
      <c r="H135" s="6" t="s">
        <v>3783</v>
      </c>
      <c r="I135" s="5" t="s">
        <v>3781</v>
      </c>
      <c r="J135" s="8">
        <f>0</f>
        <v>0</v>
      </c>
      <c r="K135" s="5" t="s">
        <v>287</v>
      </c>
      <c r="L135" s="8">
        <f>859544</f>
        <v>859544</v>
      </c>
      <c r="M135" s="8">
        <f>1292544</f>
        <v>1292544</v>
      </c>
      <c r="N135" s="6" t="s">
        <v>326</v>
      </c>
      <c r="O135" s="5" t="s">
        <v>268</v>
      </c>
      <c r="P135" s="5" t="s">
        <v>356</v>
      </c>
      <c r="Q135" s="8">
        <f>86600</f>
        <v>86600</v>
      </c>
      <c r="R135" s="8">
        <f>433000</f>
        <v>433000</v>
      </c>
      <c r="S135" s="5" t="s">
        <v>240</v>
      </c>
      <c r="T135" s="5" t="s">
        <v>287</v>
      </c>
      <c r="W135" s="5" t="s">
        <v>241</v>
      </c>
      <c r="X135" s="5" t="s">
        <v>750</v>
      </c>
      <c r="Y135" s="5" t="s">
        <v>238</v>
      </c>
      <c r="AB135" s="5" t="s">
        <v>238</v>
      </c>
      <c r="AC135" s="6" t="s">
        <v>238</v>
      </c>
      <c r="AD135" s="6" t="s">
        <v>238</v>
      </c>
      <c r="AF135" s="6" t="s">
        <v>238</v>
      </c>
      <c r="AG135" s="6" t="s">
        <v>246</v>
      </c>
      <c r="AH135" s="5" t="s">
        <v>247</v>
      </c>
      <c r="AI135" s="5" t="s">
        <v>248</v>
      </c>
      <c r="AO135" s="5" t="s">
        <v>238</v>
      </c>
      <c r="AP135" s="5" t="s">
        <v>238</v>
      </c>
      <c r="AQ135" s="5" t="s">
        <v>238</v>
      </c>
      <c r="AR135" s="6" t="s">
        <v>238</v>
      </c>
      <c r="AS135" s="6" t="s">
        <v>238</v>
      </c>
      <c r="AT135" s="6" t="s">
        <v>238</v>
      </c>
      <c r="AW135" s="5" t="s">
        <v>304</v>
      </c>
      <c r="AX135" s="5" t="s">
        <v>304</v>
      </c>
      <c r="AY135" s="5" t="s">
        <v>250</v>
      </c>
      <c r="AZ135" s="5" t="s">
        <v>305</v>
      </c>
      <c r="BA135" s="5" t="s">
        <v>251</v>
      </c>
      <c r="BB135" s="5" t="s">
        <v>238</v>
      </c>
      <c r="BC135" s="5" t="s">
        <v>253</v>
      </c>
      <c r="BD135" s="5" t="s">
        <v>238</v>
      </c>
      <c r="BF135" s="5" t="s">
        <v>238</v>
      </c>
      <c r="BH135" s="5" t="s">
        <v>283</v>
      </c>
      <c r="BI135" s="6" t="s">
        <v>293</v>
      </c>
      <c r="BJ135" s="5" t="s">
        <v>294</v>
      </c>
      <c r="BK135" s="5" t="s">
        <v>294</v>
      </c>
      <c r="BL135" s="5" t="s">
        <v>238</v>
      </c>
      <c r="BM135" s="8">
        <f>0</f>
        <v>0</v>
      </c>
      <c r="BN135" s="8">
        <f>-86600</f>
        <v>-86600</v>
      </c>
      <c r="BO135" s="5" t="s">
        <v>257</v>
      </c>
      <c r="BP135" s="5" t="s">
        <v>258</v>
      </c>
      <c r="BQ135" s="5" t="s">
        <v>238</v>
      </c>
      <c r="BR135" s="5" t="s">
        <v>238</v>
      </c>
      <c r="BS135" s="5" t="s">
        <v>238</v>
      </c>
      <c r="BT135" s="5" t="s">
        <v>238</v>
      </c>
      <c r="CC135" s="5" t="s">
        <v>258</v>
      </c>
      <c r="CD135" s="5" t="s">
        <v>238</v>
      </c>
      <c r="CE135" s="5" t="s">
        <v>238</v>
      </c>
      <c r="CI135" s="5" t="s">
        <v>259</v>
      </c>
      <c r="CJ135" s="5" t="s">
        <v>260</v>
      </c>
      <c r="CK135" s="5" t="s">
        <v>238</v>
      </c>
      <c r="CM135" s="5" t="s">
        <v>376</v>
      </c>
      <c r="CN135" s="6" t="s">
        <v>262</v>
      </c>
      <c r="CO135" s="5" t="s">
        <v>263</v>
      </c>
      <c r="CP135" s="5" t="s">
        <v>264</v>
      </c>
      <c r="CQ135" s="5" t="s">
        <v>285</v>
      </c>
      <c r="CR135" s="5" t="s">
        <v>238</v>
      </c>
      <c r="CS135" s="5">
        <v>6.7000000000000004E-2</v>
      </c>
      <c r="CT135" s="5" t="s">
        <v>265</v>
      </c>
      <c r="CU135" s="5" t="s">
        <v>266</v>
      </c>
      <c r="CV135" s="5" t="s">
        <v>267</v>
      </c>
      <c r="CW135" s="7">
        <f>0</f>
        <v>0</v>
      </c>
      <c r="CX135" s="8">
        <f>1292544</f>
        <v>1292544</v>
      </c>
      <c r="CY135" s="8">
        <f>859544</f>
        <v>859544</v>
      </c>
      <c r="DA135" s="5" t="s">
        <v>238</v>
      </c>
      <c r="DB135" s="5" t="s">
        <v>238</v>
      </c>
      <c r="DD135" s="5" t="s">
        <v>238</v>
      </c>
      <c r="DE135" s="8">
        <f>0</f>
        <v>0</v>
      </c>
      <c r="DG135" s="5" t="s">
        <v>238</v>
      </c>
      <c r="DH135" s="5" t="s">
        <v>238</v>
      </c>
      <c r="DI135" s="5" t="s">
        <v>238</v>
      </c>
      <c r="DJ135" s="5" t="s">
        <v>238</v>
      </c>
      <c r="DK135" s="5" t="s">
        <v>272</v>
      </c>
      <c r="DL135" s="5" t="s">
        <v>272</v>
      </c>
      <c r="DM135" s="8" t="s">
        <v>238</v>
      </c>
      <c r="DN135" s="5" t="s">
        <v>238</v>
      </c>
      <c r="DO135" s="5" t="s">
        <v>238</v>
      </c>
      <c r="DP135" s="5" t="s">
        <v>238</v>
      </c>
      <c r="DQ135" s="5" t="s">
        <v>238</v>
      </c>
      <c r="DT135" s="5" t="s">
        <v>3784</v>
      </c>
      <c r="DU135" s="5" t="s">
        <v>274</v>
      </c>
      <c r="GL135" s="5" t="s">
        <v>3785</v>
      </c>
      <c r="HM135" s="5" t="s">
        <v>379</v>
      </c>
      <c r="HP135" s="5" t="s">
        <v>272</v>
      </c>
      <c r="HQ135" s="5" t="s">
        <v>272</v>
      </c>
      <c r="HR135" s="5" t="s">
        <v>238</v>
      </c>
      <c r="HS135" s="5" t="s">
        <v>238</v>
      </c>
      <c r="HT135" s="5" t="s">
        <v>238</v>
      </c>
      <c r="HU135" s="5" t="s">
        <v>238</v>
      </c>
      <c r="HV135" s="5" t="s">
        <v>238</v>
      </c>
      <c r="HW135" s="5" t="s">
        <v>238</v>
      </c>
      <c r="HX135" s="5" t="s">
        <v>238</v>
      </c>
      <c r="HY135" s="5" t="s">
        <v>238</v>
      </c>
      <c r="HZ135" s="5" t="s">
        <v>238</v>
      </c>
      <c r="IA135" s="5" t="s">
        <v>238</v>
      </c>
      <c r="IB135" s="5" t="s">
        <v>238</v>
      </c>
      <c r="IC135" s="5" t="s">
        <v>238</v>
      </c>
      <c r="ID135" s="5" t="s">
        <v>238</v>
      </c>
    </row>
    <row r="136" spans="1:238" x14ac:dyDescent="0.4">
      <c r="A136" s="5">
        <v>146</v>
      </c>
      <c r="B136" s="5">
        <v>1</v>
      </c>
      <c r="C136" s="5">
        <v>2</v>
      </c>
      <c r="D136" s="5" t="s">
        <v>3969</v>
      </c>
      <c r="E136" s="5" t="s">
        <v>751</v>
      </c>
      <c r="F136" s="5" t="s">
        <v>282</v>
      </c>
      <c r="G136" s="5" t="s">
        <v>752</v>
      </c>
      <c r="H136" s="6" t="s">
        <v>3970</v>
      </c>
      <c r="I136" s="5" t="s">
        <v>3968</v>
      </c>
      <c r="J136" s="7">
        <f>9.94</f>
        <v>9.94</v>
      </c>
      <c r="K136" s="5" t="s">
        <v>270</v>
      </c>
      <c r="L136" s="8">
        <f>1</f>
        <v>1</v>
      </c>
      <c r="M136" s="8">
        <f>596400</f>
        <v>596400</v>
      </c>
      <c r="N136" s="6" t="s">
        <v>906</v>
      </c>
      <c r="O136" s="5" t="s">
        <v>268</v>
      </c>
      <c r="P136" s="5" t="s">
        <v>909</v>
      </c>
      <c r="R136" s="8">
        <f>596399</f>
        <v>596399</v>
      </c>
      <c r="S136" s="5" t="s">
        <v>240</v>
      </c>
      <c r="T136" s="5" t="s">
        <v>237</v>
      </c>
      <c r="W136" s="5" t="s">
        <v>241</v>
      </c>
      <c r="X136" s="5" t="s">
        <v>750</v>
      </c>
      <c r="Y136" s="5" t="s">
        <v>238</v>
      </c>
      <c r="AB136" s="5" t="s">
        <v>238</v>
      </c>
      <c r="AC136" s="6" t="s">
        <v>238</v>
      </c>
      <c r="AD136" s="6" t="s">
        <v>238</v>
      </c>
      <c r="AF136" s="6" t="s">
        <v>238</v>
      </c>
      <c r="AG136" s="6" t="s">
        <v>246</v>
      </c>
      <c r="AH136" s="5" t="s">
        <v>247</v>
      </c>
      <c r="AI136" s="5" t="s">
        <v>248</v>
      </c>
      <c r="AT136" s="6" t="s">
        <v>238</v>
      </c>
      <c r="AW136" s="5" t="s">
        <v>304</v>
      </c>
      <c r="AX136" s="5" t="s">
        <v>304</v>
      </c>
      <c r="AY136" s="5" t="s">
        <v>250</v>
      </c>
      <c r="AZ136" s="5" t="s">
        <v>305</v>
      </c>
      <c r="BA136" s="5" t="s">
        <v>251</v>
      </c>
      <c r="BB136" s="5" t="s">
        <v>238</v>
      </c>
      <c r="BC136" s="5" t="s">
        <v>253</v>
      </c>
      <c r="BD136" s="5" t="s">
        <v>238</v>
      </c>
      <c r="BF136" s="5" t="s">
        <v>760</v>
      </c>
      <c r="BH136" s="5" t="s">
        <v>283</v>
      </c>
      <c r="BI136" s="6" t="s">
        <v>293</v>
      </c>
      <c r="BJ136" s="5" t="s">
        <v>255</v>
      </c>
      <c r="BK136" s="5" t="s">
        <v>256</v>
      </c>
      <c r="BL136" s="5" t="s">
        <v>238</v>
      </c>
      <c r="BM136" s="7">
        <f>0</f>
        <v>0</v>
      </c>
      <c r="BN136" s="8">
        <f>0</f>
        <v>0</v>
      </c>
      <c r="BO136" s="5" t="s">
        <v>257</v>
      </c>
      <c r="BP136" s="5" t="s">
        <v>258</v>
      </c>
      <c r="BQ136" s="5" t="s">
        <v>238</v>
      </c>
      <c r="BR136" s="5" t="s">
        <v>238</v>
      </c>
      <c r="BS136" s="5" t="s">
        <v>238</v>
      </c>
      <c r="BT136" s="5" t="s">
        <v>238</v>
      </c>
      <c r="CC136" s="5" t="s">
        <v>258</v>
      </c>
      <c r="CD136" s="5" t="s">
        <v>238</v>
      </c>
      <c r="CE136" s="5" t="s">
        <v>238</v>
      </c>
      <c r="CI136" s="5" t="s">
        <v>527</v>
      </c>
      <c r="CJ136" s="5" t="s">
        <v>260</v>
      </c>
      <c r="CK136" s="5" t="s">
        <v>238</v>
      </c>
      <c r="CM136" s="5" t="s">
        <v>908</v>
      </c>
      <c r="CN136" s="6" t="s">
        <v>262</v>
      </c>
      <c r="CO136" s="5" t="s">
        <v>263</v>
      </c>
      <c r="CP136" s="5" t="s">
        <v>264</v>
      </c>
      <c r="CQ136" s="5" t="s">
        <v>285</v>
      </c>
      <c r="CR136" s="5" t="s">
        <v>238</v>
      </c>
      <c r="CS136" s="5">
        <v>0</v>
      </c>
      <c r="CT136" s="5" t="s">
        <v>265</v>
      </c>
      <c r="CU136" s="5" t="s">
        <v>266</v>
      </c>
      <c r="CV136" s="5" t="s">
        <v>267</v>
      </c>
      <c r="CW136" s="7">
        <f>0</f>
        <v>0</v>
      </c>
      <c r="CX136" s="8">
        <f>596400</f>
        <v>596400</v>
      </c>
      <c r="CY136" s="8">
        <f>1</f>
        <v>1</v>
      </c>
      <c r="DA136" s="5" t="s">
        <v>238</v>
      </c>
      <c r="DB136" s="5" t="s">
        <v>238</v>
      </c>
      <c r="DD136" s="5" t="s">
        <v>238</v>
      </c>
      <c r="DE136" s="8">
        <f>0</f>
        <v>0</v>
      </c>
      <c r="DG136" s="5" t="s">
        <v>238</v>
      </c>
      <c r="DH136" s="5" t="s">
        <v>238</v>
      </c>
      <c r="DI136" s="5" t="s">
        <v>238</v>
      </c>
      <c r="DJ136" s="5" t="s">
        <v>238</v>
      </c>
      <c r="DK136" s="5" t="s">
        <v>271</v>
      </c>
      <c r="DL136" s="5" t="s">
        <v>272</v>
      </c>
      <c r="DM136" s="7">
        <f>9.94</f>
        <v>9.94</v>
      </c>
      <c r="DN136" s="5" t="s">
        <v>238</v>
      </c>
      <c r="DO136" s="5" t="s">
        <v>238</v>
      </c>
      <c r="DP136" s="5" t="s">
        <v>238</v>
      </c>
      <c r="DQ136" s="5" t="s">
        <v>238</v>
      </c>
      <c r="DT136" s="5" t="s">
        <v>3971</v>
      </c>
      <c r="DU136" s="5" t="s">
        <v>271</v>
      </c>
      <c r="HM136" s="5" t="s">
        <v>271</v>
      </c>
      <c r="HP136" s="5" t="s">
        <v>272</v>
      </c>
      <c r="HQ136" s="5" t="s">
        <v>272</v>
      </c>
      <c r="HR136" s="5" t="s">
        <v>238</v>
      </c>
      <c r="HS136" s="5" t="s">
        <v>238</v>
      </c>
      <c r="HT136" s="5" t="s">
        <v>238</v>
      </c>
      <c r="HU136" s="5" t="s">
        <v>238</v>
      </c>
      <c r="HV136" s="5" t="s">
        <v>238</v>
      </c>
      <c r="HW136" s="5" t="s">
        <v>238</v>
      </c>
      <c r="HX136" s="5" t="s">
        <v>238</v>
      </c>
      <c r="HY136" s="5" t="s">
        <v>238</v>
      </c>
      <c r="HZ136" s="5" t="s">
        <v>238</v>
      </c>
      <c r="IA136" s="5" t="s">
        <v>238</v>
      </c>
      <c r="IB136" s="5" t="s">
        <v>238</v>
      </c>
      <c r="IC136" s="5" t="s">
        <v>238</v>
      </c>
      <c r="ID136" s="5" t="s">
        <v>238</v>
      </c>
    </row>
    <row r="137" spans="1:238" x14ac:dyDescent="0.4">
      <c r="A137" s="5">
        <v>147</v>
      </c>
      <c r="B137" s="5">
        <v>1</v>
      </c>
      <c r="C137" s="5">
        <v>2</v>
      </c>
      <c r="D137" s="5" t="s">
        <v>3965</v>
      </c>
      <c r="E137" s="5" t="s">
        <v>751</v>
      </c>
      <c r="F137" s="5" t="s">
        <v>282</v>
      </c>
      <c r="G137" s="5" t="s">
        <v>752</v>
      </c>
      <c r="H137" s="6" t="s">
        <v>3966</v>
      </c>
      <c r="I137" s="5" t="s">
        <v>3964</v>
      </c>
      <c r="J137" s="7">
        <f>11.02</f>
        <v>11.02</v>
      </c>
      <c r="K137" s="5" t="s">
        <v>270</v>
      </c>
      <c r="L137" s="8">
        <f>1</f>
        <v>1</v>
      </c>
      <c r="M137" s="8">
        <f>661200</f>
        <v>661200</v>
      </c>
      <c r="N137" s="6" t="s">
        <v>906</v>
      </c>
      <c r="O137" s="5" t="s">
        <v>268</v>
      </c>
      <c r="P137" s="5" t="s">
        <v>909</v>
      </c>
      <c r="R137" s="8">
        <f>661199</f>
        <v>661199</v>
      </c>
      <c r="S137" s="5" t="s">
        <v>240</v>
      </c>
      <c r="T137" s="5" t="s">
        <v>237</v>
      </c>
      <c r="W137" s="5" t="s">
        <v>241</v>
      </c>
      <c r="X137" s="5" t="s">
        <v>750</v>
      </c>
      <c r="Y137" s="5" t="s">
        <v>238</v>
      </c>
      <c r="AB137" s="5" t="s">
        <v>238</v>
      </c>
      <c r="AC137" s="6" t="s">
        <v>238</v>
      </c>
      <c r="AD137" s="6" t="s">
        <v>238</v>
      </c>
      <c r="AF137" s="6" t="s">
        <v>238</v>
      </c>
      <c r="AG137" s="6" t="s">
        <v>246</v>
      </c>
      <c r="AH137" s="5" t="s">
        <v>247</v>
      </c>
      <c r="AI137" s="5" t="s">
        <v>248</v>
      </c>
      <c r="AT137" s="6" t="s">
        <v>238</v>
      </c>
      <c r="AW137" s="5" t="s">
        <v>304</v>
      </c>
      <c r="AX137" s="5" t="s">
        <v>304</v>
      </c>
      <c r="AY137" s="5" t="s">
        <v>250</v>
      </c>
      <c r="AZ137" s="5" t="s">
        <v>305</v>
      </c>
      <c r="BA137" s="5" t="s">
        <v>251</v>
      </c>
      <c r="BB137" s="5" t="s">
        <v>238</v>
      </c>
      <c r="BC137" s="5" t="s">
        <v>253</v>
      </c>
      <c r="BD137" s="5" t="s">
        <v>238</v>
      </c>
      <c r="BF137" s="5" t="s">
        <v>760</v>
      </c>
      <c r="BH137" s="5" t="s">
        <v>283</v>
      </c>
      <c r="BI137" s="6" t="s">
        <v>293</v>
      </c>
      <c r="BJ137" s="5" t="s">
        <v>255</v>
      </c>
      <c r="BK137" s="5" t="s">
        <v>256</v>
      </c>
      <c r="BL137" s="5" t="s">
        <v>238</v>
      </c>
      <c r="BM137" s="7">
        <f>0</f>
        <v>0</v>
      </c>
      <c r="BN137" s="8">
        <f>0</f>
        <v>0</v>
      </c>
      <c r="BO137" s="5" t="s">
        <v>257</v>
      </c>
      <c r="BP137" s="5" t="s">
        <v>258</v>
      </c>
      <c r="BQ137" s="5" t="s">
        <v>238</v>
      </c>
      <c r="BR137" s="5" t="s">
        <v>238</v>
      </c>
      <c r="BS137" s="5" t="s">
        <v>238</v>
      </c>
      <c r="BT137" s="5" t="s">
        <v>238</v>
      </c>
      <c r="CC137" s="5" t="s">
        <v>258</v>
      </c>
      <c r="CD137" s="5" t="s">
        <v>238</v>
      </c>
      <c r="CE137" s="5" t="s">
        <v>238</v>
      </c>
      <c r="CI137" s="5" t="s">
        <v>527</v>
      </c>
      <c r="CJ137" s="5" t="s">
        <v>260</v>
      </c>
      <c r="CK137" s="5" t="s">
        <v>238</v>
      </c>
      <c r="CM137" s="5" t="s">
        <v>908</v>
      </c>
      <c r="CN137" s="6" t="s">
        <v>262</v>
      </c>
      <c r="CO137" s="5" t="s">
        <v>263</v>
      </c>
      <c r="CP137" s="5" t="s">
        <v>264</v>
      </c>
      <c r="CQ137" s="5" t="s">
        <v>285</v>
      </c>
      <c r="CR137" s="5" t="s">
        <v>238</v>
      </c>
      <c r="CS137" s="5">
        <v>0</v>
      </c>
      <c r="CT137" s="5" t="s">
        <v>265</v>
      </c>
      <c r="CU137" s="5" t="s">
        <v>266</v>
      </c>
      <c r="CV137" s="5" t="s">
        <v>267</v>
      </c>
      <c r="CW137" s="7">
        <f>0</f>
        <v>0</v>
      </c>
      <c r="CX137" s="8">
        <f>661200</f>
        <v>661200</v>
      </c>
      <c r="CY137" s="8">
        <f>1</f>
        <v>1</v>
      </c>
      <c r="DA137" s="5" t="s">
        <v>238</v>
      </c>
      <c r="DB137" s="5" t="s">
        <v>238</v>
      </c>
      <c r="DD137" s="5" t="s">
        <v>238</v>
      </c>
      <c r="DE137" s="8">
        <f>0</f>
        <v>0</v>
      </c>
      <c r="DG137" s="5" t="s">
        <v>238</v>
      </c>
      <c r="DH137" s="5" t="s">
        <v>238</v>
      </c>
      <c r="DI137" s="5" t="s">
        <v>238</v>
      </c>
      <c r="DJ137" s="5" t="s">
        <v>238</v>
      </c>
      <c r="DK137" s="5" t="s">
        <v>271</v>
      </c>
      <c r="DL137" s="5" t="s">
        <v>272</v>
      </c>
      <c r="DM137" s="7">
        <f>11.02</f>
        <v>11.02</v>
      </c>
      <c r="DN137" s="5" t="s">
        <v>238</v>
      </c>
      <c r="DO137" s="5" t="s">
        <v>238</v>
      </c>
      <c r="DP137" s="5" t="s">
        <v>238</v>
      </c>
      <c r="DQ137" s="5" t="s">
        <v>238</v>
      </c>
      <c r="DT137" s="5" t="s">
        <v>3967</v>
      </c>
      <c r="DU137" s="5" t="s">
        <v>271</v>
      </c>
      <c r="HM137" s="5" t="s">
        <v>271</v>
      </c>
      <c r="HP137" s="5" t="s">
        <v>272</v>
      </c>
      <c r="HQ137" s="5" t="s">
        <v>272</v>
      </c>
      <c r="HR137" s="5" t="s">
        <v>238</v>
      </c>
      <c r="HS137" s="5" t="s">
        <v>238</v>
      </c>
      <c r="HT137" s="5" t="s">
        <v>238</v>
      </c>
      <c r="HU137" s="5" t="s">
        <v>238</v>
      </c>
      <c r="HV137" s="5" t="s">
        <v>238</v>
      </c>
      <c r="HW137" s="5" t="s">
        <v>238</v>
      </c>
      <c r="HX137" s="5" t="s">
        <v>238</v>
      </c>
      <c r="HY137" s="5" t="s">
        <v>238</v>
      </c>
      <c r="HZ137" s="5" t="s">
        <v>238</v>
      </c>
      <c r="IA137" s="5" t="s">
        <v>238</v>
      </c>
      <c r="IB137" s="5" t="s">
        <v>238</v>
      </c>
      <c r="IC137" s="5" t="s">
        <v>238</v>
      </c>
      <c r="ID137" s="5" t="s">
        <v>238</v>
      </c>
    </row>
    <row r="138" spans="1:238" x14ac:dyDescent="0.4">
      <c r="A138" s="5">
        <v>148</v>
      </c>
      <c r="B138" s="5">
        <v>1</v>
      </c>
      <c r="C138" s="5">
        <v>2</v>
      </c>
      <c r="D138" s="5" t="s">
        <v>3961</v>
      </c>
      <c r="E138" s="5" t="s">
        <v>751</v>
      </c>
      <c r="F138" s="5" t="s">
        <v>282</v>
      </c>
      <c r="G138" s="5" t="s">
        <v>752</v>
      </c>
      <c r="H138" s="6" t="s">
        <v>3962</v>
      </c>
      <c r="I138" s="5" t="s">
        <v>3960</v>
      </c>
      <c r="J138" s="7">
        <f>19.87</f>
        <v>19.87</v>
      </c>
      <c r="K138" s="5" t="s">
        <v>270</v>
      </c>
      <c r="L138" s="8">
        <f>1</f>
        <v>1</v>
      </c>
      <c r="M138" s="8">
        <f>1192200</f>
        <v>1192200</v>
      </c>
      <c r="N138" s="6" t="s">
        <v>906</v>
      </c>
      <c r="O138" s="5" t="s">
        <v>268</v>
      </c>
      <c r="P138" s="5" t="s">
        <v>909</v>
      </c>
      <c r="R138" s="8">
        <f>1192199</f>
        <v>1192199</v>
      </c>
      <c r="S138" s="5" t="s">
        <v>240</v>
      </c>
      <c r="T138" s="5" t="s">
        <v>237</v>
      </c>
      <c r="W138" s="5" t="s">
        <v>241</v>
      </c>
      <c r="X138" s="5" t="s">
        <v>750</v>
      </c>
      <c r="Y138" s="5" t="s">
        <v>238</v>
      </c>
      <c r="AB138" s="5" t="s">
        <v>238</v>
      </c>
      <c r="AC138" s="6" t="s">
        <v>238</v>
      </c>
      <c r="AD138" s="6" t="s">
        <v>238</v>
      </c>
      <c r="AF138" s="6" t="s">
        <v>238</v>
      </c>
      <c r="AG138" s="6" t="s">
        <v>246</v>
      </c>
      <c r="AH138" s="5" t="s">
        <v>247</v>
      </c>
      <c r="AI138" s="5" t="s">
        <v>248</v>
      </c>
      <c r="AT138" s="6" t="s">
        <v>238</v>
      </c>
      <c r="AW138" s="5" t="s">
        <v>304</v>
      </c>
      <c r="AX138" s="5" t="s">
        <v>304</v>
      </c>
      <c r="AY138" s="5" t="s">
        <v>250</v>
      </c>
      <c r="AZ138" s="5" t="s">
        <v>305</v>
      </c>
      <c r="BA138" s="5" t="s">
        <v>251</v>
      </c>
      <c r="BB138" s="5" t="s">
        <v>238</v>
      </c>
      <c r="BC138" s="5" t="s">
        <v>253</v>
      </c>
      <c r="BD138" s="5" t="s">
        <v>238</v>
      </c>
      <c r="BF138" s="5" t="s">
        <v>760</v>
      </c>
      <c r="BH138" s="5" t="s">
        <v>283</v>
      </c>
      <c r="BI138" s="6" t="s">
        <v>293</v>
      </c>
      <c r="BJ138" s="5" t="s">
        <v>255</v>
      </c>
      <c r="BK138" s="5" t="s">
        <v>256</v>
      </c>
      <c r="BL138" s="5" t="s">
        <v>238</v>
      </c>
      <c r="BM138" s="7">
        <f>0</f>
        <v>0</v>
      </c>
      <c r="BN138" s="8">
        <f>0</f>
        <v>0</v>
      </c>
      <c r="BO138" s="5" t="s">
        <v>257</v>
      </c>
      <c r="BP138" s="5" t="s">
        <v>258</v>
      </c>
      <c r="BQ138" s="5" t="s">
        <v>238</v>
      </c>
      <c r="BR138" s="5" t="s">
        <v>238</v>
      </c>
      <c r="BS138" s="5" t="s">
        <v>238</v>
      </c>
      <c r="BT138" s="5" t="s">
        <v>238</v>
      </c>
      <c r="CC138" s="5" t="s">
        <v>258</v>
      </c>
      <c r="CD138" s="5" t="s">
        <v>238</v>
      </c>
      <c r="CE138" s="5" t="s">
        <v>238</v>
      </c>
      <c r="CI138" s="5" t="s">
        <v>527</v>
      </c>
      <c r="CJ138" s="5" t="s">
        <v>260</v>
      </c>
      <c r="CK138" s="5" t="s">
        <v>238</v>
      </c>
      <c r="CM138" s="5" t="s">
        <v>908</v>
      </c>
      <c r="CN138" s="6" t="s">
        <v>262</v>
      </c>
      <c r="CO138" s="5" t="s">
        <v>263</v>
      </c>
      <c r="CP138" s="5" t="s">
        <v>264</v>
      </c>
      <c r="CQ138" s="5" t="s">
        <v>285</v>
      </c>
      <c r="CR138" s="5" t="s">
        <v>238</v>
      </c>
      <c r="CS138" s="5">
        <v>0</v>
      </c>
      <c r="CT138" s="5" t="s">
        <v>265</v>
      </c>
      <c r="CU138" s="5" t="s">
        <v>266</v>
      </c>
      <c r="CV138" s="5" t="s">
        <v>267</v>
      </c>
      <c r="CW138" s="7">
        <f>0</f>
        <v>0</v>
      </c>
      <c r="CX138" s="8">
        <f>1192200</f>
        <v>1192200</v>
      </c>
      <c r="CY138" s="8">
        <f>1</f>
        <v>1</v>
      </c>
      <c r="DA138" s="5" t="s">
        <v>238</v>
      </c>
      <c r="DB138" s="5" t="s">
        <v>238</v>
      </c>
      <c r="DD138" s="5" t="s">
        <v>238</v>
      </c>
      <c r="DE138" s="8">
        <f>0</f>
        <v>0</v>
      </c>
      <c r="DG138" s="5" t="s">
        <v>238</v>
      </c>
      <c r="DH138" s="5" t="s">
        <v>238</v>
      </c>
      <c r="DI138" s="5" t="s">
        <v>238</v>
      </c>
      <c r="DJ138" s="5" t="s">
        <v>238</v>
      </c>
      <c r="DK138" s="5" t="s">
        <v>271</v>
      </c>
      <c r="DL138" s="5" t="s">
        <v>272</v>
      </c>
      <c r="DM138" s="7">
        <f>19.87</f>
        <v>19.87</v>
      </c>
      <c r="DN138" s="5" t="s">
        <v>238</v>
      </c>
      <c r="DO138" s="5" t="s">
        <v>238</v>
      </c>
      <c r="DP138" s="5" t="s">
        <v>238</v>
      </c>
      <c r="DQ138" s="5" t="s">
        <v>238</v>
      </c>
      <c r="DT138" s="5" t="s">
        <v>3963</v>
      </c>
      <c r="DU138" s="5" t="s">
        <v>271</v>
      </c>
      <c r="HM138" s="5" t="s">
        <v>271</v>
      </c>
      <c r="HP138" s="5" t="s">
        <v>272</v>
      </c>
      <c r="HQ138" s="5" t="s">
        <v>272</v>
      </c>
      <c r="HR138" s="5" t="s">
        <v>238</v>
      </c>
      <c r="HS138" s="5" t="s">
        <v>238</v>
      </c>
      <c r="HT138" s="5" t="s">
        <v>238</v>
      </c>
      <c r="HU138" s="5" t="s">
        <v>238</v>
      </c>
      <c r="HV138" s="5" t="s">
        <v>238</v>
      </c>
      <c r="HW138" s="5" t="s">
        <v>238</v>
      </c>
      <c r="HX138" s="5" t="s">
        <v>238</v>
      </c>
      <c r="HY138" s="5" t="s">
        <v>238</v>
      </c>
      <c r="HZ138" s="5" t="s">
        <v>238</v>
      </c>
      <c r="IA138" s="5" t="s">
        <v>238</v>
      </c>
      <c r="IB138" s="5" t="s">
        <v>238</v>
      </c>
      <c r="IC138" s="5" t="s">
        <v>238</v>
      </c>
      <c r="ID138" s="5" t="s">
        <v>238</v>
      </c>
    </row>
    <row r="139" spans="1:238" x14ac:dyDescent="0.4">
      <c r="A139" s="5">
        <v>149</v>
      </c>
      <c r="B139" s="5">
        <v>1</v>
      </c>
      <c r="C139" s="5">
        <v>2</v>
      </c>
      <c r="D139" s="5" t="s">
        <v>3957</v>
      </c>
      <c r="E139" s="5" t="s">
        <v>751</v>
      </c>
      <c r="F139" s="5" t="s">
        <v>282</v>
      </c>
      <c r="G139" s="5" t="s">
        <v>752</v>
      </c>
      <c r="H139" s="6" t="s">
        <v>3958</v>
      </c>
      <c r="I139" s="5" t="s">
        <v>3956</v>
      </c>
      <c r="J139" s="7">
        <f>28.03</f>
        <v>28.03</v>
      </c>
      <c r="K139" s="5" t="s">
        <v>270</v>
      </c>
      <c r="L139" s="8">
        <f>1</f>
        <v>1</v>
      </c>
      <c r="M139" s="8">
        <f>1681800</f>
        <v>1681800</v>
      </c>
      <c r="N139" s="6" t="s">
        <v>906</v>
      </c>
      <c r="O139" s="5" t="s">
        <v>268</v>
      </c>
      <c r="P139" s="5" t="s">
        <v>909</v>
      </c>
      <c r="R139" s="8">
        <f>1681799</f>
        <v>1681799</v>
      </c>
      <c r="S139" s="5" t="s">
        <v>240</v>
      </c>
      <c r="T139" s="5" t="s">
        <v>237</v>
      </c>
      <c r="W139" s="5" t="s">
        <v>241</v>
      </c>
      <c r="X139" s="5" t="s">
        <v>750</v>
      </c>
      <c r="Y139" s="5" t="s">
        <v>238</v>
      </c>
      <c r="AB139" s="5" t="s">
        <v>238</v>
      </c>
      <c r="AC139" s="6" t="s">
        <v>238</v>
      </c>
      <c r="AD139" s="6" t="s">
        <v>238</v>
      </c>
      <c r="AF139" s="6" t="s">
        <v>238</v>
      </c>
      <c r="AG139" s="6" t="s">
        <v>246</v>
      </c>
      <c r="AH139" s="5" t="s">
        <v>247</v>
      </c>
      <c r="AI139" s="5" t="s">
        <v>248</v>
      </c>
      <c r="AT139" s="6" t="s">
        <v>238</v>
      </c>
      <c r="AW139" s="5" t="s">
        <v>304</v>
      </c>
      <c r="AX139" s="5" t="s">
        <v>304</v>
      </c>
      <c r="AY139" s="5" t="s">
        <v>250</v>
      </c>
      <c r="AZ139" s="5" t="s">
        <v>305</v>
      </c>
      <c r="BA139" s="5" t="s">
        <v>251</v>
      </c>
      <c r="BB139" s="5" t="s">
        <v>238</v>
      </c>
      <c r="BC139" s="5" t="s">
        <v>253</v>
      </c>
      <c r="BD139" s="5" t="s">
        <v>238</v>
      </c>
      <c r="BF139" s="5" t="s">
        <v>760</v>
      </c>
      <c r="BH139" s="5" t="s">
        <v>283</v>
      </c>
      <c r="BI139" s="6" t="s">
        <v>293</v>
      </c>
      <c r="BJ139" s="5" t="s">
        <v>255</v>
      </c>
      <c r="BK139" s="5" t="s">
        <v>256</v>
      </c>
      <c r="BL139" s="5" t="s">
        <v>238</v>
      </c>
      <c r="BM139" s="7">
        <f>0</f>
        <v>0</v>
      </c>
      <c r="BN139" s="8">
        <f>0</f>
        <v>0</v>
      </c>
      <c r="BO139" s="5" t="s">
        <v>257</v>
      </c>
      <c r="BP139" s="5" t="s">
        <v>258</v>
      </c>
      <c r="BQ139" s="5" t="s">
        <v>238</v>
      </c>
      <c r="BR139" s="5" t="s">
        <v>238</v>
      </c>
      <c r="BS139" s="5" t="s">
        <v>238</v>
      </c>
      <c r="BT139" s="5" t="s">
        <v>238</v>
      </c>
      <c r="CC139" s="5" t="s">
        <v>258</v>
      </c>
      <c r="CD139" s="5" t="s">
        <v>238</v>
      </c>
      <c r="CE139" s="5" t="s">
        <v>238</v>
      </c>
      <c r="CI139" s="5" t="s">
        <v>527</v>
      </c>
      <c r="CJ139" s="5" t="s">
        <v>260</v>
      </c>
      <c r="CK139" s="5" t="s">
        <v>238</v>
      </c>
      <c r="CM139" s="5" t="s">
        <v>908</v>
      </c>
      <c r="CN139" s="6" t="s">
        <v>262</v>
      </c>
      <c r="CO139" s="5" t="s">
        <v>263</v>
      </c>
      <c r="CP139" s="5" t="s">
        <v>264</v>
      </c>
      <c r="CQ139" s="5" t="s">
        <v>285</v>
      </c>
      <c r="CR139" s="5" t="s">
        <v>238</v>
      </c>
      <c r="CS139" s="5">
        <v>0</v>
      </c>
      <c r="CT139" s="5" t="s">
        <v>265</v>
      </c>
      <c r="CU139" s="5" t="s">
        <v>266</v>
      </c>
      <c r="CV139" s="5" t="s">
        <v>267</v>
      </c>
      <c r="CW139" s="7">
        <f>0</f>
        <v>0</v>
      </c>
      <c r="CX139" s="8">
        <f>1681800</f>
        <v>1681800</v>
      </c>
      <c r="CY139" s="8">
        <f>1</f>
        <v>1</v>
      </c>
      <c r="DA139" s="5" t="s">
        <v>238</v>
      </c>
      <c r="DB139" s="5" t="s">
        <v>238</v>
      </c>
      <c r="DD139" s="5" t="s">
        <v>238</v>
      </c>
      <c r="DE139" s="8">
        <f>0</f>
        <v>0</v>
      </c>
      <c r="DG139" s="5" t="s">
        <v>238</v>
      </c>
      <c r="DH139" s="5" t="s">
        <v>238</v>
      </c>
      <c r="DI139" s="5" t="s">
        <v>238</v>
      </c>
      <c r="DJ139" s="5" t="s">
        <v>238</v>
      </c>
      <c r="DK139" s="5" t="s">
        <v>271</v>
      </c>
      <c r="DL139" s="5" t="s">
        <v>272</v>
      </c>
      <c r="DM139" s="7">
        <f>28.03</f>
        <v>28.03</v>
      </c>
      <c r="DN139" s="5" t="s">
        <v>238</v>
      </c>
      <c r="DO139" s="5" t="s">
        <v>238</v>
      </c>
      <c r="DP139" s="5" t="s">
        <v>238</v>
      </c>
      <c r="DQ139" s="5" t="s">
        <v>238</v>
      </c>
      <c r="DT139" s="5" t="s">
        <v>3959</v>
      </c>
      <c r="DU139" s="5" t="s">
        <v>271</v>
      </c>
      <c r="HM139" s="5" t="s">
        <v>271</v>
      </c>
      <c r="HP139" s="5" t="s">
        <v>272</v>
      </c>
      <c r="HQ139" s="5" t="s">
        <v>272</v>
      </c>
      <c r="HR139" s="5" t="s">
        <v>238</v>
      </c>
      <c r="HS139" s="5" t="s">
        <v>238</v>
      </c>
      <c r="HT139" s="5" t="s">
        <v>238</v>
      </c>
      <c r="HU139" s="5" t="s">
        <v>238</v>
      </c>
      <c r="HV139" s="5" t="s">
        <v>238</v>
      </c>
      <c r="HW139" s="5" t="s">
        <v>238</v>
      </c>
      <c r="HX139" s="5" t="s">
        <v>238</v>
      </c>
      <c r="HY139" s="5" t="s">
        <v>238</v>
      </c>
      <c r="HZ139" s="5" t="s">
        <v>238</v>
      </c>
      <c r="IA139" s="5" t="s">
        <v>238</v>
      </c>
      <c r="IB139" s="5" t="s">
        <v>238</v>
      </c>
      <c r="IC139" s="5" t="s">
        <v>238</v>
      </c>
      <c r="ID139" s="5" t="s">
        <v>238</v>
      </c>
    </row>
    <row r="140" spans="1:238" x14ac:dyDescent="0.4">
      <c r="A140" s="5">
        <v>150</v>
      </c>
      <c r="B140" s="5">
        <v>1</v>
      </c>
      <c r="C140" s="5">
        <v>2</v>
      </c>
      <c r="D140" s="5" t="s">
        <v>3953</v>
      </c>
      <c r="E140" s="5" t="s">
        <v>751</v>
      </c>
      <c r="F140" s="5" t="s">
        <v>282</v>
      </c>
      <c r="G140" s="5" t="s">
        <v>752</v>
      </c>
      <c r="H140" s="6" t="s">
        <v>3954</v>
      </c>
      <c r="I140" s="5" t="s">
        <v>3952</v>
      </c>
      <c r="J140" s="7">
        <f>9.93</f>
        <v>9.93</v>
      </c>
      <c r="K140" s="5" t="s">
        <v>270</v>
      </c>
      <c r="L140" s="8">
        <f>1</f>
        <v>1</v>
      </c>
      <c r="M140" s="8">
        <f>595800</f>
        <v>595800</v>
      </c>
      <c r="N140" s="6" t="s">
        <v>906</v>
      </c>
      <c r="O140" s="5" t="s">
        <v>268</v>
      </c>
      <c r="P140" s="5" t="s">
        <v>909</v>
      </c>
      <c r="R140" s="8">
        <f>595799</f>
        <v>595799</v>
      </c>
      <c r="S140" s="5" t="s">
        <v>240</v>
      </c>
      <c r="T140" s="5" t="s">
        <v>237</v>
      </c>
      <c r="W140" s="5" t="s">
        <v>241</v>
      </c>
      <c r="X140" s="5" t="s">
        <v>750</v>
      </c>
      <c r="Y140" s="5" t="s">
        <v>238</v>
      </c>
      <c r="AB140" s="5" t="s">
        <v>238</v>
      </c>
      <c r="AC140" s="6" t="s">
        <v>238</v>
      </c>
      <c r="AD140" s="6" t="s">
        <v>238</v>
      </c>
      <c r="AF140" s="6" t="s">
        <v>238</v>
      </c>
      <c r="AG140" s="6" t="s">
        <v>246</v>
      </c>
      <c r="AH140" s="5" t="s">
        <v>247</v>
      </c>
      <c r="AI140" s="5" t="s">
        <v>248</v>
      </c>
      <c r="AT140" s="6" t="s">
        <v>238</v>
      </c>
      <c r="AW140" s="5" t="s">
        <v>304</v>
      </c>
      <c r="AX140" s="5" t="s">
        <v>304</v>
      </c>
      <c r="AY140" s="5" t="s">
        <v>250</v>
      </c>
      <c r="AZ140" s="5" t="s">
        <v>305</v>
      </c>
      <c r="BA140" s="5" t="s">
        <v>251</v>
      </c>
      <c r="BB140" s="5" t="s">
        <v>238</v>
      </c>
      <c r="BC140" s="5" t="s">
        <v>253</v>
      </c>
      <c r="BD140" s="5" t="s">
        <v>238</v>
      </c>
      <c r="BF140" s="5" t="s">
        <v>760</v>
      </c>
      <c r="BH140" s="5" t="s">
        <v>283</v>
      </c>
      <c r="BI140" s="6" t="s">
        <v>293</v>
      </c>
      <c r="BJ140" s="5" t="s">
        <v>255</v>
      </c>
      <c r="BK140" s="5" t="s">
        <v>256</v>
      </c>
      <c r="BL140" s="5" t="s">
        <v>238</v>
      </c>
      <c r="BM140" s="7">
        <f>0</f>
        <v>0</v>
      </c>
      <c r="BN140" s="8">
        <f>0</f>
        <v>0</v>
      </c>
      <c r="BO140" s="5" t="s">
        <v>257</v>
      </c>
      <c r="BP140" s="5" t="s">
        <v>258</v>
      </c>
      <c r="BQ140" s="5" t="s">
        <v>238</v>
      </c>
      <c r="BR140" s="5" t="s">
        <v>238</v>
      </c>
      <c r="BS140" s="5" t="s">
        <v>238</v>
      </c>
      <c r="BT140" s="5" t="s">
        <v>238</v>
      </c>
      <c r="CC140" s="5" t="s">
        <v>258</v>
      </c>
      <c r="CD140" s="5" t="s">
        <v>238</v>
      </c>
      <c r="CE140" s="5" t="s">
        <v>238</v>
      </c>
      <c r="CI140" s="5" t="s">
        <v>527</v>
      </c>
      <c r="CJ140" s="5" t="s">
        <v>260</v>
      </c>
      <c r="CK140" s="5" t="s">
        <v>238</v>
      </c>
      <c r="CM140" s="5" t="s">
        <v>908</v>
      </c>
      <c r="CN140" s="6" t="s">
        <v>262</v>
      </c>
      <c r="CO140" s="5" t="s">
        <v>263</v>
      </c>
      <c r="CP140" s="5" t="s">
        <v>264</v>
      </c>
      <c r="CQ140" s="5" t="s">
        <v>285</v>
      </c>
      <c r="CR140" s="5" t="s">
        <v>238</v>
      </c>
      <c r="CS140" s="5">
        <v>0</v>
      </c>
      <c r="CT140" s="5" t="s">
        <v>265</v>
      </c>
      <c r="CU140" s="5" t="s">
        <v>266</v>
      </c>
      <c r="CV140" s="5" t="s">
        <v>267</v>
      </c>
      <c r="CW140" s="7">
        <f>0</f>
        <v>0</v>
      </c>
      <c r="CX140" s="8">
        <f>595800</f>
        <v>595800</v>
      </c>
      <c r="CY140" s="8">
        <f>1</f>
        <v>1</v>
      </c>
      <c r="DA140" s="5" t="s">
        <v>238</v>
      </c>
      <c r="DB140" s="5" t="s">
        <v>238</v>
      </c>
      <c r="DD140" s="5" t="s">
        <v>238</v>
      </c>
      <c r="DE140" s="8">
        <f>0</f>
        <v>0</v>
      </c>
      <c r="DG140" s="5" t="s">
        <v>238</v>
      </c>
      <c r="DH140" s="5" t="s">
        <v>238</v>
      </c>
      <c r="DI140" s="5" t="s">
        <v>238</v>
      </c>
      <c r="DJ140" s="5" t="s">
        <v>238</v>
      </c>
      <c r="DK140" s="5" t="s">
        <v>271</v>
      </c>
      <c r="DL140" s="5" t="s">
        <v>272</v>
      </c>
      <c r="DM140" s="7">
        <f>9.93</f>
        <v>9.93</v>
      </c>
      <c r="DN140" s="5" t="s">
        <v>238</v>
      </c>
      <c r="DO140" s="5" t="s">
        <v>238</v>
      </c>
      <c r="DP140" s="5" t="s">
        <v>238</v>
      </c>
      <c r="DQ140" s="5" t="s">
        <v>238</v>
      </c>
      <c r="DT140" s="5" t="s">
        <v>3955</v>
      </c>
      <c r="DU140" s="5" t="s">
        <v>271</v>
      </c>
      <c r="HM140" s="5" t="s">
        <v>271</v>
      </c>
      <c r="HP140" s="5" t="s">
        <v>272</v>
      </c>
      <c r="HQ140" s="5" t="s">
        <v>272</v>
      </c>
      <c r="HR140" s="5" t="s">
        <v>238</v>
      </c>
      <c r="HS140" s="5" t="s">
        <v>238</v>
      </c>
      <c r="HT140" s="5" t="s">
        <v>238</v>
      </c>
      <c r="HU140" s="5" t="s">
        <v>238</v>
      </c>
      <c r="HV140" s="5" t="s">
        <v>238</v>
      </c>
      <c r="HW140" s="5" t="s">
        <v>238</v>
      </c>
      <c r="HX140" s="5" t="s">
        <v>238</v>
      </c>
      <c r="HY140" s="5" t="s">
        <v>238</v>
      </c>
      <c r="HZ140" s="5" t="s">
        <v>238</v>
      </c>
      <c r="IA140" s="5" t="s">
        <v>238</v>
      </c>
      <c r="IB140" s="5" t="s">
        <v>238</v>
      </c>
      <c r="IC140" s="5" t="s">
        <v>238</v>
      </c>
      <c r="ID140" s="5" t="s">
        <v>238</v>
      </c>
    </row>
    <row r="141" spans="1:238" x14ac:dyDescent="0.4">
      <c r="A141" s="5">
        <v>151</v>
      </c>
      <c r="B141" s="5">
        <v>1</v>
      </c>
      <c r="C141" s="5">
        <v>2</v>
      </c>
      <c r="D141" s="5" t="s">
        <v>3949</v>
      </c>
      <c r="E141" s="5" t="s">
        <v>751</v>
      </c>
      <c r="F141" s="5" t="s">
        <v>282</v>
      </c>
      <c r="G141" s="5" t="s">
        <v>752</v>
      </c>
      <c r="H141" s="6" t="s">
        <v>3950</v>
      </c>
      <c r="I141" s="5" t="s">
        <v>3948</v>
      </c>
      <c r="J141" s="7">
        <f>9.94</f>
        <v>9.94</v>
      </c>
      <c r="K141" s="5" t="s">
        <v>270</v>
      </c>
      <c r="L141" s="8">
        <f>1</f>
        <v>1</v>
      </c>
      <c r="M141" s="8">
        <f>596400</f>
        <v>596400</v>
      </c>
      <c r="N141" s="6" t="s">
        <v>906</v>
      </c>
      <c r="O141" s="5" t="s">
        <v>268</v>
      </c>
      <c r="P141" s="5" t="s">
        <v>909</v>
      </c>
      <c r="R141" s="8">
        <f>596399</f>
        <v>596399</v>
      </c>
      <c r="S141" s="5" t="s">
        <v>240</v>
      </c>
      <c r="T141" s="5" t="s">
        <v>237</v>
      </c>
      <c r="W141" s="5" t="s">
        <v>241</v>
      </c>
      <c r="X141" s="5" t="s">
        <v>750</v>
      </c>
      <c r="Y141" s="5" t="s">
        <v>238</v>
      </c>
      <c r="AB141" s="5" t="s">
        <v>238</v>
      </c>
      <c r="AC141" s="6" t="s">
        <v>238</v>
      </c>
      <c r="AD141" s="6" t="s">
        <v>238</v>
      </c>
      <c r="AF141" s="6" t="s">
        <v>238</v>
      </c>
      <c r="AG141" s="6" t="s">
        <v>246</v>
      </c>
      <c r="AH141" s="5" t="s">
        <v>247</v>
      </c>
      <c r="AI141" s="5" t="s">
        <v>248</v>
      </c>
      <c r="AT141" s="6" t="s">
        <v>238</v>
      </c>
      <c r="AW141" s="5" t="s">
        <v>304</v>
      </c>
      <c r="AX141" s="5" t="s">
        <v>304</v>
      </c>
      <c r="AY141" s="5" t="s">
        <v>250</v>
      </c>
      <c r="AZ141" s="5" t="s">
        <v>305</v>
      </c>
      <c r="BA141" s="5" t="s">
        <v>251</v>
      </c>
      <c r="BB141" s="5" t="s">
        <v>238</v>
      </c>
      <c r="BC141" s="5" t="s">
        <v>253</v>
      </c>
      <c r="BD141" s="5" t="s">
        <v>238</v>
      </c>
      <c r="BF141" s="5" t="s">
        <v>760</v>
      </c>
      <c r="BH141" s="5" t="s">
        <v>283</v>
      </c>
      <c r="BI141" s="6" t="s">
        <v>293</v>
      </c>
      <c r="BJ141" s="5" t="s">
        <v>255</v>
      </c>
      <c r="BK141" s="5" t="s">
        <v>256</v>
      </c>
      <c r="BL141" s="5" t="s">
        <v>238</v>
      </c>
      <c r="BM141" s="7">
        <f>0</f>
        <v>0</v>
      </c>
      <c r="BN141" s="8">
        <f>0</f>
        <v>0</v>
      </c>
      <c r="BO141" s="5" t="s">
        <v>257</v>
      </c>
      <c r="BP141" s="5" t="s">
        <v>258</v>
      </c>
      <c r="BQ141" s="5" t="s">
        <v>238</v>
      </c>
      <c r="BR141" s="5" t="s">
        <v>238</v>
      </c>
      <c r="BS141" s="5" t="s">
        <v>238</v>
      </c>
      <c r="BT141" s="5" t="s">
        <v>238</v>
      </c>
      <c r="CC141" s="5" t="s">
        <v>258</v>
      </c>
      <c r="CD141" s="5" t="s">
        <v>238</v>
      </c>
      <c r="CE141" s="5" t="s">
        <v>238</v>
      </c>
      <c r="CI141" s="5" t="s">
        <v>527</v>
      </c>
      <c r="CJ141" s="5" t="s">
        <v>260</v>
      </c>
      <c r="CK141" s="5" t="s">
        <v>238</v>
      </c>
      <c r="CM141" s="5" t="s">
        <v>908</v>
      </c>
      <c r="CN141" s="6" t="s">
        <v>262</v>
      </c>
      <c r="CO141" s="5" t="s">
        <v>263</v>
      </c>
      <c r="CP141" s="5" t="s">
        <v>264</v>
      </c>
      <c r="CQ141" s="5" t="s">
        <v>285</v>
      </c>
      <c r="CR141" s="5" t="s">
        <v>238</v>
      </c>
      <c r="CS141" s="5">
        <v>0</v>
      </c>
      <c r="CT141" s="5" t="s">
        <v>265</v>
      </c>
      <c r="CU141" s="5" t="s">
        <v>266</v>
      </c>
      <c r="CV141" s="5" t="s">
        <v>267</v>
      </c>
      <c r="CW141" s="7">
        <f>0</f>
        <v>0</v>
      </c>
      <c r="CX141" s="8">
        <f>596400</f>
        <v>596400</v>
      </c>
      <c r="CY141" s="8">
        <f>1</f>
        <v>1</v>
      </c>
      <c r="DA141" s="5" t="s">
        <v>238</v>
      </c>
      <c r="DB141" s="5" t="s">
        <v>238</v>
      </c>
      <c r="DD141" s="5" t="s">
        <v>238</v>
      </c>
      <c r="DE141" s="8">
        <f>0</f>
        <v>0</v>
      </c>
      <c r="DG141" s="5" t="s">
        <v>238</v>
      </c>
      <c r="DH141" s="5" t="s">
        <v>238</v>
      </c>
      <c r="DI141" s="5" t="s">
        <v>238</v>
      </c>
      <c r="DJ141" s="5" t="s">
        <v>238</v>
      </c>
      <c r="DK141" s="5" t="s">
        <v>271</v>
      </c>
      <c r="DL141" s="5" t="s">
        <v>272</v>
      </c>
      <c r="DM141" s="7">
        <f>9.94</f>
        <v>9.94</v>
      </c>
      <c r="DN141" s="5" t="s">
        <v>238</v>
      </c>
      <c r="DO141" s="5" t="s">
        <v>238</v>
      </c>
      <c r="DP141" s="5" t="s">
        <v>238</v>
      </c>
      <c r="DQ141" s="5" t="s">
        <v>238</v>
      </c>
      <c r="DT141" s="5" t="s">
        <v>3951</v>
      </c>
      <c r="DU141" s="5" t="s">
        <v>271</v>
      </c>
      <c r="HM141" s="5" t="s">
        <v>271</v>
      </c>
      <c r="HP141" s="5" t="s">
        <v>272</v>
      </c>
      <c r="HQ141" s="5" t="s">
        <v>272</v>
      </c>
      <c r="HR141" s="5" t="s">
        <v>238</v>
      </c>
      <c r="HS141" s="5" t="s">
        <v>238</v>
      </c>
      <c r="HT141" s="5" t="s">
        <v>238</v>
      </c>
      <c r="HU141" s="5" t="s">
        <v>238</v>
      </c>
      <c r="HV141" s="5" t="s">
        <v>238</v>
      </c>
      <c r="HW141" s="5" t="s">
        <v>238</v>
      </c>
      <c r="HX141" s="5" t="s">
        <v>238</v>
      </c>
      <c r="HY141" s="5" t="s">
        <v>238</v>
      </c>
      <c r="HZ141" s="5" t="s">
        <v>238</v>
      </c>
      <c r="IA141" s="5" t="s">
        <v>238</v>
      </c>
      <c r="IB141" s="5" t="s">
        <v>238</v>
      </c>
      <c r="IC141" s="5" t="s">
        <v>238</v>
      </c>
      <c r="ID141" s="5" t="s">
        <v>238</v>
      </c>
    </row>
    <row r="142" spans="1:238" x14ac:dyDescent="0.4">
      <c r="A142" s="5">
        <v>152</v>
      </c>
      <c r="B142" s="5">
        <v>1</v>
      </c>
      <c r="C142" s="5">
        <v>2</v>
      </c>
      <c r="D142" s="5" t="s">
        <v>3938</v>
      </c>
      <c r="E142" s="5" t="s">
        <v>751</v>
      </c>
      <c r="F142" s="5" t="s">
        <v>282</v>
      </c>
      <c r="G142" s="5" t="s">
        <v>752</v>
      </c>
      <c r="H142" s="6" t="s">
        <v>3939</v>
      </c>
      <c r="I142" s="5" t="s">
        <v>3937</v>
      </c>
      <c r="J142" s="7">
        <f>19.84</f>
        <v>19.84</v>
      </c>
      <c r="K142" s="5" t="s">
        <v>270</v>
      </c>
      <c r="L142" s="8">
        <f>1</f>
        <v>1</v>
      </c>
      <c r="M142" s="8">
        <f>1190400</f>
        <v>1190400</v>
      </c>
      <c r="N142" s="6" t="s">
        <v>906</v>
      </c>
      <c r="O142" s="5" t="s">
        <v>268</v>
      </c>
      <c r="P142" s="5" t="s">
        <v>909</v>
      </c>
      <c r="R142" s="8">
        <f>1190399</f>
        <v>1190399</v>
      </c>
      <c r="S142" s="5" t="s">
        <v>240</v>
      </c>
      <c r="T142" s="5" t="s">
        <v>237</v>
      </c>
      <c r="W142" s="5" t="s">
        <v>241</v>
      </c>
      <c r="X142" s="5" t="s">
        <v>750</v>
      </c>
      <c r="Y142" s="5" t="s">
        <v>238</v>
      </c>
      <c r="AB142" s="5" t="s">
        <v>238</v>
      </c>
      <c r="AC142" s="6" t="s">
        <v>238</v>
      </c>
      <c r="AD142" s="6" t="s">
        <v>238</v>
      </c>
      <c r="AF142" s="6" t="s">
        <v>238</v>
      </c>
      <c r="AG142" s="6" t="s">
        <v>246</v>
      </c>
      <c r="AH142" s="5" t="s">
        <v>247</v>
      </c>
      <c r="AI142" s="5" t="s">
        <v>248</v>
      </c>
      <c r="AT142" s="6" t="s">
        <v>238</v>
      </c>
      <c r="AW142" s="5" t="s">
        <v>304</v>
      </c>
      <c r="AX142" s="5" t="s">
        <v>304</v>
      </c>
      <c r="AY142" s="5" t="s">
        <v>250</v>
      </c>
      <c r="AZ142" s="5" t="s">
        <v>305</v>
      </c>
      <c r="BA142" s="5" t="s">
        <v>251</v>
      </c>
      <c r="BB142" s="5" t="s">
        <v>238</v>
      </c>
      <c r="BC142" s="5" t="s">
        <v>253</v>
      </c>
      <c r="BD142" s="5" t="s">
        <v>238</v>
      </c>
      <c r="BF142" s="5" t="s">
        <v>760</v>
      </c>
      <c r="BH142" s="5" t="s">
        <v>283</v>
      </c>
      <c r="BI142" s="6" t="s">
        <v>293</v>
      </c>
      <c r="BJ142" s="5" t="s">
        <v>255</v>
      </c>
      <c r="BK142" s="5" t="s">
        <v>256</v>
      </c>
      <c r="BL142" s="5" t="s">
        <v>238</v>
      </c>
      <c r="BM142" s="7">
        <f>0</f>
        <v>0</v>
      </c>
      <c r="BN142" s="8">
        <f>0</f>
        <v>0</v>
      </c>
      <c r="BO142" s="5" t="s">
        <v>257</v>
      </c>
      <c r="BP142" s="5" t="s">
        <v>258</v>
      </c>
      <c r="BQ142" s="5" t="s">
        <v>238</v>
      </c>
      <c r="BR142" s="5" t="s">
        <v>238</v>
      </c>
      <c r="BS142" s="5" t="s">
        <v>238</v>
      </c>
      <c r="BT142" s="5" t="s">
        <v>238</v>
      </c>
      <c r="CC142" s="5" t="s">
        <v>258</v>
      </c>
      <c r="CD142" s="5" t="s">
        <v>238</v>
      </c>
      <c r="CE142" s="5" t="s">
        <v>238</v>
      </c>
      <c r="CI142" s="5" t="s">
        <v>527</v>
      </c>
      <c r="CJ142" s="5" t="s">
        <v>260</v>
      </c>
      <c r="CK142" s="5" t="s">
        <v>238</v>
      </c>
      <c r="CM142" s="5" t="s">
        <v>908</v>
      </c>
      <c r="CN142" s="6" t="s">
        <v>262</v>
      </c>
      <c r="CO142" s="5" t="s">
        <v>263</v>
      </c>
      <c r="CP142" s="5" t="s">
        <v>264</v>
      </c>
      <c r="CQ142" s="5" t="s">
        <v>285</v>
      </c>
      <c r="CR142" s="5" t="s">
        <v>238</v>
      </c>
      <c r="CS142" s="5">
        <v>0</v>
      </c>
      <c r="CT142" s="5" t="s">
        <v>265</v>
      </c>
      <c r="CU142" s="5" t="s">
        <v>266</v>
      </c>
      <c r="CV142" s="5" t="s">
        <v>267</v>
      </c>
      <c r="CW142" s="7">
        <f>0</f>
        <v>0</v>
      </c>
      <c r="CX142" s="8">
        <f>1190400</f>
        <v>1190400</v>
      </c>
      <c r="CY142" s="8">
        <f>1</f>
        <v>1</v>
      </c>
      <c r="DA142" s="5" t="s">
        <v>238</v>
      </c>
      <c r="DB142" s="5" t="s">
        <v>238</v>
      </c>
      <c r="DD142" s="5" t="s">
        <v>238</v>
      </c>
      <c r="DE142" s="8">
        <f>0</f>
        <v>0</v>
      </c>
      <c r="DG142" s="5" t="s">
        <v>238</v>
      </c>
      <c r="DH142" s="5" t="s">
        <v>238</v>
      </c>
      <c r="DI142" s="5" t="s">
        <v>238</v>
      </c>
      <c r="DJ142" s="5" t="s">
        <v>238</v>
      </c>
      <c r="DK142" s="5" t="s">
        <v>271</v>
      </c>
      <c r="DL142" s="5" t="s">
        <v>272</v>
      </c>
      <c r="DM142" s="7">
        <f>19.84</f>
        <v>19.84</v>
      </c>
      <c r="DN142" s="5" t="s">
        <v>238</v>
      </c>
      <c r="DO142" s="5" t="s">
        <v>238</v>
      </c>
      <c r="DP142" s="5" t="s">
        <v>238</v>
      </c>
      <c r="DQ142" s="5" t="s">
        <v>238</v>
      </c>
      <c r="DT142" s="5" t="s">
        <v>3940</v>
      </c>
      <c r="DU142" s="5" t="s">
        <v>271</v>
      </c>
      <c r="HM142" s="5" t="s">
        <v>271</v>
      </c>
      <c r="HP142" s="5" t="s">
        <v>272</v>
      </c>
      <c r="HQ142" s="5" t="s">
        <v>272</v>
      </c>
      <c r="HR142" s="5" t="s">
        <v>238</v>
      </c>
      <c r="HS142" s="5" t="s">
        <v>238</v>
      </c>
      <c r="HT142" s="5" t="s">
        <v>238</v>
      </c>
      <c r="HU142" s="5" t="s">
        <v>238</v>
      </c>
      <c r="HV142" s="5" t="s">
        <v>238</v>
      </c>
      <c r="HW142" s="5" t="s">
        <v>238</v>
      </c>
      <c r="HX142" s="5" t="s">
        <v>238</v>
      </c>
      <c r="HY142" s="5" t="s">
        <v>238</v>
      </c>
      <c r="HZ142" s="5" t="s">
        <v>238</v>
      </c>
      <c r="IA142" s="5" t="s">
        <v>238</v>
      </c>
      <c r="IB142" s="5" t="s">
        <v>238</v>
      </c>
      <c r="IC142" s="5" t="s">
        <v>238</v>
      </c>
      <c r="ID142" s="5" t="s">
        <v>238</v>
      </c>
    </row>
    <row r="143" spans="1:238" x14ac:dyDescent="0.4">
      <c r="A143" s="5">
        <v>153</v>
      </c>
      <c r="B143" s="5">
        <v>1</v>
      </c>
      <c r="C143" s="5">
        <v>2</v>
      </c>
      <c r="D143" s="5" t="s">
        <v>3934</v>
      </c>
      <c r="E143" s="5" t="s">
        <v>751</v>
      </c>
      <c r="F143" s="5" t="s">
        <v>282</v>
      </c>
      <c r="G143" s="5" t="s">
        <v>752</v>
      </c>
      <c r="H143" s="6" t="s">
        <v>3935</v>
      </c>
      <c r="I143" s="5" t="s">
        <v>3933</v>
      </c>
      <c r="J143" s="7">
        <f>10.64</f>
        <v>10.64</v>
      </c>
      <c r="K143" s="5" t="s">
        <v>270</v>
      </c>
      <c r="L143" s="8">
        <f>1</f>
        <v>1</v>
      </c>
      <c r="M143" s="8">
        <f>638400</f>
        <v>638400</v>
      </c>
      <c r="N143" s="6" t="s">
        <v>906</v>
      </c>
      <c r="O143" s="5" t="s">
        <v>268</v>
      </c>
      <c r="P143" s="5" t="s">
        <v>909</v>
      </c>
      <c r="R143" s="8">
        <f>638399</f>
        <v>638399</v>
      </c>
      <c r="S143" s="5" t="s">
        <v>240</v>
      </c>
      <c r="T143" s="5" t="s">
        <v>237</v>
      </c>
      <c r="W143" s="5" t="s">
        <v>241</v>
      </c>
      <c r="X143" s="5" t="s">
        <v>750</v>
      </c>
      <c r="Y143" s="5" t="s">
        <v>238</v>
      </c>
      <c r="AB143" s="5" t="s">
        <v>238</v>
      </c>
      <c r="AC143" s="6" t="s">
        <v>238</v>
      </c>
      <c r="AD143" s="6" t="s">
        <v>238</v>
      </c>
      <c r="AF143" s="6" t="s">
        <v>238</v>
      </c>
      <c r="AG143" s="6" t="s">
        <v>246</v>
      </c>
      <c r="AH143" s="5" t="s">
        <v>247</v>
      </c>
      <c r="AI143" s="5" t="s">
        <v>248</v>
      </c>
      <c r="AT143" s="6" t="s">
        <v>238</v>
      </c>
      <c r="AW143" s="5" t="s">
        <v>304</v>
      </c>
      <c r="AX143" s="5" t="s">
        <v>304</v>
      </c>
      <c r="AY143" s="5" t="s">
        <v>250</v>
      </c>
      <c r="AZ143" s="5" t="s">
        <v>305</v>
      </c>
      <c r="BA143" s="5" t="s">
        <v>251</v>
      </c>
      <c r="BB143" s="5" t="s">
        <v>238</v>
      </c>
      <c r="BC143" s="5" t="s">
        <v>253</v>
      </c>
      <c r="BD143" s="5" t="s">
        <v>238</v>
      </c>
      <c r="BF143" s="5" t="s">
        <v>760</v>
      </c>
      <c r="BH143" s="5" t="s">
        <v>283</v>
      </c>
      <c r="BI143" s="6" t="s">
        <v>293</v>
      </c>
      <c r="BJ143" s="5" t="s">
        <v>255</v>
      </c>
      <c r="BK143" s="5" t="s">
        <v>256</v>
      </c>
      <c r="BL143" s="5" t="s">
        <v>238</v>
      </c>
      <c r="BM143" s="7">
        <f>0</f>
        <v>0</v>
      </c>
      <c r="BN143" s="8">
        <f>0</f>
        <v>0</v>
      </c>
      <c r="BO143" s="5" t="s">
        <v>257</v>
      </c>
      <c r="BP143" s="5" t="s">
        <v>258</v>
      </c>
      <c r="BQ143" s="5" t="s">
        <v>238</v>
      </c>
      <c r="BR143" s="5" t="s">
        <v>238</v>
      </c>
      <c r="BS143" s="5" t="s">
        <v>238</v>
      </c>
      <c r="BT143" s="5" t="s">
        <v>238</v>
      </c>
      <c r="CC143" s="5" t="s">
        <v>258</v>
      </c>
      <c r="CD143" s="5" t="s">
        <v>238</v>
      </c>
      <c r="CE143" s="5" t="s">
        <v>238</v>
      </c>
      <c r="CI143" s="5" t="s">
        <v>527</v>
      </c>
      <c r="CJ143" s="5" t="s">
        <v>260</v>
      </c>
      <c r="CK143" s="5" t="s">
        <v>238</v>
      </c>
      <c r="CM143" s="5" t="s">
        <v>908</v>
      </c>
      <c r="CN143" s="6" t="s">
        <v>262</v>
      </c>
      <c r="CO143" s="5" t="s">
        <v>263</v>
      </c>
      <c r="CP143" s="5" t="s">
        <v>264</v>
      </c>
      <c r="CQ143" s="5" t="s">
        <v>285</v>
      </c>
      <c r="CR143" s="5" t="s">
        <v>238</v>
      </c>
      <c r="CS143" s="5">
        <v>0</v>
      </c>
      <c r="CT143" s="5" t="s">
        <v>265</v>
      </c>
      <c r="CU143" s="5" t="s">
        <v>266</v>
      </c>
      <c r="CV143" s="5" t="s">
        <v>267</v>
      </c>
      <c r="CW143" s="7">
        <f>0</f>
        <v>0</v>
      </c>
      <c r="CX143" s="8">
        <f>638400</f>
        <v>638400</v>
      </c>
      <c r="CY143" s="8">
        <f>1</f>
        <v>1</v>
      </c>
      <c r="DA143" s="5" t="s">
        <v>238</v>
      </c>
      <c r="DB143" s="5" t="s">
        <v>238</v>
      </c>
      <c r="DD143" s="5" t="s">
        <v>238</v>
      </c>
      <c r="DE143" s="8">
        <f>0</f>
        <v>0</v>
      </c>
      <c r="DG143" s="5" t="s">
        <v>238</v>
      </c>
      <c r="DH143" s="5" t="s">
        <v>238</v>
      </c>
      <c r="DI143" s="5" t="s">
        <v>238</v>
      </c>
      <c r="DJ143" s="5" t="s">
        <v>238</v>
      </c>
      <c r="DK143" s="5" t="s">
        <v>271</v>
      </c>
      <c r="DL143" s="5" t="s">
        <v>272</v>
      </c>
      <c r="DM143" s="7">
        <f>10.64</f>
        <v>10.64</v>
      </c>
      <c r="DN143" s="5" t="s">
        <v>238</v>
      </c>
      <c r="DO143" s="5" t="s">
        <v>238</v>
      </c>
      <c r="DP143" s="5" t="s">
        <v>238</v>
      </c>
      <c r="DQ143" s="5" t="s">
        <v>238</v>
      </c>
      <c r="DT143" s="5" t="s">
        <v>3936</v>
      </c>
      <c r="DU143" s="5" t="s">
        <v>271</v>
      </c>
      <c r="HM143" s="5" t="s">
        <v>271</v>
      </c>
      <c r="HP143" s="5" t="s">
        <v>272</v>
      </c>
      <c r="HQ143" s="5" t="s">
        <v>272</v>
      </c>
      <c r="HR143" s="5" t="s">
        <v>238</v>
      </c>
      <c r="HS143" s="5" t="s">
        <v>238</v>
      </c>
      <c r="HT143" s="5" t="s">
        <v>238</v>
      </c>
      <c r="HU143" s="5" t="s">
        <v>238</v>
      </c>
      <c r="HV143" s="5" t="s">
        <v>238</v>
      </c>
      <c r="HW143" s="5" t="s">
        <v>238</v>
      </c>
      <c r="HX143" s="5" t="s">
        <v>238</v>
      </c>
      <c r="HY143" s="5" t="s">
        <v>238</v>
      </c>
      <c r="HZ143" s="5" t="s">
        <v>238</v>
      </c>
      <c r="IA143" s="5" t="s">
        <v>238</v>
      </c>
      <c r="IB143" s="5" t="s">
        <v>238</v>
      </c>
      <c r="IC143" s="5" t="s">
        <v>238</v>
      </c>
      <c r="ID143" s="5" t="s">
        <v>238</v>
      </c>
    </row>
    <row r="144" spans="1:238" x14ac:dyDescent="0.4">
      <c r="A144" s="5">
        <v>155</v>
      </c>
      <c r="B144" s="5">
        <v>1</v>
      </c>
      <c r="C144" s="5">
        <v>5</v>
      </c>
      <c r="D144" s="5" t="s">
        <v>3253</v>
      </c>
      <c r="E144" s="5" t="s">
        <v>751</v>
      </c>
      <c r="F144" s="5" t="s">
        <v>282</v>
      </c>
      <c r="G144" s="5" t="s">
        <v>752</v>
      </c>
      <c r="H144" s="6" t="s">
        <v>3254</v>
      </c>
      <c r="I144" s="5" t="s">
        <v>3252</v>
      </c>
      <c r="J144" s="7">
        <f>33.12</f>
        <v>33.119999999999997</v>
      </c>
      <c r="K144" s="5" t="s">
        <v>270</v>
      </c>
      <c r="L144" s="8">
        <f>4738163</f>
        <v>4738163</v>
      </c>
      <c r="M144" s="8">
        <f>6285136</f>
        <v>6285136</v>
      </c>
      <c r="N144" s="6" t="s">
        <v>1085</v>
      </c>
      <c r="O144" s="5" t="s">
        <v>268</v>
      </c>
      <c r="P144" s="5" t="s">
        <v>274</v>
      </c>
      <c r="Q144" s="8">
        <f>370823</f>
        <v>370823</v>
      </c>
      <c r="R144" s="8">
        <f>1546973</f>
        <v>1546973</v>
      </c>
      <c r="S144" s="5" t="s">
        <v>240</v>
      </c>
      <c r="T144" s="5" t="s">
        <v>237</v>
      </c>
      <c r="W144" s="5" t="s">
        <v>241</v>
      </c>
      <c r="X144" s="5" t="s">
        <v>750</v>
      </c>
      <c r="Y144" s="5" t="s">
        <v>238</v>
      </c>
      <c r="AB144" s="5" t="s">
        <v>238</v>
      </c>
      <c r="AC144" s="6" t="s">
        <v>238</v>
      </c>
      <c r="AD144" s="6" t="s">
        <v>238</v>
      </c>
      <c r="AF144" s="6" t="s">
        <v>238</v>
      </c>
      <c r="AG144" s="6" t="s">
        <v>246</v>
      </c>
      <c r="AH144" s="5" t="s">
        <v>247</v>
      </c>
      <c r="AI144" s="5" t="s">
        <v>248</v>
      </c>
      <c r="AO144" s="5" t="s">
        <v>238</v>
      </c>
      <c r="AP144" s="5" t="s">
        <v>238</v>
      </c>
      <c r="AQ144" s="5" t="s">
        <v>238</v>
      </c>
      <c r="AR144" s="6" t="s">
        <v>238</v>
      </c>
      <c r="AS144" s="6" t="s">
        <v>238</v>
      </c>
      <c r="AT144" s="6" t="s">
        <v>238</v>
      </c>
      <c r="AW144" s="5" t="s">
        <v>304</v>
      </c>
      <c r="AX144" s="5" t="s">
        <v>304</v>
      </c>
      <c r="AY144" s="5" t="s">
        <v>250</v>
      </c>
      <c r="AZ144" s="5" t="s">
        <v>305</v>
      </c>
      <c r="BA144" s="5" t="s">
        <v>251</v>
      </c>
      <c r="BB144" s="5" t="s">
        <v>238</v>
      </c>
      <c r="BC144" s="5" t="s">
        <v>253</v>
      </c>
      <c r="BD144" s="5" t="s">
        <v>238</v>
      </c>
      <c r="BF144" s="5" t="s">
        <v>238</v>
      </c>
      <c r="BH144" s="5" t="s">
        <v>283</v>
      </c>
      <c r="BI144" s="6" t="s">
        <v>293</v>
      </c>
      <c r="BJ144" s="5" t="s">
        <v>294</v>
      </c>
      <c r="BK144" s="5" t="s">
        <v>294</v>
      </c>
      <c r="BL144" s="5" t="s">
        <v>238</v>
      </c>
      <c r="BM144" s="7">
        <f>0</f>
        <v>0</v>
      </c>
      <c r="BN144" s="8">
        <f>-434504</f>
        <v>-434504</v>
      </c>
      <c r="BO144" s="5" t="s">
        <v>257</v>
      </c>
      <c r="BP144" s="5" t="s">
        <v>258</v>
      </c>
      <c r="BQ144" s="5" t="s">
        <v>238</v>
      </c>
      <c r="BR144" s="5" t="s">
        <v>238</v>
      </c>
      <c r="BS144" s="5" t="s">
        <v>238</v>
      </c>
      <c r="BT144" s="5" t="s">
        <v>238</v>
      </c>
      <c r="CC144" s="5" t="s">
        <v>258</v>
      </c>
      <c r="CD144" s="5" t="s">
        <v>238</v>
      </c>
      <c r="CE144" s="5" t="s">
        <v>238</v>
      </c>
      <c r="CI144" s="5" t="s">
        <v>259</v>
      </c>
      <c r="CJ144" s="5" t="s">
        <v>260</v>
      </c>
      <c r="CK144" s="5" t="s">
        <v>238</v>
      </c>
      <c r="CM144" s="5" t="s">
        <v>402</v>
      </c>
      <c r="CN144" s="6" t="s">
        <v>262</v>
      </c>
      <c r="CO144" s="5" t="s">
        <v>263</v>
      </c>
      <c r="CP144" s="5" t="s">
        <v>264</v>
      </c>
      <c r="CQ144" s="5" t="s">
        <v>285</v>
      </c>
      <c r="CR144" s="5" t="s">
        <v>238</v>
      </c>
      <c r="CS144" s="5">
        <v>5.8999999999999997E-2</v>
      </c>
      <c r="CT144" s="5" t="s">
        <v>265</v>
      </c>
      <c r="CU144" s="5" t="s">
        <v>1187</v>
      </c>
      <c r="CV144" s="5" t="s">
        <v>267</v>
      </c>
      <c r="CW144" s="7">
        <f>0</f>
        <v>0</v>
      </c>
      <c r="CX144" s="8">
        <f>6285136</f>
        <v>6285136</v>
      </c>
      <c r="CY144" s="8">
        <f>4738163</f>
        <v>4738163</v>
      </c>
      <c r="DA144" s="5" t="s">
        <v>238</v>
      </c>
      <c r="DB144" s="5" t="s">
        <v>238</v>
      </c>
      <c r="DD144" s="5" t="s">
        <v>238</v>
      </c>
      <c r="DE144" s="8">
        <f>0</f>
        <v>0</v>
      </c>
      <c r="DG144" s="5" t="s">
        <v>238</v>
      </c>
      <c r="DH144" s="5" t="s">
        <v>238</v>
      </c>
      <c r="DI144" s="5" t="s">
        <v>238</v>
      </c>
      <c r="DJ144" s="5" t="s">
        <v>238</v>
      </c>
      <c r="DK144" s="5" t="s">
        <v>271</v>
      </c>
      <c r="DL144" s="5" t="s">
        <v>272</v>
      </c>
      <c r="DM144" s="7">
        <f>33.12</f>
        <v>33.119999999999997</v>
      </c>
      <c r="DN144" s="5" t="s">
        <v>238</v>
      </c>
      <c r="DO144" s="5" t="s">
        <v>238</v>
      </c>
      <c r="DP144" s="5" t="s">
        <v>238</v>
      </c>
      <c r="DQ144" s="5" t="s">
        <v>238</v>
      </c>
      <c r="DT144" s="5" t="s">
        <v>3255</v>
      </c>
      <c r="DU144" s="5" t="s">
        <v>274</v>
      </c>
      <c r="GL144" s="5" t="s">
        <v>3256</v>
      </c>
      <c r="HM144" s="5" t="s">
        <v>310</v>
      </c>
      <c r="HP144" s="5" t="s">
        <v>272</v>
      </c>
      <c r="HQ144" s="5" t="s">
        <v>272</v>
      </c>
      <c r="HR144" s="5" t="s">
        <v>238</v>
      </c>
      <c r="HS144" s="5" t="s">
        <v>238</v>
      </c>
      <c r="HT144" s="5" t="s">
        <v>238</v>
      </c>
      <c r="HU144" s="5" t="s">
        <v>238</v>
      </c>
      <c r="HV144" s="5" t="s">
        <v>238</v>
      </c>
      <c r="HW144" s="5" t="s">
        <v>238</v>
      </c>
      <c r="HX144" s="5" t="s">
        <v>238</v>
      </c>
      <c r="HY144" s="5" t="s">
        <v>238</v>
      </c>
      <c r="HZ144" s="5" t="s">
        <v>238</v>
      </c>
      <c r="IA144" s="5" t="s">
        <v>238</v>
      </c>
      <c r="IB144" s="5" t="s">
        <v>238</v>
      </c>
      <c r="IC144" s="5" t="s">
        <v>238</v>
      </c>
      <c r="ID144" s="5" t="s">
        <v>238</v>
      </c>
    </row>
    <row r="145" spans="1:238" x14ac:dyDescent="0.4">
      <c r="A145" s="5">
        <v>156</v>
      </c>
      <c r="B145" s="5">
        <v>1</v>
      </c>
      <c r="C145" s="5">
        <v>2</v>
      </c>
      <c r="D145" s="5" t="s">
        <v>3930</v>
      </c>
      <c r="E145" s="5" t="s">
        <v>751</v>
      </c>
      <c r="F145" s="5" t="s">
        <v>282</v>
      </c>
      <c r="G145" s="5" t="s">
        <v>752</v>
      </c>
      <c r="H145" s="6" t="s">
        <v>3931</v>
      </c>
      <c r="I145" s="5" t="s">
        <v>3929</v>
      </c>
      <c r="J145" s="7">
        <f>7.48</f>
        <v>7.48</v>
      </c>
      <c r="K145" s="5" t="s">
        <v>270</v>
      </c>
      <c r="L145" s="8">
        <f>1</f>
        <v>1</v>
      </c>
      <c r="M145" s="8">
        <f>448800</f>
        <v>448800</v>
      </c>
      <c r="N145" s="6" t="s">
        <v>906</v>
      </c>
      <c r="O145" s="5" t="s">
        <v>268</v>
      </c>
      <c r="P145" s="5" t="s">
        <v>909</v>
      </c>
      <c r="R145" s="8">
        <f>448799</f>
        <v>448799</v>
      </c>
      <c r="S145" s="5" t="s">
        <v>240</v>
      </c>
      <c r="T145" s="5" t="s">
        <v>237</v>
      </c>
      <c r="W145" s="5" t="s">
        <v>241</v>
      </c>
      <c r="X145" s="5" t="s">
        <v>750</v>
      </c>
      <c r="Y145" s="5" t="s">
        <v>238</v>
      </c>
      <c r="AB145" s="5" t="s">
        <v>238</v>
      </c>
      <c r="AC145" s="6" t="s">
        <v>238</v>
      </c>
      <c r="AD145" s="6" t="s">
        <v>238</v>
      </c>
      <c r="AF145" s="6" t="s">
        <v>238</v>
      </c>
      <c r="AG145" s="6" t="s">
        <v>246</v>
      </c>
      <c r="AH145" s="5" t="s">
        <v>247</v>
      </c>
      <c r="AI145" s="5" t="s">
        <v>248</v>
      </c>
      <c r="AT145" s="6" t="s">
        <v>238</v>
      </c>
      <c r="AW145" s="5" t="s">
        <v>304</v>
      </c>
      <c r="AX145" s="5" t="s">
        <v>304</v>
      </c>
      <c r="AY145" s="5" t="s">
        <v>250</v>
      </c>
      <c r="AZ145" s="5" t="s">
        <v>305</v>
      </c>
      <c r="BA145" s="5" t="s">
        <v>251</v>
      </c>
      <c r="BB145" s="5" t="s">
        <v>238</v>
      </c>
      <c r="BC145" s="5" t="s">
        <v>253</v>
      </c>
      <c r="BD145" s="5" t="s">
        <v>238</v>
      </c>
      <c r="BF145" s="5" t="s">
        <v>760</v>
      </c>
      <c r="BH145" s="5" t="s">
        <v>283</v>
      </c>
      <c r="BI145" s="6" t="s">
        <v>293</v>
      </c>
      <c r="BJ145" s="5" t="s">
        <v>255</v>
      </c>
      <c r="BK145" s="5" t="s">
        <v>256</v>
      </c>
      <c r="BL145" s="5" t="s">
        <v>238</v>
      </c>
      <c r="BM145" s="7">
        <f>0</f>
        <v>0</v>
      </c>
      <c r="BN145" s="8">
        <f>0</f>
        <v>0</v>
      </c>
      <c r="BO145" s="5" t="s">
        <v>257</v>
      </c>
      <c r="BP145" s="5" t="s">
        <v>258</v>
      </c>
      <c r="BQ145" s="5" t="s">
        <v>238</v>
      </c>
      <c r="BR145" s="5" t="s">
        <v>238</v>
      </c>
      <c r="BS145" s="5" t="s">
        <v>238</v>
      </c>
      <c r="BT145" s="5" t="s">
        <v>238</v>
      </c>
      <c r="CC145" s="5" t="s">
        <v>258</v>
      </c>
      <c r="CD145" s="5" t="s">
        <v>238</v>
      </c>
      <c r="CE145" s="5" t="s">
        <v>238</v>
      </c>
      <c r="CI145" s="5" t="s">
        <v>527</v>
      </c>
      <c r="CJ145" s="5" t="s">
        <v>260</v>
      </c>
      <c r="CK145" s="5" t="s">
        <v>238</v>
      </c>
      <c r="CM145" s="5" t="s">
        <v>908</v>
      </c>
      <c r="CN145" s="6" t="s">
        <v>262</v>
      </c>
      <c r="CO145" s="5" t="s">
        <v>263</v>
      </c>
      <c r="CP145" s="5" t="s">
        <v>264</v>
      </c>
      <c r="CQ145" s="5" t="s">
        <v>285</v>
      </c>
      <c r="CR145" s="5" t="s">
        <v>238</v>
      </c>
      <c r="CS145" s="5">
        <v>0</v>
      </c>
      <c r="CT145" s="5" t="s">
        <v>265</v>
      </c>
      <c r="CU145" s="5" t="s">
        <v>266</v>
      </c>
      <c r="CV145" s="5" t="s">
        <v>267</v>
      </c>
      <c r="CW145" s="7">
        <f>0</f>
        <v>0</v>
      </c>
      <c r="CX145" s="8">
        <f>448800</f>
        <v>448800</v>
      </c>
      <c r="CY145" s="8">
        <f>1</f>
        <v>1</v>
      </c>
      <c r="DA145" s="5" t="s">
        <v>238</v>
      </c>
      <c r="DB145" s="5" t="s">
        <v>238</v>
      </c>
      <c r="DD145" s="5" t="s">
        <v>238</v>
      </c>
      <c r="DE145" s="8">
        <f>0</f>
        <v>0</v>
      </c>
      <c r="DG145" s="5" t="s">
        <v>238</v>
      </c>
      <c r="DH145" s="5" t="s">
        <v>238</v>
      </c>
      <c r="DI145" s="5" t="s">
        <v>238</v>
      </c>
      <c r="DJ145" s="5" t="s">
        <v>238</v>
      </c>
      <c r="DK145" s="5" t="s">
        <v>271</v>
      </c>
      <c r="DL145" s="5" t="s">
        <v>272</v>
      </c>
      <c r="DM145" s="7">
        <f>7.48</f>
        <v>7.48</v>
      </c>
      <c r="DN145" s="5" t="s">
        <v>238</v>
      </c>
      <c r="DO145" s="5" t="s">
        <v>238</v>
      </c>
      <c r="DP145" s="5" t="s">
        <v>238</v>
      </c>
      <c r="DQ145" s="5" t="s">
        <v>238</v>
      </c>
      <c r="DT145" s="5" t="s">
        <v>3932</v>
      </c>
      <c r="DU145" s="5" t="s">
        <v>271</v>
      </c>
      <c r="HM145" s="5" t="s">
        <v>271</v>
      </c>
      <c r="HP145" s="5" t="s">
        <v>272</v>
      </c>
      <c r="HQ145" s="5" t="s">
        <v>272</v>
      </c>
      <c r="HR145" s="5" t="s">
        <v>238</v>
      </c>
      <c r="HS145" s="5" t="s">
        <v>238</v>
      </c>
      <c r="HT145" s="5" t="s">
        <v>238</v>
      </c>
      <c r="HU145" s="5" t="s">
        <v>238</v>
      </c>
      <c r="HV145" s="5" t="s">
        <v>238</v>
      </c>
      <c r="HW145" s="5" t="s">
        <v>238</v>
      </c>
      <c r="HX145" s="5" t="s">
        <v>238</v>
      </c>
      <c r="HY145" s="5" t="s">
        <v>238</v>
      </c>
      <c r="HZ145" s="5" t="s">
        <v>238</v>
      </c>
      <c r="IA145" s="5" t="s">
        <v>238</v>
      </c>
      <c r="IB145" s="5" t="s">
        <v>238</v>
      </c>
      <c r="IC145" s="5" t="s">
        <v>238</v>
      </c>
      <c r="ID145" s="5" t="s">
        <v>238</v>
      </c>
    </row>
    <row r="146" spans="1:238" x14ac:dyDescent="0.4">
      <c r="A146" s="5">
        <v>157</v>
      </c>
      <c r="B146" s="5">
        <v>1</v>
      </c>
      <c r="C146" s="5">
        <v>2</v>
      </c>
      <c r="D146" s="5" t="s">
        <v>3926</v>
      </c>
      <c r="E146" s="5" t="s">
        <v>751</v>
      </c>
      <c r="F146" s="5" t="s">
        <v>282</v>
      </c>
      <c r="G146" s="5" t="s">
        <v>752</v>
      </c>
      <c r="H146" s="6" t="s">
        <v>3927</v>
      </c>
      <c r="I146" s="5" t="s">
        <v>3925</v>
      </c>
      <c r="J146" s="7">
        <f>19.84</f>
        <v>19.84</v>
      </c>
      <c r="K146" s="5" t="s">
        <v>270</v>
      </c>
      <c r="L146" s="8">
        <f>1</f>
        <v>1</v>
      </c>
      <c r="M146" s="8">
        <f>1190400</f>
        <v>1190400</v>
      </c>
      <c r="N146" s="6" t="s">
        <v>906</v>
      </c>
      <c r="O146" s="5" t="s">
        <v>268</v>
      </c>
      <c r="P146" s="5" t="s">
        <v>909</v>
      </c>
      <c r="R146" s="8">
        <f>1190399</f>
        <v>1190399</v>
      </c>
      <c r="S146" s="5" t="s">
        <v>240</v>
      </c>
      <c r="T146" s="5" t="s">
        <v>237</v>
      </c>
      <c r="W146" s="5" t="s">
        <v>241</v>
      </c>
      <c r="X146" s="5" t="s">
        <v>750</v>
      </c>
      <c r="Y146" s="5" t="s">
        <v>238</v>
      </c>
      <c r="AB146" s="5" t="s">
        <v>238</v>
      </c>
      <c r="AC146" s="6" t="s">
        <v>238</v>
      </c>
      <c r="AD146" s="6" t="s">
        <v>238</v>
      </c>
      <c r="AF146" s="6" t="s">
        <v>238</v>
      </c>
      <c r="AG146" s="6" t="s">
        <v>246</v>
      </c>
      <c r="AH146" s="5" t="s">
        <v>247</v>
      </c>
      <c r="AI146" s="5" t="s">
        <v>248</v>
      </c>
      <c r="AT146" s="6" t="s">
        <v>238</v>
      </c>
      <c r="AW146" s="5" t="s">
        <v>304</v>
      </c>
      <c r="AX146" s="5" t="s">
        <v>304</v>
      </c>
      <c r="AY146" s="5" t="s">
        <v>250</v>
      </c>
      <c r="AZ146" s="5" t="s">
        <v>305</v>
      </c>
      <c r="BA146" s="5" t="s">
        <v>251</v>
      </c>
      <c r="BB146" s="5" t="s">
        <v>238</v>
      </c>
      <c r="BC146" s="5" t="s">
        <v>253</v>
      </c>
      <c r="BD146" s="5" t="s">
        <v>238</v>
      </c>
      <c r="BF146" s="5" t="s">
        <v>760</v>
      </c>
      <c r="BH146" s="5" t="s">
        <v>283</v>
      </c>
      <c r="BI146" s="6" t="s">
        <v>293</v>
      </c>
      <c r="BJ146" s="5" t="s">
        <v>255</v>
      </c>
      <c r="BK146" s="5" t="s">
        <v>256</v>
      </c>
      <c r="BL146" s="5" t="s">
        <v>238</v>
      </c>
      <c r="BM146" s="7">
        <f>0</f>
        <v>0</v>
      </c>
      <c r="BN146" s="8">
        <f>0</f>
        <v>0</v>
      </c>
      <c r="BO146" s="5" t="s">
        <v>257</v>
      </c>
      <c r="BP146" s="5" t="s">
        <v>258</v>
      </c>
      <c r="BQ146" s="5" t="s">
        <v>238</v>
      </c>
      <c r="BR146" s="5" t="s">
        <v>238</v>
      </c>
      <c r="BS146" s="5" t="s">
        <v>238</v>
      </c>
      <c r="BT146" s="5" t="s">
        <v>238</v>
      </c>
      <c r="CC146" s="5" t="s">
        <v>258</v>
      </c>
      <c r="CD146" s="5" t="s">
        <v>238</v>
      </c>
      <c r="CE146" s="5" t="s">
        <v>238</v>
      </c>
      <c r="CI146" s="5" t="s">
        <v>527</v>
      </c>
      <c r="CJ146" s="5" t="s">
        <v>260</v>
      </c>
      <c r="CK146" s="5" t="s">
        <v>238</v>
      </c>
      <c r="CM146" s="5" t="s">
        <v>908</v>
      </c>
      <c r="CN146" s="6" t="s">
        <v>262</v>
      </c>
      <c r="CO146" s="5" t="s">
        <v>263</v>
      </c>
      <c r="CP146" s="5" t="s">
        <v>264</v>
      </c>
      <c r="CQ146" s="5" t="s">
        <v>285</v>
      </c>
      <c r="CR146" s="5" t="s">
        <v>238</v>
      </c>
      <c r="CS146" s="5">
        <v>0</v>
      </c>
      <c r="CT146" s="5" t="s">
        <v>265</v>
      </c>
      <c r="CU146" s="5" t="s">
        <v>266</v>
      </c>
      <c r="CV146" s="5" t="s">
        <v>267</v>
      </c>
      <c r="CW146" s="7">
        <f>0</f>
        <v>0</v>
      </c>
      <c r="CX146" s="8">
        <f>1190400</f>
        <v>1190400</v>
      </c>
      <c r="CY146" s="8">
        <f>1</f>
        <v>1</v>
      </c>
      <c r="DA146" s="5" t="s">
        <v>238</v>
      </c>
      <c r="DB146" s="5" t="s">
        <v>238</v>
      </c>
      <c r="DD146" s="5" t="s">
        <v>238</v>
      </c>
      <c r="DE146" s="8">
        <f>0</f>
        <v>0</v>
      </c>
      <c r="DG146" s="5" t="s">
        <v>238</v>
      </c>
      <c r="DH146" s="5" t="s">
        <v>238</v>
      </c>
      <c r="DI146" s="5" t="s">
        <v>238</v>
      </c>
      <c r="DJ146" s="5" t="s">
        <v>238</v>
      </c>
      <c r="DK146" s="5" t="s">
        <v>271</v>
      </c>
      <c r="DL146" s="5" t="s">
        <v>272</v>
      </c>
      <c r="DM146" s="7">
        <f>19.84</f>
        <v>19.84</v>
      </c>
      <c r="DN146" s="5" t="s">
        <v>238</v>
      </c>
      <c r="DO146" s="5" t="s">
        <v>238</v>
      </c>
      <c r="DP146" s="5" t="s">
        <v>238</v>
      </c>
      <c r="DQ146" s="5" t="s">
        <v>238</v>
      </c>
      <c r="DT146" s="5" t="s">
        <v>3928</v>
      </c>
      <c r="DU146" s="5" t="s">
        <v>271</v>
      </c>
      <c r="HM146" s="5" t="s">
        <v>271</v>
      </c>
      <c r="HP146" s="5" t="s">
        <v>272</v>
      </c>
      <c r="HQ146" s="5" t="s">
        <v>272</v>
      </c>
      <c r="HR146" s="5" t="s">
        <v>238</v>
      </c>
      <c r="HS146" s="5" t="s">
        <v>238</v>
      </c>
      <c r="HT146" s="5" t="s">
        <v>238</v>
      </c>
      <c r="HU146" s="5" t="s">
        <v>238</v>
      </c>
      <c r="HV146" s="5" t="s">
        <v>238</v>
      </c>
      <c r="HW146" s="5" t="s">
        <v>238</v>
      </c>
      <c r="HX146" s="5" t="s">
        <v>238</v>
      </c>
      <c r="HY146" s="5" t="s">
        <v>238</v>
      </c>
      <c r="HZ146" s="5" t="s">
        <v>238</v>
      </c>
      <c r="IA146" s="5" t="s">
        <v>238</v>
      </c>
      <c r="IB146" s="5" t="s">
        <v>238</v>
      </c>
      <c r="IC146" s="5" t="s">
        <v>238</v>
      </c>
      <c r="ID146" s="5" t="s">
        <v>238</v>
      </c>
    </row>
    <row r="147" spans="1:238" x14ac:dyDescent="0.4">
      <c r="A147" s="5">
        <v>158</v>
      </c>
      <c r="B147" s="5">
        <v>1</v>
      </c>
      <c r="C147" s="5">
        <v>2</v>
      </c>
      <c r="D147" s="5" t="s">
        <v>3642</v>
      </c>
      <c r="E147" s="5" t="s">
        <v>751</v>
      </c>
      <c r="F147" s="5" t="s">
        <v>282</v>
      </c>
      <c r="G147" s="5" t="s">
        <v>752</v>
      </c>
      <c r="H147" s="6" t="s">
        <v>3643</v>
      </c>
      <c r="I147" s="5" t="s">
        <v>3641</v>
      </c>
      <c r="J147" s="7">
        <f>10.73</f>
        <v>10.73</v>
      </c>
      <c r="K147" s="5" t="s">
        <v>270</v>
      </c>
      <c r="L147" s="8">
        <f>1</f>
        <v>1</v>
      </c>
      <c r="M147" s="8">
        <f>643800</f>
        <v>643800</v>
      </c>
      <c r="N147" s="6" t="s">
        <v>906</v>
      </c>
      <c r="O147" s="5" t="s">
        <v>268</v>
      </c>
      <c r="P147" s="5" t="s">
        <v>909</v>
      </c>
      <c r="R147" s="8">
        <f>643799</f>
        <v>643799</v>
      </c>
      <c r="S147" s="5" t="s">
        <v>240</v>
      </c>
      <c r="T147" s="5" t="s">
        <v>237</v>
      </c>
      <c r="W147" s="5" t="s">
        <v>241</v>
      </c>
      <c r="X147" s="5" t="s">
        <v>750</v>
      </c>
      <c r="Y147" s="5" t="s">
        <v>238</v>
      </c>
      <c r="AB147" s="5" t="s">
        <v>238</v>
      </c>
      <c r="AC147" s="6" t="s">
        <v>238</v>
      </c>
      <c r="AD147" s="6" t="s">
        <v>238</v>
      </c>
      <c r="AF147" s="6" t="s">
        <v>238</v>
      </c>
      <c r="AG147" s="6" t="s">
        <v>246</v>
      </c>
      <c r="AH147" s="5" t="s">
        <v>247</v>
      </c>
      <c r="AI147" s="5" t="s">
        <v>248</v>
      </c>
      <c r="AT147" s="6" t="s">
        <v>238</v>
      </c>
      <c r="AW147" s="5" t="s">
        <v>304</v>
      </c>
      <c r="AX147" s="5" t="s">
        <v>304</v>
      </c>
      <c r="AY147" s="5" t="s">
        <v>250</v>
      </c>
      <c r="AZ147" s="5" t="s">
        <v>305</v>
      </c>
      <c r="BA147" s="5" t="s">
        <v>251</v>
      </c>
      <c r="BB147" s="5" t="s">
        <v>238</v>
      </c>
      <c r="BC147" s="5" t="s">
        <v>253</v>
      </c>
      <c r="BD147" s="5" t="s">
        <v>238</v>
      </c>
      <c r="BF147" s="5" t="s">
        <v>760</v>
      </c>
      <c r="BH147" s="5" t="s">
        <v>283</v>
      </c>
      <c r="BI147" s="6" t="s">
        <v>293</v>
      </c>
      <c r="BJ147" s="5" t="s">
        <v>255</v>
      </c>
      <c r="BK147" s="5" t="s">
        <v>256</v>
      </c>
      <c r="BL147" s="5" t="s">
        <v>238</v>
      </c>
      <c r="BM147" s="7">
        <f>0</f>
        <v>0</v>
      </c>
      <c r="BN147" s="8">
        <f>0</f>
        <v>0</v>
      </c>
      <c r="BO147" s="5" t="s">
        <v>257</v>
      </c>
      <c r="BP147" s="5" t="s">
        <v>258</v>
      </c>
      <c r="BQ147" s="5" t="s">
        <v>238</v>
      </c>
      <c r="BR147" s="5" t="s">
        <v>238</v>
      </c>
      <c r="BS147" s="5" t="s">
        <v>238</v>
      </c>
      <c r="BT147" s="5" t="s">
        <v>238</v>
      </c>
      <c r="CC147" s="5" t="s">
        <v>258</v>
      </c>
      <c r="CD147" s="5" t="s">
        <v>238</v>
      </c>
      <c r="CE147" s="5" t="s">
        <v>238</v>
      </c>
      <c r="CI147" s="5" t="s">
        <v>527</v>
      </c>
      <c r="CJ147" s="5" t="s">
        <v>260</v>
      </c>
      <c r="CK147" s="5" t="s">
        <v>238</v>
      </c>
      <c r="CM147" s="5" t="s">
        <v>908</v>
      </c>
      <c r="CN147" s="6" t="s">
        <v>262</v>
      </c>
      <c r="CO147" s="5" t="s">
        <v>263</v>
      </c>
      <c r="CP147" s="5" t="s">
        <v>264</v>
      </c>
      <c r="CQ147" s="5" t="s">
        <v>285</v>
      </c>
      <c r="CR147" s="5" t="s">
        <v>238</v>
      </c>
      <c r="CS147" s="5">
        <v>0</v>
      </c>
      <c r="CT147" s="5" t="s">
        <v>265</v>
      </c>
      <c r="CU147" s="5" t="s">
        <v>266</v>
      </c>
      <c r="CV147" s="5" t="s">
        <v>267</v>
      </c>
      <c r="CW147" s="7">
        <f>0</f>
        <v>0</v>
      </c>
      <c r="CX147" s="8">
        <f>643800</f>
        <v>643800</v>
      </c>
      <c r="CY147" s="8">
        <f>1</f>
        <v>1</v>
      </c>
      <c r="DA147" s="5" t="s">
        <v>238</v>
      </c>
      <c r="DB147" s="5" t="s">
        <v>238</v>
      </c>
      <c r="DD147" s="5" t="s">
        <v>238</v>
      </c>
      <c r="DE147" s="8">
        <f>0</f>
        <v>0</v>
      </c>
      <c r="DG147" s="5" t="s">
        <v>238</v>
      </c>
      <c r="DH147" s="5" t="s">
        <v>238</v>
      </c>
      <c r="DI147" s="5" t="s">
        <v>238</v>
      </c>
      <c r="DJ147" s="5" t="s">
        <v>238</v>
      </c>
      <c r="DK147" s="5" t="s">
        <v>271</v>
      </c>
      <c r="DL147" s="5" t="s">
        <v>272</v>
      </c>
      <c r="DM147" s="7">
        <f>10.73</f>
        <v>10.73</v>
      </c>
      <c r="DN147" s="5" t="s">
        <v>238</v>
      </c>
      <c r="DO147" s="5" t="s">
        <v>238</v>
      </c>
      <c r="DP147" s="5" t="s">
        <v>238</v>
      </c>
      <c r="DQ147" s="5" t="s">
        <v>238</v>
      </c>
      <c r="DT147" s="5" t="s">
        <v>3644</v>
      </c>
      <c r="DU147" s="5" t="s">
        <v>271</v>
      </c>
      <c r="HM147" s="5" t="s">
        <v>271</v>
      </c>
      <c r="HP147" s="5" t="s">
        <v>272</v>
      </c>
      <c r="HQ147" s="5" t="s">
        <v>272</v>
      </c>
      <c r="HR147" s="5" t="s">
        <v>238</v>
      </c>
      <c r="HS147" s="5" t="s">
        <v>238</v>
      </c>
      <c r="HT147" s="5" t="s">
        <v>238</v>
      </c>
      <c r="HU147" s="5" t="s">
        <v>238</v>
      </c>
      <c r="HV147" s="5" t="s">
        <v>238</v>
      </c>
      <c r="HW147" s="5" t="s">
        <v>238</v>
      </c>
      <c r="HX147" s="5" t="s">
        <v>238</v>
      </c>
      <c r="HY147" s="5" t="s">
        <v>238</v>
      </c>
      <c r="HZ147" s="5" t="s">
        <v>238</v>
      </c>
      <c r="IA147" s="5" t="s">
        <v>238</v>
      </c>
      <c r="IB147" s="5" t="s">
        <v>238</v>
      </c>
      <c r="IC147" s="5" t="s">
        <v>238</v>
      </c>
      <c r="ID147" s="5" t="s">
        <v>238</v>
      </c>
    </row>
    <row r="148" spans="1:238" x14ac:dyDescent="0.4">
      <c r="A148" s="5">
        <v>160</v>
      </c>
      <c r="B148" s="5">
        <v>1</v>
      </c>
      <c r="C148" s="5">
        <v>2</v>
      </c>
      <c r="D148" s="5" t="s">
        <v>3638</v>
      </c>
      <c r="E148" s="5" t="s">
        <v>751</v>
      </c>
      <c r="F148" s="5" t="s">
        <v>282</v>
      </c>
      <c r="G148" s="5" t="s">
        <v>752</v>
      </c>
      <c r="H148" s="6" t="s">
        <v>3639</v>
      </c>
      <c r="I148" s="5" t="s">
        <v>3637</v>
      </c>
      <c r="J148" s="7">
        <f>9.93</f>
        <v>9.93</v>
      </c>
      <c r="K148" s="5" t="s">
        <v>270</v>
      </c>
      <c r="L148" s="8">
        <f>1</f>
        <v>1</v>
      </c>
      <c r="M148" s="8">
        <f>595800</f>
        <v>595800</v>
      </c>
      <c r="N148" s="6" t="s">
        <v>906</v>
      </c>
      <c r="O148" s="5" t="s">
        <v>268</v>
      </c>
      <c r="P148" s="5" t="s">
        <v>909</v>
      </c>
      <c r="R148" s="8">
        <f>595799</f>
        <v>595799</v>
      </c>
      <c r="S148" s="5" t="s">
        <v>240</v>
      </c>
      <c r="T148" s="5" t="s">
        <v>237</v>
      </c>
      <c r="W148" s="5" t="s">
        <v>241</v>
      </c>
      <c r="X148" s="5" t="s">
        <v>750</v>
      </c>
      <c r="Y148" s="5" t="s">
        <v>238</v>
      </c>
      <c r="AB148" s="5" t="s">
        <v>238</v>
      </c>
      <c r="AC148" s="6" t="s">
        <v>238</v>
      </c>
      <c r="AD148" s="6" t="s">
        <v>238</v>
      </c>
      <c r="AF148" s="6" t="s">
        <v>238</v>
      </c>
      <c r="AG148" s="6" t="s">
        <v>246</v>
      </c>
      <c r="AH148" s="5" t="s">
        <v>247</v>
      </c>
      <c r="AI148" s="5" t="s">
        <v>248</v>
      </c>
      <c r="AT148" s="6" t="s">
        <v>238</v>
      </c>
      <c r="AW148" s="5" t="s">
        <v>304</v>
      </c>
      <c r="AX148" s="5" t="s">
        <v>304</v>
      </c>
      <c r="AY148" s="5" t="s">
        <v>250</v>
      </c>
      <c r="AZ148" s="5" t="s">
        <v>305</v>
      </c>
      <c r="BA148" s="5" t="s">
        <v>251</v>
      </c>
      <c r="BB148" s="5" t="s">
        <v>238</v>
      </c>
      <c r="BC148" s="5" t="s">
        <v>253</v>
      </c>
      <c r="BD148" s="5" t="s">
        <v>238</v>
      </c>
      <c r="BF148" s="5" t="s">
        <v>760</v>
      </c>
      <c r="BH148" s="5" t="s">
        <v>283</v>
      </c>
      <c r="BI148" s="6" t="s">
        <v>293</v>
      </c>
      <c r="BJ148" s="5" t="s">
        <v>255</v>
      </c>
      <c r="BK148" s="5" t="s">
        <v>256</v>
      </c>
      <c r="BL148" s="5" t="s">
        <v>238</v>
      </c>
      <c r="BM148" s="7">
        <f>0</f>
        <v>0</v>
      </c>
      <c r="BN148" s="8">
        <f>0</f>
        <v>0</v>
      </c>
      <c r="BO148" s="5" t="s">
        <v>257</v>
      </c>
      <c r="BP148" s="5" t="s">
        <v>258</v>
      </c>
      <c r="BQ148" s="5" t="s">
        <v>238</v>
      </c>
      <c r="BR148" s="5" t="s">
        <v>238</v>
      </c>
      <c r="BS148" s="5" t="s">
        <v>238</v>
      </c>
      <c r="BT148" s="5" t="s">
        <v>238</v>
      </c>
      <c r="CC148" s="5" t="s">
        <v>258</v>
      </c>
      <c r="CD148" s="5" t="s">
        <v>238</v>
      </c>
      <c r="CE148" s="5" t="s">
        <v>238</v>
      </c>
      <c r="CI148" s="5" t="s">
        <v>527</v>
      </c>
      <c r="CJ148" s="5" t="s">
        <v>260</v>
      </c>
      <c r="CK148" s="5" t="s">
        <v>238</v>
      </c>
      <c r="CM148" s="5" t="s">
        <v>908</v>
      </c>
      <c r="CN148" s="6" t="s">
        <v>262</v>
      </c>
      <c r="CO148" s="5" t="s">
        <v>263</v>
      </c>
      <c r="CP148" s="5" t="s">
        <v>264</v>
      </c>
      <c r="CQ148" s="5" t="s">
        <v>285</v>
      </c>
      <c r="CR148" s="5" t="s">
        <v>238</v>
      </c>
      <c r="CS148" s="5">
        <v>0</v>
      </c>
      <c r="CT148" s="5" t="s">
        <v>265</v>
      </c>
      <c r="CU148" s="5" t="s">
        <v>266</v>
      </c>
      <c r="CV148" s="5" t="s">
        <v>267</v>
      </c>
      <c r="CW148" s="7">
        <f>0</f>
        <v>0</v>
      </c>
      <c r="CX148" s="8">
        <f>595800</f>
        <v>595800</v>
      </c>
      <c r="CY148" s="8">
        <f>1</f>
        <v>1</v>
      </c>
      <c r="DA148" s="5" t="s">
        <v>238</v>
      </c>
      <c r="DB148" s="5" t="s">
        <v>238</v>
      </c>
      <c r="DD148" s="5" t="s">
        <v>238</v>
      </c>
      <c r="DE148" s="8">
        <f>0</f>
        <v>0</v>
      </c>
      <c r="DG148" s="5" t="s">
        <v>238</v>
      </c>
      <c r="DH148" s="5" t="s">
        <v>238</v>
      </c>
      <c r="DI148" s="5" t="s">
        <v>238</v>
      </c>
      <c r="DJ148" s="5" t="s">
        <v>238</v>
      </c>
      <c r="DK148" s="5" t="s">
        <v>271</v>
      </c>
      <c r="DL148" s="5" t="s">
        <v>272</v>
      </c>
      <c r="DM148" s="7">
        <f>9.93</f>
        <v>9.93</v>
      </c>
      <c r="DN148" s="5" t="s">
        <v>238</v>
      </c>
      <c r="DO148" s="5" t="s">
        <v>238</v>
      </c>
      <c r="DP148" s="5" t="s">
        <v>238</v>
      </c>
      <c r="DQ148" s="5" t="s">
        <v>238</v>
      </c>
      <c r="DT148" s="5" t="s">
        <v>3640</v>
      </c>
      <c r="DU148" s="5" t="s">
        <v>271</v>
      </c>
      <c r="HM148" s="5" t="s">
        <v>271</v>
      </c>
      <c r="HP148" s="5" t="s">
        <v>272</v>
      </c>
      <c r="HQ148" s="5" t="s">
        <v>272</v>
      </c>
      <c r="HR148" s="5" t="s">
        <v>238</v>
      </c>
      <c r="HS148" s="5" t="s">
        <v>238</v>
      </c>
      <c r="HT148" s="5" t="s">
        <v>238</v>
      </c>
      <c r="HU148" s="5" t="s">
        <v>238</v>
      </c>
      <c r="HV148" s="5" t="s">
        <v>238</v>
      </c>
      <c r="HW148" s="5" t="s">
        <v>238</v>
      </c>
      <c r="HX148" s="5" t="s">
        <v>238</v>
      </c>
      <c r="HY148" s="5" t="s">
        <v>238</v>
      </c>
      <c r="HZ148" s="5" t="s">
        <v>238</v>
      </c>
      <c r="IA148" s="5" t="s">
        <v>238</v>
      </c>
      <c r="IB148" s="5" t="s">
        <v>238</v>
      </c>
      <c r="IC148" s="5" t="s">
        <v>238</v>
      </c>
      <c r="ID148" s="5" t="s">
        <v>238</v>
      </c>
    </row>
    <row r="149" spans="1:238" x14ac:dyDescent="0.4">
      <c r="A149" s="5">
        <v>161</v>
      </c>
      <c r="B149" s="5">
        <v>1</v>
      </c>
      <c r="C149" s="5">
        <v>2</v>
      </c>
      <c r="D149" s="5" t="s">
        <v>3623</v>
      </c>
      <c r="E149" s="5" t="s">
        <v>751</v>
      </c>
      <c r="F149" s="5" t="s">
        <v>282</v>
      </c>
      <c r="G149" s="5" t="s">
        <v>752</v>
      </c>
      <c r="H149" s="6" t="s">
        <v>3624</v>
      </c>
      <c r="I149" s="5" t="s">
        <v>3622</v>
      </c>
      <c r="J149" s="7">
        <f>9</f>
        <v>9</v>
      </c>
      <c r="K149" s="5" t="s">
        <v>270</v>
      </c>
      <c r="L149" s="8">
        <f>1</f>
        <v>1</v>
      </c>
      <c r="M149" s="8">
        <f>540000</f>
        <v>540000</v>
      </c>
      <c r="N149" s="6" t="s">
        <v>906</v>
      </c>
      <c r="O149" s="5" t="s">
        <v>268</v>
      </c>
      <c r="P149" s="5" t="s">
        <v>909</v>
      </c>
      <c r="R149" s="8">
        <f>539999</f>
        <v>539999</v>
      </c>
      <c r="S149" s="5" t="s">
        <v>240</v>
      </c>
      <c r="T149" s="5" t="s">
        <v>237</v>
      </c>
      <c r="W149" s="5" t="s">
        <v>241</v>
      </c>
      <c r="X149" s="5" t="s">
        <v>750</v>
      </c>
      <c r="Y149" s="5" t="s">
        <v>238</v>
      </c>
      <c r="AB149" s="5" t="s">
        <v>238</v>
      </c>
      <c r="AC149" s="6" t="s">
        <v>238</v>
      </c>
      <c r="AD149" s="6" t="s">
        <v>238</v>
      </c>
      <c r="AF149" s="6" t="s">
        <v>238</v>
      </c>
      <c r="AG149" s="6" t="s">
        <v>246</v>
      </c>
      <c r="AH149" s="5" t="s">
        <v>247</v>
      </c>
      <c r="AI149" s="5" t="s">
        <v>248</v>
      </c>
      <c r="AT149" s="6" t="s">
        <v>238</v>
      </c>
      <c r="AW149" s="5" t="s">
        <v>304</v>
      </c>
      <c r="AX149" s="5" t="s">
        <v>304</v>
      </c>
      <c r="AY149" s="5" t="s">
        <v>250</v>
      </c>
      <c r="AZ149" s="5" t="s">
        <v>305</v>
      </c>
      <c r="BA149" s="5" t="s">
        <v>251</v>
      </c>
      <c r="BB149" s="5" t="s">
        <v>238</v>
      </c>
      <c r="BC149" s="5" t="s">
        <v>253</v>
      </c>
      <c r="BD149" s="5" t="s">
        <v>238</v>
      </c>
      <c r="BF149" s="5" t="s">
        <v>760</v>
      </c>
      <c r="BH149" s="5" t="s">
        <v>283</v>
      </c>
      <c r="BI149" s="6" t="s">
        <v>293</v>
      </c>
      <c r="BJ149" s="5" t="s">
        <v>255</v>
      </c>
      <c r="BK149" s="5" t="s">
        <v>256</v>
      </c>
      <c r="BL149" s="5" t="s">
        <v>238</v>
      </c>
      <c r="BM149" s="7">
        <f>0</f>
        <v>0</v>
      </c>
      <c r="BN149" s="8">
        <f>0</f>
        <v>0</v>
      </c>
      <c r="BO149" s="5" t="s">
        <v>257</v>
      </c>
      <c r="BP149" s="5" t="s">
        <v>258</v>
      </c>
      <c r="BQ149" s="5" t="s">
        <v>238</v>
      </c>
      <c r="BR149" s="5" t="s">
        <v>238</v>
      </c>
      <c r="BS149" s="5" t="s">
        <v>238</v>
      </c>
      <c r="BT149" s="5" t="s">
        <v>238</v>
      </c>
      <c r="CC149" s="5" t="s">
        <v>258</v>
      </c>
      <c r="CD149" s="5" t="s">
        <v>238</v>
      </c>
      <c r="CE149" s="5" t="s">
        <v>238</v>
      </c>
      <c r="CI149" s="5" t="s">
        <v>527</v>
      </c>
      <c r="CJ149" s="5" t="s">
        <v>260</v>
      </c>
      <c r="CK149" s="5" t="s">
        <v>238</v>
      </c>
      <c r="CM149" s="5" t="s">
        <v>908</v>
      </c>
      <c r="CN149" s="6" t="s">
        <v>262</v>
      </c>
      <c r="CO149" s="5" t="s">
        <v>263</v>
      </c>
      <c r="CP149" s="5" t="s">
        <v>264</v>
      </c>
      <c r="CQ149" s="5" t="s">
        <v>285</v>
      </c>
      <c r="CR149" s="5" t="s">
        <v>238</v>
      </c>
      <c r="CS149" s="5">
        <v>0</v>
      </c>
      <c r="CT149" s="5" t="s">
        <v>265</v>
      </c>
      <c r="CU149" s="5" t="s">
        <v>266</v>
      </c>
      <c r="CV149" s="5" t="s">
        <v>267</v>
      </c>
      <c r="CW149" s="7">
        <f>0</f>
        <v>0</v>
      </c>
      <c r="CX149" s="8">
        <f>540000</f>
        <v>540000</v>
      </c>
      <c r="CY149" s="8">
        <f>1</f>
        <v>1</v>
      </c>
      <c r="DA149" s="5" t="s">
        <v>238</v>
      </c>
      <c r="DB149" s="5" t="s">
        <v>238</v>
      </c>
      <c r="DD149" s="5" t="s">
        <v>238</v>
      </c>
      <c r="DE149" s="8">
        <f>0</f>
        <v>0</v>
      </c>
      <c r="DG149" s="5" t="s">
        <v>238</v>
      </c>
      <c r="DH149" s="5" t="s">
        <v>238</v>
      </c>
      <c r="DI149" s="5" t="s">
        <v>238</v>
      </c>
      <c r="DJ149" s="5" t="s">
        <v>238</v>
      </c>
      <c r="DK149" s="5" t="s">
        <v>271</v>
      </c>
      <c r="DL149" s="5" t="s">
        <v>272</v>
      </c>
      <c r="DM149" s="7">
        <f>9</f>
        <v>9</v>
      </c>
      <c r="DN149" s="5" t="s">
        <v>238</v>
      </c>
      <c r="DO149" s="5" t="s">
        <v>238</v>
      </c>
      <c r="DP149" s="5" t="s">
        <v>238</v>
      </c>
      <c r="DQ149" s="5" t="s">
        <v>238</v>
      </c>
      <c r="DT149" s="5" t="s">
        <v>3625</v>
      </c>
      <c r="DU149" s="5" t="s">
        <v>271</v>
      </c>
      <c r="HM149" s="5" t="s">
        <v>271</v>
      </c>
      <c r="HP149" s="5" t="s">
        <v>272</v>
      </c>
      <c r="HQ149" s="5" t="s">
        <v>272</v>
      </c>
      <c r="HR149" s="5" t="s">
        <v>238</v>
      </c>
      <c r="HS149" s="5" t="s">
        <v>238</v>
      </c>
      <c r="HT149" s="5" t="s">
        <v>238</v>
      </c>
      <c r="HU149" s="5" t="s">
        <v>238</v>
      </c>
      <c r="HV149" s="5" t="s">
        <v>238</v>
      </c>
      <c r="HW149" s="5" t="s">
        <v>238</v>
      </c>
      <c r="HX149" s="5" t="s">
        <v>238</v>
      </c>
      <c r="HY149" s="5" t="s">
        <v>238</v>
      </c>
      <c r="HZ149" s="5" t="s">
        <v>238</v>
      </c>
      <c r="IA149" s="5" t="s">
        <v>238</v>
      </c>
      <c r="IB149" s="5" t="s">
        <v>238</v>
      </c>
      <c r="IC149" s="5" t="s">
        <v>238</v>
      </c>
      <c r="ID149" s="5" t="s">
        <v>238</v>
      </c>
    </row>
    <row r="150" spans="1:238" x14ac:dyDescent="0.4">
      <c r="A150" s="5">
        <v>162</v>
      </c>
      <c r="B150" s="5">
        <v>1</v>
      </c>
      <c r="C150" s="5">
        <v>2</v>
      </c>
      <c r="D150" s="5" t="s">
        <v>3619</v>
      </c>
      <c r="E150" s="5" t="s">
        <v>751</v>
      </c>
      <c r="F150" s="5" t="s">
        <v>282</v>
      </c>
      <c r="G150" s="5" t="s">
        <v>752</v>
      </c>
      <c r="H150" s="6" t="s">
        <v>3620</v>
      </c>
      <c r="I150" s="5" t="s">
        <v>3618</v>
      </c>
      <c r="J150" s="7">
        <f>6.82</f>
        <v>6.82</v>
      </c>
      <c r="K150" s="5" t="s">
        <v>270</v>
      </c>
      <c r="L150" s="8">
        <f>1</f>
        <v>1</v>
      </c>
      <c r="M150" s="8">
        <f>409200</f>
        <v>409200</v>
      </c>
      <c r="N150" s="6" t="s">
        <v>906</v>
      </c>
      <c r="O150" s="5" t="s">
        <v>268</v>
      </c>
      <c r="P150" s="5" t="s">
        <v>909</v>
      </c>
      <c r="R150" s="8">
        <f>409199</f>
        <v>409199</v>
      </c>
      <c r="S150" s="5" t="s">
        <v>240</v>
      </c>
      <c r="T150" s="5" t="s">
        <v>237</v>
      </c>
      <c r="W150" s="5" t="s">
        <v>241</v>
      </c>
      <c r="X150" s="5" t="s">
        <v>750</v>
      </c>
      <c r="Y150" s="5" t="s">
        <v>238</v>
      </c>
      <c r="AB150" s="5" t="s">
        <v>238</v>
      </c>
      <c r="AC150" s="6" t="s">
        <v>238</v>
      </c>
      <c r="AD150" s="6" t="s">
        <v>238</v>
      </c>
      <c r="AF150" s="6" t="s">
        <v>238</v>
      </c>
      <c r="AG150" s="6" t="s">
        <v>246</v>
      </c>
      <c r="AH150" s="5" t="s">
        <v>247</v>
      </c>
      <c r="AI150" s="5" t="s">
        <v>248</v>
      </c>
      <c r="AT150" s="6" t="s">
        <v>238</v>
      </c>
      <c r="AW150" s="5" t="s">
        <v>304</v>
      </c>
      <c r="AX150" s="5" t="s">
        <v>304</v>
      </c>
      <c r="AY150" s="5" t="s">
        <v>250</v>
      </c>
      <c r="AZ150" s="5" t="s">
        <v>305</v>
      </c>
      <c r="BA150" s="5" t="s">
        <v>251</v>
      </c>
      <c r="BB150" s="5" t="s">
        <v>238</v>
      </c>
      <c r="BC150" s="5" t="s">
        <v>253</v>
      </c>
      <c r="BD150" s="5" t="s">
        <v>238</v>
      </c>
      <c r="BF150" s="5" t="s">
        <v>760</v>
      </c>
      <c r="BH150" s="5" t="s">
        <v>283</v>
      </c>
      <c r="BI150" s="6" t="s">
        <v>293</v>
      </c>
      <c r="BJ150" s="5" t="s">
        <v>255</v>
      </c>
      <c r="BK150" s="5" t="s">
        <v>256</v>
      </c>
      <c r="BL150" s="5" t="s">
        <v>238</v>
      </c>
      <c r="BM150" s="7">
        <f>0</f>
        <v>0</v>
      </c>
      <c r="BN150" s="8">
        <f>0</f>
        <v>0</v>
      </c>
      <c r="BO150" s="5" t="s">
        <v>257</v>
      </c>
      <c r="BP150" s="5" t="s">
        <v>258</v>
      </c>
      <c r="BQ150" s="5" t="s">
        <v>238</v>
      </c>
      <c r="BR150" s="5" t="s">
        <v>238</v>
      </c>
      <c r="BS150" s="5" t="s">
        <v>238</v>
      </c>
      <c r="BT150" s="5" t="s">
        <v>238</v>
      </c>
      <c r="CC150" s="5" t="s">
        <v>258</v>
      </c>
      <c r="CD150" s="5" t="s">
        <v>238</v>
      </c>
      <c r="CE150" s="5" t="s">
        <v>238</v>
      </c>
      <c r="CI150" s="5" t="s">
        <v>527</v>
      </c>
      <c r="CJ150" s="5" t="s">
        <v>260</v>
      </c>
      <c r="CK150" s="5" t="s">
        <v>238</v>
      </c>
      <c r="CM150" s="5" t="s">
        <v>908</v>
      </c>
      <c r="CN150" s="6" t="s">
        <v>262</v>
      </c>
      <c r="CO150" s="5" t="s">
        <v>263</v>
      </c>
      <c r="CP150" s="5" t="s">
        <v>264</v>
      </c>
      <c r="CQ150" s="5" t="s">
        <v>285</v>
      </c>
      <c r="CR150" s="5" t="s">
        <v>238</v>
      </c>
      <c r="CS150" s="5">
        <v>0</v>
      </c>
      <c r="CT150" s="5" t="s">
        <v>265</v>
      </c>
      <c r="CU150" s="5" t="s">
        <v>266</v>
      </c>
      <c r="CV150" s="5" t="s">
        <v>267</v>
      </c>
      <c r="CW150" s="7">
        <f>0</f>
        <v>0</v>
      </c>
      <c r="CX150" s="8">
        <f>409200</f>
        <v>409200</v>
      </c>
      <c r="CY150" s="8">
        <f>1</f>
        <v>1</v>
      </c>
      <c r="DA150" s="5" t="s">
        <v>238</v>
      </c>
      <c r="DB150" s="5" t="s">
        <v>238</v>
      </c>
      <c r="DD150" s="5" t="s">
        <v>238</v>
      </c>
      <c r="DE150" s="8">
        <f>0</f>
        <v>0</v>
      </c>
      <c r="DG150" s="5" t="s">
        <v>238</v>
      </c>
      <c r="DH150" s="5" t="s">
        <v>238</v>
      </c>
      <c r="DI150" s="5" t="s">
        <v>238</v>
      </c>
      <c r="DJ150" s="5" t="s">
        <v>238</v>
      </c>
      <c r="DK150" s="5" t="s">
        <v>271</v>
      </c>
      <c r="DL150" s="5" t="s">
        <v>272</v>
      </c>
      <c r="DM150" s="7">
        <f>6.82</f>
        <v>6.82</v>
      </c>
      <c r="DN150" s="5" t="s">
        <v>238</v>
      </c>
      <c r="DO150" s="5" t="s">
        <v>238</v>
      </c>
      <c r="DP150" s="5" t="s">
        <v>238</v>
      </c>
      <c r="DQ150" s="5" t="s">
        <v>238</v>
      </c>
      <c r="DT150" s="5" t="s">
        <v>3621</v>
      </c>
      <c r="DU150" s="5" t="s">
        <v>271</v>
      </c>
      <c r="HM150" s="5" t="s">
        <v>271</v>
      </c>
      <c r="HP150" s="5" t="s">
        <v>272</v>
      </c>
      <c r="HQ150" s="5" t="s">
        <v>272</v>
      </c>
      <c r="HR150" s="5" t="s">
        <v>238</v>
      </c>
      <c r="HS150" s="5" t="s">
        <v>238</v>
      </c>
      <c r="HT150" s="5" t="s">
        <v>238</v>
      </c>
      <c r="HU150" s="5" t="s">
        <v>238</v>
      </c>
      <c r="HV150" s="5" t="s">
        <v>238</v>
      </c>
      <c r="HW150" s="5" t="s">
        <v>238</v>
      </c>
      <c r="HX150" s="5" t="s">
        <v>238</v>
      </c>
      <c r="HY150" s="5" t="s">
        <v>238</v>
      </c>
      <c r="HZ150" s="5" t="s">
        <v>238</v>
      </c>
      <c r="IA150" s="5" t="s">
        <v>238</v>
      </c>
      <c r="IB150" s="5" t="s">
        <v>238</v>
      </c>
      <c r="IC150" s="5" t="s">
        <v>238</v>
      </c>
      <c r="ID150" s="5" t="s">
        <v>238</v>
      </c>
    </row>
    <row r="151" spans="1:238" x14ac:dyDescent="0.4">
      <c r="A151" s="5">
        <v>163</v>
      </c>
      <c r="B151" s="5">
        <v>1</v>
      </c>
      <c r="C151" s="5">
        <v>2</v>
      </c>
      <c r="D151" s="5" t="s">
        <v>3615</v>
      </c>
      <c r="E151" s="5" t="s">
        <v>751</v>
      </c>
      <c r="F151" s="5" t="s">
        <v>282</v>
      </c>
      <c r="G151" s="5" t="s">
        <v>752</v>
      </c>
      <c r="H151" s="6" t="s">
        <v>3616</v>
      </c>
      <c r="I151" s="5" t="s">
        <v>3614</v>
      </c>
      <c r="J151" s="7">
        <f>34.78</f>
        <v>34.78</v>
      </c>
      <c r="K151" s="5" t="s">
        <v>270</v>
      </c>
      <c r="L151" s="8">
        <f>1</f>
        <v>1</v>
      </c>
      <c r="M151" s="8">
        <f>2086800</f>
        <v>2086800</v>
      </c>
      <c r="N151" s="6" t="s">
        <v>906</v>
      </c>
      <c r="O151" s="5" t="s">
        <v>268</v>
      </c>
      <c r="P151" s="5" t="s">
        <v>909</v>
      </c>
      <c r="R151" s="8">
        <f>2086799</f>
        <v>2086799</v>
      </c>
      <c r="S151" s="5" t="s">
        <v>240</v>
      </c>
      <c r="T151" s="5" t="s">
        <v>237</v>
      </c>
      <c r="W151" s="5" t="s">
        <v>241</v>
      </c>
      <c r="X151" s="5" t="s">
        <v>750</v>
      </c>
      <c r="Y151" s="5" t="s">
        <v>238</v>
      </c>
      <c r="AB151" s="5" t="s">
        <v>238</v>
      </c>
      <c r="AC151" s="6" t="s">
        <v>238</v>
      </c>
      <c r="AD151" s="6" t="s">
        <v>238</v>
      </c>
      <c r="AF151" s="6" t="s">
        <v>238</v>
      </c>
      <c r="AG151" s="6" t="s">
        <v>246</v>
      </c>
      <c r="AH151" s="5" t="s">
        <v>247</v>
      </c>
      <c r="AI151" s="5" t="s">
        <v>248</v>
      </c>
      <c r="AT151" s="6" t="s">
        <v>238</v>
      </c>
      <c r="AW151" s="5" t="s">
        <v>304</v>
      </c>
      <c r="AX151" s="5" t="s">
        <v>304</v>
      </c>
      <c r="AY151" s="5" t="s">
        <v>250</v>
      </c>
      <c r="AZ151" s="5" t="s">
        <v>305</v>
      </c>
      <c r="BA151" s="5" t="s">
        <v>251</v>
      </c>
      <c r="BB151" s="5" t="s">
        <v>238</v>
      </c>
      <c r="BC151" s="5" t="s">
        <v>253</v>
      </c>
      <c r="BD151" s="5" t="s">
        <v>238</v>
      </c>
      <c r="BF151" s="5" t="s">
        <v>760</v>
      </c>
      <c r="BH151" s="5" t="s">
        <v>283</v>
      </c>
      <c r="BI151" s="6" t="s">
        <v>293</v>
      </c>
      <c r="BJ151" s="5" t="s">
        <v>255</v>
      </c>
      <c r="BK151" s="5" t="s">
        <v>256</v>
      </c>
      <c r="BL151" s="5" t="s">
        <v>238</v>
      </c>
      <c r="BM151" s="7">
        <f>0</f>
        <v>0</v>
      </c>
      <c r="BN151" s="8">
        <f>0</f>
        <v>0</v>
      </c>
      <c r="BO151" s="5" t="s">
        <v>257</v>
      </c>
      <c r="BP151" s="5" t="s">
        <v>258</v>
      </c>
      <c r="BQ151" s="5" t="s">
        <v>238</v>
      </c>
      <c r="BR151" s="5" t="s">
        <v>238</v>
      </c>
      <c r="BS151" s="5" t="s">
        <v>238</v>
      </c>
      <c r="BT151" s="5" t="s">
        <v>238</v>
      </c>
      <c r="CC151" s="5" t="s">
        <v>258</v>
      </c>
      <c r="CD151" s="5" t="s">
        <v>238</v>
      </c>
      <c r="CE151" s="5" t="s">
        <v>238</v>
      </c>
      <c r="CI151" s="5" t="s">
        <v>527</v>
      </c>
      <c r="CJ151" s="5" t="s">
        <v>260</v>
      </c>
      <c r="CK151" s="5" t="s">
        <v>238</v>
      </c>
      <c r="CM151" s="5" t="s">
        <v>908</v>
      </c>
      <c r="CN151" s="6" t="s">
        <v>262</v>
      </c>
      <c r="CO151" s="5" t="s">
        <v>263</v>
      </c>
      <c r="CP151" s="5" t="s">
        <v>264</v>
      </c>
      <c r="CQ151" s="5" t="s">
        <v>285</v>
      </c>
      <c r="CR151" s="5" t="s">
        <v>238</v>
      </c>
      <c r="CS151" s="5">
        <v>0</v>
      </c>
      <c r="CT151" s="5" t="s">
        <v>265</v>
      </c>
      <c r="CU151" s="5" t="s">
        <v>266</v>
      </c>
      <c r="CV151" s="5" t="s">
        <v>267</v>
      </c>
      <c r="CW151" s="7">
        <f>0</f>
        <v>0</v>
      </c>
      <c r="CX151" s="8">
        <f>2086800</f>
        <v>2086800</v>
      </c>
      <c r="CY151" s="8">
        <f>1</f>
        <v>1</v>
      </c>
      <c r="DA151" s="5" t="s">
        <v>238</v>
      </c>
      <c r="DB151" s="5" t="s">
        <v>238</v>
      </c>
      <c r="DD151" s="5" t="s">
        <v>238</v>
      </c>
      <c r="DE151" s="8">
        <f>0</f>
        <v>0</v>
      </c>
      <c r="DG151" s="5" t="s">
        <v>238</v>
      </c>
      <c r="DH151" s="5" t="s">
        <v>238</v>
      </c>
      <c r="DI151" s="5" t="s">
        <v>238</v>
      </c>
      <c r="DJ151" s="5" t="s">
        <v>238</v>
      </c>
      <c r="DK151" s="5" t="s">
        <v>271</v>
      </c>
      <c r="DL151" s="5" t="s">
        <v>272</v>
      </c>
      <c r="DM151" s="7">
        <f>34.78</f>
        <v>34.78</v>
      </c>
      <c r="DN151" s="5" t="s">
        <v>238</v>
      </c>
      <c r="DO151" s="5" t="s">
        <v>238</v>
      </c>
      <c r="DP151" s="5" t="s">
        <v>238</v>
      </c>
      <c r="DQ151" s="5" t="s">
        <v>238</v>
      </c>
      <c r="DT151" s="5" t="s">
        <v>3617</v>
      </c>
      <c r="DU151" s="5" t="s">
        <v>271</v>
      </c>
      <c r="HM151" s="5" t="s">
        <v>271</v>
      </c>
      <c r="HP151" s="5" t="s">
        <v>272</v>
      </c>
      <c r="HQ151" s="5" t="s">
        <v>272</v>
      </c>
      <c r="HR151" s="5" t="s">
        <v>238</v>
      </c>
      <c r="HS151" s="5" t="s">
        <v>238</v>
      </c>
      <c r="HT151" s="5" t="s">
        <v>238</v>
      </c>
      <c r="HU151" s="5" t="s">
        <v>238</v>
      </c>
      <c r="HV151" s="5" t="s">
        <v>238</v>
      </c>
      <c r="HW151" s="5" t="s">
        <v>238</v>
      </c>
      <c r="HX151" s="5" t="s">
        <v>238</v>
      </c>
      <c r="HY151" s="5" t="s">
        <v>238</v>
      </c>
      <c r="HZ151" s="5" t="s">
        <v>238</v>
      </c>
      <c r="IA151" s="5" t="s">
        <v>238</v>
      </c>
      <c r="IB151" s="5" t="s">
        <v>238</v>
      </c>
      <c r="IC151" s="5" t="s">
        <v>238</v>
      </c>
      <c r="ID151" s="5" t="s">
        <v>238</v>
      </c>
    </row>
    <row r="152" spans="1:238" x14ac:dyDescent="0.4">
      <c r="A152" s="5">
        <v>164</v>
      </c>
      <c r="B152" s="5">
        <v>1</v>
      </c>
      <c r="C152" s="5">
        <v>5</v>
      </c>
      <c r="D152" s="5" t="s">
        <v>3615</v>
      </c>
      <c r="E152" s="5" t="s">
        <v>751</v>
      </c>
      <c r="F152" s="5" t="s">
        <v>282</v>
      </c>
      <c r="G152" s="5" t="s">
        <v>752</v>
      </c>
      <c r="H152" s="6" t="s">
        <v>3616</v>
      </c>
      <c r="I152" s="5" t="s">
        <v>3779</v>
      </c>
      <c r="J152" s="8">
        <f>0</f>
        <v>0</v>
      </c>
      <c r="K152" s="5" t="s">
        <v>287</v>
      </c>
      <c r="L152" s="8">
        <f>1093966</f>
        <v>1093966</v>
      </c>
      <c r="M152" s="8">
        <f>1645056</f>
        <v>1645056</v>
      </c>
      <c r="N152" s="6" t="s">
        <v>326</v>
      </c>
      <c r="O152" s="5" t="s">
        <v>268</v>
      </c>
      <c r="P152" s="5" t="s">
        <v>356</v>
      </c>
      <c r="Q152" s="8">
        <f>110218</f>
        <v>110218</v>
      </c>
      <c r="R152" s="8">
        <f>551090</f>
        <v>551090</v>
      </c>
      <c r="S152" s="5" t="s">
        <v>240</v>
      </c>
      <c r="T152" s="5" t="s">
        <v>287</v>
      </c>
      <c r="W152" s="5" t="s">
        <v>241</v>
      </c>
      <c r="X152" s="5" t="s">
        <v>750</v>
      </c>
      <c r="Y152" s="5" t="s">
        <v>238</v>
      </c>
      <c r="AB152" s="5" t="s">
        <v>238</v>
      </c>
      <c r="AC152" s="6" t="s">
        <v>238</v>
      </c>
      <c r="AD152" s="6" t="s">
        <v>238</v>
      </c>
      <c r="AF152" s="6" t="s">
        <v>238</v>
      </c>
      <c r="AG152" s="6" t="s">
        <v>246</v>
      </c>
      <c r="AH152" s="5" t="s">
        <v>247</v>
      </c>
      <c r="AI152" s="5" t="s">
        <v>248</v>
      </c>
      <c r="AO152" s="5" t="s">
        <v>238</v>
      </c>
      <c r="AP152" s="5" t="s">
        <v>238</v>
      </c>
      <c r="AQ152" s="5" t="s">
        <v>238</v>
      </c>
      <c r="AR152" s="6" t="s">
        <v>238</v>
      </c>
      <c r="AS152" s="6" t="s">
        <v>238</v>
      </c>
      <c r="AT152" s="6" t="s">
        <v>238</v>
      </c>
      <c r="AW152" s="5" t="s">
        <v>304</v>
      </c>
      <c r="AX152" s="5" t="s">
        <v>304</v>
      </c>
      <c r="AY152" s="5" t="s">
        <v>250</v>
      </c>
      <c r="AZ152" s="5" t="s">
        <v>305</v>
      </c>
      <c r="BA152" s="5" t="s">
        <v>251</v>
      </c>
      <c r="BB152" s="5" t="s">
        <v>238</v>
      </c>
      <c r="BC152" s="5" t="s">
        <v>253</v>
      </c>
      <c r="BD152" s="5" t="s">
        <v>238</v>
      </c>
      <c r="BF152" s="5" t="s">
        <v>238</v>
      </c>
      <c r="BH152" s="5" t="s">
        <v>283</v>
      </c>
      <c r="BI152" s="6" t="s">
        <v>293</v>
      </c>
      <c r="BJ152" s="5" t="s">
        <v>294</v>
      </c>
      <c r="BK152" s="5" t="s">
        <v>294</v>
      </c>
      <c r="BL152" s="5" t="s">
        <v>238</v>
      </c>
      <c r="BM152" s="8">
        <f>0</f>
        <v>0</v>
      </c>
      <c r="BN152" s="8">
        <f>-110218</f>
        <v>-110218</v>
      </c>
      <c r="BO152" s="5" t="s">
        <v>257</v>
      </c>
      <c r="BP152" s="5" t="s">
        <v>258</v>
      </c>
      <c r="BQ152" s="5" t="s">
        <v>238</v>
      </c>
      <c r="BR152" s="5" t="s">
        <v>238</v>
      </c>
      <c r="BS152" s="5" t="s">
        <v>238</v>
      </c>
      <c r="BT152" s="5" t="s">
        <v>238</v>
      </c>
      <c r="CC152" s="5" t="s">
        <v>258</v>
      </c>
      <c r="CD152" s="5" t="s">
        <v>238</v>
      </c>
      <c r="CE152" s="5" t="s">
        <v>238</v>
      </c>
      <c r="CI152" s="5" t="s">
        <v>259</v>
      </c>
      <c r="CJ152" s="5" t="s">
        <v>260</v>
      </c>
      <c r="CK152" s="5" t="s">
        <v>238</v>
      </c>
      <c r="CM152" s="5" t="s">
        <v>376</v>
      </c>
      <c r="CN152" s="6" t="s">
        <v>262</v>
      </c>
      <c r="CO152" s="5" t="s">
        <v>263</v>
      </c>
      <c r="CP152" s="5" t="s">
        <v>264</v>
      </c>
      <c r="CQ152" s="5" t="s">
        <v>285</v>
      </c>
      <c r="CR152" s="5" t="s">
        <v>238</v>
      </c>
      <c r="CS152" s="5">
        <v>6.7000000000000004E-2</v>
      </c>
      <c r="CT152" s="5" t="s">
        <v>265</v>
      </c>
      <c r="CU152" s="5" t="s">
        <v>266</v>
      </c>
      <c r="CV152" s="5" t="s">
        <v>267</v>
      </c>
      <c r="CW152" s="7">
        <f>0</f>
        <v>0</v>
      </c>
      <c r="CX152" s="8">
        <f>1645056</f>
        <v>1645056</v>
      </c>
      <c r="CY152" s="8">
        <f>1093966</f>
        <v>1093966</v>
      </c>
      <c r="DA152" s="5" t="s">
        <v>238</v>
      </c>
      <c r="DB152" s="5" t="s">
        <v>238</v>
      </c>
      <c r="DD152" s="5" t="s">
        <v>238</v>
      </c>
      <c r="DE152" s="8">
        <f>0</f>
        <v>0</v>
      </c>
      <c r="DG152" s="5" t="s">
        <v>238</v>
      </c>
      <c r="DH152" s="5" t="s">
        <v>238</v>
      </c>
      <c r="DI152" s="5" t="s">
        <v>238</v>
      </c>
      <c r="DJ152" s="5" t="s">
        <v>238</v>
      </c>
      <c r="DK152" s="5" t="s">
        <v>272</v>
      </c>
      <c r="DL152" s="5" t="s">
        <v>272</v>
      </c>
      <c r="DM152" s="8" t="s">
        <v>238</v>
      </c>
      <c r="DN152" s="5" t="s">
        <v>238</v>
      </c>
      <c r="DO152" s="5" t="s">
        <v>238</v>
      </c>
      <c r="DP152" s="5" t="s">
        <v>238</v>
      </c>
      <c r="DQ152" s="5" t="s">
        <v>238</v>
      </c>
      <c r="DT152" s="5" t="s">
        <v>3617</v>
      </c>
      <c r="DU152" s="5" t="s">
        <v>274</v>
      </c>
      <c r="GL152" s="5" t="s">
        <v>3780</v>
      </c>
      <c r="HM152" s="5" t="s">
        <v>379</v>
      </c>
      <c r="HP152" s="5" t="s">
        <v>272</v>
      </c>
      <c r="HQ152" s="5" t="s">
        <v>272</v>
      </c>
      <c r="HR152" s="5" t="s">
        <v>238</v>
      </c>
      <c r="HS152" s="5" t="s">
        <v>238</v>
      </c>
      <c r="HT152" s="5" t="s">
        <v>238</v>
      </c>
      <c r="HU152" s="5" t="s">
        <v>238</v>
      </c>
      <c r="HV152" s="5" t="s">
        <v>238</v>
      </c>
      <c r="HW152" s="5" t="s">
        <v>238</v>
      </c>
      <c r="HX152" s="5" t="s">
        <v>238</v>
      </c>
      <c r="HY152" s="5" t="s">
        <v>238</v>
      </c>
      <c r="HZ152" s="5" t="s">
        <v>238</v>
      </c>
      <c r="IA152" s="5" t="s">
        <v>238</v>
      </c>
      <c r="IB152" s="5" t="s">
        <v>238</v>
      </c>
      <c r="IC152" s="5" t="s">
        <v>238</v>
      </c>
      <c r="ID152" s="5" t="s">
        <v>238</v>
      </c>
    </row>
    <row r="153" spans="1:238" x14ac:dyDescent="0.4">
      <c r="A153" s="5">
        <v>165</v>
      </c>
      <c r="B153" s="5">
        <v>1</v>
      </c>
      <c r="C153" s="5">
        <v>2</v>
      </c>
      <c r="D153" s="5" t="s">
        <v>3611</v>
      </c>
      <c r="E153" s="5" t="s">
        <v>751</v>
      </c>
      <c r="F153" s="5" t="s">
        <v>282</v>
      </c>
      <c r="G153" s="5" t="s">
        <v>752</v>
      </c>
      <c r="H153" s="6" t="s">
        <v>3612</v>
      </c>
      <c r="I153" s="5" t="s">
        <v>3610</v>
      </c>
      <c r="J153" s="7">
        <f>10.64</f>
        <v>10.64</v>
      </c>
      <c r="K153" s="5" t="s">
        <v>270</v>
      </c>
      <c r="L153" s="8">
        <f>1</f>
        <v>1</v>
      </c>
      <c r="M153" s="8">
        <f>638400</f>
        <v>638400</v>
      </c>
      <c r="N153" s="6" t="s">
        <v>906</v>
      </c>
      <c r="O153" s="5" t="s">
        <v>268</v>
      </c>
      <c r="P153" s="5" t="s">
        <v>909</v>
      </c>
      <c r="R153" s="8">
        <f>638399</f>
        <v>638399</v>
      </c>
      <c r="S153" s="5" t="s">
        <v>240</v>
      </c>
      <c r="T153" s="5" t="s">
        <v>237</v>
      </c>
      <c r="W153" s="5" t="s">
        <v>241</v>
      </c>
      <c r="X153" s="5" t="s">
        <v>750</v>
      </c>
      <c r="Y153" s="5" t="s">
        <v>238</v>
      </c>
      <c r="AB153" s="5" t="s">
        <v>238</v>
      </c>
      <c r="AC153" s="6" t="s">
        <v>238</v>
      </c>
      <c r="AD153" s="6" t="s">
        <v>238</v>
      </c>
      <c r="AF153" s="6" t="s">
        <v>238</v>
      </c>
      <c r="AG153" s="6" t="s">
        <v>246</v>
      </c>
      <c r="AH153" s="5" t="s">
        <v>247</v>
      </c>
      <c r="AI153" s="5" t="s">
        <v>248</v>
      </c>
      <c r="AT153" s="6" t="s">
        <v>238</v>
      </c>
      <c r="AW153" s="5" t="s">
        <v>304</v>
      </c>
      <c r="AX153" s="5" t="s">
        <v>304</v>
      </c>
      <c r="AY153" s="5" t="s">
        <v>250</v>
      </c>
      <c r="AZ153" s="5" t="s">
        <v>305</v>
      </c>
      <c r="BA153" s="5" t="s">
        <v>251</v>
      </c>
      <c r="BB153" s="5" t="s">
        <v>238</v>
      </c>
      <c r="BC153" s="5" t="s">
        <v>253</v>
      </c>
      <c r="BD153" s="5" t="s">
        <v>238</v>
      </c>
      <c r="BF153" s="5" t="s">
        <v>760</v>
      </c>
      <c r="BH153" s="5" t="s">
        <v>283</v>
      </c>
      <c r="BI153" s="6" t="s">
        <v>293</v>
      </c>
      <c r="BJ153" s="5" t="s">
        <v>255</v>
      </c>
      <c r="BK153" s="5" t="s">
        <v>256</v>
      </c>
      <c r="BL153" s="5" t="s">
        <v>238</v>
      </c>
      <c r="BM153" s="7">
        <f>0</f>
        <v>0</v>
      </c>
      <c r="BN153" s="8">
        <f>0</f>
        <v>0</v>
      </c>
      <c r="BO153" s="5" t="s">
        <v>257</v>
      </c>
      <c r="BP153" s="5" t="s">
        <v>258</v>
      </c>
      <c r="BQ153" s="5" t="s">
        <v>238</v>
      </c>
      <c r="BR153" s="5" t="s">
        <v>238</v>
      </c>
      <c r="BS153" s="5" t="s">
        <v>238</v>
      </c>
      <c r="BT153" s="5" t="s">
        <v>238</v>
      </c>
      <c r="CC153" s="5" t="s">
        <v>258</v>
      </c>
      <c r="CD153" s="5" t="s">
        <v>238</v>
      </c>
      <c r="CE153" s="5" t="s">
        <v>238</v>
      </c>
      <c r="CI153" s="5" t="s">
        <v>527</v>
      </c>
      <c r="CJ153" s="5" t="s">
        <v>260</v>
      </c>
      <c r="CK153" s="5" t="s">
        <v>238</v>
      </c>
      <c r="CM153" s="5" t="s">
        <v>908</v>
      </c>
      <c r="CN153" s="6" t="s">
        <v>262</v>
      </c>
      <c r="CO153" s="5" t="s">
        <v>263</v>
      </c>
      <c r="CP153" s="5" t="s">
        <v>264</v>
      </c>
      <c r="CQ153" s="5" t="s">
        <v>285</v>
      </c>
      <c r="CR153" s="5" t="s">
        <v>238</v>
      </c>
      <c r="CS153" s="5">
        <v>0</v>
      </c>
      <c r="CT153" s="5" t="s">
        <v>265</v>
      </c>
      <c r="CU153" s="5" t="s">
        <v>266</v>
      </c>
      <c r="CV153" s="5" t="s">
        <v>267</v>
      </c>
      <c r="CW153" s="7">
        <f>0</f>
        <v>0</v>
      </c>
      <c r="CX153" s="8">
        <f>638400</f>
        <v>638400</v>
      </c>
      <c r="CY153" s="8">
        <f>1</f>
        <v>1</v>
      </c>
      <c r="DA153" s="5" t="s">
        <v>238</v>
      </c>
      <c r="DB153" s="5" t="s">
        <v>238</v>
      </c>
      <c r="DD153" s="5" t="s">
        <v>238</v>
      </c>
      <c r="DE153" s="8">
        <f>0</f>
        <v>0</v>
      </c>
      <c r="DG153" s="5" t="s">
        <v>238</v>
      </c>
      <c r="DH153" s="5" t="s">
        <v>238</v>
      </c>
      <c r="DI153" s="5" t="s">
        <v>238</v>
      </c>
      <c r="DJ153" s="5" t="s">
        <v>238</v>
      </c>
      <c r="DK153" s="5" t="s">
        <v>271</v>
      </c>
      <c r="DL153" s="5" t="s">
        <v>272</v>
      </c>
      <c r="DM153" s="7">
        <f>10.64</f>
        <v>10.64</v>
      </c>
      <c r="DN153" s="5" t="s">
        <v>238</v>
      </c>
      <c r="DO153" s="5" t="s">
        <v>238</v>
      </c>
      <c r="DP153" s="5" t="s">
        <v>238</v>
      </c>
      <c r="DQ153" s="5" t="s">
        <v>238</v>
      </c>
      <c r="DT153" s="5" t="s">
        <v>3613</v>
      </c>
      <c r="DU153" s="5" t="s">
        <v>271</v>
      </c>
      <c r="HM153" s="5" t="s">
        <v>271</v>
      </c>
      <c r="HP153" s="5" t="s">
        <v>272</v>
      </c>
      <c r="HQ153" s="5" t="s">
        <v>272</v>
      </c>
      <c r="HR153" s="5" t="s">
        <v>238</v>
      </c>
      <c r="HS153" s="5" t="s">
        <v>238</v>
      </c>
      <c r="HT153" s="5" t="s">
        <v>238</v>
      </c>
      <c r="HU153" s="5" t="s">
        <v>238</v>
      </c>
      <c r="HV153" s="5" t="s">
        <v>238</v>
      </c>
      <c r="HW153" s="5" t="s">
        <v>238</v>
      </c>
      <c r="HX153" s="5" t="s">
        <v>238</v>
      </c>
      <c r="HY153" s="5" t="s">
        <v>238</v>
      </c>
      <c r="HZ153" s="5" t="s">
        <v>238</v>
      </c>
      <c r="IA153" s="5" t="s">
        <v>238</v>
      </c>
      <c r="IB153" s="5" t="s">
        <v>238</v>
      </c>
      <c r="IC153" s="5" t="s">
        <v>238</v>
      </c>
      <c r="ID153" s="5" t="s">
        <v>238</v>
      </c>
    </row>
    <row r="154" spans="1:238" x14ac:dyDescent="0.4">
      <c r="A154" s="5">
        <v>166</v>
      </c>
      <c r="B154" s="5">
        <v>1</v>
      </c>
      <c r="C154" s="5">
        <v>2</v>
      </c>
      <c r="D154" s="5" t="s">
        <v>3607</v>
      </c>
      <c r="E154" s="5" t="s">
        <v>751</v>
      </c>
      <c r="F154" s="5" t="s">
        <v>282</v>
      </c>
      <c r="G154" s="5" t="s">
        <v>752</v>
      </c>
      <c r="H154" s="6" t="s">
        <v>3608</v>
      </c>
      <c r="I154" s="5" t="s">
        <v>3606</v>
      </c>
      <c r="J154" s="7">
        <f>21.28</f>
        <v>21.28</v>
      </c>
      <c r="K154" s="5" t="s">
        <v>270</v>
      </c>
      <c r="L154" s="8">
        <f>1</f>
        <v>1</v>
      </c>
      <c r="M154" s="8">
        <f>1276800</f>
        <v>1276800</v>
      </c>
      <c r="N154" s="6" t="s">
        <v>906</v>
      </c>
      <c r="O154" s="5" t="s">
        <v>268</v>
      </c>
      <c r="P154" s="5" t="s">
        <v>909</v>
      </c>
      <c r="R154" s="8">
        <f>1276799</f>
        <v>1276799</v>
      </c>
      <c r="S154" s="5" t="s">
        <v>240</v>
      </c>
      <c r="T154" s="5" t="s">
        <v>237</v>
      </c>
      <c r="W154" s="5" t="s">
        <v>241</v>
      </c>
      <c r="X154" s="5" t="s">
        <v>750</v>
      </c>
      <c r="Y154" s="5" t="s">
        <v>238</v>
      </c>
      <c r="AB154" s="5" t="s">
        <v>238</v>
      </c>
      <c r="AC154" s="6" t="s">
        <v>238</v>
      </c>
      <c r="AD154" s="6" t="s">
        <v>238</v>
      </c>
      <c r="AF154" s="6" t="s">
        <v>238</v>
      </c>
      <c r="AG154" s="6" t="s">
        <v>246</v>
      </c>
      <c r="AH154" s="5" t="s">
        <v>247</v>
      </c>
      <c r="AI154" s="5" t="s">
        <v>248</v>
      </c>
      <c r="AT154" s="6" t="s">
        <v>238</v>
      </c>
      <c r="AW154" s="5" t="s">
        <v>304</v>
      </c>
      <c r="AX154" s="5" t="s">
        <v>304</v>
      </c>
      <c r="AY154" s="5" t="s">
        <v>250</v>
      </c>
      <c r="AZ154" s="5" t="s">
        <v>305</v>
      </c>
      <c r="BA154" s="5" t="s">
        <v>251</v>
      </c>
      <c r="BB154" s="5" t="s">
        <v>238</v>
      </c>
      <c r="BC154" s="5" t="s">
        <v>253</v>
      </c>
      <c r="BD154" s="5" t="s">
        <v>238</v>
      </c>
      <c r="BF154" s="5" t="s">
        <v>760</v>
      </c>
      <c r="BH154" s="5" t="s">
        <v>283</v>
      </c>
      <c r="BI154" s="6" t="s">
        <v>293</v>
      </c>
      <c r="BJ154" s="5" t="s">
        <v>255</v>
      </c>
      <c r="BK154" s="5" t="s">
        <v>256</v>
      </c>
      <c r="BL154" s="5" t="s">
        <v>238</v>
      </c>
      <c r="BM154" s="7">
        <f>0</f>
        <v>0</v>
      </c>
      <c r="BN154" s="8">
        <f>0</f>
        <v>0</v>
      </c>
      <c r="BO154" s="5" t="s">
        <v>257</v>
      </c>
      <c r="BP154" s="5" t="s">
        <v>258</v>
      </c>
      <c r="BQ154" s="5" t="s">
        <v>238</v>
      </c>
      <c r="BR154" s="5" t="s">
        <v>238</v>
      </c>
      <c r="BS154" s="5" t="s">
        <v>238</v>
      </c>
      <c r="BT154" s="5" t="s">
        <v>238</v>
      </c>
      <c r="CC154" s="5" t="s">
        <v>258</v>
      </c>
      <c r="CD154" s="5" t="s">
        <v>238</v>
      </c>
      <c r="CE154" s="5" t="s">
        <v>238</v>
      </c>
      <c r="CI154" s="5" t="s">
        <v>527</v>
      </c>
      <c r="CJ154" s="5" t="s">
        <v>260</v>
      </c>
      <c r="CK154" s="5" t="s">
        <v>238</v>
      </c>
      <c r="CM154" s="5" t="s">
        <v>908</v>
      </c>
      <c r="CN154" s="6" t="s">
        <v>262</v>
      </c>
      <c r="CO154" s="5" t="s">
        <v>263</v>
      </c>
      <c r="CP154" s="5" t="s">
        <v>264</v>
      </c>
      <c r="CQ154" s="5" t="s">
        <v>285</v>
      </c>
      <c r="CR154" s="5" t="s">
        <v>238</v>
      </c>
      <c r="CS154" s="5">
        <v>0</v>
      </c>
      <c r="CT154" s="5" t="s">
        <v>265</v>
      </c>
      <c r="CU154" s="5" t="s">
        <v>266</v>
      </c>
      <c r="CV154" s="5" t="s">
        <v>267</v>
      </c>
      <c r="CW154" s="7">
        <f>0</f>
        <v>0</v>
      </c>
      <c r="CX154" s="8">
        <f>1276800</f>
        <v>1276800</v>
      </c>
      <c r="CY154" s="8">
        <f>1</f>
        <v>1</v>
      </c>
      <c r="DA154" s="5" t="s">
        <v>238</v>
      </c>
      <c r="DB154" s="5" t="s">
        <v>238</v>
      </c>
      <c r="DD154" s="5" t="s">
        <v>238</v>
      </c>
      <c r="DE154" s="8">
        <f>0</f>
        <v>0</v>
      </c>
      <c r="DG154" s="5" t="s">
        <v>238</v>
      </c>
      <c r="DH154" s="5" t="s">
        <v>238</v>
      </c>
      <c r="DI154" s="5" t="s">
        <v>238</v>
      </c>
      <c r="DJ154" s="5" t="s">
        <v>238</v>
      </c>
      <c r="DK154" s="5" t="s">
        <v>271</v>
      </c>
      <c r="DL154" s="5" t="s">
        <v>272</v>
      </c>
      <c r="DM154" s="7">
        <f>21.28</f>
        <v>21.28</v>
      </c>
      <c r="DN154" s="5" t="s">
        <v>238</v>
      </c>
      <c r="DO154" s="5" t="s">
        <v>238</v>
      </c>
      <c r="DP154" s="5" t="s">
        <v>238</v>
      </c>
      <c r="DQ154" s="5" t="s">
        <v>238</v>
      </c>
      <c r="DT154" s="5" t="s">
        <v>3609</v>
      </c>
      <c r="DU154" s="5" t="s">
        <v>271</v>
      </c>
      <c r="HM154" s="5" t="s">
        <v>271</v>
      </c>
      <c r="HP154" s="5" t="s">
        <v>272</v>
      </c>
      <c r="HQ154" s="5" t="s">
        <v>272</v>
      </c>
      <c r="HR154" s="5" t="s">
        <v>238</v>
      </c>
      <c r="HS154" s="5" t="s">
        <v>238</v>
      </c>
      <c r="HT154" s="5" t="s">
        <v>238</v>
      </c>
      <c r="HU154" s="5" t="s">
        <v>238</v>
      </c>
      <c r="HV154" s="5" t="s">
        <v>238</v>
      </c>
      <c r="HW154" s="5" t="s">
        <v>238</v>
      </c>
      <c r="HX154" s="5" t="s">
        <v>238</v>
      </c>
      <c r="HY154" s="5" t="s">
        <v>238</v>
      </c>
      <c r="HZ154" s="5" t="s">
        <v>238</v>
      </c>
      <c r="IA154" s="5" t="s">
        <v>238</v>
      </c>
      <c r="IB154" s="5" t="s">
        <v>238</v>
      </c>
      <c r="IC154" s="5" t="s">
        <v>238</v>
      </c>
      <c r="ID154" s="5" t="s">
        <v>238</v>
      </c>
    </row>
    <row r="155" spans="1:238" x14ac:dyDescent="0.4">
      <c r="A155" s="5">
        <v>167</v>
      </c>
      <c r="B155" s="5">
        <v>1</v>
      </c>
      <c r="C155" s="5">
        <v>2</v>
      </c>
      <c r="D155" s="5" t="s">
        <v>3603</v>
      </c>
      <c r="E155" s="5" t="s">
        <v>751</v>
      </c>
      <c r="F155" s="5" t="s">
        <v>282</v>
      </c>
      <c r="G155" s="5" t="s">
        <v>752</v>
      </c>
      <c r="H155" s="6" t="s">
        <v>3604</v>
      </c>
      <c r="I155" s="5" t="s">
        <v>3602</v>
      </c>
      <c r="J155" s="7">
        <f>7.79</f>
        <v>7.79</v>
      </c>
      <c r="K155" s="5" t="s">
        <v>270</v>
      </c>
      <c r="L155" s="8">
        <f>1</f>
        <v>1</v>
      </c>
      <c r="M155" s="8">
        <f>467400</f>
        <v>467400</v>
      </c>
      <c r="N155" s="6" t="s">
        <v>906</v>
      </c>
      <c r="O155" s="5" t="s">
        <v>268</v>
      </c>
      <c r="P155" s="5" t="s">
        <v>909</v>
      </c>
      <c r="R155" s="8">
        <f>467399</f>
        <v>467399</v>
      </c>
      <c r="S155" s="5" t="s">
        <v>240</v>
      </c>
      <c r="T155" s="5" t="s">
        <v>237</v>
      </c>
      <c r="W155" s="5" t="s">
        <v>241</v>
      </c>
      <c r="X155" s="5" t="s">
        <v>750</v>
      </c>
      <c r="Y155" s="5" t="s">
        <v>238</v>
      </c>
      <c r="AB155" s="5" t="s">
        <v>238</v>
      </c>
      <c r="AC155" s="6" t="s">
        <v>238</v>
      </c>
      <c r="AD155" s="6" t="s">
        <v>238</v>
      </c>
      <c r="AF155" s="6" t="s">
        <v>238</v>
      </c>
      <c r="AG155" s="6" t="s">
        <v>246</v>
      </c>
      <c r="AH155" s="5" t="s">
        <v>247</v>
      </c>
      <c r="AI155" s="5" t="s">
        <v>248</v>
      </c>
      <c r="AT155" s="6" t="s">
        <v>238</v>
      </c>
      <c r="AW155" s="5" t="s">
        <v>304</v>
      </c>
      <c r="AX155" s="5" t="s">
        <v>304</v>
      </c>
      <c r="AY155" s="5" t="s">
        <v>250</v>
      </c>
      <c r="AZ155" s="5" t="s">
        <v>305</v>
      </c>
      <c r="BA155" s="5" t="s">
        <v>251</v>
      </c>
      <c r="BB155" s="5" t="s">
        <v>238</v>
      </c>
      <c r="BC155" s="5" t="s">
        <v>253</v>
      </c>
      <c r="BD155" s="5" t="s">
        <v>238</v>
      </c>
      <c r="BF155" s="5" t="s">
        <v>760</v>
      </c>
      <c r="BH155" s="5" t="s">
        <v>283</v>
      </c>
      <c r="BI155" s="6" t="s">
        <v>293</v>
      </c>
      <c r="BJ155" s="5" t="s">
        <v>255</v>
      </c>
      <c r="BK155" s="5" t="s">
        <v>256</v>
      </c>
      <c r="BL155" s="5" t="s">
        <v>238</v>
      </c>
      <c r="BM155" s="7">
        <f>0</f>
        <v>0</v>
      </c>
      <c r="BN155" s="8">
        <f>0</f>
        <v>0</v>
      </c>
      <c r="BO155" s="5" t="s">
        <v>257</v>
      </c>
      <c r="BP155" s="5" t="s">
        <v>258</v>
      </c>
      <c r="BQ155" s="5" t="s">
        <v>238</v>
      </c>
      <c r="BR155" s="5" t="s">
        <v>238</v>
      </c>
      <c r="BS155" s="5" t="s">
        <v>238</v>
      </c>
      <c r="BT155" s="5" t="s">
        <v>238</v>
      </c>
      <c r="CC155" s="5" t="s">
        <v>258</v>
      </c>
      <c r="CD155" s="5" t="s">
        <v>238</v>
      </c>
      <c r="CE155" s="5" t="s">
        <v>238</v>
      </c>
      <c r="CI155" s="5" t="s">
        <v>527</v>
      </c>
      <c r="CJ155" s="5" t="s">
        <v>260</v>
      </c>
      <c r="CK155" s="5" t="s">
        <v>238</v>
      </c>
      <c r="CM155" s="5" t="s">
        <v>908</v>
      </c>
      <c r="CN155" s="6" t="s">
        <v>262</v>
      </c>
      <c r="CO155" s="5" t="s">
        <v>263</v>
      </c>
      <c r="CP155" s="5" t="s">
        <v>264</v>
      </c>
      <c r="CQ155" s="5" t="s">
        <v>285</v>
      </c>
      <c r="CR155" s="5" t="s">
        <v>238</v>
      </c>
      <c r="CS155" s="5">
        <v>0</v>
      </c>
      <c r="CT155" s="5" t="s">
        <v>265</v>
      </c>
      <c r="CU155" s="5" t="s">
        <v>266</v>
      </c>
      <c r="CV155" s="5" t="s">
        <v>267</v>
      </c>
      <c r="CW155" s="7">
        <f>0</f>
        <v>0</v>
      </c>
      <c r="CX155" s="8">
        <f>467400</f>
        <v>467400</v>
      </c>
      <c r="CY155" s="8">
        <f>1</f>
        <v>1</v>
      </c>
      <c r="DA155" s="5" t="s">
        <v>238</v>
      </c>
      <c r="DB155" s="5" t="s">
        <v>238</v>
      </c>
      <c r="DD155" s="5" t="s">
        <v>238</v>
      </c>
      <c r="DE155" s="8">
        <f>0</f>
        <v>0</v>
      </c>
      <c r="DG155" s="5" t="s">
        <v>238</v>
      </c>
      <c r="DH155" s="5" t="s">
        <v>238</v>
      </c>
      <c r="DI155" s="5" t="s">
        <v>238</v>
      </c>
      <c r="DJ155" s="5" t="s">
        <v>238</v>
      </c>
      <c r="DK155" s="5" t="s">
        <v>271</v>
      </c>
      <c r="DL155" s="5" t="s">
        <v>272</v>
      </c>
      <c r="DM155" s="7">
        <f>7.79</f>
        <v>7.79</v>
      </c>
      <c r="DN155" s="5" t="s">
        <v>238</v>
      </c>
      <c r="DO155" s="5" t="s">
        <v>238</v>
      </c>
      <c r="DP155" s="5" t="s">
        <v>238</v>
      </c>
      <c r="DQ155" s="5" t="s">
        <v>238</v>
      </c>
      <c r="DT155" s="5" t="s">
        <v>3605</v>
      </c>
      <c r="DU155" s="5" t="s">
        <v>271</v>
      </c>
      <c r="HM155" s="5" t="s">
        <v>271</v>
      </c>
      <c r="HP155" s="5" t="s">
        <v>272</v>
      </c>
      <c r="HQ155" s="5" t="s">
        <v>272</v>
      </c>
      <c r="HR155" s="5" t="s">
        <v>238</v>
      </c>
      <c r="HS155" s="5" t="s">
        <v>238</v>
      </c>
      <c r="HT155" s="5" t="s">
        <v>238</v>
      </c>
      <c r="HU155" s="5" t="s">
        <v>238</v>
      </c>
      <c r="HV155" s="5" t="s">
        <v>238</v>
      </c>
      <c r="HW155" s="5" t="s">
        <v>238</v>
      </c>
      <c r="HX155" s="5" t="s">
        <v>238</v>
      </c>
      <c r="HY155" s="5" t="s">
        <v>238</v>
      </c>
      <c r="HZ155" s="5" t="s">
        <v>238</v>
      </c>
      <c r="IA155" s="5" t="s">
        <v>238</v>
      </c>
      <c r="IB155" s="5" t="s">
        <v>238</v>
      </c>
      <c r="IC155" s="5" t="s">
        <v>238</v>
      </c>
      <c r="ID155" s="5" t="s">
        <v>238</v>
      </c>
    </row>
    <row r="156" spans="1:238" x14ac:dyDescent="0.4">
      <c r="A156" s="5">
        <v>168</v>
      </c>
      <c r="B156" s="5">
        <v>1</v>
      </c>
      <c r="C156" s="5">
        <v>2</v>
      </c>
      <c r="D156" s="5" t="s">
        <v>3599</v>
      </c>
      <c r="E156" s="5" t="s">
        <v>751</v>
      </c>
      <c r="F156" s="5" t="s">
        <v>282</v>
      </c>
      <c r="G156" s="5" t="s">
        <v>752</v>
      </c>
      <c r="H156" s="6" t="s">
        <v>3600</v>
      </c>
      <c r="I156" s="5" t="s">
        <v>3598</v>
      </c>
      <c r="J156" s="7">
        <f>19.87</f>
        <v>19.87</v>
      </c>
      <c r="K156" s="5" t="s">
        <v>270</v>
      </c>
      <c r="L156" s="8">
        <f>1</f>
        <v>1</v>
      </c>
      <c r="M156" s="8">
        <f>1192200</f>
        <v>1192200</v>
      </c>
      <c r="N156" s="6" t="s">
        <v>906</v>
      </c>
      <c r="O156" s="5" t="s">
        <v>268</v>
      </c>
      <c r="P156" s="5" t="s">
        <v>909</v>
      </c>
      <c r="R156" s="8">
        <f>1192199</f>
        <v>1192199</v>
      </c>
      <c r="S156" s="5" t="s">
        <v>240</v>
      </c>
      <c r="T156" s="5" t="s">
        <v>237</v>
      </c>
      <c r="W156" s="5" t="s">
        <v>241</v>
      </c>
      <c r="X156" s="5" t="s">
        <v>750</v>
      </c>
      <c r="Y156" s="5" t="s">
        <v>238</v>
      </c>
      <c r="AB156" s="5" t="s">
        <v>238</v>
      </c>
      <c r="AC156" s="6" t="s">
        <v>238</v>
      </c>
      <c r="AD156" s="6" t="s">
        <v>238</v>
      </c>
      <c r="AF156" s="6" t="s">
        <v>238</v>
      </c>
      <c r="AG156" s="6" t="s">
        <v>246</v>
      </c>
      <c r="AH156" s="5" t="s">
        <v>247</v>
      </c>
      <c r="AI156" s="5" t="s">
        <v>248</v>
      </c>
      <c r="AT156" s="6" t="s">
        <v>238</v>
      </c>
      <c r="AW156" s="5" t="s">
        <v>304</v>
      </c>
      <c r="AX156" s="5" t="s">
        <v>304</v>
      </c>
      <c r="AY156" s="5" t="s">
        <v>250</v>
      </c>
      <c r="AZ156" s="5" t="s">
        <v>305</v>
      </c>
      <c r="BA156" s="5" t="s">
        <v>251</v>
      </c>
      <c r="BB156" s="5" t="s">
        <v>238</v>
      </c>
      <c r="BC156" s="5" t="s">
        <v>253</v>
      </c>
      <c r="BD156" s="5" t="s">
        <v>238</v>
      </c>
      <c r="BF156" s="5" t="s">
        <v>760</v>
      </c>
      <c r="BH156" s="5" t="s">
        <v>283</v>
      </c>
      <c r="BI156" s="6" t="s">
        <v>293</v>
      </c>
      <c r="BJ156" s="5" t="s">
        <v>255</v>
      </c>
      <c r="BK156" s="5" t="s">
        <v>256</v>
      </c>
      <c r="BL156" s="5" t="s">
        <v>238</v>
      </c>
      <c r="BM156" s="7">
        <f>0</f>
        <v>0</v>
      </c>
      <c r="BN156" s="8">
        <f>0</f>
        <v>0</v>
      </c>
      <c r="BO156" s="5" t="s">
        <v>257</v>
      </c>
      <c r="BP156" s="5" t="s">
        <v>258</v>
      </c>
      <c r="BQ156" s="5" t="s">
        <v>238</v>
      </c>
      <c r="BR156" s="5" t="s">
        <v>238</v>
      </c>
      <c r="BS156" s="5" t="s">
        <v>238</v>
      </c>
      <c r="BT156" s="5" t="s">
        <v>238</v>
      </c>
      <c r="CC156" s="5" t="s">
        <v>258</v>
      </c>
      <c r="CD156" s="5" t="s">
        <v>238</v>
      </c>
      <c r="CE156" s="5" t="s">
        <v>238</v>
      </c>
      <c r="CI156" s="5" t="s">
        <v>527</v>
      </c>
      <c r="CJ156" s="5" t="s">
        <v>260</v>
      </c>
      <c r="CK156" s="5" t="s">
        <v>238</v>
      </c>
      <c r="CM156" s="5" t="s">
        <v>908</v>
      </c>
      <c r="CN156" s="6" t="s">
        <v>262</v>
      </c>
      <c r="CO156" s="5" t="s">
        <v>263</v>
      </c>
      <c r="CP156" s="5" t="s">
        <v>264</v>
      </c>
      <c r="CQ156" s="5" t="s">
        <v>285</v>
      </c>
      <c r="CR156" s="5" t="s">
        <v>238</v>
      </c>
      <c r="CS156" s="5">
        <v>0</v>
      </c>
      <c r="CT156" s="5" t="s">
        <v>265</v>
      </c>
      <c r="CU156" s="5" t="s">
        <v>266</v>
      </c>
      <c r="CV156" s="5" t="s">
        <v>267</v>
      </c>
      <c r="CW156" s="7">
        <f>0</f>
        <v>0</v>
      </c>
      <c r="CX156" s="8">
        <f>1192200</f>
        <v>1192200</v>
      </c>
      <c r="CY156" s="8">
        <f>1</f>
        <v>1</v>
      </c>
      <c r="DA156" s="5" t="s">
        <v>238</v>
      </c>
      <c r="DB156" s="5" t="s">
        <v>238</v>
      </c>
      <c r="DD156" s="5" t="s">
        <v>238</v>
      </c>
      <c r="DE156" s="8">
        <f>0</f>
        <v>0</v>
      </c>
      <c r="DG156" s="5" t="s">
        <v>238</v>
      </c>
      <c r="DH156" s="5" t="s">
        <v>238</v>
      </c>
      <c r="DI156" s="5" t="s">
        <v>238</v>
      </c>
      <c r="DJ156" s="5" t="s">
        <v>238</v>
      </c>
      <c r="DK156" s="5" t="s">
        <v>271</v>
      </c>
      <c r="DL156" s="5" t="s">
        <v>272</v>
      </c>
      <c r="DM156" s="7">
        <f>19.87</f>
        <v>19.87</v>
      </c>
      <c r="DN156" s="5" t="s">
        <v>238</v>
      </c>
      <c r="DO156" s="5" t="s">
        <v>238</v>
      </c>
      <c r="DP156" s="5" t="s">
        <v>238</v>
      </c>
      <c r="DQ156" s="5" t="s">
        <v>238</v>
      </c>
      <c r="DT156" s="5" t="s">
        <v>3601</v>
      </c>
      <c r="DU156" s="5" t="s">
        <v>271</v>
      </c>
      <c r="HM156" s="5" t="s">
        <v>271</v>
      </c>
      <c r="HP156" s="5" t="s">
        <v>272</v>
      </c>
      <c r="HQ156" s="5" t="s">
        <v>272</v>
      </c>
      <c r="HR156" s="5" t="s">
        <v>238</v>
      </c>
      <c r="HS156" s="5" t="s">
        <v>238</v>
      </c>
      <c r="HT156" s="5" t="s">
        <v>238</v>
      </c>
      <c r="HU156" s="5" t="s">
        <v>238</v>
      </c>
      <c r="HV156" s="5" t="s">
        <v>238</v>
      </c>
      <c r="HW156" s="5" t="s">
        <v>238</v>
      </c>
      <c r="HX156" s="5" t="s">
        <v>238</v>
      </c>
      <c r="HY156" s="5" t="s">
        <v>238</v>
      </c>
      <c r="HZ156" s="5" t="s">
        <v>238</v>
      </c>
      <c r="IA156" s="5" t="s">
        <v>238</v>
      </c>
      <c r="IB156" s="5" t="s">
        <v>238</v>
      </c>
      <c r="IC156" s="5" t="s">
        <v>238</v>
      </c>
      <c r="ID156" s="5" t="s">
        <v>238</v>
      </c>
    </row>
    <row r="157" spans="1:238" x14ac:dyDescent="0.4">
      <c r="A157" s="5">
        <v>169</v>
      </c>
      <c r="B157" s="5">
        <v>1</v>
      </c>
      <c r="C157" s="5">
        <v>2</v>
      </c>
      <c r="D157" s="5" t="s">
        <v>3595</v>
      </c>
      <c r="E157" s="5" t="s">
        <v>751</v>
      </c>
      <c r="F157" s="5" t="s">
        <v>282</v>
      </c>
      <c r="G157" s="5" t="s">
        <v>752</v>
      </c>
      <c r="H157" s="6" t="s">
        <v>3596</v>
      </c>
      <c r="I157" s="5" t="s">
        <v>3594</v>
      </c>
      <c r="J157" s="7">
        <f>17.82</f>
        <v>17.82</v>
      </c>
      <c r="K157" s="5" t="s">
        <v>270</v>
      </c>
      <c r="L157" s="8">
        <f>1</f>
        <v>1</v>
      </c>
      <c r="M157" s="8">
        <f>1069200</f>
        <v>1069200</v>
      </c>
      <c r="N157" s="6" t="s">
        <v>3591</v>
      </c>
      <c r="O157" s="5" t="s">
        <v>651</v>
      </c>
      <c r="P157" s="5" t="s">
        <v>755</v>
      </c>
      <c r="R157" s="8">
        <f>1069199</f>
        <v>1069199</v>
      </c>
      <c r="S157" s="5" t="s">
        <v>240</v>
      </c>
      <c r="T157" s="5" t="s">
        <v>237</v>
      </c>
      <c r="W157" s="5" t="s">
        <v>241</v>
      </c>
      <c r="X157" s="5" t="s">
        <v>750</v>
      </c>
      <c r="Y157" s="5" t="s">
        <v>238</v>
      </c>
      <c r="AB157" s="5" t="s">
        <v>238</v>
      </c>
      <c r="AC157" s="6" t="s">
        <v>238</v>
      </c>
      <c r="AD157" s="6" t="s">
        <v>238</v>
      </c>
      <c r="AF157" s="6" t="s">
        <v>238</v>
      </c>
      <c r="AG157" s="6" t="s">
        <v>246</v>
      </c>
      <c r="AH157" s="5" t="s">
        <v>247</v>
      </c>
      <c r="AI157" s="5" t="s">
        <v>248</v>
      </c>
      <c r="AT157" s="6" t="s">
        <v>238</v>
      </c>
      <c r="AW157" s="5" t="s">
        <v>304</v>
      </c>
      <c r="AX157" s="5" t="s">
        <v>304</v>
      </c>
      <c r="AY157" s="5" t="s">
        <v>250</v>
      </c>
      <c r="AZ157" s="5" t="s">
        <v>305</v>
      </c>
      <c r="BA157" s="5" t="s">
        <v>251</v>
      </c>
      <c r="BB157" s="5" t="s">
        <v>238</v>
      </c>
      <c r="BC157" s="5" t="s">
        <v>253</v>
      </c>
      <c r="BD157" s="5" t="s">
        <v>238</v>
      </c>
      <c r="BF157" s="5" t="s">
        <v>760</v>
      </c>
      <c r="BH157" s="5" t="s">
        <v>283</v>
      </c>
      <c r="BI157" s="6" t="s">
        <v>293</v>
      </c>
      <c r="BJ157" s="5" t="s">
        <v>255</v>
      </c>
      <c r="BK157" s="5" t="s">
        <v>256</v>
      </c>
      <c r="BL157" s="5" t="s">
        <v>238</v>
      </c>
      <c r="BM157" s="7">
        <f>0</f>
        <v>0</v>
      </c>
      <c r="BN157" s="8">
        <f>0</f>
        <v>0</v>
      </c>
      <c r="BO157" s="5" t="s">
        <v>257</v>
      </c>
      <c r="BP157" s="5" t="s">
        <v>258</v>
      </c>
      <c r="BQ157" s="5" t="s">
        <v>238</v>
      </c>
      <c r="BR157" s="5" t="s">
        <v>238</v>
      </c>
      <c r="BS157" s="5" t="s">
        <v>238</v>
      </c>
      <c r="BT157" s="5" t="s">
        <v>238</v>
      </c>
      <c r="CC157" s="5" t="s">
        <v>258</v>
      </c>
      <c r="CD157" s="5" t="s">
        <v>238</v>
      </c>
      <c r="CE157" s="5" t="s">
        <v>238</v>
      </c>
      <c r="CI157" s="5" t="s">
        <v>527</v>
      </c>
      <c r="CJ157" s="5" t="s">
        <v>260</v>
      </c>
      <c r="CK157" s="5" t="s">
        <v>238</v>
      </c>
      <c r="CM157" s="5" t="s">
        <v>1020</v>
      </c>
      <c r="CN157" s="6" t="s">
        <v>262</v>
      </c>
      <c r="CO157" s="5" t="s">
        <v>263</v>
      </c>
      <c r="CP157" s="5" t="s">
        <v>264</v>
      </c>
      <c r="CQ157" s="5" t="s">
        <v>285</v>
      </c>
      <c r="CR157" s="5" t="s">
        <v>238</v>
      </c>
      <c r="CS157" s="5">
        <v>0</v>
      </c>
      <c r="CT157" s="5" t="s">
        <v>265</v>
      </c>
      <c r="CU157" s="5" t="s">
        <v>266</v>
      </c>
      <c r="CV157" s="5" t="s">
        <v>331</v>
      </c>
      <c r="CW157" s="7">
        <f>0</f>
        <v>0</v>
      </c>
      <c r="CX157" s="8">
        <f>1069200</f>
        <v>1069200</v>
      </c>
      <c r="CY157" s="8">
        <f>1</f>
        <v>1</v>
      </c>
      <c r="DA157" s="5" t="s">
        <v>238</v>
      </c>
      <c r="DB157" s="5" t="s">
        <v>238</v>
      </c>
      <c r="DD157" s="5" t="s">
        <v>238</v>
      </c>
      <c r="DE157" s="8">
        <f>0</f>
        <v>0</v>
      </c>
      <c r="DG157" s="5" t="s">
        <v>238</v>
      </c>
      <c r="DH157" s="5" t="s">
        <v>238</v>
      </c>
      <c r="DI157" s="5" t="s">
        <v>238</v>
      </c>
      <c r="DJ157" s="5" t="s">
        <v>238</v>
      </c>
      <c r="DK157" s="5" t="s">
        <v>271</v>
      </c>
      <c r="DL157" s="5" t="s">
        <v>272</v>
      </c>
      <c r="DM157" s="7">
        <f>17.82</f>
        <v>17.82</v>
      </c>
      <c r="DN157" s="5" t="s">
        <v>238</v>
      </c>
      <c r="DO157" s="5" t="s">
        <v>238</v>
      </c>
      <c r="DP157" s="5" t="s">
        <v>238</v>
      </c>
      <c r="DQ157" s="5" t="s">
        <v>238</v>
      </c>
      <c r="DT157" s="5" t="s">
        <v>3597</v>
      </c>
      <c r="DU157" s="5" t="s">
        <v>271</v>
      </c>
      <c r="HM157" s="5" t="s">
        <v>271</v>
      </c>
      <c r="HP157" s="5" t="s">
        <v>272</v>
      </c>
      <c r="HQ157" s="5" t="s">
        <v>272</v>
      </c>
      <c r="HR157" s="5" t="s">
        <v>238</v>
      </c>
      <c r="HS157" s="5" t="s">
        <v>238</v>
      </c>
      <c r="HT157" s="5" t="s">
        <v>238</v>
      </c>
      <c r="HU157" s="5" t="s">
        <v>238</v>
      </c>
      <c r="HV157" s="5" t="s">
        <v>238</v>
      </c>
      <c r="HW157" s="5" t="s">
        <v>238</v>
      </c>
      <c r="HX157" s="5" t="s">
        <v>238</v>
      </c>
      <c r="HY157" s="5" t="s">
        <v>238</v>
      </c>
      <c r="HZ157" s="5" t="s">
        <v>238</v>
      </c>
      <c r="IA157" s="5" t="s">
        <v>238</v>
      </c>
      <c r="IB157" s="5" t="s">
        <v>238</v>
      </c>
      <c r="IC157" s="5" t="s">
        <v>238</v>
      </c>
      <c r="ID157" s="5" t="s">
        <v>238</v>
      </c>
    </row>
    <row r="158" spans="1:238" x14ac:dyDescent="0.4">
      <c r="A158" s="5">
        <v>171</v>
      </c>
      <c r="B158" s="5">
        <v>1</v>
      </c>
      <c r="C158" s="5">
        <v>2</v>
      </c>
      <c r="D158" s="5" t="s">
        <v>3590</v>
      </c>
      <c r="E158" s="5" t="s">
        <v>751</v>
      </c>
      <c r="F158" s="5" t="s">
        <v>282</v>
      </c>
      <c r="G158" s="5" t="s">
        <v>752</v>
      </c>
      <c r="H158" s="6" t="s">
        <v>3592</v>
      </c>
      <c r="I158" s="5" t="s">
        <v>3589</v>
      </c>
      <c r="J158" s="7">
        <f>18.15</f>
        <v>18.149999999999999</v>
      </c>
      <c r="K158" s="5" t="s">
        <v>270</v>
      </c>
      <c r="L158" s="8">
        <f>1</f>
        <v>1</v>
      </c>
      <c r="M158" s="8">
        <f>1089000</f>
        <v>1089000</v>
      </c>
      <c r="N158" s="6" t="s">
        <v>3591</v>
      </c>
      <c r="O158" s="5" t="s">
        <v>651</v>
      </c>
      <c r="P158" s="5" t="s">
        <v>755</v>
      </c>
      <c r="R158" s="8">
        <f>1088999</f>
        <v>1088999</v>
      </c>
      <c r="S158" s="5" t="s">
        <v>240</v>
      </c>
      <c r="T158" s="5" t="s">
        <v>237</v>
      </c>
      <c r="W158" s="5" t="s">
        <v>241</v>
      </c>
      <c r="X158" s="5" t="s">
        <v>750</v>
      </c>
      <c r="Y158" s="5" t="s">
        <v>238</v>
      </c>
      <c r="AB158" s="5" t="s">
        <v>238</v>
      </c>
      <c r="AC158" s="6" t="s">
        <v>238</v>
      </c>
      <c r="AD158" s="6" t="s">
        <v>238</v>
      </c>
      <c r="AF158" s="6" t="s">
        <v>238</v>
      </c>
      <c r="AG158" s="6" t="s">
        <v>246</v>
      </c>
      <c r="AH158" s="5" t="s">
        <v>247</v>
      </c>
      <c r="AI158" s="5" t="s">
        <v>248</v>
      </c>
      <c r="AT158" s="6" t="s">
        <v>238</v>
      </c>
      <c r="AW158" s="5" t="s">
        <v>304</v>
      </c>
      <c r="AX158" s="5" t="s">
        <v>304</v>
      </c>
      <c r="AY158" s="5" t="s">
        <v>250</v>
      </c>
      <c r="AZ158" s="5" t="s">
        <v>305</v>
      </c>
      <c r="BA158" s="5" t="s">
        <v>251</v>
      </c>
      <c r="BB158" s="5" t="s">
        <v>238</v>
      </c>
      <c r="BC158" s="5" t="s">
        <v>253</v>
      </c>
      <c r="BD158" s="5" t="s">
        <v>238</v>
      </c>
      <c r="BF158" s="5" t="s">
        <v>760</v>
      </c>
      <c r="BH158" s="5" t="s">
        <v>283</v>
      </c>
      <c r="BI158" s="6" t="s">
        <v>293</v>
      </c>
      <c r="BJ158" s="5" t="s">
        <v>255</v>
      </c>
      <c r="BK158" s="5" t="s">
        <v>256</v>
      </c>
      <c r="BL158" s="5" t="s">
        <v>238</v>
      </c>
      <c r="BM158" s="7">
        <f>0</f>
        <v>0</v>
      </c>
      <c r="BN158" s="8">
        <f>0</f>
        <v>0</v>
      </c>
      <c r="BO158" s="5" t="s">
        <v>257</v>
      </c>
      <c r="BP158" s="5" t="s">
        <v>258</v>
      </c>
      <c r="BQ158" s="5" t="s">
        <v>238</v>
      </c>
      <c r="BR158" s="5" t="s">
        <v>238</v>
      </c>
      <c r="BS158" s="5" t="s">
        <v>238</v>
      </c>
      <c r="BT158" s="5" t="s">
        <v>238</v>
      </c>
      <c r="CC158" s="5" t="s">
        <v>258</v>
      </c>
      <c r="CD158" s="5" t="s">
        <v>238</v>
      </c>
      <c r="CE158" s="5" t="s">
        <v>238</v>
      </c>
      <c r="CI158" s="5" t="s">
        <v>527</v>
      </c>
      <c r="CJ158" s="5" t="s">
        <v>260</v>
      </c>
      <c r="CK158" s="5" t="s">
        <v>238</v>
      </c>
      <c r="CM158" s="5" t="s">
        <v>1020</v>
      </c>
      <c r="CN158" s="6" t="s">
        <v>262</v>
      </c>
      <c r="CO158" s="5" t="s">
        <v>263</v>
      </c>
      <c r="CP158" s="5" t="s">
        <v>264</v>
      </c>
      <c r="CQ158" s="5" t="s">
        <v>285</v>
      </c>
      <c r="CR158" s="5" t="s">
        <v>238</v>
      </c>
      <c r="CS158" s="5">
        <v>0</v>
      </c>
      <c r="CT158" s="5" t="s">
        <v>265</v>
      </c>
      <c r="CU158" s="5" t="s">
        <v>266</v>
      </c>
      <c r="CV158" s="5" t="s">
        <v>331</v>
      </c>
      <c r="CW158" s="7">
        <f>0</f>
        <v>0</v>
      </c>
      <c r="CX158" s="8">
        <f>1089000</f>
        <v>1089000</v>
      </c>
      <c r="CY158" s="8">
        <f>1</f>
        <v>1</v>
      </c>
      <c r="DA158" s="5" t="s">
        <v>238</v>
      </c>
      <c r="DB158" s="5" t="s">
        <v>238</v>
      </c>
      <c r="DD158" s="5" t="s">
        <v>238</v>
      </c>
      <c r="DE158" s="8">
        <f>0</f>
        <v>0</v>
      </c>
      <c r="DG158" s="5" t="s">
        <v>238</v>
      </c>
      <c r="DH158" s="5" t="s">
        <v>238</v>
      </c>
      <c r="DI158" s="5" t="s">
        <v>238</v>
      </c>
      <c r="DJ158" s="5" t="s">
        <v>238</v>
      </c>
      <c r="DK158" s="5" t="s">
        <v>271</v>
      </c>
      <c r="DL158" s="5" t="s">
        <v>272</v>
      </c>
      <c r="DM158" s="7">
        <f>18.15</f>
        <v>18.149999999999999</v>
      </c>
      <c r="DN158" s="5" t="s">
        <v>238</v>
      </c>
      <c r="DO158" s="5" t="s">
        <v>238</v>
      </c>
      <c r="DP158" s="5" t="s">
        <v>238</v>
      </c>
      <c r="DQ158" s="5" t="s">
        <v>238</v>
      </c>
      <c r="DT158" s="5" t="s">
        <v>3593</v>
      </c>
      <c r="DU158" s="5" t="s">
        <v>271</v>
      </c>
      <c r="HM158" s="5" t="s">
        <v>271</v>
      </c>
      <c r="HP158" s="5" t="s">
        <v>272</v>
      </c>
      <c r="HQ158" s="5" t="s">
        <v>272</v>
      </c>
      <c r="HR158" s="5" t="s">
        <v>238</v>
      </c>
      <c r="HS158" s="5" t="s">
        <v>238</v>
      </c>
      <c r="HT158" s="5" t="s">
        <v>238</v>
      </c>
      <c r="HU158" s="5" t="s">
        <v>238</v>
      </c>
      <c r="HV158" s="5" t="s">
        <v>238</v>
      </c>
      <c r="HW158" s="5" t="s">
        <v>238</v>
      </c>
      <c r="HX158" s="5" t="s">
        <v>238</v>
      </c>
      <c r="HY158" s="5" t="s">
        <v>238</v>
      </c>
      <c r="HZ158" s="5" t="s">
        <v>238</v>
      </c>
      <c r="IA158" s="5" t="s">
        <v>238</v>
      </c>
      <c r="IB158" s="5" t="s">
        <v>238</v>
      </c>
      <c r="IC158" s="5" t="s">
        <v>238</v>
      </c>
      <c r="ID158" s="5" t="s">
        <v>238</v>
      </c>
    </row>
    <row r="159" spans="1:238" x14ac:dyDescent="0.4">
      <c r="A159" s="5">
        <v>172</v>
      </c>
      <c r="B159" s="5">
        <v>1</v>
      </c>
      <c r="C159" s="5">
        <v>2</v>
      </c>
      <c r="D159" s="5" t="s">
        <v>3585</v>
      </c>
      <c r="E159" s="5" t="s">
        <v>751</v>
      </c>
      <c r="F159" s="5" t="s">
        <v>282</v>
      </c>
      <c r="G159" s="5" t="s">
        <v>752</v>
      </c>
      <c r="H159" s="6" t="s">
        <v>3587</v>
      </c>
      <c r="I159" s="5" t="s">
        <v>3584</v>
      </c>
      <c r="J159" s="7">
        <f>15.4</f>
        <v>15.4</v>
      </c>
      <c r="K159" s="5" t="s">
        <v>270</v>
      </c>
      <c r="L159" s="8">
        <f>1</f>
        <v>1</v>
      </c>
      <c r="M159" s="8">
        <f>2464000</f>
        <v>2464000</v>
      </c>
      <c r="N159" s="6" t="s">
        <v>3586</v>
      </c>
      <c r="O159" s="5" t="s">
        <v>651</v>
      </c>
      <c r="P159" s="5" t="s">
        <v>1035</v>
      </c>
      <c r="R159" s="8">
        <f>2463999</f>
        <v>2463999</v>
      </c>
      <c r="S159" s="5" t="s">
        <v>240</v>
      </c>
      <c r="T159" s="5" t="s">
        <v>237</v>
      </c>
      <c r="W159" s="5" t="s">
        <v>241</v>
      </c>
      <c r="X159" s="5" t="s">
        <v>750</v>
      </c>
      <c r="Y159" s="5" t="s">
        <v>238</v>
      </c>
      <c r="AB159" s="5" t="s">
        <v>238</v>
      </c>
      <c r="AC159" s="6" t="s">
        <v>238</v>
      </c>
      <c r="AD159" s="6" t="s">
        <v>238</v>
      </c>
      <c r="AF159" s="6" t="s">
        <v>238</v>
      </c>
      <c r="AG159" s="6" t="s">
        <v>246</v>
      </c>
      <c r="AH159" s="5" t="s">
        <v>247</v>
      </c>
      <c r="AI159" s="5" t="s">
        <v>248</v>
      </c>
      <c r="AT159" s="6" t="s">
        <v>238</v>
      </c>
      <c r="AW159" s="5" t="s">
        <v>304</v>
      </c>
      <c r="AX159" s="5" t="s">
        <v>304</v>
      </c>
      <c r="AY159" s="5" t="s">
        <v>250</v>
      </c>
      <c r="AZ159" s="5" t="s">
        <v>305</v>
      </c>
      <c r="BA159" s="5" t="s">
        <v>251</v>
      </c>
      <c r="BB159" s="5" t="s">
        <v>238</v>
      </c>
      <c r="BC159" s="5" t="s">
        <v>253</v>
      </c>
      <c r="BD159" s="5" t="s">
        <v>238</v>
      </c>
      <c r="BF159" s="5" t="s">
        <v>760</v>
      </c>
      <c r="BH159" s="5" t="s">
        <v>283</v>
      </c>
      <c r="BI159" s="6" t="s">
        <v>293</v>
      </c>
      <c r="BJ159" s="5" t="s">
        <v>255</v>
      </c>
      <c r="BK159" s="5" t="s">
        <v>256</v>
      </c>
      <c r="BL159" s="5" t="s">
        <v>238</v>
      </c>
      <c r="BM159" s="7">
        <f>0</f>
        <v>0</v>
      </c>
      <c r="BN159" s="8">
        <f>0</f>
        <v>0</v>
      </c>
      <c r="BO159" s="5" t="s">
        <v>257</v>
      </c>
      <c r="BP159" s="5" t="s">
        <v>258</v>
      </c>
      <c r="BQ159" s="5" t="s">
        <v>238</v>
      </c>
      <c r="BR159" s="5" t="s">
        <v>238</v>
      </c>
      <c r="BS159" s="5" t="s">
        <v>238</v>
      </c>
      <c r="BT159" s="5" t="s">
        <v>238</v>
      </c>
      <c r="CC159" s="5" t="s">
        <v>258</v>
      </c>
      <c r="CD159" s="5" t="s">
        <v>238</v>
      </c>
      <c r="CE159" s="5" t="s">
        <v>238</v>
      </c>
      <c r="CI159" s="5" t="s">
        <v>259</v>
      </c>
      <c r="CJ159" s="5" t="s">
        <v>260</v>
      </c>
      <c r="CK159" s="5" t="s">
        <v>238</v>
      </c>
      <c r="CM159" s="5" t="s">
        <v>1034</v>
      </c>
      <c r="CN159" s="6" t="s">
        <v>262</v>
      </c>
      <c r="CO159" s="5" t="s">
        <v>263</v>
      </c>
      <c r="CP159" s="5" t="s">
        <v>264</v>
      </c>
      <c r="CQ159" s="5" t="s">
        <v>285</v>
      </c>
      <c r="CR159" s="5" t="s">
        <v>238</v>
      </c>
      <c r="CS159" s="5">
        <v>0</v>
      </c>
      <c r="CT159" s="5" t="s">
        <v>265</v>
      </c>
      <c r="CU159" s="5" t="s">
        <v>266</v>
      </c>
      <c r="CV159" s="5" t="s">
        <v>331</v>
      </c>
      <c r="CW159" s="7">
        <f>0</f>
        <v>0</v>
      </c>
      <c r="CX159" s="8">
        <f>2464000</f>
        <v>2464000</v>
      </c>
      <c r="CY159" s="8">
        <f>1</f>
        <v>1</v>
      </c>
      <c r="DA159" s="5" t="s">
        <v>238</v>
      </c>
      <c r="DB159" s="5" t="s">
        <v>238</v>
      </c>
      <c r="DD159" s="5" t="s">
        <v>238</v>
      </c>
      <c r="DE159" s="8">
        <f>0</f>
        <v>0</v>
      </c>
      <c r="DG159" s="5" t="s">
        <v>238</v>
      </c>
      <c r="DH159" s="5" t="s">
        <v>238</v>
      </c>
      <c r="DI159" s="5" t="s">
        <v>238</v>
      </c>
      <c r="DJ159" s="5" t="s">
        <v>238</v>
      </c>
      <c r="DK159" s="5" t="s">
        <v>271</v>
      </c>
      <c r="DL159" s="5" t="s">
        <v>272</v>
      </c>
      <c r="DM159" s="7">
        <f>15.4</f>
        <v>15.4</v>
      </c>
      <c r="DN159" s="5" t="s">
        <v>238</v>
      </c>
      <c r="DO159" s="5" t="s">
        <v>238</v>
      </c>
      <c r="DP159" s="5" t="s">
        <v>238</v>
      </c>
      <c r="DQ159" s="5" t="s">
        <v>238</v>
      </c>
      <c r="DT159" s="5" t="s">
        <v>3588</v>
      </c>
      <c r="DU159" s="5" t="s">
        <v>271</v>
      </c>
      <c r="HM159" s="5" t="s">
        <v>271</v>
      </c>
      <c r="HP159" s="5" t="s">
        <v>272</v>
      </c>
      <c r="HQ159" s="5" t="s">
        <v>272</v>
      </c>
      <c r="HR159" s="5" t="s">
        <v>238</v>
      </c>
      <c r="HS159" s="5" t="s">
        <v>238</v>
      </c>
      <c r="HT159" s="5" t="s">
        <v>238</v>
      </c>
      <c r="HU159" s="5" t="s">
        <v>238</v>
      </c>
      <c r="HV159" s="5" t="s">
        <v>238</v>
      </c>
      <c r="HW159" s="5" t="s">
        <v>238</v>
      </c>
      <c r="HX159" s="5" t="s">
        <v>238</v>
      </c>
      <c r="HY159" s="5" t="s">
        <v>238</v>
      </c>
      <c r="HZ159" s="5" t="s">
        <v>238</v>
      </c>
      <c r="IA159" s="5" t="s">
        <v>238</v>
      </c>
      <c r="IB159" s="5" t="s">
        <v>238</v>
      </c>
      <c r="IC159" s="5" t="s">
        <v>238</v>
      </c>
      <c r="ID159" s="5" t="s">
        <v>238</v>
      </c>
    </row>
    <row r="160" spans="1:238" x14ac:dyDescent="0.4">
      <c r="A160" s="5">
        <v>173</v>
      </c>
      <c r="B160" s="5">
        <v>1</v>
      </c>
      <c r="C160" s="5">
        <v>5</v>
      </c>
      <c r="D160" s="5" t="s">
        <v>3774</v>
      </c>
      <c r="E160" s="5" t="s">
        <v>751</v>
      </c>
      <c r="F160" s="5" t="s">
        <v>282</v>
      </c>
      <c r="G160" s="5" t="s">
        <v>752</v>
      </c>
      <c r="H160" s="6" t="s">
        <v>3776</v>
      </c>
      <c r="I160" s="5" t="s">
        <v>3773</v>
      </c>
      <c r="J160" s="7">
        <f>20.25</f>
        <v>20.25</v>
      </c>
      <c r="K160" s="5" t="s">
        <v>270</v>
      </c>
      <c r="L160" s="8">
        <f>110160</f>
        <v>110160</v>
      </c>
      <c r="M160" s="8">
        <f>3240000</f>
        <v>3240000</v>
      </c>
      <c r="N160" s="6" t="s">
        <v>3775</v>
      </c>
      <c r="O160" s="5" t="s">
        <v>651</v>
      </c>
      <c r="P160" s="5" t="s">
        <v>818</v>
      </c>
      <c r="Q160" s="8">
        <f>136080</f>
        <v>136080</v>
      </c>
      <c r="R160" s="8">
        <f>3129840</f>
        <v>3129840</v>
      </c>
      <c r="S160" s="5" t="s">
        <v>240</v>
      </c>
      <c r="T160" s="5" t="s">
        <v>237</v>
      </c>
      <c r="W160" s="5" t="s">
        <v>241</v>
      </c>
      <c r="X160" s="5" t="s">
        <v>750</v>
      </c>
      <c r="Y160" s="5" t="s">
        <v>238</v>
      </c>
      <c r="AB160" s="5" t="s">
        <v>238</v>
      </c>
      <c r="AC160" s="6" t="s">
        <v>238</v>
      </c>
      <c r="AD160" s="6" t="s">
        <v>238</v>
      </c>
      <c r="AF160" s="6" t="s">
        <v>238</v>
      </c>
      <c r="AG160" s="6" t="s">
        <v>246</v>
      </c>
      <c r="AH160" s="5" t="s">
        <v>247</v>
      </c>
      <c r="AI160" s="5" t="s">
        <v>248</v>
      </c>
      <c r="AO160" s="5" t="s">
        <v>238</v>
      </c>
      <c r="AP160" s="5" t="s">
        <v>238</v>
      </c>
      <c r="AQ160" s="5" t="s">
        <v>238</v>
      </c>
      <c r="AR160" s="6" t="s">
        <v>238</v>
      </c>
      <c r="AS160" s="6" t="s">
        <v>238</v>
      </c>
      <c r="AT160" s="6" t="s">
        <v>238</v>
      </c>
      <c r="AW160" s="5" t="s">
        <v>304</v>
      </c>
      <c r="AX160" s="5" t="s">
        <v>304</v>
      </c>
      <c r="AY160" s="5" t="s">
        <v>250</v>
      </c>
      <c r="AZ160" s="5" t="s">
        <v>305</v>
      </c>
      <c r="BA160" s="5" t="s">
        <v>251</v>
      </c>
      <c r="BB160" s="5" t="s">
        <v>238</v>
      </c>
      <c r="BC160" s="5" t="s">
        <v>253</v>
      </c>
      <c r="BD160" s="5" t="s">
        <v>238</v>
      </c>
      <c r="BF160" s="5" t="s">
        <v>760</v>
      </c>
      <c r="BH160" s="5" t="s">
        <v>283</v>
      </c>
      <c r="BI160" s="6" t="s">
        <v>293</v>
      </c>
      <c r="BJ160" s="5" t="s">
        <v>294</v>
      </c>
      <c r="BK160" s="5" t="s">
        <v>294</v>
      </c>
      <c r="BL160" s="5" t="s">
        <v>238</v>
      </c>
      <c r="BM160" s="7">
        <f>0</f>
        <v>0</v>
      </c>
      <c r="BN160" s="8">
        <f>-136080</f>
        <v>-136080</v>
      </c>
      <c r="BO160" s="5" t="s">
        <v>257</v>
      </c>
      <c r="BP160" s="5" t="s">
        <v>258</v>
      </c>
      <c r="BQ160" s="5" t="s">
        <v>238</v>
      </c>
      <c r="BR160" s="5" t="s">
        <v>238</v>
      </c>
      <c r="BS160" s="5" t="s">
        <v>238</v>
      </c>
      <c r="BT160" s="5" t="s">
        <v>238</v>
      </c>
      <c r="CC160" s="5" t="s">
        <v>258</v>
      </c>
      <c r="CD160" s="5" t="s">
        <v>238</v>
      </c>
      <c r="CE160" s="5" t="s">
        <v>238</v>
      </c>
      <c r="CI160" s="5" t="s">
        <v>259</v>
      </c>
      <c r="CJ160" s="5" t="s">
        <v>260</v>
      </c>
      <c r="CK160" s="5" t="s">
        <v>238</v>
      </c>
      <c r="CM160" s="5" t="s">
        <v>261</v>
      </c>
      <c r="CN160" s="6" t="s">
        <v>262</v>
      </c>
      <c r="CO160" s="5" t="s">
        <v>263</v>
      </c>
      <c r="CP160" s="5" t="s">
        <v>264</v>
      </c>
      <c r="CQ160" s="5" t="s">
        <v>285</v>
      </c>
      <c r="CR160" s="5" t="s">
        <v>238</v>
      </c>
      <c r="CS160" s="5">
        <v>4.2000000000000003E-2</v>
      </c>
      <c r="CT160" s="5" t="s">
        <v>265</v>
      </c>
      <c r="CU160" s="5" t="s">
        <v>266</v>
      </c>
      <c r="CV160" s="5" t="s">
        <v>331</v>
      </c>
      <c r="CW160" s="7">
        <f>0</f>
        <v>0</v>
      </c>
      <c r="CX160" s="8">
        <f>3240000</f>
        <v>3240000</v>
      </c>
      <c r="CY160" s="8">
        <f>110160</f>
        <v>110160</v>
      </c>
      <c r="DA160" s="5" t="s">
        <v>238</v>
      </c>
      <c r="DB160" s="5" t="s">
        <v>238</v>
      </c>
      <c r="DD160" s="5" t="s">
        <v>238</v>
      </c>
      <c r="DE160" s="8">
        <f>0</f>
        <v>0</v>
      </c>
      <c r="DG160" s="5" t="s">
        <v>238</v>
      </c>
      <c r="DH160" s="5" t="s">
        <v>238</v>
      </c>
      <c r="DI160" s="5" t="s">
        <v>238</v>
      </c>
      <c r="DJ160" s="5" t="s">
        <v>238</v>
      </c>
      <c r="DK160" s="5" t="s">
        <v>271</v>
      </c>
      <c r="DL160" s="5" t="s">
        <v>272</v>
      </c>
      <c r="DM160" s="7">
        <f>20.25</f>
        <v>20.25</v>
      </c>
      <c r="DN160" s="5" t="s">
        <v>238</v>
      </c>
      <c r="DO160" s="5" t="s">
        <v>238</v>
      </c>
      <c r="DP160" s="5" t="s">
        <v>238</v>
      </c>
      <c r="DQ160" s="5" t="s">
        <v>238</v>
      </c>
      <c r="DT160" s="5" t="s">
        <v>3777</v>
      </c>
      <c r="DU160" s="5" t="s">
        <v>271</v>
      </c>
      <c r="GL160" s="5" t="s">
        <v>3778</v>
      </c>
      <c r="HM160" s="5" t="s">
        <v>313</v>
      </c>
      <c r="HP160" s="5" t="s">
        <v>272</v>
      </c>
      <c r="HQ160" s="5" t="s">
        <v>272</v>
      </c>
      <c r="HR160" s="5" t="s">
        <v>238</v>
      </c>
      <c r="HS160" s="5" t="s">
        <v>238</v>
      </c>
      <c r="HT160" s="5" t="s">
        <v>238</v>
      </c>
      <c r="HU160" s="5" t="s">
        <v>238</v>
      </c>
      <c r="HV160" s="5" t="s">
        <v>238</v>
      </c>
      <c r="HW160" s="5" t="s">
        <v>238</v>
      </c>
      <c r="HX160" s="5" t="s">
        <v>238</v>
      </c>
      <c r="HY160" s="5" t="s">
        <v>238</v>
      </c>
      <c r="HZ160" s="5" t="s">
        <v>238</v>
      </c>
      <c r="IA160" s="5" t="s">
        <v>238</v>
      </c>
      <c r="IB160" s="5" t="s">
        <v>238</v>
      </c>
      <c r="IC160" s="5" t="s">
        <v>238</v>
      </c>
      <c r="ID160" s="5" t="s">
        <v>238</v>
      </c>
    </row>
    <row r="161" spans="1:238" x14ac:dyDescent="0.4">
      <c r="A161" s="5">
        <v>174</v>
      </c>
      <c r="B161" s="5">
        <v>1</v>
      </c>
      <c r="C161" s="5">
        <v>5</v>
      </c>
      <c r="D161" s="5" t="s">
        <v>3769</v>
      </c>
      <c r="E161" s="5" t="s">
        <v>751</v>
      </c>
      <c r="F161" s="5" t="s">
        <v>282</v>
      </c>
      <c r="G161" s="5" t="s">
        <v>752</v>
      </c>
      <c r="H161" s="6" t="s">
        <v>3770</v>
      </c>
      <c r="I161" s="5" t="s">
        <v>3768</v>
      </c>
      <c r="J161" s="7">
        <f>21.6</f>
        <v>21.6</v>
      </c>
      <c r="K161" s="5" t="s">
        <v>270</v>
      </c>
      <c r="L161" s="8">
        <f>552960</f>
        <v>552960</v>
      </c>
      <c r="M161" s="8">
        <f>3456000</f>
        <v>3456000</v>
      </c>
      <c r="N161" s="6" t="s">
        <v>657</v>
      </c>
      <c r="O161" s="5" t="s">
        <v>651</v>
      </c>
      <c r="P161" s="5" t="s">
        <v>611</v>
      </c>
      <c r="Q161" s="8">
        <f>145152</f>
        <v>145152</v>
      </c>
      <c r="R161" s="8">
        <f>2903040</f>
        <v>2903040</v>
      </c>
      <c r="S161" s="5" t="s">
        <v>240</v>
      </c>
      <c r="T161" s="5" t="s">
        <v>237</v>
      </c>
      <c r="W161" s="5" t="s">
        <v>241</v>
      </c>
      <c r="X161" s="5" t="s">
        <v>750</v>
      </c>
      <c r="Y161" s="5" t="s">
        <v>238</v>
      </c>
      <c r="AB161" s="5" t="s">
        <v>238</v>
      </c>
      <c r="AC161" s="6" t="s">
        <v>238</v>
      </c>
      <c r="AD161" s="6" t="s">
        <v>238</v>
      </c>
      <c r="AF161" s="6" t="s">
        <v>238</v>
      </c>
      <c r="AG161" s="6" t="s">
        <v>246</v>
      </c>
      <c r="AH161" s="5" t="s">
        <v>247</v>
      </c>
      <c r="AI161" s="5" t="s">
        <v>248</v>
      </c>
      <c r="AO161" s="5" t="s">
        <v>238</v>
      </c>
      <c r="AP161" s="5" t="s">
        <v>238</v>
      </c>
      <c r="AQ161" s="5" t="s">
        <v>238</v>
      </c>
      <c r="AR161" s="6" t="s">
        <v>238</v>
      </c>
      <c r="AS161" s="6" t="s">
        <v>238</v>
      </c>
      <c r="AT161" s="6" t="s">
        <v>238</v>
      </c>
      <c r="AW161" s="5" t="s">
        <v>304</v>
      </c>
      <c r="AX161" s="5" t="s">
        <v>304</v>
      </c>
      <c r="AY161" s="5" t="s">
        <v>250</v>
      </c>
      <c r="AZ161" s="5" t="s">
        <v>305</v>
      </c>
      <c r="BA161" s="5" t="s">
        <v>251</v>
      </c>
      <c r="BB161" s="5" t="s">
        <v>238</v>
      </c>
      <c r="BC161" s="5" t="s">
        <v>253</v>
      </c>
      <c r="BD161" s="5" t="s">
        <v>238</v>
      </c>
      <c r="BF161" s="5" t="s">
        <v>760</v>
      </c>
      <c r="BH161" s="5" t="s">
        <v>283</v>
      </c>
      <c r="BI161" s="6" t="s">
        <v>293</v>
      </c>
      <c r="BJ161" s="5" t="s">
        <v>294</v>
      </c>
      <c r="BK161" s="5" t="s">
        <v>294</v>
      </c>
      <c r="BL161" s="5" t="s">
        <v>238</v>
      </c>
      <c r="BM161" s="7">
        <f>0</f>
        <v>0</v>
      </c>
      <c r="BN161" s="8">
        <f>-145152</f>
        <v>-145152</v>
      </c>
      <c r="BO161" s="5" t="s">
        <v>257</v>
      </c>
      <c r="BP161" s="5" t="s">
        <v>258</v>
      </c>
      <c r="BQ161" s="5" t="s">
        <v>238</v>
      </c>
      <c r="BR161" s="5" t="s">
        <v>238</v>
      </c>
      <c r="BS161" s="5" t="s">
        <v>238</v>
      </c>
      <c r="BT161" s="5" t="s">
        <v>238</v>
      </c>
      <c r="CC161" s="5" t="s">
        <v>258</v>
      </c>
      <c r="CD161" s="5" t="s">
        <v>238</v>
      </c>
      <c r="CE161" s="5" t="s">
        <v>238</v>
      </c>
      <c r="CI161" s="5" t="s">
        <v>259</v>
      </c>
      <c r="CJ161" s="5" t="s">
        <v>260</v>
      </c>
      <c r="CK161" s="5" t="s">
        <v>238</v>
      </c>
      <c r="CM161" s="5" t="s">
        <v>1357</v>
      </c>
      <c r="CN161" s="6" t="s">
        <v>262</v>
      </c>
      <c r="CO161" s="5" t="s">
        <v>263</v>
      </c>
      <c r="CP161" s="5" t="s">
        <v>264</v>
      </c>
      <c r="CQ161" s="5" t="s">
        <v>285</v>
      </c>
      <c r="CR161" s="5" t="s">
        <v>238</v>
      </c>
      <c r="CS161" s="5">
        <v>4.2000000000000003E-2</v>
      </c>
      <c r="CT161" s="5" t="s">
        <v>265</v>
      </c>
      <c r="CU161" s="5" t="s">
        <v>266</v>
      </c>
      <c r="CV161" s="5" t="s">
        <v>331</v>
      </c>
      <c r="CW161" s="7">
        <f>0</f>
        <v>0</v>
      </c>
      <c r="CX161" s="8">
        <f>3456000</f>
        <v>3456000</v>
      </c>
      <c r="CY161" s="8">
        <f>552960</f>
        <v>552960</v>
      </c>
      <c r="DA161" s="5" t="s">
        <v>238</v>
      </c>
      <c r="DB161" s="5" t="s">
        <v>238</v>
      </c>
      <c r="DD161" s="5" t="s">
        <v>238</v>
      </c>
      <c r="DE161" s="8">
        <f>0</f>
        <v>0</v>
      </c>
      <c r="DG161" s="5" t="s">
        <v>238</v>
      </c>
      <c r="DH161" s="5" t="s">
        <v>238</v>
      </c>
      <c r="DI161" s="5" t="s">
        <v>238</v>
      </c>
      <c r="DJ161" s="5" t="s">
        <v>238</v>
      </c>
      <c r="DK161" s="5" t="s">
        <v>271</v>
      </c>
      <c r="DL161" s="5" t="s">
        <v>272</v>
      </c>
      <c r="DM161" s="7">
        <f>21.6</f>
        <v>21.6</v>
      </c>
      <c r="DN161" s="5" t="s">
        <v>238</v>
      </c>
      <c r="DO161" s="5" t="s">
        <v>238</v>
      </c>
      <c r="DP161" s="5" t="s">
        <v>238</v>
      </c>
      <c r="DQ161" s="5" t="s">
        <v>238</v>
      </c>
      <c r="DT161" s="5" t="s">
        <v>3771</v>
      </c>
      <c r="DU161" s="5" t="s">
        <v>271</v>
      </c>
      <c r="GL161" s="5" t="s">
        <v>3772</v>
      </c>
      <c r="HM161" s="5" t="s">
        <v>313</v>
      </c>
      <c r="HP161" s="5" t="s">
        <v>272</v>
      </c>
      <c r="HQ161" s="5" t="s">
        <v>272</v>
      </c>
      <c r="HR161" s="5" t="s">
        <v>238</v>
      </c>
      <c r="HS161" s="5" t="s">
        <v>238</v>
      </c>
      <c r="HT161" s="5" t="s">
        <v>238</v>
      </c>
      <c r="HU161" s="5" t="s">
        <v>238</v>
      </c>
      <c r="HV161" s="5" t="s">
        <v>238</v>
      </c>
      <c r="HW161" s="5" t="s">
        <v>238</v>
      </c>
      <c r="HX161" s="5" t="s">
        <v>238</v>
      </c>
      <c r="HY161" s="5" t="s">
        <v>238</v>
      </c>
      <c r="HZ161" s="5" t="s">
        <v>238</v>
      </c>
      <c r="IA161" s="5" t="s">
        <v>238</v>
      </c>
      <c r="IB161" s="5" t="s">
        <v>238</v>
      </c>
      <c r="IC161" s="5" t="s">
        <v>238</v>
      </c>
      <c r="ID161" s="5" t="s">
        <v>238</v>
      </c>
    </row>
    <row r="162" spans="1:238" x14ac:dyDescent="0.4">
      <c r="A162" s="5">
        <v>175</v>
      </c>
      <c r="B162" s="5">
        <v>1</v>
      </c>
      <c r="C162" s="5">
        <v>5</v>
      </c>
      <c r="D162" s="5" t="s">
        <v>3761</v>
      </c>
      <c r="E162" s="5" t="s">
        <v>751</v>
      </c>
      <c r="F162" s="5" t="s">
        <v>282</v>
      </c>
      <c r="G162" s="5" t="s">
        <v>752</v>
      </c>
      <c r="H162" s="6" t="s">
        <v>3763</v>
      </c>
      <c r="I162" s="5" t="s">
        <v>3766</v>
      </c>
      <c r="J162" s="7">
        <f>23.76</f>
        <v>23.76</v>
      </c>
      <c r="K162" s="5" t="s">
        <v>270</v>
      </c>
      <c r="L162" s="8">
        <f>767927</f>
        <v>767927</v>
      </c>
      <c r="M162" s="8">
        <f>3801600</f>
        <v>3801600</v>
      </c>
      <c r="N162" s="6" t="s">
        <v>1357</v>
      </c>
      <c r="O162" s="5" t="s">
        <v>651</v>
      </c>
      <c r="P162" s="5" t="s">
        <v>631</v>
      </c>
      <c r="Q162" s="8">
        <f>159667</f>
        <v>159667</v>
      </c>
      <c r="R162" s="8">
        <f>3033673</f>
        <v>3033673</v>
      </c>
      <c r="S162" s="5" t="s">
        <v>240</v>
      </c>
      <c r="T162" s="5" t="s">
        <v>237</v>
      </c>
      <c r="W162" s="5" t="s">
        <v>241</v>
      </c>
      <c r="X162" s="5" t="s">
        <v>750</v>
      </c>
      <c r="Y162" s="5" t="s">
        <v>238</v>
      </c>
      <c r="AB162" s="5" t="s">
        <v>238</v>
      </c>
      <c r="AC162" s="6" t="s">
        <v>238</v>
      </c>
      <c r="AD162" s="6" t="s">
        <v>238</v>
      </c>
      <c r="AF162" s="6" t="s">
        <v>238</v>
      </c>
      <c r="AG162" s="6" t="s">
        <v>246</v>
      </c>
      <c r="AH162" s="5" t="s">
        <v>247</v>
      </c>
      <c r="AI162" s="5" t="s">
        <v>248</v>
      </c>
      <c r="AO162" s="5" t="s">
        <v>238</v>
      </c>
      <c r="AP162" s="5" t="s">
        <v>238</v>
      </c>
      <c r="AQ162" s="5" t="s">
        <v>238</v>
      </c>
      <c r="AR162" s="6" t="s">
        <v>238</v>
      </c>
      <c r="AS162" s="6" t="s">
        <v>238</v>
      </c>
      <c r="AT162" s="6" t="s">
        <v>238</v>
      </c>
      <c r="AW162" s="5" t="s">
        <v>304</v>
      </c>
      <c r="AX162" s="5" t="s">
        <v>304</v>
      </c>
      <c r="AY162" s="5" t="s">
        <v>250</v>
      </c>
      <c r="AZ162" s="5" t="s">
        <v>305</v>
      </c>
      <c r="BA162" s="5" t="s">
        <v>251</v>
      </c>
      <c r="BB162" s="5" t="s">
        <v>238</v>
      </c>
      <c r="BC162" s="5" t="s">
        <v>253</v>
      </c>
      <c r="BD162" s="5" t="s">
        <v>238</v>
      </c>
      <c r="BF162" s="5" t="s">
        <v>760</v>
      </c>
      <c r="BH162" s="5" t="s">
        <v>283</v>
      </c>
      <c r="BI162" s="6" t="s">
        <v>293</v>
      </c>
      <c r="BJ162" s="5" t="s">
        <v>294</v>
      </c>
      <c r="BK162" s="5" t="s">
        <v>294</v>
      </c>
      <c r="BL162" s="5" t="s">
        <v>238</v>
      </c>
      <c r="BM162" s="7">
        <f>0</f>
        <v>0</v>
      </c>
      <c r="BN162" s="8">
        <f>-159667</f>
        <v>-159667</v>
      </c>
      <c r="BO162" s="5" t="s">
        <v>257</v>
      </c>
      <c r="BP162" s="5" t="s">
        <v>258</v>
      </c>
      <c r="BQ162" s="5" t="s">
        <v>238</v>
      </c>
      <c r="BR162" s="5" t="s">
        <v>238</v>
      </c>
      <c r="BS162" s="5" t="s">
        <v>238</v>
      </c>
      <c r="BT162" s="5" t="s">
        <v>238</v>
      </c>
      <c r="CC162" s="5" t="s">
        <v>258</v>
      </c>
      <c r="CD162" s="5" t="s">
        <v>238</v>
      </c>
      <c r="CE162" s="5" t="s">
        <v>238</v>
      </c>
      <c r="CI162" s="5" t="s">
        <v>259</v>
      </c>
      <c r="CJ162" s="5" t="s">
        <v>260</v>
      </c>
      <c r="CK162" s="5" t="s">
        <v>238</v>
      </c>
      <c r="CM162" s="5" t="s">
        <v>807</v>
      </c>
      <c r="CN162" s="6" t="s">
        <v>262</v>
      </c>
      <c r="CO162" s="5" t="s">
        <v>263</v>
      </c>
      <c r="CP162" s="5" t="s">
        <v>264</v>
      </c>
      <c r="CQ162" s="5" t="s">
        <v>285</v>
      </c>
      <c r="CR162" s="5" t="s">
        <v>238</v>
      </c>
      <c r="CS162" s="5">
        <v>4.2000000000000003E-2</v>
      </c>
      <c r="CT162" s="5" t="s">
        <v>265</v>
      </c>
      <c r="CU162" s="5" t="s">
        <v>266</v>
      </c>
      <c r="CV162" s="5" t="s">
        <v>331</v>
      </c>
      <c r="CW162" s="7">
        <f>0</f>
        <v>0</v>
      </c>
      <c r="CX162" s="8">
        <f>3801600</f>
        <v>3801600</v>
      </c>
      <c r="CY162" s="8">
        <f>767927</f>
        <v>767927</v>
      </c>
      <c r="DA162" s="5" t="s">
        <v>238</v>
      </c>
      <c r="DB162" s="5" t="s">
        <v>238</v>
      </c>
      <c r="DD162" s="5" t="s">
        <v>238</v>
      </c>
      <c r="DE162" s="8">
        <f>0</f>
        <v>0</v>
      </c>
      <c r="DG162" s="5" t="s">
        <v>238</v>
      </c>
      <c r="DH162" s="5" t="s">
        <v>238</v>
      </c>
      <c r="DI162" s="5" t="s">
        <v>238</v>
      </c>
      <c r="DJ162" s="5" t="s">
        <v>238</v>
      </c>
      <c r="DK162" s="5" t="s">
        <v>271</v>
      </c>
      <c r="DL162" s="5" t="s">
        <v>272</v>
      </c>
      <c r="DM162" s="7">
        <f>23.76</f>
        <v>23.76</v>
      </c>
      <c r="DN162" s="5" t="s">
        <v>238</v>
      </c>
      <c r="DO162" s="5" t="s">
        <v>238</v>
      </c>
      <c r="DP162" s="5" t="s">
        <v>238</v>
      </c>
      <c r="DQ162" s="5" t="s">
        <v>238</v>
      </c>
      <c r="DT162" s="5" t="s">
        <v>3764</v>
      </c>
      <c r="DU162" s="5" t="s">
        <v>271</v>
      </c>
      <c r="GL162" s="5" t="s">
        <v>3767</v>
      </c>
      <c r="HM162" s="5" t="s">
        <v>313</v>
      </c>
      <c r="HP162" s="5" t="s">
        <v>272</v>
      </c>
      <c r="HQ162" s="5" t="s">
        <v>272</v>
      </c>
      <c r="HR162" s="5" t="s">
        <v>238</v>
      </c>
      <c r="HS162" s="5" t="s">
        <v>238</v>
      </c>
      <c r="HT162" s="5" t="s">
        <v>238</v>
      </c>
      <c r="HU162" s="5" t="s">
        <v>238</v>
      </c>
      <c r="HV162" s="5" t="s">
        <v>238</v>
      </c>
      <c r="HW162" s="5" t="s">
        <v>238</v>
      </c>
      <c r="HX162" s="5" t="s">
        <v>238</v>
      </c>
      <c r="HY162" s="5" t="s">
        <v>238</v>
      </c>
      <c r="HZ162" s="5" t="s">
        <v>238</v>
      </c>
      <c r="IA162" s="5" t="s">
        <v>238</v>
      </c>
      <c r="IB162" s="5" t="s">
        <v>238</v>
      </c>
      <c r="IC162" s="5" t="s">
        <v>238</v>
      </c>
      <c r="ID162" s="5" t="s">
        <v>238</v>
      </c>
    </row>
    <row r="163" spans="1:238" x14ac:dyDescent="0.4">
      <c r="A163" s="5">
        <v>176</v>
      </c>
      <c r="B163" s="5">
        <v>1</v>
      </c>
      <c r="C163" s="5">
        <v>5</v>
      </c>
      <c r="D163" s="5" t="s">
        <v>3761</v>
      </c>
      <c r="E163" s="5" t="s">
        <v>751</v>
      </c>
      <c r="F163" s="5" t="s">
        <v>282</v>
      </c>
      <c r="G163" s="5" t="s">
        <v>752</v>
      </c>
      <c r="H163" s="6" t="s">
        <v>3763</v>
      </c>
      <c r="I163" s="5" t="s">
        <v>3760</v>
      </c>
      <c r="J163" s="7">
        <f>23.76</f>
        <v>23.76</v>
      </c>
      <c r="K163" s="5" t="s">
        <v>270</v>
      </c>
      <c r="L163" s="8">
        <f>927594</f>
        <v>927594</v>
      </c>
      <c r="M163" s="8">
        <f>3801600</f>
        <v>3801600</v>
      </c>
      <c r="N163" s="6" t="s">
        <v>3762</v>
      </c>
      <c r="O163" s="5" t="s">
        <v>651</v>
      </c>
      <c r="P163" s="5" t="s">
        <v>269</v>
      </c>
      <c r="Q163" s="8">
        <f>159667</f>
        <v>159667</v>
      </c>
      <c r="R163" s="8">
        <f>2874006</f>
        <v>2874006</v>
      </c>
      <c r="S163" s="5" t="s">
        <v>240</v>
      </c>
      <c r="T163" s="5" t="s">
        <v>237</v>
      </c>
      <c r="W163" s="5" t="s">
        <v>241</v>
      </c>
      <c r="X163" s="5" t="s">
        <v>750</v>
      </c>
      <c r="Y163" s="5" t="s">
        <v>238</v>
      </c>
      <c r="AB163" s="5" t="s">
        <v>238</v>
      </c>
      <c r="AC163" s="6" t="s">
        <v>238</v>
      </c>
      <c r="AD163" s="6" t="s">
        <v>238</v>
      </c>
      <c r="AF163" s="6" t="s">
        <v>238</v>
      </c>
      <c r="AG163" s="6" t="s">
        <v>246</v>
      </c>
      <c r="AH163" s="5" t="s">
        <v>247</v>
      </c>
      <c r="AI163" s="5" t="s">
        <v>248</v>
      </c>
      <c r="AO163" s="5" t="s">
        <v>238</v>
      </c>
      <c r="AP163" s="5" t="s">
        <v>238</v>
      </c>
      <c r="AQ163" s="5" t="s">
        <v>238</v>
      </c>
      <c r="AR163" s="6" t="s">
        <v>238</v>
      </c>
      <c r="AS163" s="6" t="s">
        <v>238</v>
      </c>
      <c r="AT163" s="6" t="s">
        <v>238</v>
      </c>
      <c r="AW163" s="5" t="s">
        <v>304</v>
      </c>
      <c r="AX163" s="5" t="s">
        <v>304</v>
      </c>
      <c r="AY163" s="5" t="s">
        <v>250</v>
      </c>
      <c r="AZ163" s="5" t="s">
        <v>305</v>
      </c>
      <c r="BA163" s="5" t="s">
        <v>251</v>
      </c>
      <c r="BB163" s="5" t="s">
        <v>238</v>
      </c>
      <c r="BC163" s="5" t="s">
        <v>253</v>
      </c>
      <c r="BD163" s="5" t="s">
        <v>238</v>
      </c>
      <c r="BF163" s="5" t="s">
        <v>238</v>
      </c>
      <c r="BH163" s="5" t="s">
        <v>283</v>
      </c>
      <c r="BI163" s="6" t="s">
        <v>293</v>
      </c>
      <c r="BJ163" s="5" t="s">
        <v>294</v>
      </c>
      <c r="BK163" s="5" t="s">
        <v>294</v>
      </c>
      <c r="BL163" s="5" t="s">
        <v>238</v>
      </c>
      <c r="BM163" s="7">
        <f>0</f>
        <v>0</v>
      </c>
      <c r="BN163" s="8">
        <f>-159667</f>
        <v>-159667</v>
      </c>
      <c r="BO163" s="5" t="s">
        <v>257</v>
      </c>
      <c r="BP163" s="5" t="s">
        <v>258</v>
      </c>
      <c r="BQ163" s="5" t="s">
        <v>238</v>
      </c>
      <c r="BR163" s="5" t="s">
        <v>238</v>
      </c>
      <c r="BS163" s="5" t="s">
        <v>238</v>
      </c>
      <c r="BT163" s="5" t="s">
        <v>238</v>
      </c>
      <c r="CC163" s="5" t="s">
        <v>258</v>
      </c>
      <c r="CD163" s="5" t="s">
        <v>238</v>
      </c>
      <c r="CE163" s="5" t="s">
        <v>238</v>
      </c>
      <c r="CI163" s="5" t="s">
        <v>259</v>
      </c>
      <c r="CJ163" s="5" t="s">
        <v>260</v>
      </c>
      <c r="CK163" s="5" t="s">
        <v>238</v>
      </c>
      <c r="CM163" s="5" t="s">
        <v>682</v>
      </c>
      <c r="CN163" s="6" t="s">
        <v>262</v>
      </c>
      <c r="CO163" s="5" t="s">
        <v>263</v>
      </c>
      <c r="CP163" s="5" t="s">
        <v>264</v>
      </c>
      <c r="CQ163" s="5" t="s">
        <v>285</v>
      </c>
      <c r="CR163" s="5" t="s">
        <v>238</v>
      </c>
      <c r="CS163" s="5">
        <v>4.2000000000000003E-2</v>
      </c>
      <c r="CT163" s="5" t="s">
        <v>265</v>
      </c>
      <c r="CU163" s="5" t="s">
        <v>266</v>
      </c>
      <c r="CV163" s="5" t="s">
        <v>331</v>
      </c>
      <c r="CW163" s="7">
        <f>0</f>
        <v>0</v>
      </c>
      <c r="CX163" s="8">
        <f>3801600</f>
        <v>3801600</v>
      </c>
      <c r="CY163" s="8">
        <f>927594</f>
        <v>927594</v>
      </c>
      <c r="DA163" s="5" t="s">
        <v>238</v>
      </c>
      <c r="DB163" s="5" t="s">
        <v>238</v>
      </c>
      <c r="DD163" s="5" t="s">
        <v>238</v>
      </c>
      <c r="DE163" s="8">
        <f>0</f>
        <v>0</v>
      </c>
      <c r="DG163" s="5" t="s">
        <v>238</v>
      </c>
      <c r="DH163" s="5" t="s">
        <v>238</v>
      </c>
      <c r="DI163" s="5" t="s">
        <v>238</v>
      </c>
      <c r="DJ163" s="5" t="s">
        <v>238</v>
      </c>
      <c r="DK163" s="5" t="s">
        <v>271</v>
      </c>
      <c r="DL163" s="5" t="s">
        <v>272</v>
      </c>
      <c r="DM163" s="7">
        <f>23.76</f>
        <v>23.76</v>
      </c>
      <c r="DN163" s="5" t="s">
        <v>238</v>
      </c>
      <c r="DO163" s="5" t="s">
        <v>238</v>
      </c>
      <c r="DP163" s="5" t="s">
        <v>238</v>
      </c>
      <c r="DQ163" s="5" t="s">
        <v>238</v>
      </c>
      <c r="DT163" s="5" t="s">
        <v>3764</v>
      </c>
      <c r="DU163" s="5" t="s">
        <v>274</v>
      </c>
      <c r="GL163" s="5" t="s">
        <v>3765</v>
      </c>
      <c r="HM163" s="5" t="s">
        <v>313</v>
      </c>
      <c r="HP163" s="5" t="s">
        <v>272</v>
      </c>
      <c r="HQ163" s="5" t="s">
        <v>272</v>
      </c>
      <c r="HR163" s="5" t="s">
        <v>238</v>
      </c>
      <c r="HS163" s="5" t="s">
        <v>238</v>
      </c>
      <c r="HT163" s="5" t="s">
        <v>238</v>
      </c>
      <c r="HU163" s="5" t="s">
        <v>238</v>
      </c>
      <c r="HV163" s="5" t="s">
        <v>238</v>
      </c>
      <c r="HW163" s="5" t="s">
        <v>238</v>
      </c>
      <c r="HX163" s="5" t="s">
        <v>238</v>
      </c>
      <c r="HY163" s="5" t="s">
        <v>238</v>
      </c>
      <c r="HZ163" s="5" t="s">
        <v>238</v>
      </c>
      <c r="IA163" s="5" t="s">
        <v>238</v>
      </c>
      <c r="IB163" s="5" t="s">
        <v>238</v>
      </c>
      <c r="IC163" s="5" t="s">
        <v>238</v>
      </c>
      <c r="ID163" s="5" t="s">
        <v>238</v>
      </c>
    </row>
    <row r="164" spans="1:238" x14ac:dyDescent="0.4">
      <c r="A164" s="5">
        <v>177</v>
      </c>
      <c r="B164" s="5">
        <v>1</v>
      </c>
      <c r="C164" s="5">
        <v>2</v>
      </c>
      <c r="D164" s="5" t="s">
        <v>3580</v>
      </c>
      <c r="E164" s="5" t="s">
        <v>751</v>
      </c>
      <c r="F164" s="5" t="s">
        <v>282</v>
      </c>
      <c r="G164" s="5" t="s">
        <v>752</v>
      </c>
      <c r="H164" s="6" t="s">
        <v>3582</v>
      </c>
      <c r="I164" s="5" t="s">
        <v>3579</v>
      </c>
      <c r="J164" s="7">
        <f>18.15</f>
        <v>18.149999999999999</v>
      </c>
      <c r="K164" s="5" t="s">
        <v>270</v>
      </c>
      <c r="L164" s="8">
        <f>1</f>
        <v>1</v>
      </c>
      <c r="M164" s="8">
        <f>1089000</f>
        <v>1089000</v>
      </c>
      <c r="N164" s="6" t="s">
        <v>3581</v>
      </c>
      <c r="O164" s="5" t="s">
        <v>651</v>
      </c>
      <c r="P164" s="5" t="s">
        <v>639</v>
      </c>
      <c r="R164" s="8">
        <f>1088999</f>
        <v>1088999</v>
      </c>
      <c r="S164" s="5" t="s">
        <v>240</v>
      </c>
      <c r="T164" s="5" t="s">
        <v>237</v>
      </c>
      <c r="W164" s="5" t="s">
        <v>241</v>
      </c>
      <c r="X164" s="5" t="s">
        <v>750</v>
      </c>
      <c r="Y164" s="5" t="s">
        <v>238</v>
      </c>
      <c r="AB164" s="5" t="s">
        <v>238</v>
      </c>
      <c r="AC164" s="6" t="s">
        <v>238</v>
      </c>
      <c r="AD164" s="6" t="s">
        <v>238</v>
      </c>
      <c r="AF164" s="6" t="s">
        <v>238</v>
      </c>
      <c r="AG164" s="6" t="s">
        <v>246</v>
      </c>
      <c r="AH164" s="5" t="s">
        <v>247</v>
      </c>
      <c r="AI164" s="5" t="s">
        <v>248</v>
      </c>
      <c r="AT164" s="6" t="s">
        <v>238</v>
      </c>
      <c r="AW164" s="5" t="s">
        <v>304</v>
      </c>
      <c r="AX164" s="5" t="s">
        <v>304</v>
      </c>
      <c r="AY164" s="5" t="s">
        <v>250</v>
      </c>
      <c r="AZ164" s="5" t="s">
        <v>305</v>
      </c>
      <c r="BA164" s="5" t="s">
        <v>251</v>
      </c>
      <c r="BB164" s="5" t="s">
        <v>238</v>
      </c>
      <c r="BC164" s="5" t="s">
        <v>253</v>
      </c>
      <c r="BD164" s="5" t="s">
        <v>238</v>
      </c>
      <c r="BF164" s="5" t="s">
        <v>760</v>
      </c>
      <c r="BH164" s="5" t="s">
        <v>283</v>
      </c>
      <c r="BI164" s="6" t="s">
        <v>293</v>
      </c>
      <c r="BJ164" s="5" t="s">
        <v>255</v>
      </c>
      <c r="BK164" s="5" t="s">
        <v>256</v>
      </c>
      <c r="BL164" s="5" t="s">
        <v>238</v>
      </c>
      <c r="BM164" s="7">
        <f>0</f>
        <v>0</v>
      </c>
      <c r="BN164" s="8">
        <f>0</f>
        <v>0</v>
      </c>
      <c r="BO164" s="5" t="s">
        <v>257</v>
      </c>
      <c r="BP164" s="5" t="s">
        <v>258</v>
      </c>
      <c r="BQ164" s="5" t="s">
        <v>238</v>
      </c>
      <c r="BR164" s="5" t="s">
        <v>238</v>
      </c>
      <c r="BS164" s="5" t="s">
        <v>238</v>
      </c>
      <c r="BT164" s="5" t="s">
        <v>238</v>
      </c>
      <c r="CC164" s="5" t="s">
        <v>258</v>
      </c>
      <c r="CD164" s="5" t="s">
        <v>238</v>
      </c>
      <c r="CE164" s="5" t="s">
        <v>238</v>
      </c>
      <c r="CI164" s="5" t="s">
        <v>527</v>
      </c>
      <c r="CJ164" s="5" t="s">
        <v>260</v>
      </c>
      <c r="CK164" s="5" t="s">
        <v>238</v>
      </c>
      <c r="CM164" s="5" t="s">
        <v>1095</v>
      </c>
      <c r="CN164" s="6" t="s">
        <v>262</v>
      </c>
      <c r="CO164" s="5" t="s">
        <v>263</v>
      </c>
      <c r="CP164" s="5" t="s">
        <v>264</v>
      </c>
      <c r="CQ164" s="5" t="s">
        <v>285</v>
      </c>
      <c r="CR164" s="5" t="s">
        <v>238</v>
      </c>
      <c r="CS164" s="5">
        <v>0</v>
      </c>
      <c r="CT164" s="5" t="s">
        <v>265</v>
      </c>
      <c r="CU164" s="5" t="s">
        <v>266</v>
      </c>
      <c r="CV164" s="5" t="s">
        <v>331</v>
      </c>
      <c r="CW164" s="7">
        <f>0</f>
        <v>0</v>
      </c>
      <c r="CX164" s="8">
        <f>1089000</f>
        <v>1089000</v>
      </c>
      <c r="CY164" s="8">
        <f>1</f>
        <v>1</v>
      </c>
      <c r="DA164" s="5" t="s">
        <v>238</v>
      </c>
      <c r="DB164" s="5" t="s">
        <v>238</v>
      </c>
      <c r="DD164" s="5" t="s">
        <v>238</v>
      </c>
      <c r="DE164" s="8">
        <f>0</f>
        <v>0</v>
      </c>
      <c r="DG164" s="5" t="s">
        <v>238</v>
      </c>
      <c r="DH164" s="5" t="s">
        <v>238</v>
      </c>
      <c r="DI164" s="5" t="s">
        <v>238</v>
      </c>
      <c r="DJ164" s="5" t="s">
        <v>238</v>
      </c>
      <c r="DK164" s="5" t="s">
        <v>271</v>
      </c>
      <c r="DL164" s="5" t="s">
        <v>272</v>
      </c>
      <c r="DM164" s="7">
        <f>18.15</f>
        <v>18.149999999999999</v>
      </c>
      <c r="DN164" s="5" t="s">
        <v>238</v>
      </c>
      <c r="DO164" s="5" t="s">
        <v>238</v>
      </c>
      <c r="DP164" s="5" t="s">
        <v>238</v>
      </c>
      <c r="DQ164" s="5" t="s">
        <v>238</v>
      </c>
      <c r="DT164" s="5" t="s">
        <v>3583</v>
      </c>
      <c r="DU164" s="5" t="s">
        <v>271</v>
      </c>
      <c r="HM164" s="5" t="s">
        <v>271</v>
      </c>
      <c r="HP164" s="5" t="s">
        <v>272</v>
      </c>
      <c r="HQ164" s="5" t="s">
        <v>272</v>
      </c>
      <c r="HR164" s="5" t="s">
        <v>238</v>
      </c>
      <c r="HS164" s="5" t="s">
        <v>238</v>
      </c>
      <c r="HT164" s="5" t="s">
        <v>238</v>
      </c>
      <c r="HU164" s="5" t="s">
        <v>238</v>
      </c>
      <c r="HV164" s="5" t="s">
        <v>238</v>
      </c>
      <c r="HW164" s="5" t="s">
        <v>238</v>
      </c>
      <c r="HX164" s="5" t="s">
        <v>238</v>
      </c>
      <c r="HY164" s="5" t="s">
        <v>238</v>
      </c>
      <c r="HZ164" s="5" t="s">
        <v>238</v>
      </c>
      <c r="IA164" s="5" t="s">
        <v>238</v>
      </c>
      <c r="IB164" s="5" t="s">
        <v>238</v>
      </c>
      <c r="IC164" s="5" t="s">
        <v>238</v>
      </c>
      <c r="ID164" s="5" t="s">
        <v>238</v>
      </c>
    </row>
    <row r="165" spans="1:238" x14ac:dyDescent="0.4">
      <c r="A165" s="5">
        <v>178</v>
      </c>
      <c r="B165" s="5">
        <v>1</v>
      </c>
      <c r="C165" s="5">
        <v>2</v>
      </c>
      <c r="D165" s="5" t="s">
        <v>3576</v>
      </c>
      <c r="E165" s="5" t="s">
        <v>751</v>
      </c>
      <c r="F165" s="5" t="s">
        <v>282</v>
      </c>
      <c r="G165" s="5" t="s">
        <v>752</v>
      </c>
      <c r="H165" s="6" t="s">
        <v>3577</v>
      </c>
      <c r="I165" s="5" t="s">
        <v>3575</v>
      </c>
      <c r="J165" s="7">
        <f>21.6</f>
        <v>21.6</v>
      </c>
      <c r="K165" s="5" t="s">
        <v>270</v>
      </c>
      <c r="L165" s="8">
        <f>1</f>
        <v>1</v>
      </c>
      <c r="M165" s="8">
        <f>1296000</f>
        <v>1296000</v>
      </c>
      <c r="N165" s="6" t="s">
        <v>906</v>
      </c>
      <c r="O165" s="5" t="s">
        <v>651</v>
      </c>
      <c r="P165" s="5" t="s">
        <v>909</v>
      </c>
      <c r="R165" s="8">
        <f>1295999</f>
        <v>1295999</v>
      </c>
      <c r="S165" s="5" t="s">
        <v>240</v>
      </c>
      <c r="T165" s="5" t="s">
        <v>237</v>
      </c>
      <c r="W165" s="5" t="s">
        <v>241</v>
      </c>
      <c r="X165" s="5" t="s">
        <v>750</v>
      </c>
      <c r="Y165" s="5" t="s">
        <v>238</v>
      </c>
      <c r="AB165" s="5" t="s">
        <v>238</v>
      </c>
      <c r="AC165" s="6" t="s">
        <v>238</v>
      </c>
      <c r="AD165" s="6" t="s">
        <v>238</v>
      </c>
      <c r="AF165" s="6" t="s">
        <v>238</v>
      </c>
      <c r="AG165" s="6" t="s">
        <v>246</v>
      </c>
      <c r="AH165" s="5" t="s">
        <v>247</v>
      </c>
      <c r="AI165" s="5" t="s">
        <v>248</v>
      </c>
      <c r="AT165" s="6" t="s">
        <v>238</v>
      </c>
      <c r="AW165" s="5" t="s">
        <v>304</v>
      </c>
      <c r="AX165" s="5" t="s">
        <v>304</v>
      </c>
      <c r="AY165" s="5" t="s">
        <v>250</v>
      </c>
      <c r="AZ165" s="5" t="s">
        <v>305</v>
      </c>
      <c r="BA165" s="5" t="s">
        <v>251</v>
      </c>
      <c r="BB165" s="5" t="s">
        <v>238</v>
      </c>
      <c r="BC165" s="5" t="s">
        <v>253</v>
      </c>
      <c r="BD165" s="5" t="s">
        <v>238</v>
      </c>
      <c r="BF165" s="5" t="s">
        <v>760</v>
      </c>
      <c r="BH165" s="5" t="s">
        <v>283</v>
      </c>
      <c r="BI165" s="6" t="s">
        <v>293</v>
      </c>
      <c r="BJ165" s="5" t="s">
        <v>255</v>
      </c>
      <c r="BK165" s="5" t="s">
        <v>256</v>
      </c>
      <c r="BL165" s="5" t="s">
        <v>238</v>
      </c>
      <c r="BM165" s="7">
        <f>0</f>
        <v>0</v>
      </c>
      <c r="BN165" s="8">
        <f>0</f>
        <v>0</v>
      </c>
      <c r="BO165" s="5" t="s">
        <v>257</v>
      </c>
      <c r="BP165" s="5" t="s">
        <v>258</v>
      </c>
      <c r="BQ165" s="5" t="s">
        <v>238</v>
      </c>
      <c r="BR165" s="5" t="s">
        <v>238</v>
      </c>
      <c r="BS165" s="5" t="s">
        <v>238</v>
      </c>
      <c r="BT165" s="5" t="s">
        <v>238</v>
      </c>
      <c r="CC165" s="5" t="s">
        <v>258</v>
      </c>
      <c r="CD165" s="5" t="s">
        <v>238</v>
      </c>
      <c r="CE165" s="5" t="s">
        <v>238</v>
      </c>
      <c r="CI165" s="5" t="s">
        <v>527</v>
      </c>
      <c r="CJ165" s="5" t="s">
        <v>260</v>
      </c>
      <c r="CK165" s="5" t="s">
        <v>238</v>
      </c>
      <c r="CM165" s="5" t="s">
        <v>908</v>
      </c>
      <c r="CN165" s="6" t="s">
        <v>262</v>
      </c>
      <c r="CO165" s="5" t="s">
        <v>263</v>
      </c>
      <c r="CP165" s="5" t="s">
        <v>264</v>
      </c>
      <c r="CQ165" s="5" t="s">
        <v>285</v>
      </c>
      <c r="CR165" s="5" t="s">
        <v>238</v>
      </c>
      <c r="CS165" s="5">
        <v>0</v>
      </c>
      <c r="CT165" s="5" t="s">
        <v>265</v>
      </c>
      <c r="CU165" s="5" t="s">
        <v>266</v>
      </c>
      <c r="CV165" s="5" t="s">
        <v>331</v>
      </c>
      <c r="CW165" s="7">
        <f>0</f>
        <v>0</v>
      </c>
      <c r="CX165" s="8">
        <f>1296000</f>
        <v>1296000</v>
      </c>
      <c r="CY165" s="8">
        <f>1</f>
        <v>1</v>
      </c>
      <c r="DA165" s="5" t="s">
        <v>238</v>
      </c>
      <c r="DB165" s="5" t="s">
        <v>238</v>
      </c>
      <c r="DD165" s="5" t="s">
        <v>238</v>
      </c>
      <c r="DE165" s="8">
        <f>0</f>
        <v>0</v>
      </c>
      <c r="DG165" s="5" t="s">
        <v>238</v>
      </c>
      <c r="DH165" s="5" t="s">
        <v>238</v>
      </c>
      <c r="DI165" s="5" t="s">
        <v>238</v>
      </c>
      <c r="DJ165" s="5" t="s">
        <v>238</v>
      </c>
      <c r="DK165" s="5" t="s">
        <v>271</v>
      </c>
      <c r="DL165" s="5" t="s">
        <v>272</v>
      </c>
      <c r="DM165" s="7">
        <f>21.6</f>
        <v>21.6</v>
      </c>
      <c r="DN165" s="5" t="s">
        <v>238</v>
      </c>
      <c r="DO165" s="5" t="s">
        <v>238</v>
      </c>
      <c r="DP165" s="5" t="s">
        <v>238</v>
      </c>
      <c r="DQ165" s="5" t="s">
        <v>238</v>
      </c>
      <c r="DT165" s="5" t="s">
        <v>3578</v>
      </c>
      <c r="DU165" s="5" t="s">
        <v>271</v>
      </c>
      <c r="HM165" s="5" t="s">
        <v>271</v>
      </c>
      <c r="HP165" s="5" t="s">
        <v>272</v>
      </c>
      <c r="HQ165" s="5" t="s">
        <v>272</v>
      </c>
      <c r="HR165" s="5" t="s">
        <v>238</v>
      </c>
      <c r="HS165" s="5" t="s">
        <v>238</v>
      </c>
      <c r="HT165" s="5" t="s">
        <v>238</v>
      </c>
      <c r="HU165" s="5" t="s">
        <v>238</v>
      </c>
      <c r="HV165" s="5" t="s">
        <v>238</v>
      </c>
      <c r="HW165" s="5" t="s">
        <v>238</v>
      </c>
      <c r="HX165" s="5" t="s">
        <v>238</v>
      </c>
      <c r="HY165" s="5" t="s">
        <v>238</v>
      </c>
      <c r="HZ165" s="5" t="s">
        <v>238</v>
      </c>
      <c r="IA165" s="5" t="s">
        <v>238</v>
      </c>
      <c r="IB165" s="5" t="s">
        <v>238</v>
      </c>
      <c r="IC165" s="5" t="s">
        <v>238</v>
      </c>
      <c r="ID165" s="5" t="s">
        <v>238</v>
      </c>
    </row>
    <row r="166" spans="1:238" x14ac:dyDescent="0.4">
      <c r="A166" s="5">
        <v>180</v>
      </c>
      <c r="B166" s="5">
        <v>1</v>
      </c>
      <c r="C166" s="5">
        <v>6</v>
      </c>
      <c r="D166" s="5" t="s">
        <v>4034</v>
      </c>
      <c r="E166" s="5" t="s">
        <v>751</v>
      </c>
      <c r="F166" s="5" t="s">
        <v>282</v>
      </c>
      <c r="G166" s="5" t="s">
        <v>349</v>
      </c>
      <c r="H166" s="6" t="s">
        <v>656</v>
      </c>
      <c r="I166" s="5" t="s">
        <v>4065</v>
      </c>
      <c r="J166" s="8">
        <f>0</f>
        <v>0</v>
      </c>
      <c r="K166" s="5" t="s">
        <v>287</v>
      </c>
      <c r="L166" s="8">
        <f>687400</f>
        <v>687400</v>
      </c>
      <c r="M166" s="8">
        <f>826200</f>
        <v>826200</v>
      </c>
      <c r="N166" s="6" t="s">
        <v>562</v>
      </c>
      <c r="O166" s="5" t="s">
        <v>651</v>
      </c>
      <c r="P166" s="5" t="s">
        <v>274</v>
      </c>
      <c r="Q166" s="8">
        <f>34700</f>
        <v>34700</v>
      </c>
      <c r="R166" s="8">
        <f>138800</f>
        <v>138800</v>
      </c>
      <c r="S166" s="5" t="s">
        <v>240</v>
      </c>
      <c r="T166" s="5" t="s">
        <v>287</v>
      </c>
      <c r="W166" s="5" t="s">
        <v>241</v>
      </c>
      <c r="X166" s="5" t="s">
        <v>750</v>
      </c>
      <c r="Y166" s="5" t="s">
        <v>238</v>
      </c>
      <c r="AB166" s="5" t="s">
        <v>238</v>
      </c>
      <c r="AC166" s="6" t="s">
        <v>238</v>
      </c>
      <c r="AD166" s="6" t="s">
        <v>238</v>
      </c>
      <c r="AE166" s="5" t="s">
        <v>238</v>
      </c>
      <c r="AF166" s="6" t="s">
        <v>238</v>
      </c>
      <c r="AG166" s="6" t="s">
        <v>246</v>
      </c>
      <c r="AH166" s="5" t="s">
        <v>247</v>
      </c>
      <c r="AI166" s="5" t="s">
        <v>248</v>
      </c>
      <c r="AO166" s="5" t="s">
        <v>238</v>
      </c>
      <c r="AP166" s="5" t="s">
        <v>238</v>
      </c>
      <c r="AQ166" s="5" t="s">
        <v>238</v>
      </c>
      <c r="AR166" s="6" t="s">
        <v>238</v>
      </c>
      <c r="AS166" s="6" t="s">
        <v>238</v>
      </c>
      <c r="AT166" s="6" t="s">
        <v>238</v>
      </c>
      <c r="AW166" s="5" t="s">
        <v>304</v>
      </c>
      <c r="AX166" s="5" t="s">
        <v>304</v>
      </c>
      <c r="AY166" s="5" t="s">
        <v>250</v>
      </c>
      <c r="AZ166" s="5" t="s">
        <v>305</v>
      </c>
      <c r="BA166" s="5" t="s">
        <v>251</v>
      </c>
      <c r="BB166" s="5" t="s">
        <v>238</v>
      </c>
      <c r="BC166" s="5" t="s">
        <v>253</v>
      </c>
      <c r="BD166" s="5" t="s">
        <v>3170</v>
      </c>
      <c r="BF166" s="5" t="s">
        <v>238</v>
      </c>
      <c r="BH166" s="5" t="s">
        <v>283</v>
      </c>
      <c r="BI166" s="6" t="s">
        <v>293</v>
      </c>
      <c r="BJ166" s="5" t="s">
        <v>294</v>
      </c>
      <c r="BK166" s="5" t="s">
        <v>870</v>
      </c>
      <c r="BL166" s="5" t="s">
        <v>238</v>
      </c>
      <c r="BM166" s="8">
        <f>0</f>
        <v>0</v>
      </c>
      <c r="BN166" s="8">
        <f>-34700</f>
        <v>-34700</v>
      </c>
      <c r="BO166" s="5" t="s">
        <v>257</v>
      </c>
      <c r="BP166" s="5" t="s">
        <v>258</v>
      </c>
      <c r="BQ166" s="5" t="s">
        <v>238</v>
      </c>
      <c r="BR166" s="5" t="s">
        <v>238</v>
      </c>
      <c r="BS166" s="5" t="s">
        <v>238</v>
      </c>
      <c r="BT166" s="5" t="s">
        <v>238</v>
      </c>
      <c r="BY166" s="6" t="s">
        <v>238</v>
      </c>
      <c r="BZ166" s="5" t="s">
        <v>238</v>
      </c>
      <c r="CA166" s="5" t="s">
        <v>238</v>
      </c>
      <c r="CB166" s="5" t="s">
        <v>238</v>
      </c>
      <c r="CC166" s="5" t="s">
        <v>258</v>
      </c>
      <c r="CD166" s="5" t="s">
        <v>238</v>
      </c>
      <c r="CE166" s="5" t="s">
        <v>238</v>
      </c>
      <c r="CI166" s="5" t="s">
        <v>259</v>
      </c>
      <c r="CJ166" s="5" t="s">
        <v>260</v>
      </c>
      <c r="CK166" s="5" t="s">
        <v>272</v>
      </c>
      <c r="CM166" s="5" t="s">
        <v>402</v>
      </c>
      <c r="CN166" s="6" t="s">
        <v>262</v>
      </c>
      <c r="CO166" s="5" t="s">
        <v>263</v>
      </c>
      <c r="CP166" s="5" t="s">
        <v>264</v>
      </c>
      <c r="CQ166" s="5" t="s">
        <v>285</v>
      </c>
      <c r="CR166" s="5" t="s">
        <v>238</v>
      </c>
      <c r="CS166" s="5">
        <v>4.2000000000000003E-2</v>
      </c>
      <c r="CT166" s="5" t="s">
        <v>265</v>
      </c>
      <c r="CU166" s="5" t="s">
        <v>266</v>
      </c>
      <c r="CV166" s="5" t="s">
        <v>331</v>
      </c>
      <c r="CW166" s="7">
        <f>0</f>
        <v>0</v>
      </c>
      <c r="CX166" s="8">
        <f>826200</f>
        <v>826200</v>
      </c>
      <c r="CY166" s="8">
        <f>687400</f>
        <v>687400</v>
      </c>
      <c r="CZ166" s="8" t="s">
        <v>238</v>
      </c>
      <c r="DA166" s="5" t="s">
        <v>238</v>
      </c>
      <c r="DB166" s="5" t="s">
        <v>238</v>
      </c>
      <c r="DD166" s="5" t="s">
        <v>238</v>
      </c>
      <c r="DE166" s="8">
        <f>0</f>
        <v>0</v>
      </c>
      <c r="DF166" s="6" t="s">
        <v>238</v>
      </c>
      <c r="DG166" s="5" t="s">
        <v>238</v>
      </c>
      <c r="DH166" s="5" t="s">
        <v>238</v>
      </c>
      <c r="DI166" s="5" t="s">
        <v>238</v>
      </c>
      <c r="DJ166" s="5" t="s">
        <v>238</v>
      </c>
      <c r="DK166" s="5" t="s">
        <v>272</v>
      </c>
      <c r="DL166" s="5" t="s">
        <v>272</v>
      </c>
      <c r="DM166" s="8" t="s">
        <v>238</v>
      </c>
      <c r="DN166" s="5" t="s">
        <v>238</v>
      </c>
      <c r="DO166" s="5" t="s">
        <v>247</v>
      </c>
      <c r="DP166" s="5" t="s">
        <v>3170</v>
      </c>
      <c r="DQ166" s="5" t="s">
        <v>3170</v>
      </c>
      <c r="DR166" s="5" t="s">
        <v>238</v>
      </c>
      <c r="DS166" s="5" t="s">
        <v>238</v>
      </c>
      <c r="DT166" s="5" t="s">
        <v>4035</v>
      </c>
      <c r="DU166" s="5" t="s">
        <v>274</v>
      </c>
      <c r="HP166" s="5" t="s">
        <v>272</v>
      </c>
      <c r="HQ166" s="5" t="s">
        <v>272</v>
      </c>
      <c r="HR166" s="5" t="s">
        <v>238</v>
      </c>
      <c r="HS166" s="5" t="s">
        <v>238</v>
      </c>
      <c r="HT166" s="5" t="s">
        <v>238</v>
      </c>
      <c r="HU166" s="5" t="s">
        <v>238</v>
      </c>
      <c r="HV166" s="5" t="s">
        <v>238</v>
      </c>
      <c r="HW166" s="5" t="s">
        <v>238</v>
      </c>
      <c r="HX166" s="5" t="s">
        <v>238</v>
      </c>
      <c r="HY166" s="5" t="s">
        <v>238</v>
      </c>
      <c r="HZ166" s="5" t="s">
        <v>238</v>
      </c>
      <c r="IA166" s="5" t="s">
        <v>238</v>
      </c>
      <c r="IB166" s="5" t="s">
        <v>238</v>
      </c>
      <c r="IC166" s="5" t="s">
        <v>238</v>
      </c>
      <c r="ID166" s="5" t="s">
        <v>238</v>
      </c>
    </row>
    <row r="167" spans="1:238" x14ac:dyDescent="0.4">
      <c r="A167" s="5">
        <v>181</v>
      </c>
      <c r="B167" s="5">
        <v>1</v>
      </c>
      <c r="C167" s="5">
        <v>2</v>
      </c>
      <c r="D167" s="5" t="s">
        <v>4034</v>
      </c>
      <c r="E167" s="5" t="s">
        <v>751</v>
      </c>
      <c r="F167" s="5" t="s">
        <v>282</v>
      </c>
      <c r="G167" s="5" t="s">
        <v>752</v>
      </c>
      <c r="H167" s="6" t="s">
        <v>656</v>
      </c>
      <c r="I167" s="5" t="s">
        <v>4033</v>
      </c>
      <c r="J167" s="7">
        <f>17.82</f>
        <v>17.82</v>
      </c>
      <c r="K167" s="5" t="s">
        <v>270</v>
      </c>
      <c r="L167" s="8">
        <f>1</f>
        <v>1</v>
      </c>
      <c r="M167" s="8">
        <f>1069200</f>
        <v>1069200</v>
      </c>
      <c r="N167" s="6" t="s">
        <v>1250</v>
      </c>
      <c r="O167" s="5" t="s">
        <v>651</v>
      </c>
      <c r="P167" s="5" t="s">
        <v>971</v>
      </c>
      <c r="R167" s="8">
        <f>1069199</f>
        <v>1069199</v>
      </c>
      <c r="S167" s="5" t="s">
        <v>240</v>
      </c>
      <c r="T167" s="5" t="s">
        <v>237</v>
      </c>
      <c r="W167" s="5" t="s">
        <v>241</v>
      </c>
      <c r="X167" s="5" t="s">
        <v>750</v>
      </c>
      <c r="Y167" s="5" t="s">
        <v>238</v>
      </c>
      <c r="AB167" s="5" t="s">
        <v>238</v>
      </c>
      <c r="AC167" s="6" t="s">
        <v>238</v>
      </c>
      <c r="AD167" s="6" t="s">
        <v>238</v>
      </c>
      <c r="AF167" s="6" t="s">
        <v>238</v>
      </c>
      <c r="AG167" s="6" t="s">
        <v>246</v>
      </c>
      <c r="AH167" s="5" t="s">
        <v>247</v>
      </c>
      <c r="AI167" s="5" t="s">
        <v>248</v>
      </c>
      <c r="AT167" s="6" t="s">
        <v>238</v>
      </c>
      <c r="AW167" s="5" t="s">
        <v>304</v>
      </c>
      <c r="AX167" s="5" t="s">
        <v>304</v>
      </c>
      <c r="AY167" s="5" t="s">
        <v>250</v>
      </c>
      <c r="AZ167" s="5" t="s">
        <v>305</v>
      </c>
      <c r="BA167" s="5" t="s">
        <v>251</v>
      </c>
      <c r="BB167" s="5" t="s">
        <v>238</v>
      </c>
      <c r="BC167" s="5" t="s">
        <v>253</v>
      </c>
      <c r="BD167" s="5" t="s">
        <v>238</v>
      </c>
      <c r="BF167" s="5" t="s">
        <v>238</v>
      </c>
      <c r="BH167" s="5" t="s">
        <v>283</v>
      </c>
      <c r="BI167" s="6" t="s">
        <v>293</v>
      </c>
      <c r="BJ167" s="5" t="s">
        <v>255</v>
      </c>
      <c r="BK167" s="5" t="s">
        <v>1300</v>
      </c>
      <c r="BL167" s="5" t="s">
        <v>238</v>
      </c>
      <c r="BM167" s="7">
        <f>-2.18</f>
        <v>-2.1800000000000002</v>
      </c>
      <c r="BN167" s="8">
        <f>0</f>
        <v>0</v>
      </c>
      <c r="BO167" s="5" t="s">
        <v>257</v>
      </c>
      <c r="BP167" s="5" t="s">
        <v>258</v>
      </c>
      <c r="BQ167" s="5" t="s">
        <v>238</v>
      </c>
      <c r="BR167" s="5" t="s">
        <v>238</v>
      </c>
      <c r="BS167" s="5" t="s">
        <v>238</v>
      </c>
      <c r="BT167" s="5" t="s">
        <v>238</v>
      </c>
      <c r="CC167" s="5" t="s">
        <v>258</v>
      </c>
      <c r="CD167" s="5" t="s">
        <v>238</v>
      </c>
      <c r="CE167" s="5" t="s">
        <v>238</v>
      </c>
      <c r="CI167" s="5" t="s">
        <v>527</v>
      </c>
      <c r="CJ167" s="5" t="s">
        <v>260</v>
      </c>
      <c r="CK167" s="5" t="s">
        <v>238</v>
      </c>
      <c r="CM167" s="5" t="s">
        <v>699</v>
      </c>
      <c r="CN167" s="6" t="s">
        <v>262</v>
      </c>
      <c r="CO167" s="5" t="s">
        <v>263</v>
      </c>
      <c r="CP167" s="5" t="s">
        <v>264</v>
      </c>
      <c r="CQ167" s="5" t="s">
        <v>285</v>
      </c>
      <c r="CR167" s="5" t="s">
        <v>238</v>
      </c>
      <c r="CS167" s="5">
        <v>0</v>
      </c>
      <c r="CT167" s="5" t="s">
        <v>265</v>
      </c>
      <c r="CU167" s="5" t="s">
        <v>266</v>
      </c>
      <c r="CV167" s="5" t="s">
        <v>331</v>
      </c>
      <c r="CW167" s="7">
        <f>0</f>
        <v>0</v>
      </c>
      <c r="CX167" s="8">
        <f>1069200</f>
        <v>1069200</v>
      </c>
      <c r="CY167" s="8">
        <f>1</f>
        <v>1</v>
      </c>
      <c r="DA167" s="5" t="s">
        <v>238</v>
      </c>
      <c r="DB167" s="5" t="s">
        <v>238</v>
      </c>
      <c r="DD167" s="5" t="s">
        <v>238</v>
      </c>
      <c r="DE167" s="8">
        <f>0</f>
        <v>0</v>
      </c>
      <c r="DG167" s="5" t="s">
        <v>238</v>
      </c>
      <c r="DH167" s="5" t="s">
        <v>238</v>
      </c>
      <c r="DI167" s="5" t="s">
        <v>238</v>
      </c>
      <c r="DJ167" s="5" t="s">
        <v>238</v>
      </c>
      <c r="DK167" s="5" t="s">
        <v>272</v>
      </c>
      <c r="DL167" s="5" t="s">
        <v>272</v>
      </c>
      <c r="DM167" s="7">
        <f>20</f>
        <v>20</v>
      </c>
      <c r="DN167" s="5" t="s">
        <v>238</v>
      </c>
      <c r="DO167" s="5" t="s">
        <v>238</v>
      </c>
      <c r="DP167" s="5" t="s">
        <v>238</v>
      </c>
      <c r="DQ167" s="5" t="s">
        <v>238</v>
      </c>
      <c r="DT167" s="5" t="s">
        <v>4035</v>
      </c>
      <c r="DU167" s="5" t="s">
        <v>356</v>
      </c>
      <c r="HM167" s="5" t="s">
        <v>271</v>
      </c>
      <c r="HP167" s="5" t="s">
        <v>272</v>
      </c>
      <c r="HQ167" s="5" t="s">
        <v>272</v>
      </c>
      <c r="HR167" s="5" t="s">
        <v>238</v>
      </c>
      <c r="HS167" s="5" t="s">
        <v>238</v>
      </c>
      <c r="HT167" s="5" t="s">
        <v>238</v>
      </c>
      <c r="HU167" s="5" t="s">
        <v>238</v>
      </c>
      <c r="HV167" s="5" t="s">
        <v>238</v>
      </c>
      <c r="HW167" s="5" t="s">
        <v>238</v>
      </c>
      <c r="HX167" s="5" t="s">
        <v>238</v>
      </c>
      <c r="HY167" s="5" t="s">
        <v>238</v>
      </c>
      <c r="HZ167" s="5" t="s">
        <v>238</v>
      </c>
      <c r="IA167" s="5" t="s">
        <v>238</v>
      </c>
      <c r="IB167" s="5" t="s">
        <v>238</v>
      </c>
      <c r="IC167" s="5" t="s">
        <v>238</v>
      </c>
      <c r="ID167" s="5" t="s">
        <v>238</v>
      </c>
    </row>
    <row r="168" spans="1:238" x14ac:dyDescent="0.4">
      <c r="A168" s="5">
        <v>182</v>
      </c>
      <c r="B168" s="5">
        <v>1</v>
      </c>
      <c r="C168" s="5">
        <v>2</v>
      </c>
      <c r="D168" s="5" t="s">
        <v>3572</v>
      </c>
      <c r="E168" s="5" t="s">
        <v>751</v>
      </c>
      <c r="F168" s="5" t="s">
        <v>282</v>
      </c>
      <c r="G168" s="5" t="s">
        <v>752</v>
      </c>
      <c r="H168" s="6" t="s">
        <v>3573</v>
      </c>
      <c r="I168" s="5" t="s">
        <v>3571</v>
      </c>
      <c r="J168" s="7">
        <f>9.94</f>
        <v>9.94</v>
      </c>
      <c r="K168" s="5" t="s">
        <v>270</v>
      </c>
      <c r="L168" s="8">
        <f>1</f>
        <v>1</v>
      </c>
      <c r="M168" s="8">
        <f>596220</f>
        <v>596220</v>
      </c>
      <c r="N168" s="6" t="s">
        <v>906</v>
      </c>
      <c r="O168" s="5" t="s">
        <v>651</v>
      </c>
      <c r="P168" s="5" t="s">
        <v>909</v>
      </c>
      <c r="R168" s="8">
        <f>596219</f>
        <v>596219</v>
      </c>
      <c r="S168" s="5" t="s">
        <v>240</v>
      </c>
      <c r="T168" s="5" t="s">
        <v>237</v>
      </c>
      <c r="W168" s="5" t="s">
        <v>241</v>
      </c>
      <c r="X168" s="5" t="s">
        <v>750</v>
      </c>
      <c r="Y168" s="5" t="s">
        <v>238</v>
      </c>
      <c r="AB168" s="5" t="s">
        <v>238</v>
      </c>
      <c r="AC168" s="6" t="s">
        <v>238</v>
      </c>
      <c r="AD168" s="6" t="s">
        <v>238</v>
      </c>
      <c r="AF168" s="6" t="s">
        <v>238</v>
      </c>
      <c r="AG168" s="6" t="s">
        <v>246</v>
      </c>
      <c r="AH168" s="5" t="s">
        <v>247</v>
      </c>
      <c r="AI168" s="5" t="s">
        <v>248</v>
      </c>
      <c r="AT168" s="6" t="s">
        <v>238</v>
      </c>
      <c r="AW168" s="5" t="s">
        <v>304</v>
      </c>
      <c r="AX168" s="5" t="s">
        <v>304</v>
      </c>
      <c r="AY168" s="5" t="s">
        <v>250</v>
      </c>
      <c r="AZ168" s="5" t="s">
        <v>305</v>
      </c>
      <c r="BA168" s="5" t="s">
        <v>251</v>
      </c>
      <c r="BB168" s="5" t="s">
        <v>238</v>
      </c>
      <c r="BC168" s="5" t="s">
        <v>253</v>
      </c>
      <c r="BD168" s="5" t="s">
        <v>238</v>
      </c>
      <c r="BF168" s="5" t="s">
        <v>760</v>
      </c>
      <c r="BH168" s="5" t="s">
        <v>283</v>
      </c>
      <c r="BI168" s="6" t="s">
        <v>293</v>
      </c>
      <c r="BJ168" s="5" t="s">
        <v>255</v>
      </c>
      <c r="BK168" s="5" t="s">
        <v>256</v>
      </c>
      <c r="BL168" s="5" t="s">
        <v>238</v>
      </c>
      <c r="BM168" s="7">
        <f>0</f>
        <v>0</v>
      </c>
      <c r="BN168" s="8">
        <f>0</f>
        <v>0</v>
      </c>
      <c r="BO168" s="5" t="s">
        <v>257</v>
      </c>
      <c r="BP168" s="5" t="s">
        <v>258</v>
      </c>
      <c r="BQ168" s="5" t="s">
        <v>238</v>
      </c>
      <c r="BR168" s="5" t="s">
        <v>238</v>
      </c>
      <c r="BS168" s="5" t="s">
        <v>238</v>
      </c>
      <c r="BT168" s="5" t="s">
        <v>238</v>
      </c>
      <c r="CC168" s="5" t="s">
        <v>258</v>
      </c>
      <c r="CD168" s="5" t="s">
        <v>238</v>
      </c>
      <c r="CE168" s="5" t="s">
        <v>238</v>
      </c>
      <c r="CI168" s="5" t="s">
        <v>527</v>
      </c>
      <c r="CJ168" s="5" t="s">
        <v>260</v>
      </c>
      <c r="CK168" s="5" t="s">
        <v>238</v>
      </c>
      <c r="CM168" s="5" t="s">
        <v>908</v>
      </c>
      <c r="CN168" s="6" t="s">
        <v>262</v>
      </c>
      <c r="CO168" s="5" t="s">
        <v>263</v>
      </c>
      <c r="CP168" s="5" t="s">
        <v>264</v>
      </c>
      <c r="CQ168" s="5" t="s">
        <v>285</v>
      </c>
      <c r="CR168" s="5" t="s">
        <v>238</v>
      </c>
      <c r="CS168" s="5">
        <v>0</v>
      </c>
      <c r="CT168" s="5" t="s">
        <v>265</v>
      </c>
      <c r="CU168" s="5" t="s">
        <v>266</v>
      </c>
      <c r="CV168" s="5" t="s">
        <v>331</v>
      </c>
      <c r="CW168" s="7">
        <f>0</f>
        <v>0</v>
      </c>
      <c r="CX168" s="8">
        <f>596220</f>
        <v>596220</v>
      </c>
      <c r="CY168" s="8">
        <f>1</f>
        <v>1</v>
      </c>
      <c r="DA168" s="5" t="s">
        <v>238</v>
      </c>
      <c r="DB168" s="5" t="s">
        <v>238</v>
      </c>
      <c r="DD168" s="5" t="s">
        <v>238</v>
      </c>
      <c r="DE168" s="8">
        <f>0</f>
        <v>0</v>
      </c>
      <c r="DG168" s="5" t="s">
        <v>238</v>
      </c>
      <c r="DH168" s="5" t="s">
        <v>238</v>
      </c>
      <c r="DI168" s="5" t="s">
        <v>238</v>
      </c>
      <c r="DJ168" s="5" t="s">
        <v>238</v>
      </c>
      <c r="DK168" s="5" t="s">
        <v>271</v>
      </c>
      <c r="DL168" s="5" t="s">
        <v>272</v>
      </c>
      <c r="DM168" s="7">
        <f>9.94</f>
        <v>9.94</v>
      </c>
      <c r="DN168" s="5" t="s">
        <v>238</v>
      </c>
      <c r="DO168" s="5" t="s">
        <v>238</v>
      </c>
      <c r="DP168" s="5" t="s">
        <v>238</v>
      </c>
      <c r="DQ168" s="5" t="s">
        <v>238</v>
      </c>
      <c r="DT168" s="5" t="s">
        <v>3574</v>
      </c>
      <c r="DU168" s="5" t="s">
        <v>271</v>
      </c>
      <c r="HM168" s="5" t="s">
        <v>271</v>
      </c>
      <c r="HP168" s="5" t="s">
        <v>272</v>
      </c>
      <c r="HQ168" s="5" t="s">
        <v>272</v>
      </c>
      <c r="HR168" s="5" t="s">
        <v>238</v>
      </c>
      <c r="HS168" s="5" t="s">
        <v>238</v>
      </c>
      <c r="HT168" s="5" t="s">
        <v>238</v>
      </c>
      <c r="HU168" s="5" t="s">
        <v>238</v>
      </c>
      <c r="HV168" s="5" t="s">
        <v>238</v>
      </c>
      <c r="HW168" s="5" t="s">
        <v>238</v>
      </c>
      <c r="HX168" s="5" t="s">
        <v>238</v>
      </c>
      <c r="HY168" s="5" t="s">
        <v>238</v>
      </c>
      <c r="HZ168" s="5" t="s">
        <v>238</v>
      </c>
      <c r="IA168" s="5" t="s">
        <v>238</v>
      </c>
      <c r="IB168" s="5" t="s">
        <v>238</v>
      </c>
      <c r="IC168" s="5" t="s">
        <v>238</v>
      </c>
      <c r="ID168" s="5" t="s">
        <v>238</v>
      </c>
    </row>
    <row r="169" spans="1:238" x14ac:dyDescent="0.4">
      <c r="A169" s="5">
        <v>183</v>
      </c>
      <c r="B169" s="5">
        <v>1</v>
      </c>
      <c r="C169" s="5">
        <v>5</v>
      </c>
      <c r="D169" s="5" t="s">
        <v>3756</v>
      </c>
      <c r="E169" s="5" t="s">
        <v>751</v>
      </c>
      <c r="F169" s="5" t="s">
        <v>282</v>
      </c>
      <c r="G169" s="5" t="s">
        <v>752</v>
      </c>
      <c r="H169" s="6" t="s">
        <v>3757</v>
      </c>
      <c r="I169" s="5" t="s">
        <v>3755</v>
      </c>
      <c r="J169" s="7">
        <f>23.76</f>
        <v>23.76</v>
      </c>
      <c r="K169" s="5" t="s">
        <v>270</v>
      </c>
      <c r="L169" s="8">
        <f>448593</f>
        <v>448593</v>
      </c>
      <c r="M169" s="8">
        <f>3801600</f>
        <v>3801600</v>
      </c>
      <c r="N169" s="6" t="s">
        <v>711</v>
      </c>
      <c r="O169" s="5" t="s">
        <v>651</v>
      </c>
      <c r="P169" s="5" t="s">
        <v>658</v>
      </c>
      <c r="Q169" s="8">
        <f>159667</f>
        <v>159667</v>
      </c>
      <c r="R169" s="8">
        <f>3353007</f>
        <v>3353007</v>
      </c>
      <c r="S169" s="5" t="s">
        <v>240</v>
      </c>
      <c r="T169" s="5" t="s">
        <v>237</v>
      </c>
      <c r="W169" s="5" t="s">
        <v>241</v>
      </c>
      <c r="X169" s="5" t="s">
        <v>750</v>
      </c>
      <c r="Y169" s="5" t="s">
        <v>238</v>
      </c>
      <c r="AB169" s="5" t="s">
        <v>238</v>
      </c>
      <c r="AC169" s="6" t="s">
        <v>238</v>
      </c>
      <c r="AD169" s="6" t="s">
        <v>238</v>
      </c>
      <c r="AF169" s="6" t="s">
        <v>238</v>
      </c>
      <c r="AG169" s="6" t="s">
        <v>246</v>
      </c>
      <c r="AH169" s="5" t="s">
        <v>247</v>
      </c>
      <c r="AI169" s="5" t="s">
        <v>248</v>
      </c>
      <c r="AO169" s="5" t="s">
        <v>238</v>
      </c>
      <c r="AP169" s="5" t="s">
        <v>238</v>
      </c>
      <c r="AQ169" s="5" t="s">
        <v>238</v>
      </c>
      <c r="AR169" s="6" t="s">
        <v>238</v>
      </c>
      <c r="AS169" s="6" t="s">
        <v>238</v>
      </c>
      <c r="AT169" s="6" t="s">
        <v>238</v>
      </c>
      <c r="AW169" s="5" t="s">
        <v>304</v>
      </c>
      <c r="AX169" s="5" t="s">
        <v>304</v>
      </c>
      <c r="AY169" s="5" t="s">
        <v>250</v>
      </c>
      <c r="AZ169" s="5" t="s">
        <v>305</v>
      </c>
      <c r="BA169" s="5" t="s">
        <v>251</v>
      </c>
      <c r="BB169" s="5" t="s">
        <v>238</v>
      </c>
      <c r="BC169" s="5" t="s">
        <v>253</v>
      </c>
      <c r="BD169" s="5" t="s">
        <v>238</v>
      </c>
      <c r="BF169" s="5" t="s">
        <v>760</v>
      </c>
      <c r="BH169" s="5" t="s">
        <v>283</v>
      </c>
      <c r="BI169" s="6" t="s">
        <v>293</v>
      </c>
      <c r="BJ169" s="5" t="s">
        <v>294</v>
      </c>
      <c r="BK169" s="5" t="s">
        <v>294</v>
      </c>
      <c r="BL169" s="5" t="s">
        <v>238</v>
      </c>
      <c r="BM169" s="7">
        <f>0</f>
        <v>0</v>
      </c>
      <c r="BN169" s="8">
        <f>-159667</f>
        <v>-159667</v>
      </c>
      <c r="BO169" s="5" t="s">
        <v>257</v>
      </c>
      <c r="BP169" s="5" t="s">
        <v>258</v>
      </c>
      <c r="BQ169" s="5" t="s">
        <v>238</v>
      </c>
      <c r="BR169" s="5" t="s">
        <v>238</v>
      </c>
      <c r="BS169" s="5" t="s">
        <v>238</v>
      </c>
      <c r="BT169" s="5" t="s">
        <v>238</v>
      </c>
      <c r="CC169" s="5" t="s">
        <v>258</v>
      </c>
      <c r="CD169" s="5" t="s">
        <v>238</v>
      </c>
      <c r="CE169" s="5" t="s">
        <v>238</v>
      </c>
      <c r="CI169" s="5" t="s">
        <v>259</v>
      </c>
      <c r="CJ169" s="5" t="s">
        <v>260</v>
      </c>
      <c r="CK169" s="5" t="s">
        <v>238</v>
      </c>
      <c r="CM169" s="5" t="s">
        <v>657</v>
      </c>
      <c r="CN169" s="6" t="s">
        <v>262</v>
      </c>
      <c r="CO169" s="5" t="s">
        <v>263</v>
      </c>
      <c r="CP169" s="5" t="s">
        <v>264</v>
      </c>
      <c r="CQ169" s="5" t="s">
        <v>285</v>
      </c>
      <c r="CR169" s="5" t="s">
        <v>238</v>
      </c>
      <c r="CS169" s="5">
        <v>4.2000000000000003E-2</v>
      </c>
      <c r="CT169" s="5" t="s">
        <v>265</v>
      </c>
      <c r="CU169" s="5" t="s">
        <v>266</v>
      </c>
      <c r="CV169" s="5" t="s">
        <v>331</v>
      </c>
      <c r="CW169" s="7">
        <f>0</f>
        <v>0</v>
      </c>
      <c r="CX169" s="8">
        <f>3801600</f>
        <v>3801600</v>
      </c>
      <c r="CY169" s="8">
        <f>448593</f>
        <v>448593</v>
      </c>
      <c r="DA169" s="5" t="s">
        <v>238</v>
      </c>
      <c r="DB169" s="5" t="s">
        <v>238</v>
      </c>
      <c r="DD169" s="5" t="s">
        <v>238</v>
      </c>
      <c r="DE169" s="8">
        <f>0</f>
        <v>0</v>
      </c>
      <c r="DG169" s="5" t="s">
        <v>238</v>
      </c>
      <c r="DH169" s="5" t="s">
        <v>238</v>
      </c>
      <c r="DI169" s="5" t="s">
        <v>238</v>
      </c>
      <c r="DJ169" s="5" t="s">
        <v>238</v>
      </c>
      <c r="DK169" s="5" t="s">
        <v>271</v>
      </c>
      <c r="DL169" s="5" t="s">
        <v>272</v>
      </c>
      <c r="DM169" s="7">
        <f>23.76</f>
        <v>23.76</v>
      </c>
      <c r="DN169" s="5" t="s">
        <v>238</v>
      </c>
      <c r="DO169" s="5" t="s">
        <v>238</v>
      </c>
      <c r="DP169" s="5" t="s">
        <v>238</v>
      </c>
      <c r="DQ169" s="5" t="s">
        <v>238</v>
      </c>
      <c r="DT169" s="5" t="s">
        <v>3758</v>
      </c>
      <c r="DU169" s="5" t="s">
        <v>271</v>
      </c>
      <c r="GL169" s="5" t="s">
        <v>3759</v>
      </c>
      <c r="HM169" s="5" t="s">
        <v>313</v>
      </c>
      <c r="HP169" s="5" t="s">
        <v>272</v>
      </c>
      <c r="HQ169" s="5" t="s">
        <v>272</v>
      </c>
      <c r="HR169" s="5" t="s">
        <v>238</v>
      </c>
      <c r="HS169" s="5" t="s">
        <v>238</v>
      </c>
      <c r="HT169" s="5" t="s">
        <v>238</v>
      </c>
      <c r="HU169" s="5" t="s">
        <v>238</v>
      </c>
      <c r="HV169" s="5" t="s">
        <v>238</v>
      </c>
      <c r="HW169" s="5" t="s">
        <v>238</v>
      </c>
      <c r="HX169" s="5" t="s">
        <v>238</v>
      </c>
      <c r="HY169" s="5" t="s">
        <v>238</v>
      </c>
      <c r="HZ169" s="5" t="s">
        <v>238</v>
      </c>
      <c r="IA169" s="5" t="s">
        <v>238</v>
      </c>
      <c r="IB169" s="5" t="s">
        <v>238</v>
      </c>
      <c r="IC169" s="5" t="s">
        <v>238</v>
      </c>
      <c r="ID169" s="5" t="s">
        <v>238</v>
      </c>
    </row>
    <row r="170" spans="1:238" x14ac:dyDescent="0.4">
      <c r="A170" s="5">
        <v>184</v>
      </c>
      <c r="B170" s="5">
        <v>1</v>
      </c>
      <c r="C170" s="5">
        <v>5</v>
      </c>
      <c r="D170" s="5" t="s">
        <v>3751</v>
      </c>
      <c r="E170" s="5" t="s">
        <v>751</v>
      </c>
      <c r="F170" s="5" t="s">
        <v>282</v>
      </c>
      <c r="G170" s="5" t="s">
        <v>752</v>
      </c>
      <c r="H170" s="6" t="s">
        <v>3752</v>
      </c>
      <c r="I170" s="5" t="s">
        <v>3750</v>
      </c>
      <c r="J170" s="7">
        <f>23.76</f>
        <v>23.76</v>
      </c>
      <c r="K170" s="5" t="s">
        <v>270</v>
      </c>
      <c r="L170" s="8">
        <f>927594</f>
        <v>927594</v>
      </c>
      <c r="M170" s="8">
        <f>3801600</f>
        <v>3801600</v>
      </c>
      <c r="N170" s="6" t="s">
        <v>807</v>
      </c>
      <c r="O170" s="5" t="s">
        <v>651</v>
      </c>
      <c r="P170" s="5" t="s">
        <v>269</v>
      </c>
      <c r="Q170" s="8">
        <f>159667</f>
        <v>159667</v>
      </c>
      <c r="R170" s="8">
        <f>2874006</f>
        <v>2874006</v>
      </c>
      <c r="S170" s="5" t="s">
        <v>240</v>
      </c>
      <c r="T170" s="5" t="s">
        <v>237</v>
      </c>
      <c r="W170" s="5" t="s">
        <v>241</v>
      </c>
      <c r="X170" s="5" t="s">
        <v>750</v>
      </c>
      <c r="Y170" s="5" t="s">
        <v>238</v>
      </c>
      <c r="AB170" s="5" t="s">
        <v>238</v>
      </c>
      <c r="AC170" s="6" t="s">
        <v>238</v>
      </c>
      <c r="AD170" s="6" t="s">
        <v>238</v>
      </c>
      <c r="AF170" s="6" t="s">
        <v>238</v>
      </c>
      <c r="AG170" s="6" t="s">
        <v>246</v>
      </c>
      <c r="AH170" s="5" t="s">
        <v>247</v>
      </c>
      <c r="AI170" s="5" t="s">
        <v>248</v>
      </c>
      <c r="AO170" s="5" t="s">
        <v>238</v>
      </c>
      <c r="AP170" s="5" t="s">
        <v>238</v>
      </c>
      <c r="AQ170" s="5" t="s">
        <v>238</v>
      </c>
      <c r="AR170" s="6" t="s">
        <v>238</v>
      </c>
      <c r="AS170" s="6" t="s">
        <v>238</v>
      </c>
      <c r="AT170" s="6" t="s">
        <v>238</v>
      </c>
      <c r="AW170" s="5" t="s">
        <v>304</v>
      </c>
      <c r="AX170" s="5" t="s">
        <v>304</v>
      </c>
      <c r="AY170" s="5" t="s">
        <v>250</v>
      </c>
      <c r="AZ170" s="5" t="s">
        <v>305</v>
      </c>
      <c r="BA170" s="5" t="s">
        <v>251</v>
      </c>
      <c r="BB170" s="5" t="s">
        <v>238</v>
      </c>
      <c r="BC170" s="5" t="s">
        <v>253</v>
      </c>
      <c r="BD170" s="5" t="s">
        <v>238</v>
      </c>
      <c r="BF170" s="5" t="s">
        <v>760</v>
      </c>
      <c r="BH170" s="5" t="s">
        <v>283</v>
      </c>
      <c r="BI170" s="6" t="s">
        <v>293</v>
      </c>
      <c r="BJ170" s="5" t="s">
        <v>294</v>
      </c>
      <c r="BK170" s="5" t="s">
        <v>294</v>
      </c>
      <c r="BL170" s="5" t="s">
        <v>238</v>
      </c>
      <c r="BM170" s="7">
        <f>0</f>
        <v>0</v>
      </c>
      <c r="BN170" s="8">
        <f>-159667</f>
        <v>-159667</v>
      </c>
      <c r="BO170" s="5" t="s">
        <v>257</v>
      </c>
      <c r="BP170" s="5" t="s">
        <v>258</v>
      </c>
      <c r="BQ170" s="5" t="s">
        <v>238</v>
      </c>
      <c r="BR170" s="5" t="s">
        <v>238</v>
      </c>
      <c r="BS170" s="5" t="s">
        <v>238</v>
      </c>
      <c r="BT170" s="5" t="s">
        <v>238</v>
      </c>
      <c r="CC170" s="5" t="s">
        <v>258</v>
      </c>
      <c r="CD170" s="5" t="s">
        <v>238</v>
      </c>
      <c r="CE170" s="5" t="s">
        <v>238</v>
      </c>
      <c r="CI170" s="5" t="s">
        <v>259</v>
      </c>
      <c r="CJ170" s="5" t="s">
        <v>260</v>
      </c>
      <c r="CK170" s="5" t="s">
        <v>238</v>
      </c>
      <c r="CM170" s="5" t="s">
        <v>682</v>
      </c>
      <c r="CN170" s="6" t="s">
        <v>262</v>
      </c>
      <c r="CO170" s="5" t="s">
        <v>263</v>
      </c>
      <c r="CP170" s="5" t="s">
        <v>264</v>
      </c>
      <c r="CQ170" s="5" t="s">
        <v>285</v>
      </c>
      <c r="CR170" s="5" t="s">
        <v>238</v>
      </c>
      <c r="CS170" s="5">
        <v>4.2000000000000003E-2</v>
      </c>
      <c r="CT170" s="5" t="s">
        <v>265</v>
      </c>
      <c r="CU170" s="5" t="s">
        <v>266</v>
      </c>
      <c r="CV170" s="5" t="s">
        <v>331</v>
      </c>
      <c r="CW170" s="7">
        <f>0</f>
        <v>0</v>
      </c>
      <c r="CX170" s="8">
        <f>3801600</f>
        <v>3801600</v>
      </c>
      <c r="CY170" s="8">
        <f>927594</f>
        <v>927594</v>
      </c>
      <c r="DA170" s="5" t="s">
        <v>238</v>
      </c>
      <c r="DB170" s="5" t="s">
        <v>238</v>
      </c>
      <c r="DD170" s="5" t="s">
        <v>238</v>
      </c>
      <c r="DE170" s="8">
        <f>0</f>
        <v>0</v>
      </c>
      <c r="DG170" s="5" t="s">
        <v>238</v>
      </c>
      <c r="DH170" s="5" t="s">
        <v>238</v>
      </c>
      <c r="DI170" s="5" t="s">
        <v>238</v>
      </c>
      <c r="DJ170" s="5" t="s">
        <v>238</v>
      </c>
      <c r="DK170" s="5" t="s">
        <v>271</v>
      </c>
      <c r="DL170" s="5" t="s">
        <v>272</v>
      </c>
      <c r="DM170" s="7">
        <f>23.76</f>
        <v>23.76</v>
      </c>
      <c r="DN170" s="5" t="s">
        <v>238</v>
      </c>
      <c r="DO170" s="5" t="s">
        <v>238</v>
      </c>
      <c r="DP170" s="5" t="s">
        <v>238</v>
      </c>
      <c r="DQ170" s="5" t="s">
        <v>238</v>
      </c>
      <c r="DT170" s="5" t="s">
        <v>3753</v>
      </c>
      <c r="DU170" s="5" t="s">
        <v>271</v>
      </c>
      <c r="GL170" s="5" t="s">
        <v>3754</v>
      </c>
      <c r="HM170" s="5" t="s">
        <v>313</v>
      </c>
      <c r="HP170" s="5" t="s">
        <v>272</v>
      </c>
      <c r="HQ170" s="5" t="s">
        <v>272</v>
      </c>
      <c r="HR170" s="5" t="s">
        <v>238</v>
      </c>
      <c r="HS170" s="5" t="s">
        <v>238</v>
      </c>
      <c r="HT170" s="5" t="s">
        <v>238</v>
      </c>
      <c r="HU170" s="5" t="s">
        <v>238</v>
      </c>
      <c r="HV170" s="5" t="s">
        <v>238</v>
      </c>
      <c r="HW170" s="5" t="s">
        <v>238</v>
      </c>
      <c r="HX170" s="5" t="s">
        <v>238</v>
      </c>
      <c r="HY170" s="5" t="s">
        <v>238</v>
      </c>
      <c r="HZ170" s="5" t="s">
        <v>238</v>
      </c>
      <c r="IA170" s="5" t="s">
        <v>238</v>
      </c>
      <c r="IB170" s="5" t="s">
        <v>238</v>
      </c>
      <c r="IC170" s="5" t="s">
        <v>238</v>
      </c>
      <c r="ID170" s="5" t="s">
        <v>238</v>
      </c>
    </row>
    <row r="171" spans="1:238" x14ac:dyDescent="0.4">
      <c r="A171" s="5">
        <v>185</v>
      </c>
      <c r="B171" s="5">
        <v>1</v>
      </c>
      <c r="C171" s="5">
        <v>3</v>
      </c>
      <c r="D171" s="5" t="s">
        <v>4061</v>
      </c>
      <c r="E171" s="5" t="s">
        <v>751</v>
      </c>
      <c r="F171" s="5" t="s">
        <v>282</v>
      </c>
      <c r="G171" s="5" t="s">
        <v>752</v>
      </c>
      <c r="H171" s="6" t="s">
        <v>4062</v>
      </c>
      <c r="I171" s="5" t="s">
        <v>4060</v>
      </c>
      <c r="J171" s="7">
        <f>43.07</f>
        <v>43.07</v>
      </c>
      <c r="K171" s="5" t="s">
        <v>270</v>
      </c>
      <c r="L171" s="8">
        <f>1</f>
        <v>1</v>
      </c>
      <c r="M171" s="8">
        <f>2584200</f>
        <v>2584200</v>
      </c>
      <c r="N171" s="6" t="s">
        <v>906</v>
      </c>
      <c r="O171" s="5" t="s">
        <v>268</v>
      </c>
      <c r="P171" s="5" t="s">
        <v>909</v>
      </c>
      <c r="Q171" s="8" t="s">
        <v>238</v>
      </c>
      <c r="R171" s="8">
        <f>2584199</f>
        <v>2584199</v>
      </c>
      <c r="S171" s="5" t="s">
        <v>240</v>
      </c>
      <c r="T171" s="5" t="s">
        <v>237</v>
      </c>
      <c r="W171" s="5" t="s">
        <v>241</v>
      </c>
      <c r="X171" s="5" t="s">
        <v>750</v>
      </c>
      <c r="Y171" s="5" t="s">
        <v>238</v>
      </c>
      <c r="AB171" s="5" t="s">
        <v>238</v>
      </c>
      <c r="AC171" s="6" t="s">
        <v>238</v>
      </c>
      <c r="AD171" s="6" t="s">
        <v>238</v>
      </c>
      <c r="AE171" s="5" t="s">
        <v>238</v>
      </c>
      <c r="AF171" s="6" t="s">
        <v>238</v>
      </c>
      <c r="AG171" s="6" t="s">
        <v>246</v>
      </c>
      <c r="AH171" s="5" t="s">
        <v>247</v>
      </c>
      <c r="AI171" s="5" t="s">
        <v>248</v>
      </c>
      <c r="AO171" s="5" t="s">
        <v>238</v>
      </c>
      <c r="AP171" s="5" t="s">
        <v>238</v>
      </c>
      <c r="AQ171" s="5" t="s">
        <v>238</v>
      </c>
      <c r="AR171" s="6" t="s">
        <v>238</v>
      </c>
      <c r="AS171" s="6" t="s">
        <v>238</v>
      </c>
      <c r="AT171" s="6" t="s">
        <v>238</v>
      </c>
      <c r="AW171" s="5" t="s">
        <v>304</v>
      </c>
      <c r="AX171" s="5" t="s">
        <v>304</v>
      </c>
      <c r="AY171" s="5" t="s">
        <v>250</v>
      </c>
      <c r="AZ171" s="5" t="s">
        <v>305</v>
      </c>
      <c r="BA171" s="5" t="s">
        <v>251</v>
      </c>
      <c r="BB171" s="5" t="s">
        <v>238</v>
      </c>
      <c r="BC171" s="5" t="s">
        <v>253</v>
      </c>
      <c r="BD171" s="5" t="s">
        <v>3170</v>
      </c>
      <c r="BF171" s="5" t="s">
        <v>760</v>
      </c>
      <c r="BH171" s="5" t="s">
        <v>283</v>
      </c>
      <c r="BI171" s="6" t="s">
        <v>293</v>
      </c>
      <c r="BJ171" s="5" t="s">
        <v>255</v>
      </c>
      <c r="BK171" s="5" t="s">
        <v>870</v>
      </c>
      <c r="BL171" s="5" t="s">
        <v>238</v>
      </c>
      <c r="BM171" s="7">
        <f>0</f>
        <v>0</v>
      </c>
      <c r="BN171" s="8">
        <f>0</f>
        <v>0</v>
      </c>
      <c r="BO171" s="5" t="s">
        <v>257</v>
      </c>
      <c r="BP171" s="5" t="s">
        <v>258</v>
      </c>
      <c r="BQ171" s="5" t="s">
        <v>238</v>
      </c>
      <c r="BR171" s="5" t="s">
        <v>238</v>
      </c>
      <c r="BS171" s="5" t="s">
        <v>238</v>
      </c>
      <c r="BT171" s="5" t="s">
        <v>238</v>
      </c>
      <c r="BY171" s="6" t="s">
        <v>238</v>
      </c>
      <c r="BZ171" s="5" t="s">
        <v>238</v>
      </c>
      <c r="CA171" s="5" t="s">
        <v>238</v>
      </c>
      <c r="CB171" s="5" t="s">
        <v>238</v>
      </c>
      <c r="CC171" s="5" t="s">
        <v>258</v>
      </c>
      <c r="CD171" s="5" t="s">
        <v>238</v>
      </c>
      <c r="CE171" s="5" t="s">
        <v>238</v>
      </c>
      <c r="CI171" s="5" t="s">
        <v>527</v>
      </c>
      <c r="CJ171" s="5" t="s">
        <v>260</v>
      </c>
      <c r="CK171" s="5" t="s">
        <v>272</v>
      </c>
      <c r="CM171" s="5" t="s">
        <v>908</v>
      </c>
      <c r="CN171" s="6" t="s">
        <v>262</v>
      </c>
      <c r="CO171" s="5" t="s">
        <v>263</v>
      </c>
      <c r="CP171" s="5" t="s">
        <v>264</v>
      </c>
      <c r="CQ171" s="5" t="s">
        <v>285</v>
      </c>
      <c r="CR171" s="5" t="s">
        <v>238</v>
      </c>
      <c r="CS171" s="5">
        <v>0</v>
      </c>
      <c r="CT171" s="5" t="s">
        <v>265</v>
      </c>
      <c r="CU171" s="5" t="s">
        <v>266</v>
      </c>
      <c r="CV171" s="5" t="s">
        <v>267</v>
      </c>
      <c r="CW171" s="7">
        <f>0</f>
        <v>0</v>
      </c>
      <c r="CX171" s="8">
        <f>2584200</f>
        <v>2584200</v>
      </c>
      <c r="CY171" s="8">
        <f>1</f>
        <v>1</v>
      </c>
      <c r="CZ171" s="8" t="s">
        <v>238</v>
      </c>
      <c r="DA171" s="5" t="s">
        <v>238</v>
      </c>
      <c r="DB171" s="5" t="s">
        <v>238</v>
      </c>
      <c r="DD171" s="5" t="s">
        <v>238</v>
      </c>
      <c r="DE171" s="8">
        <f>0</f>
        <v>0</v>
      </c>
      <c r="DF171" s="6" t="s">
        <v>238</v>
      </c>
      <c r="DG171" s="5" t="s">
        <v>238</v>
      </c>
      <c r="DH171" s="5" t="s">
        <v>238</v>
      </c>
      <c r="DI171" s="5" t="s">
        <v>238</v>
      </c>
      <c r="DJ171" s="5" t="s">
        <v>238</v>
      </c>
      <c r="DK171" s="5" t="s">
        <v>274</v>
      </c>
      <c r="DL171" s="5" t="s">
        <v>272</v>
      </c>
      <c r="DM171" s="7">
        <f>43.07</f>
        <v>43.07</v>
      </c>
      <c r="DN171" s="5" t="s">
        <v>238</v>
      </c>
      <c r="DO171" s="5" t="s">
        <v>247</v>
      </c>
      <c r="DP171" s="5" t="s">
        <v>3170</v>
      </c>
      <c r="DQ171" s="5" t="s">
        <v>3170</v>
      </c>
      <c r="DR171" s="5" t="s">
        <v>238</v>
      </c>
      <c r="DS171" s="5" t="s">
        <v>238</v>
      </c>
      <c r="DT171" s="5" t="s">
        <v>4063</v>
      </c>
      <c r="DU171" s="5" t="s">
        <v>271</v>
      </c>
      <c r="HP171" s="5" t="s">
        <v>272</v>
      </c>
      <c r="HQ171" s="5" t="s">
        <v>272</v>
      </c>
      <c r="HR171" s="5" t="s">
        <v>238</v>
      </c>
      <c r="HS171" s="5" t="s">
        <v>238</v>
      </c>
      <c r="HT171" s="5" t="s">
        <v>238</v>
      </c>
      <c r="HU171" s="5" t="s">
        <v>238</v>
      </c>
      <c r="HV171" s="5" t="s">
        <v>238</v>
      </c>
      <c r="HW171" s="5" t="s">
        <v>238</v>
      </c>
      <c r="HX171" s="5" t="s">
        <v>238</v>
      </c>
      <c r="HY171" s="5" t="s">
        <v>238</v>
      </c>
      <c r="HZ171" s="5" t="s">
        <v>238</v>
      </c>
      <c r="IA171" s="5" t="s">
        <v>238</v>
      </c>
      <c r="IB171" s="5" t="s">
        <v>238</v>
      </c>
      <c r="IC171" s="5" t="s">
        <v>238</v>
      </c>
      <c r="ID171" s="5" t="s">
        <v>238</v>
      </c>
    </row>
    <row r="172" spans="1:238" x14ac:dyDescent="0.4">
      <c r="A172" s="5">
        <v>186</v>
      </c>
      <c r="B172" s="5">
        <v>1</v>
      </c>
      <c r="C172" s="5">
        <v>2</v>
      </c>
      <c r="D172" s="5" t="s">
        <v>3562</v>
      </c>
      <c r="E172" s="5" t="s">
        <v>751</v>
      </c>
      <c r="F172" s="5" t="s">
        <v>282</v>
      </c>
      <c r="G172" s="5" t="s">
        <v>3563</v>
      </c>
      <c r="H172" s="6" t="s">
        <v>3564</v>
      </c>
      <c r="I172" s="5" t="s">
        <v>3561</v>
      </c>
      <c r="J172" s="7">
        <f>29.81</f>
        <v>29.81</v>
      </c>
      <c r="K172" s="5" t="s">
        <v>270</v>
      </c>
      <c r="L172" s="8">
        <f>1</f>
        <v>1</v>
      </c>
      <c r="M172" s="8">
        <f>1788600</f>
        <v>1788600</v>
      </c>
      <c r="N172" s="6" t="s">
        <v>906</v>
      </c>
      <c r="O172" s="5" t="s">
        <v>268</v>
      </c>
      <c r="P172" s="5" t="s">
        <v>909</v>
      </c>
      <c r="R172" s="8">
        <f>1788599</f>
        <v>1788599</v>
      </c>
      <c r="S172" s="5" t="s">
        <v>240</v>
      </c>
      <c r="T172" s="5" t="s">
        <v>237</v>
      </c>
      <c r="W172" s="5" t="s">
        <v>241</v>
      </c>
      <c r="X172" s="5" t="s">
        <v>750</v>
      </c>
      <c r="Y172" s="5" t="s">
        <v>238</v>
      </c>
      <c r="AB172" s="5" t="s">
        <v>238</v>
      </c>
      <c r="AC172" s="6" t="s">
        <v>238</v>
      </c>
      <c r="AD172" s="6" t="s">
        <v>238</v>
      </c>
      <c r="AF172" s="6" t="s">
        <v>238</v>
      </c>
      <c r="AG172" s="6" t="s">
        <v>246</v>
      </c>
      <c r="AH172" s="5" t="s">
        <v>247</v>
      </c>
      <c r="AI172" s="5" t="s">
        <v>248</v>
      </c>
      <c r="AT172" s="6" t="s">
        <v>238</v>
      </c>
      <c r="AW172" s="5" t="s">
        <v>304</v>
      </c>
      <c r="AX172" s="5" t="s">
        <v>304</v>
      </c>
      <c r="AY172" s="5" t="s">
        <v>250</v>
      </c>
      <c r="AZ172" s="5" t="s">
        <v>305</v>
      </c>
      <c r="BA172" s="5" t="s">
        <v>251</v>
      </c>
      <c r="BB172" s="5" t="s">
        <v>238</v>
      </c>
      <c r="BC172" s="5" t="s">
        <v>253</v>
      </c>
      <c r="BD172" s="5" t="s">
        <v>238</v>
      </c>
      <c r="BF172" s="5" t="s">
        <v>760</v>
      </c>
      <c r="BH172" s="5" t="s">
        <v>283</v>
      </c>
      <c r="BI172" s="6" t="s">
        <v>293</v>
      </c>
      <c r="BJ172" s="5" t="s">
        <v>255</v>
      </c>
      <c r="BK172" s="5" t="s">
        <v>256</v>
      </c>
      <c r="BL172" s="5" t="s">
        <v>238</v>
      </c>
      <c r="BM172" s="7">
        <f>0</f>
        <v>0</v>
      </c>
      <c r="BN172" s="8">
        <f>0</f>
        <v>0</v>
      </c>
      <c r="BO172" s="5" t="s">
        <v>257</v>
      </c>
      <c r="BP172" s="5" t="s">
        <v>258</v>
      </c>
      <c r="BQ172" s="5" t="s">
        <v>238</v>
      </c>
      <c r="BR172" s="5" t="s">
        <v>238</v>
      </c>
      <c r="BS172" s="5" t="s">
        <v>238</v>
      </c>
      <c r="BT172" s="5" t="s">
        <v>238</v>
      </c>
      <c r="CC172" s="5" t="s">
        <v>258</v>
      </c>
      <c r="CD172" s="5" t="s">
        <v>238</v>
      </c>
      <c r="CE172" s="5" t="s">
        <v>238</v>
      </c>
      <c r="CI172" s="5" t="s">
        <v>527</v>
      </c>
      <c r="CJ172" s="5" t="s">
        <v>260</v>
      </c>
      <c r="CK172" s="5" t="s">
        <v>238</v>
      </c>
      <c r="CM172" s="5" t="s">
        <v>908</v>
      </c>
      <c r="CN172" s="6" t="s">
        <v>262</v>
      </c>
      <c r="CO172" s="5" t="s">
        <v>263</v>
      </c>
      <c r="CP172" s="5" t="s">
        <v>264</v>
      </c>
      <c r="CQ172" s="5" t="s">
        <v>285</v>
      </c>
      <c r="CR172" s="5" t="s">
        <v>238</v>
      </c>
      <c r="CS172" s="5">
        <v>0</v>
      </c>
      <c r="CT172" s="5" t="s">
        <v>265</v>
      </c>
      <c r="CU172" s="5" t="s">
        <v>266</v>
      </c>
      <c r="CV172" s="5" t="s">
        <v>267</v>
      </c>
      <c r="CW172" s="7">
        <f>0</f>
        <v>0</v>
      </c>
      <c r="CX172" s="8">
        <f>1788600</f>
        <v>1788600</v>
      </c>
      <c r="CY172" s="8">
        <f>1</f>
        <v>1</v>
      </c>
      <c r="DA172" s="5" t="s">
        <v>238</v>
      </c>
      <c r="DB172" s="5" t="s">
        <v>238</v>
      </c>
      <c r="DD172" s="5" t="s">
        <v>238</v>
      </c>
      <c r="DE172" s="8">
        <f>0</f>
        <v>0</v>
      </c>
      <c r="DG172" s="5" t="s">
        <v>238</v>
      </c>
      <c r="DH172" s="5" t="s">
        <v>238</v>
      </c>
      <c r="DI172" s="5" t="s">
        <v>238</v>
      </c>
      <c r="DJ172" s="5" t="s">
        <v>238</v>
      </c>
      <c r="DK172" s="5" t="s">
        <v>271</v>
      </c>
      <c r="DL172" s="5" t="s">
        <v>272</v>
      </c>
      <c r="DM172" s="7">
        <f>29.81</f>
        <v>29.81</v>
      </c>
      <c r="DN172" s="5" t="s">
        <v>238</v>
      </c>
      <c r="DO172" s="5" t="s">
        <v>238</v>
      </c>
      <c r="DP172" s="5" t="s">
        <v>238</v>
      </c>
      <c r="DQ172" s="5" t="s">
        <v>238</v>
      </c>
      <c r="DT172" s="5" t="s">
        <v>3565</v>
      </c>
      <c r="DU172" s="5" t="s">
        <v>271</v>
      </c>
      <c r="HM172" s="5" t="s">
        <v>271</v>
      </c>
      <c r="HP172" s="5" t="s">
        <v>272</v>
      </c>
      <c r="HQ172" s="5" t="s">
        <v>272</v>
      </c>
      <c r="HR172" s="5" t="s">
        <v>238</v>
      </c>
      <c r="HS172" s="5" t="s">
        <v>238</v>
      </c>
      <c r="HT172" s="5" t="s">
        <v>238</v>
      </c>
      <c r="HU172" s="5" t="s">
        <v>238</v>
      </c>
      <c r="HV172" s="5" t="s">
        <v>238</v>
      </c>
      <c r="HW172" s="5" t="s">
        <v>238</v>
      </c>
      <c r="HX172" s="5" t="s">
        <v>238</v>
      </c>
      <c r="HY172" s="5" t="s">
        <v>238</v>
      </c>
      <c r="HZ172" s="5" t="s">
        <v>238</v>
      </c>
      <c r="IA172" s="5" t="s">
        <v>238</v>
      </c>
      <c r="IB172" s="5" t="s">
        <v>238</v>
      </c>
      <c r="IC172" s="5" t="s">
        <v>238</v>
      </c>
      <c r="ID172" s="5" t="s">
        <v>238</v>
      </c>
    </row>
    <row r="173" spans="1:238" x14ac:dyDescent="0.4">
      <c r="A173" s="5">
        <v>187</v>
      </c>
      <c r="B173" s="5">
        <v>1</v>
      </c>
      <c r="C173" s="5">
        <v>2</v>
      </c>
      <c r="D173" s="5" t="s">
        <v>3558</v>
      </c>
      <c r="E173" s="5" t="s">
        <v>751</v>
      </c>
      <c r="F173" s="5" t="s">
        <v>282</v>
      </c>
      <c r="G173" s="5" t="s">
        <v>752</v>
      </c>
      <c r="H173" s="6" t="s">
        <v>3559</v>
      </c>
      <c r="I173" s="5" t="s">
        <v>3557</v>
      </c>
      <c r="J173" s="7">
        <f>75.35</f>
        <v>75.349999999999994</v>
      </c>
      <c r="K173" s="5" t="s">
        <v>270</v>
      </c>
      <c r="L173" s="8">
        <f>1</f>
        <v>1</v>
      </c>
      <c r="M173" s="8">
        <f>4521000</f>
        <v>4521000</v>
      </c>
      <c r="N173" s="6" t="s">
        <v>906</v>
      </c>
      <c r="O173" s="5" t="s">
        <v>268</v>
      </c>
      <c r="P173" s="5" t="s">
        <v>909</v>
      </c>
      <c r="R173" s="8">
        <f>4520999</f>
        <v>4520999</v>
      </c>
      <c r="S173" s="5" t="s">
        <v>240</v>
      </c>
      <c r="T173" s="5" t="s">
        <v>237</v>
      </c>
      <c r="W173" s="5" t="s">
        <v>241</v>
      </c>
      <c r="X173" s="5" t="s">
        <v>750</v>
      </c>
      <c r="Y173" s="5" t="s">
        <v>238</v>
      </c>
      <c r="AB173" s="5" t="s">
        <v>238</v>
      </c>
      <c r="AC173" s="6" t="s">
        <v>238</v>
      </c>
      <c r="AD173" s="6" t="s">
        <v>238</v>
      </c>
      <c r="AF173" s="6" t="s">
        <v>238</v>
      </c>
      <c r="AG173" s="6" t="s">
        <v>246</v>
      </c>
      <c r="AH173" s="5" t="s">
        <v>247</v>
      </c>
      <c r="AI173" s="5" t="s">
        <v>248</v>
      </c>
      <c r="AT173" s="6" t="s">
        <v>238</v>
      </c>
      <c r="AW173" s="5" t="s">
        <v>304</v>
      </c>
      <c r="AX173" s="5" t="s">
        <v>304</v>
      </c>
      <c r="AY173" s="5" t="s">
        <v>250</v>
      </c>
      <c r="AZ173" s="5" t="s">
        <v>305</v>
      </c>
      <c r="BA173" s="5" t="s">
        <v>251</v>
      </c>
      <c r="BB173" s="5" t="s">
        <v>238</v>
      </c>
      <c r="BC173" s="5" t="s">
        <v>253</v>
      </c>
      <c r="BD173" s="5" t="s">
        <v>238</v>
      </c>
      <c r="BF173" s="5" t="s">
        <v>760</v>
      </c>
      <c r="BH173" s="5" t="s">
        <v>283</v>
      </c>
      <c r="BI173" s="6" t="s">
        <v>293</v>
      </c>
      <c r="BJ173" s="5" t="s">
        <v>255</v>
      </c>
      <c r="BK173" s="5" t="s">
        <v>256</v>
      </c>
      <c r="BL173" s="5" t="s">
        <v>238</v>
      </c>
      <c r="BM173" s="7">
        <f>0</f>
        <v>0</v>
      </c>
      <c r="BN173" s="8">
        <f>0</f>
        <v>0</v>
      </c>
      <c r="BO173" s="5" t="s">
        <v>257</v>
      </c>
      <c r="BP173" s="5" t="s">
        <v>258</v>
      </c>
      <c r="BQ173" s="5" t="s">
        <v>238</v>
      </c>
      <c r="BR173" s="5" t="s">
        <v>238</v>
      </c>
      <c r="BS173" s="5" t="s">
        <v>238</v>
      </c>
      <c r="BT173" s="5" t="s">
        <v>238</v>
      </c>
      <c r="CC173" s="5" t="s">
        <v>258</v>
      </c>
      <c r="CD173" s="5" t="s">
        <v>238</v>
      </c>
      <c r="CE173" s="5" t="s">
        <v>238</v>
      </c>
      <c r="CI173" s="5" t="s">
        <v>527</v>
      </c>
      <c r="CJ173" s="5" t="s">
        <v>260</v>
      </c>
      <c r="CK173" s="5" t="s">
        <v>238</v>
      </c>
      <c r="CM173" s="5" t="s">
        <v>908</v>
      </c>
      <c r="CN173" s="6" t="s">
        <v>262</v>
      </c>
      <c r="CO173" s="5" t="s">
        <v>263</v>
      </c>
      <c r="CP173" s="5" t="s">
        <v>264</v>
      </c>
      <c r="CQ173" s="5" t="s">
        <v>285</v>
      </c>
      <c r="CR173" s="5" t="s">
        <v>238</v>
      </c>
      <c r="CS173" s="5">
        <v>0</v>
      </c>
      <c r="CT173" s="5" t="s">
        <v>265</v>
      </c>
      <c r="CU173" s="5" t="s">
        <v>266</v>
      </c>
      <c r="CV173" s="5" t="s">
        <v>267</v>
      </c>
      <c r="CW173" s="7">
        <f>0</f>
        <v>0</v>
      </c>
      <c r="CX173" s="8">
        <f>4521000</f>
        <v>4521000</v>
      </c>
      <c r="CY173" s="8">
        <f>1</f>
        <v>1</v>
      </c>
      <c r="DA173" s="5" t="s">
        <v>238</v>
      </c>
      <c r="DB173" s="5" t="s">
        <v>238</v>
      </c>
      <c r="DD173" s="5" t="s">
        <v>238</v>
      </c>
      <c r="DE173" s="8">
        <f>0</f>
        <v>0</v>
      </c>
      <c r="DG173" s="5" t="s">
        <v>238</v>
      </c>
      <c r="DH173" s="5" t="s">
        <v>238</v>
      </c>
      <c r="DI173" s="5" t="s">
        <v>238</v>
      </c>
      <c r="DJ173" s="5" t="s">
        <v>238</v>
      </c>
      <c r="DK173" s="5" t="s">
        <v>271</v>
      </c>
      <c r="DL173" s="5" t="s">
        <v>272</v>
      </c>
      <c r="DM173" s="7">
        <f>75.35</f>
        <v>75.349999999999994</v>
      </c>
      <c r="DN173" s="5" t="s">
        <v>238</v>
      </c>
      <c r="DO173" s="5" t="s">
        <v>238</v>
      </c>
      <c r="DP173" s="5" t="s">
        <v>238</v>
      </c>
      <c r="DQ173" s="5" t="s">
        <v>238</v>
      </c>
      <c r="DT173" s="5" t="s">
        <v>3560</v>
      </c>
      <c r="DU173" s="5" t="s">
        <v>271</v>
      </c>
      <c r="HM173" s="5" t="s">
        <v>271</v>
      </c>
      <c r="HP173" s="5" t="s">
        <v>272</v>
      </c>
      <c r="HQ173" s="5" t="s">
        <v>272</v>
      </c>
      <c r="HR173" s="5" t="s">
        <v>238</v>
      </c>
      <c r="HS173" s="5" t="s">
        <v>238</v>
      </c>
      <c r="HT173" s="5" t="s">
        <v>238</v>
      </c>
      <c r="HU173" s="5" t="s">
        <v>238</v>
      </c>
      <c r="HV173" s="5" t="s">
        <v>238</v>
      </c>
      <c r="HW173" s="5" t="s">
        <v>238</v>
      </c>
      <c r="HX173" s="5" t="s">
        <v>238</v>
      </c>
      <c r="HY173" s="5" t="s">
        <v>238</v>
      </c>
      <c r="HZ173" s="5" t="s">
        <v>238</v>
      </c>
      <c r="IA173" s="5" t="s">
        <v>238</v>
      </c>
      <c r="IB173" s="5" t="s">
        <v>238</v>
      </c>
      <c r="IC173" s="5" t="s">
        <v>238</v>
      </c>
      <c r="ID173" s="5" t="s">
        <v>238</v>
      </c>
    </row>
    <row r="174" spans="1:238" x14ac:dyDescent="0.4">
      <c r="A174" s="5">
        <v>188</v>
      </c>
      <c r="B174" s="5">
        <v>1</v>
      </c>
      <c r="C174" s="5">
        <v>2</v>
      </c>
      <c r="D174" s="5" t="s">
        <v>3549</v>
      </c>
      <c r="E174" s="5" t="s">
        <v>751</v>
      </c>
      <c r="F174" s="5" t="s">
        <v>282</v>
      </c>
      <c r="G174" s="5" t="s">
        <v>752</v>
      </c>
      <c r="H174" s="6" t="s">
        <v>3550</v>
      </c>
      <c r="I174" s="5" t="s">
        <v>3548</v>
      </c>
      <c r="J174" s="7">
        <f>41.69</f>
        <v>41.69</v>
      </c>
      <c r="K174" s="5" t="s">
        <v>270</v>
      </c>
      <c r="L174" s="8">
        <f>1</f>
        <v>1</v>
      </c>
      <c r="M174" s="8">
        <f>2501400</f>
        <v>2501400</v>
      </c>
      <c r="N174" s="6" t="s">
        <v>906</v>
      </c>
      <c r="O174" s="5" t="s">
        <v>268</v>
      </c>
      <c r="P174" s="5" t="s">
        <v>909</v>
      </c>
      <c r="R174" s="8">
        <f>2501399</f>
        <v>2501399</v>
      </c>
      <c r="S174" s="5" t="s">
        <v>240</v>
      </c>
      <c r="T174" s="5" t="s">
        <v>237</v>
      </c>
      <c r="W174" s="5" t="s">
        <v>241</v>
      </c>
      <c r="X174" s="5" t="s">
        <v>750</v>
      </c>
      <c r="Y174" s="5" t="s">
        <v>238</v>
      </c>
      <c r="AB174" s="5" t="s">
        <v>238</v>
      </c>
      <c r="AC174" s="6" t="s">
        <v>238</v>
      </c>
      <c r="AD174" s="6" t="s">
        <v>238</v>
      </c>
      <c r="AF174" s="6" t="s">
        <v>238</v>
      </c>
      <c r="AG174" s="6" t="s">
        <v>246</v>
      </c>
      <c r="AH174" s="5" t="s">
        <v>247</v>
      </c>
      <c r="AI174" s="5" t="s">
        <v>248</v>
      </c>
      <c r="AT174" s="6" t="s">
        <v>238</v>
      </c>
      <c r="AW174" s="5" t="s">
        <v>304</v>
      </c>
      <c r="AX174" s="5" t="s">
        <v>304</v>
      </c>
      <c r="AY174" s="5" t="s">
        <v>250</v>
      </c>
      <c r="AZ174" s="5" t="s">
        <v>305</v>
      </c>
      <c r="BA174" s="5" t="s">
        <v>251</v>
      </c>
      <c r="BB174" s="5" t="s">
        <v>238</v>
      </c>
      <c r="BC174" s="5" t="s">
        <v>253</v>
      </c>
      <c r="BD174" s="5" t="s">
        <v>238</v>
      </c>
      <c r="BF174" s="5" t="s">
        <v>760</v>
      </c>
      <c r="BH174" s="5" t="s">
        <v>283</v>
      </c>
      <c r="BI174" s="6" t="s">
        <v>293</v>
      </c>
      <c r="BJ174" s="5" t="s">
        <v>255</v>
      </c>
      <c r="BK174" s="5" t="s">
        <v>256</v>
      </c>
      <c r="BL174" s="5" t="s">
        <v>238</v>
      </c>
      <c r="BM174" s="7">
        <f>0</f>
        <v>0</v>
      </c>
      <c r="BN174" s="8">
        <f>0</f>
        <v>0</v>
      </c>
      <c r="BO174" s="5" t="s">
        <v>257</v>
      </c>
      <c r="BP174" s="5" t="s">
        <v>258</v>
      </c>
      <c r="BQ174" s="5" t="s">
        <v>238</v>
      </c>
      <c r="BR174" s="5" t="s">
        <v>238</v>
      </c>
      <c r="BS174" s="5" t="s">
        <v>238</v>
      </c>
      <c r="BT174" s="5" t="s">
        <v>238</v>
      </c>
      <c r="CC174" s="5" t="s">
        <v>258</v>
      </c>
      <c r="CD174" s="5" t="s">
        <v>238</v>
      </c>
      <c r="CE174" s="5" t="s">
        <v>238</v>
      </c>
      <c r="CI174" s="5" t="s">
        <v>527</v>
      </c>
      <c r="CJ174" s="5" t="s">
        <v>260</v>
      </c>
      <c r="CK174" s="5" t="s">
        <v>238</v>
      </c>
      <c r="CM174" s="5" t="s">
        <v>908</v>
      </c>
      <c r="CN174" s="6" t="s">
        <v>262</v>
      </c>
      <c r="CO174" s="5" t="s">
        <v>263</v>
      </c>
      <c r="CP174" s="5" t="s">
        <v>264</v>
      </c>
      <c r="CQ174" s="5" t="s">
        <v>285</v>
      </c>
      <c r="CR174" s="5" t="s">
        <v>238</v>
      </c>
      <c r="CS174" s="5">
        <v>0</v>
      </c>
      <c r="CT174" s="5" t="s">
        <v>265</v>
      </c>
      <c r="CU174" s="5" t="s">
        <v>266</v>
      </c>
      <c r="CV174" s="5" t="s">
        <v>267</v>
      </c>
      <c r="CW174" s="7">
        <f>0</f>
        <v>0</v>
      </c>
      <c r="CX174" s="8">
        <f>2501400</f>
        <v>2501400</v>
      </c>
      <c r="CY174" s="8">
        <f>1</f>
        <v>1</v>
      </c>
      <c r="DA174" s="5" t="s">
        <v>238</v>
      </c>
      <c r="DB174" s="5" t="s">
        <v>238</v>
      </c>
      <c r="DD174" s="5" t="s">
        <v>238</v>
      </c>
      <c r="DE174" s="8">
        <f>0</f>
        <v>0</v>
      </c>
      <c r="DG174" s="5" t="s">
        <v>238</v>
      </c>
      <c r="DH174" s="5" t="s">
        <v>238</v>
      </c>
      <c r="DI174" s="5" t="s">
        <v>238</v>
      </c>
      <c r="DJ174" s="5" t="s">
        <v>238</v>
      </c>
      <c r="DK174" s="5" t="s">
        <v>271</v>
      </c>
      <c r="DL174" s="5" t="s">
        <v>272</v>
      </c>
      <c r="DM174" s="7">
        <f>41.69</f>
        <v>41.69</v>
      </c>
      <c r="DN174" s="5" t="s">
        <v>238</v>
      </c>
      <c r="DO174" s="5" t="s">
        <v>238</v>
      </c>
      <c r="DP174" s="5" t="s">
        <v>238</v>
      </c>
      <c r="DQ174" s="5" t="s">
        <v>238</v>
      </c>
      <c r="DT174" s="5" t="s">
        <v>3551</v>
      </c>
      <c r="DU174" s="5" t="s">
        <v>271</v>
      </c>
      <c r="HM174" s="5" t="s">
        <v>271</v>
      </c>
      <c r="HP174" s="5" t="s">
        <v>272</v>
      </c>
      <c r="HQ174" s="5" t="s">
        <v>272</v>
      </c>
      <c r="HR174" s="5" t="s">
        <v>238</v>
      </c>
      <c r="HS174" s="5" t="s">
        <v>238</v>
      </c>
      <c r="HT174" s="5" t="s">
        <v>238</v>
      </c>
      <c r="HU174" s="5" t="s">
        <v>238</v>
      </c>
      <c r="HV174" s="5" t="s">
        <v>238</v>
      </c>
      <c r="HW174" s="5" t="s">
        <v>238</v>
      </c>
      <c r="HX174" s="5" t="s">
        <v>238</v>
      </c>
      <c r="HY174" s="5" t="s">
        <v>238</v>
      </c>
      <c r="HZ174" s="5" t="s">
        <v>238</v>
      </c>
      <c r="IA174" s="5" t="s">
        <v>238</v>
      </c>
      <c r="IB174" s="5" t="s">
        <v>238</v>
      </c>
      <c r="IC174" s="5" t="s">
        <v>238</v>
      </c>
      <c r="ID174" s="5" t="s">
        <v>238</v>
      </c>
    </row>
    <row r="175" spans="1:238" x14ac:dyDescent="0.4">
      <c r="A175" s="5">
        <v>189</v>
      </c>
      <c r="B175" s="5">
        <v>1</v>
      </c>
      <c r="C175" s="5">
        <v>2</v>
      </c>
      <c r="D175" s="5" t="s">
        <v>3545</v>
      </c>
      <c r="E175" s="5" t="s">
        <v>751</v>
      </c>
      <c r="F175" s="5" t="s">
        <v>282</v>
      </c>
      <c r="G175" s="5" t="s">
        <v>752</v>
      </c>
      <c r="H175" s="6" t="s">
        <v>3546</v>
      </c>
      <c r="I175" s="5" t="s">
        <v>3544</v>
      </c>
      <c r="J175" s="7">
        <f>36.43</f>
        <v>36.43</v>
      </c>
      <c r="K175" s="5" t="s">
        <v>270</v>
      </c>
      <c r="L175" s="8">
        <f>1</f>
        <v>1</v>
      </c>
      <c r="M175" s="8">
        <f>2185800</f>
        <v>2185800</v>
      </c>
      <c r="N175" s="6" t="s">
        <v>906</v>
      </c>
      <c r="O175" s="5" t="s">
        <v>268</v>
      </c>
      <c r="P175" s="5" t="s">
        <v>909</v>
      </c>
      <c r="R175" s="8">
        <f>2185799</f>
        <v>2185799</v>
      </c>
      <c r="S175" s="5" t="s">
        <v>240</v>
      </c>
      <c r="T175" s="5" t="s">
        <v>237</v>
      </c>
      <c r="W175" s="5" t="s">
        <v>241</v>
      </c>
      <c r="X175" s="5" t="s">
        <v>750</v>
      </c>
      <c r="Y175" s="5" t="s">
        <v>238</v>
      </c>
      <c r="AB175" s="5" t="s">
        <v>238</v>
      </c>
      <c r="AC175" s="6" t="s">
        <v>238</v>
      </c>
      <c r="AD175" s="6" t="s">
        <v>238</v>
      </c>
      <c r="AF175" s="6" t="s">
        <v>238</v>
      </c>
      <c r="AG175" s="6" t="s">
        <v>246</v>
      </c>
      <c r="AH175" s="5" t="s">
        <v>247</v>
      </c>
      <c r="AI175" s="5" t="s">
        <v>248</v>
      </c>
      <c r="AT175" s="6" t="s">
        <v>238</v>
      </c>
      <c r="AW175" s="5" t="s">
        <v>304</v>
      </c>
      <c r="AX175" s="5" t="s">
        <v>304</v>
      </c>
      <c r="AY175" s="5" t="s">
        <v>250</v>
      </c>
      <c r="AZ175" s="5" t="s">
        <v>305</v>
      </c>
      <c r="BA175" s="5" t="s">
        <v>251</v>
      </c>
      <c r="BB175" s="5" t="s">
        <v>238</v>
      </c>
      <c r="BC175" s="5" t="s">
        <v>253</v>
      </c>
      <c r="BD175" s="5" t="s">
        <v>238</v>
      </c>
      <c r="BF175" s="5" t="s">
        <v>760</v>
      </c>
      <c r="BH175" s="5" t="s">
        <v>283</v>
      </c>
      <c r="BI175" s="6" t="s">
        <v>293</v>
      </c>
      <c r="BJ175" s="5" t="s">
        <v>255</v>
      </c>
      <c r="BK175" s="5" t="s">
        <v>256</v>
      </c>
      <c r="BL175" s="5" t="s">
        <v>238</v>
      </c>
      <c r="BM175" s="7">
        <f>0</f>
        <v>0</v>
      </c>
      <c r="BN175" s="8">
        <f>0</f>
        <v>0</v>
      </c>
      <c r="BO175" s="5" t="s">
        <v>257</v>
      </c>
      <c r="BP175" s="5" t="s">
        <v>258</v>
      </c>
      <c r="BQ175" s="5" t="s">
        <v>238</v>
      </c>
      <c r="BR175" s="5" t="s">
        <v>238</v>
      </c>
      <c r="BS175" s="5" t="s">
        <v>238</v>
      </c>
      <c r="BT175" s="5" t="s">
        <v>238</v>
      </c>
      <c r="CC175" s="5" t="s">
        <v>258</v>
      </c>
      <c r="CD175" s="5" t="s">
        <v>238</v>
      </c>
      <c r="CE175" s="5" t="s">
        <v>238</v>
      </c>
      <c r="CI175" s="5" t="s">
        <v>527</v>
      </c>
      <c r="CJ175" s="5" t="s">
        <v>260</v>
      </c>
      <c r="CK175" s="5" t="s">
        <v>238</v>
      </c>
      <c r="CM175" s="5" t="s">
        <v>908</v>
      </c>
      <c r="CN175" s="6" t="s">
        <v>262</v>
      </c>
      <c r="CO175" s="5" t="s">
        <v>263</v>
      </c>
      <c r="CP175" s="5" t="s">
        <v>264</v>
      </c>
      <c r="CQ175" s="5" t="s">
        <v>285</v>
      </c>
      <c r="CR175" s="5" t="s">
        <v>238</v>
      </c>
      <c r="CS175" s="5">
        <v>0</v>
      </c>
      <c r="CT175" s="5" t="s">
        <v>265</v>
      </c>
      <c r="CU175" s="5" t="s">
        <v>266</v>
      </c>
      <c r="CV175" s="5" t="s">
        <v>267</v>
      </c>
      <c r="CW175" s="7">
        <f>0</f>
        <v>0</v>
      </c>
      <c r="CX175" s="8">
        <f>2185800</f>
        <v>2185800</v>
      </c>
      <c r="CY175" s="8">
        <f>1</f>
        <v>1</v>
      </c>
      <c r="DA175" s="5" t="s">
        <v>238</v>
      </c>
      <c r="DB175" s="5" t="s">
        <v>238</v>
      </c>
      <c r="DD175" s="5" t="s">
        <v>238</v>
      </c>
      <c r="DE175" s="8">
        <f>0</f>
        <v>0</v>
      </c>
      <c r="DG175" s="5" t="s">
        <v>238</v>
      </c>
      <c r="DH175" s="5" t="s">
        <v>238</v>
      </c>
      <c r="DI175" s="5" t="s">
        <v>238</v>
      </c>
      <c r="DJ175" s="5" t="s">
        <v>238</v>
      </c>
      <c r="DK175" s="5" t="s">
        <v>271</v>
      </c>
      <c r="DL175" s="5" t="s">
        <v>272</v>
      </c>
      <c r="DM175" s="7">
        <f>36.43</f>
        <v>36.43</v>
      </c>
      <c r="DN175" s="5" t="s">
        <v>238</v>
      </c>
      <c r="DO175" s="5" t="s">
        <v>238</v>
      </c>
      <c r="DP175" s="5" t="s">
        <v>238</v>
      </c>
      <c r="DQ175" s="5" t="s">
        <v>238</v>
      </c>
      <c r="DT175" s="5" t="s">
        <v>3547</v>
      </c>
      <c r="DU175" s="5" t="s">
        <v>271</v>
      </c>
      <c r="HM175" s="5" t="s">
        <v>271</v>
      </c>
      <c r="HP175" s="5" t="s">
        <v>272</v>
      </c>
      <c r="HQ175" s="5" t="s">
        <v>272</v>
      </c>
      <c r="HR175" s="5" t="s">
        <v>238</v>
      </c>
      <c r="HS175" s="5" t="s">
        <v>238</v>
      </c>
      <c r="HT175" s="5" t="s">
        <v>238</v>
      </c>
      <c r="HU175" s="5" t="s">
        <v>238</v>
      </c>
      <c r="HV175" s="5" t="s">
        <v>238</v>
      </c>
      <c r="HW175" s="5" t="s">
        <v>238</v>
      </c>
      <c r="HX175" s="5" t="s">
        <v>238</v>
      </c>
      <c r="HY175" s="5" t="s">
        <v>238</v>
      </c>
      <c r="HZ175" s="5" t="s">
        <v>238</v>
      </c>
      <c r="IA175" s="5" t="s">
        <v>238</v>
      </c>
      <c r="IB175" s="5" t="s">
        <v>238</v>
      </c>
      <c r="IC175" s="5" t="s">
        <v>238</v>
      </c>
      <c r="ID175" s="5" t="s">
        <v>238</v>
      </c>
    </row>
    <row r="176" spans="1:238" x14ac:dyDescent="0.4">
      <c r="A176" s="5">
        <v>190</v>
      </c>
      <c r="B176" s="5">
        <v>1</v>
      </c>
      <c r="C176" s="5">
        <v>2</v>
      </c>
      <c r="D176" s="5" t="s">
        <v>3541</v>
      </c>
      <c r="E176" s="5" t="s">
        <v>751</v>
      </c>
      <c r="F176" s="5" t="s">
        <v>282</v>
      </c>
      <c r="G176" s="5" t="s">
        <v>752</v>
      </c>
      <c r="H176" s="6" t="s">
        <v>3542</v>
      </c>
      <c r="I176" s="5" t="s">
        <v>3540</v>
      </c>
      <c r="J176" s="7">
        <f>45.45</f>
        <v>45.45</v>
      </c>
      <c r="K176" s="5" t="s">
        <v>270</v>
      </c>
      <c r="L176" s="8">
        <f>1</f>
        <v>1</v>
      </c>
      <c r="M176" s="8">
        <f>2727000</f>
        <v>2727000</v>
      </c>
      <c r="N176" s="6" t="s">
        <v>906</v>
      </c>
      <c r="O176" s="5" t="s">
        <v>268</v>
      </c>
      <c r="P176" s="5" t="s">
        <v>909</v>
      </c>
      <c r="R176" s="8">
        <f>2726999</f>
        <v>2726999</v>
      </c>
      <c r="S176" s="5" t="s">
        <v>240</v>
      </c>
      <c r="T176" s="5" t="s">
        <v>237</v>
      </c>
      <c r="W176" s="5" t="s">
        <v>241</v>
      </c>
      <c r="X176" s="5" t="s">
        <v>750</v>
      </c>
      <c r="Y176" s="5" t="s">
        <v>238</v>
      </c>
      <c r="AB176" s="5" t="s">
        <v>238</v>
      </c>
      <c r="AC176" s="6" t="s">
        <v>238</v>
      </c>
      <c r="AD176" s="6" t="s">
        <v>238</v>
      </c>
      <c r="AF176" s="6" t="s">
        <v>238</v>
      </c>
      <c r="AG176" s="6" t="s">
        <v>246</v>
      </c>
      <c r="AH176" s="5" t="s">
        <v>247</v>
      </c>
      <c r="AI176" s="5" t="s">
        <v>248</v>
      </c>
      <c r="AT176" s="6" t="s">
        <v>238</v>
      </c>
      <c r="AW176" s="5" t="s">
        <v>304</v>
      </c>
      <c r="AX176" s="5" t="s">
        <v>304</v>
      </c>
      <c r="AY176" s="5" t="s">
        <v>250</v>
      </c>
      <c r="AZ176" s="5" t="s">
        <v>305</v>
      </c>
      <c r="BA176" s="5" t="s">
        <v>251</v>
      </c>
      <c r="BB176" s="5" t="s">
        <v>238</v>
      </c>
      <c r="BC176" s="5" t="s">
        <v>253</v>
      </c>
      <c r="BD176" s="5" t="s">
        <v>238</v>
      </c>
      <c r="BF176" s="5" t="s">
        <v>760</v>
      </c>
      <c r="BH176" s="5" t="s">
        <v>283</v>
      </c>
      <c r="BI176" s="6" t="s">
        <v>293</v>
      </c>
      <c r="BJ176" s="5" t="s">
        <v>255</v>
      </c>
      <c r="BK176" s="5" t="s">
        <v>256</v>
      </c>
      <c r="BL176" s="5" t="s">
        <v>238</v>
      </c>
      <c r="BM176" s="7">
        <f>0</f>
        <v>0</v>
      </c>
      <c r="BN176" s="8">
        <f>0</f>
        <v>0</v>
      </c>
      <c r="BO176" s="5" t="s">
        <v>257</v>
      </c>
      <c r="BP176" s="5" t="s">
        <v>258</v>
      </c>
      <c r="BQ176" s="5" t="s">
        <v>238</v>
      </c>
      <c r="BR176" s="5" t="s">
        <v>238</v>
      </c>
      <c r="BS176" s="5" t="s">
        <v>238</v>
      </c>
      <c r="BT176" s="5" t="s">
        <v>238</v>
      </c>
      <c r="CC176" s="5" t="s">
        <v>258</v>
      </c>
      <c r="CD176" s="5" t="s">
        <v>238</v>
      </c>
      <c r="CE176" s="5" t="s">
        <v>238</v>
      </c>
      <c r="CI176" s="5" t="s">
        <v>527</v>
      </c>
      <c r="CJ176" s="5" t="s">
        <v>260</v>
      </c>
      <c r="CK176" s="5" t="s">
        <v>238</v>
      </c>
      <c r="CM176" s="5" t="s">
        <v>908</v>
      </c>
      <c r="CN176" s="6" t="s">
        <v>262</v>
      </c>
      <c r="CO176" s="5" t="s">
        <v>263</v>
      </c>
      <c r="CP176" s="5" t="s">
        <v>264</v>
      </c>
      <c r="CQ176" s="5" t="s">
        <v>285</v>
      </c>
      <c r="CR176" s="5" t="s">
        <v>238</v>
      </c>
      <c r="CS176" s="5">
        <v>0</v>
      </c>
      <c r="CT176" s="5" t="s">
        <v>265</v>
      </c>
      <c r="CU176" s="5" t="s">
        <v>266</v>
      </c>
      <c r="CV176" s="5" t="s">
        <v>267</v>
      </c>
      <c r="CW176" s="7">
        <f>0</f>
        <v>0</v>
      </c>
      <c r="CX176" s="8">
        <f>2727000</f>
        <v>2727000</v>
      </c>
      <c r="CY176" s="8">
        <f>1</f>
        <v>1</v>
      </c>
      <c r="DA176" s="5" t="s">
        <v>238</v>
      </c>
      <c r="DB176" s="5" t="s">
        <v>238</v>
      </c>
      <c r="DD176" s="5" t="s">
        <v>238</v>
      </c>
      <c r="DE176" s="8">
        <f>0</f>
        <v>0</v>
      </c>
      <c r="DG176" s="5" t="s">
        <v>238</v>
      </c>
      <c r="DH176" s="5" t="s">
        <v>238</v>
      </c>
      <c r="DI176" s="5" t="s">
        <v>238</v>
      </c>
      <c r="DJ176" s="5" t="s">
        <v>238</v>
      </c>
      <c r="DK176" s="5" t="s">
        <v>271</v>
      </c>
      <c r="DL176" s="5" t="s">
        <v>272</v>
      </c>
      <c r="DM176" s="7">
        <f>45.45</f>
        <v>45.45</v>
      </c>
      <c r="DN176" s="5" t="s">
        <v>238</v>
      </c>
      <c r="DO176" s="5" t="s">
        <v>238</v>
      </c>
      <c r="DP176" s="5" t="s">
        <v>238</v>
      </c>
      <c r="DQ176" s="5" t="s">
        <v>238</v>
      </c>
      <c r="DT176" s="5" t="s">
        <v>3543</v>
      </c>
      <c r="DU176" s="5" t="s">
        <v>271</v>
      </c>
      <c r="HM176" s="5" t="s">
        <v>271</v>
      </c>
      <c r="HP176" s="5" t="s">
        <v>272</v>
      </c>
      <c r="HQ176" s="5" t="s">
        <v>272</v>
      </c>
      <c r="HR176" s="5" t="s">
        <v>238</v>
      </c>
      <c r="HS176" s="5" t="s">
        <v>238</v>
      </c>
      <c r="HT176" s="5" t="s">
        <v>238</v>
      </c>
      <c r="HU176" s="5" t="s">
        <v>238</v>
      </c>
      <c r="HV176" s="5" t="s">
        <v>238</v>
      </c>
      <c r="HW176" s="5" t="s">
        <v>238</v>
      </c>
      <c r="HX176" s="5" t="s">
        <v>238</v>
      </c>
      <c r="HY176" s="5" t="s">
        <v>238</v>
      </c>
      <c r="HZ176" s="5" t="s">
        <v>238</v>
      </c>
      <c r="IA176" s="5" t="s">
        <v>238</v>
      </c>
      <c r="IB176" s="5" t="s">
        <v>238</v>
      </c>
      <c r="IC176" s="5" t="s">
        <v>238</v>
      </c>
      <c r="ID176" s="5" t="s">
        <v>238</v>
      </c>
    </row>
    <row r="177" spans="1:238" x14ac:dyDescent="0.4">
      <c r="A177" s="5">
        <v>191</v>
      </c>
      <c r="B177" s="5">
        <v>1</v>
      </c>
      <c r="C177" s="5">
        <v>2</v>
      </c>
      <c r="D177" s="5" t="s">
        <v>3519</v>
      </c>
      <c r="E177" s="5" t="s">
        <v>751</v>
      </c>
      <c r="F177" s="5" t="s">
        <v>282</v>
      </c>
      <c r="G177" s="5" t="s">
        <v>752</v>
      </c>
      <c r="H177" s="6" t="s">
        <v>3520</v>
      </c>
      <c r="I177" s="5" t="s">
        <v>3518</v>
      </c>
      <c r="J177" s="7">
        <f>41.69</f>
        <v>41.69</v>
      </c>
      <c r="K177" s="5" t="s">
        <v>270</v>
      </c>
      <c r="L177" s="8">
        <f>1</f>
        <v>1</v>
      </c>
      <c r="M177" s="8">
        <f>2501400</f>
        <v>2501400</v>
      </c>
      <c r="N177" s="6" t="s">
        <v>906</v>
      </c>
      <c r="O177" s="5" t="s">
        <v>268</v>
      </c>
      <c r="P177" s="5" t="s">
        <v>909</v>
      </c>
      <c r="R177" s="8">
        <f>2501399</f>
        <v>2501399</v>
      </c>
      <c r="S177" s="5" t="s">
        <v>240</v>
      </c>
      <c r="T177" s="5" t="s">
        <v>237</v>
      </c>
      <c r="W177" s="5" t="s">
        <v>241</v>
      </c>
      <c r="X177" s="5" t="s">
        <v>750</v>
      </c>
      <c r="Y177" s="5" t="s">
        <v>238</v>
      </c>
      <c r="AB177" s="5" t="s">
        <v>238</v>
      </c>
      <c r="AC177" s="6" t="s">
        <v>238</v>
      </c>
      <c r="AD177" s="6" t="s">
        <v>238</v>
      </c>
      <c r="AF177" s="6" t="s">
        <v>238</v>
      </c>
      <c r="AG177" s="6" t="s">
        <v>246</v>
      </c>
      <c r="AH177" s="5" t="s">
        <v>247</v>
      </c>
      <c r="AI177" s="5" t="s">
        <v>248</v>
      </c>
      <c r="AT177" s="6" t="s">
        <v>238</v>
      </c>
      <c r="AW177" s="5" t="s">
        <v>304</v>
      </c>
      <c r="AX177" s="5" t="s">
        <v>304</v>
      </c>
      <c r="AY177" s="5" t="s">
        <v>250</v>
      </c>
      <c r="AZ177" s="5" t="s">
        <v>305</v>
      </c>
      <c r="BA177" s="5" t="s">
        <v>251</v>
      </c>
      <c r="BB177" s="5" t="s">
        <v>238</v>
      </c>
      <c r="BC177" s="5" t="s">
        <v>253</v>
      </c>
      <c r="BD177" s="5" t="s">
        <v>238</v>
      </c>
      <c r="BF177" s="5" t="s">
        <v>760</v>
      </c>
      <c r="BH177" s="5" t="s">
        <v>283</v>
      </c>
      <c r="BI177" s="6" t="s">
        <v>293</v>
      </c>
      <c r="BJ177" s="5" t="s">
        <v>255</v>
      </c>
      <c r="BK177" s="5" t="s">
        <v>256</v>
      </c>
      <c r="BL177" s="5" t="s">
        <v>238</v>
      </c>
      <c r="BM177" s="7">
        <f>0</f>
        <v>0</v>
      </c>
      <c r="BN177" s="8">
        <f>0</f>
        <v>0</v>
      </c>
      <c r="BO177" s="5" t="s">
        <v>257</v>
      </c>
      <c r="BP177" s="5" t="s">
        <v>258</v>
      </c>
      <c r="BQ177" s="5" t="s">
        <v>238</v>
      </c>
      <c r="BR177" s="5" t="s">
        <v>238</v>
      </c>
      <c r="BS177" s="5" t="s">
        <v>238</v>
      </c>
      <c r="BT177" s="5" t="s">
        <v>238</v>
      </c>
      <c r="CC177" s="5" t="s">
        <v>258</v>
      </c>
      <c r="CD177" s="5" t="s">
        <v>238</v>
      </c>
      <c r="CE177" s="5" t="s">
        <v>238</v>
      </c>
      <c r="CI177" s="5" t="s">
        <v>527</v>
      </c>
      <c r="CJ177" s="5" t="s">
        <v>260</v>
      </c>
      <c r="CK177" s="5" t="s">
        <v>238</v>
      </c>
      <c r="CM177" s="5" t="s">
        <v>908</v>
      </c>
      <c r="CN177" s="6" t="s">
        <v>262</v>
      </c>
      <c r="CO177" s="5" t="s">
        <v>263</v>
      </c>
      <c r="CP177" s="5" t="s">
        <v>264</v>
      </c>
      <c r="CQ177" s="5" t="s">
        <v>285</v>
      </c>
      <c r="CR177" s="5" t="s">
        <v>238</v>
      </c>
      <c r="CS177" s="5">
        <v>0</v>
      </c>
      <c r="CT177" s="5" t="s">
        <v>265</v>
      </c>
      <c r="CU177" s="5" t="s">
        <v>266</v>
      </c>
      <c r="CV177" s="5" t="s">
        <v>267</v>
      </c>
      <c r="CW177" s="7">
        <f>0</f>
        <v>0</v>
      </c>
      <c r="CX177" s="8">
        <f>2501400</f>
        <v>2501400</v>
      </c>
      <c r="CY177" s="8">
        <f>1</f>
        <v>1</v>
      </c>
      <c r="DA177" s="5" t="s">
        <v>238</v>
      </c>
      <c r="DB177" s="5" t="s">
        <v>238</v>
      </c>
      <c r="DD177" s="5" t="s">
        <v>238</v>
      </c>
      <c r="DE177" s="8">
        <f>0</f>
        <v>0</v>
      </c>
      <c r="DG177" s="5" t="s">
        <v>238</v>
      </c>
      <c r="DH177" s="5" t="s">
        <v>238</v>
      </c>
      <c r="DI177" s="5" t="s">
        <v>238</v>
      </c>
      <c r="DJ177" s="5" t="s">
        <v>238</v>
      </c>
      <c r="DK177" s="5" t="s">
        <v>271</v>
      </c>
      <c r="DL177" s="5" t="s">
        <v>272</v>
      </c>
      <c r="DM177" s="7">
        <f>41.69</f>
        <v>41.69</v>
      </c>
      <c r="DN177" s="5" t="s">
        <v>238</v>
      </c>
      <c r="DO177" s="5" t="s">
        <v>238</v>
      </c>
      <c r="DP177" s="5" t="s">
        <v>238</v>
      </c>
      <c r="DQ177" s="5" t="s">
        <v>238</v>
      </c>
      <c r="DT177" s="5" t="s">
        <v>3521</v>
      </c>
      <c r="DU177" s="5" t="s">
        <v>271</v>
      </c>
      <c r="HM177" s="5" t="s">
        <v>271</v>
      </c>
      <c r="HP177" s="5" t="s">
        <v>272</v>
      </c>
      <c r="HQ177" s="5" t="s">
        <v>272</v>
      </c>
      <c r="HR177" s="5" t="s">
        <v>238</v>
      </c>
      <c r="HS177" s="5" t="s">
        <v>238</v>
      </c>
      <c r="HT177" s="5" t="s">
        <v>238</v>
      </c>
      <c r="HU177" s="5" t="s">
        <v>238</v>
      </c>
      <c r="HV177" s="5" t="s">
        <v>238</v>
      </c>
      <c r="HW177" s="5" t="s">
        <v>238</v>
      </c>
      <c r="HX177" s="5" t="s">
        <v>238</v>
      </c>
      <c r="HY177" s="5" t="s">
        <v>238</v>
      </c>
      <c r="HZ177" s="5" t="s">
        <v>238</v>
      </c>
      <c r="IA177" s="5" t="s">
        <v>238</v>
      </c>
      <c r="IB177" s="5" t="s">
        <v>238</v>
      </c>
      <c r="IC177" s="5" t="s">
        <v>238</v>
      </c>
      <c r="ID177" s="5" t="s">
        <v>238</v>
      </c>
    </row>
    <row r="178" spans="1:238" x14ac:dyDescent="0.4">
      <c r="A178" s="5">
        <v>192</v>
      </c>
      <c r="B178" s="5">
        <v>1</v>
      </c>
      <c r="C178" s="5">
        <v>2</v>
      </c>
      <c r="D178" s="5" t="s">
        <v>3419</v>
      </c>
      <c r="E178" s="5" t="s">
        <v>751</v>
      </c>
      <c r="F178" s="5" t="s">
        <v>282</v>
      </c>
      <c r="G178" s="5" t="s">
        <v>752</v>
      </c>
      <c r="H178" s="6" t="s">
        <v>3420</v>
      </c>
      <c r="I178" s="5" t="s">
        <v>3418</v>
      </c>
      <c r="J178" s="7">
        <f>49.68</f>
        <v>49.68</v>
      </c>
      <c r="K178" s="5" t="s">
        <v>270</v>
      </c>
      <c r="L178" s="8">
        <f>1</f>
        <v>1</v>
      </c>
      <c r="M178" s="8">
        <f>2980800</f>
        <v>2980800</v>
      </c>
      <c r="N178" s="6" t="s">
        <v>906</v>
      </c>
      <c r="O178" s="5" t="s">
        <v>268</v>
      </c>
      <c r="P178" s="5" t="s">
        <v>909</v>
      </c>
      <c r="R178" s="8">
        <f>2980799</f>
        <v>2980799</v>
      </c>
      <c r="S178" s="5" t="s">
        <v>240</v>
      </c>
      <c r="T178" s="5" t="s">
        <v>237</v>
      </c>
      <c r="W178" s="5" t="s">
        <v>241</v>
      </c>
      <c r="X178" s="5" t="s">
        <v>750</v>
      </c>
      <c r="Y178" s="5" t="s">
        <v>238</v>
      </c>
      <c r="AB178" s="5" t="s">
        <v>238</v>
      </c>
      <c r="AC178" s="6" t="s">
        <v>238</v>
      </c>
      <c r="AD178" s="6" t="s">
        <v>238</v>
      </c>
      <c r="AF178" s="6" t="s">
        <v>238</v>
      </c>
      <c r="AG178" s="6" t="s">
        <v>246</v>
      </c>
      <c r="AH178" s="5" t="s">
        <v>247</v>
      </c>
      <c r="AI178" s="5" t="s">
        <v>248</v>
      </c>
      <c r="AT178" s="6" t="s">
        <v>238</v>
      </c>
      <c r="AW178" s="5" t="s">
        <v>304</v>
      </c>
      <c r="AX178" s="5" t="s">
        <v>304</v>
      </c>
      <c r="AY178" s="5" t="s">
        <v>250</v>
      </c>
      <c r="AZ178" s="5" t="s">
        <v>305</v>
      </c>
      <c r="BA178" s="5" t="s">
        <v>251</v>
      </c>
      <c r="BB178" s="5" t="s">
        <v>238</v>
      </c>
      <c r="BC178" s="5" t="s">
        <v>253</v>
      </c>
      <c r="BD178" s="5" t="s">
        <v>238</v>
      </c>
      <c r="BF178" s="5" t="s">
        <v>760</v>
      </c>
      <c r="BH178" s="5" t="s">
        <v>283</v>
      </c>
      <c r="BI178" s="6" t="s">
        <v>293</v>
      </c>
      <c r="BJ178" s="5" t="s">
        <v>255</v>
      </c>
      <c r="BK178" s="5" t="s">
        <v>256</v>
      </c>
      <c r="BL178" s="5" t="s">
        <v>238</v>
      </c>
      <c r="BM178" s="7">
        <f>0</f>
        <v>0</v>
      </c>
      <c r="BN178" s="8">
        <f>0</f>
        <v>0</v>
      </c>
      <c r="BO178" s="5" t="s">
        <v>257</v>
      </c>
      <c r="BP178" s="5" t="s">
        <v>258</v>
      </c>
      <c r="BQ178" s="5" t="s">
        <v>238</v>
      </c>
      <c r="BR178" s="5" t="s">
        <v>238</v>
      </c>
      <c r="BS178" s="5" t="s">
        <v>238</v>
      </c>
      <c r="BT178" s="5" t="s">
        <v>238</v>
      </c>
      <c r="CC178" s="5" t="s">
        <v>258</v>
      </c>
      <c r="CD178" s="5" t="s">
        <v>238</v>
      </c>
      <c r="CE178" s="5" t="s">
        <v>238</v>
      </c>
      <c r="CI178" s="5" t="s">
        <v>527</v>
      </c>
      <c r="CJ178" s="5" t="s">
        <v>260</v>
      </c>
      <c r="CK178" s="5" t="s">
        <v>238</v>
      </c>
      <c r="CM178" s="5" t="s">
        <v>908</v>
      </c>
      <c r="CN178" s="6" t="s">
        <v>262</v>
      </c>
      <c r="CO178" s="5" t="s">
        <v>263</v>
      </c>
      <c r="CP178" s="5" t="s">
        <v>264</v>
      </c>
      <c r="CQ178" s="5" t="s">
        <v>285</v>
      </c>
      <c r="CR178" s="5" t="s">
        <v>238</v>
      </c>
      <c r="CS178" s="5">
        <v>0</v>
      </c>
      <c r="CT178" s="5" t="s">
        <v>265</v>
      </c>
      <c r="CU178" s="5" t="s">
        <v>266</v>
      </c>
      <c r="CV178" s="5" t="s">
        <v>267</v>
      </c>
      <c r="CW178" s="7">
        <f>0</f>
        <v>0</v>
      </c>
      <c r="CX178" s="8">
        <f>2980800</f>
        <v>2980800</v>
      </c>
      <c r="CY178" s="8">
        <f>1</f>
        <v>1</v>
      </c>
      <c r="DA178" s="5" t="s">
        <v>238</v>
      </c>
      <c r="DB178" s="5" t="s">
        <v>238</v>
      </c>
      <c r="DD178" s="5" t="s">
        <v>238</v>
      </c>
      <c r="DE178" s="8">
        <f>0</f>
        <v>0</v>
      </c>
      <c r="DG178" s="5" t="s">
        <v>238</v>
      </c>
      <c r="DH178" s="5" t="s">
        <v>238</v>
      </c>
      <c r="DI178" s="5" t="s">
        <v>238</v>
      </c>
      <c r="DJ178" s="5" t="s">
        <v>238</v>
      </c>
      <c r="DK178" s="5" t="s">
        <v>271</v>
      </c>
      <c r="DL178" s="5" t="s">
        <v>272</v>
      </c>
      <c r="DM178" s="7">
        <f>49.68</f>
        <v>49.68</v>
      </c>
      <c r="DN178" s="5" t="s">
        <v>238</v>
      </c>
      <c r="DO178" s="5" t="s">
        <v>238</v>
      </c>
      <c r="DP178" s="5" t="s">
        <v>238</v>
      </c>
      <c r="DQ178" s="5" t="s">
        <v>238</v>
      </c>
      <c r="DT178" s="5" t="s">
        <v>3421</v>
      </c>
      <c r="DU178" s="5" t="s">
        <v>271</v>
      </c>
      <c r="HM178" s="5" t="s">
        <v>271</v>
      </c>
      <c r="HP178" s="5" t="s">
        <v>272</v>
      </c>
      <c r="HQ178" s="5" t="s">
        <v>272</v>
      </c>
      <c r="HR178" s="5" t="s">
        <v>238</v>
      </c>
      <c r="HS178" s="5" t="s">
        <v>238</v>
      </c>
      <c r="HT178" s="5" t="s">
        <v>238</v>
      </c>
      <c r="HU178" s="5" t="s">
        <v>238</v>
      </c>
      <c r="HV178" s="5" t="s">
        <v>238</v>
      </c>
      <c r="HW178" s="5" t="s">
        <v>238</v>
      </c>
      <c r="HX178" s="5" t="s">
        <v>238</v>
      </c>
      <c r="HY178" s="5" t="s">
        <v>238</v>
      </c>
      <c r="HZ178" s="5" t="s">
        <v>238</v>
      </c>
      <c r="IA178" s="5" t="s">
        <v>238</v>
      </c>
      <c r="IB178" s="5" t="s">
        <v>238</v>
      </c>
      <c r="IC178" s="5" t="s">
        <v>238</v>
      </c>
      <c r="ID178" s="5" t="s">
        <v>238</v>
      </c>
    </row>
    <row r="179" spans="1:238" x14ac:dyDescent="0.4">
      <c r="A179" s="5">
        <v>193</v>
      </c>
      <c r="B179" s="5">
        <v>1</v>
      </c>
      <c r="C179" s="5">
        <v>2</v>
      </c>
      <c r="D179" s="5" t="s">
        <v>3384</v>
      </c>
      <c r="E179" s="5" t="s">
        <v>751</v>
      </c>
      <c r="F179" s="5" t="s">
        <v>282</v>
      </c>
      <c r="G179" s="5" t="s">
        <v>752</v>
      </c>
      <c r="H179" s="6" t="s">
        <v>3385</v>
      </c>
      <c r="I179" s="5" t="s">
        <v>3383</v>
      </c>
      <c r="J179" s="7">
        <f>55.78</f>
        <v>55.78</v>
      </c>
      <c r="K179" s="5" t="s">
        <v>270</v>
      </c>
      <c r="L179" s="8">
        <f>1</f>
        <v>1</v>
      </c>
      <c r="M179" s="8">
        <f>3346800</f>
        <v>3346800</v>
      </c>
      <c r="N179" s="6" t="s">
        <v>906</v>
      </c>
      <c r="O179" s="5" t="s">
        <v>268</v>
      </c>
      <c r="P179" s="5" t="s">
        <v>909</v>
      </c>
      <c r="R179" s="8">
        <f>3346799</f>
        <v>3346799</v>
      </c>
      <c r="S179" s="5" t="s">
        <v>240</v>
      </c>
      <c r="T179" s="5" t="s">
        <v>237</v>
      </c>
      <c r="W179" s="5" t="s">
        <v>241</v>
      </c>
      <c r="X179" s="5" t="s">
        <v>750</v>
      </c>
      <c r="Y179" s="5" t="s">
        <v>238</v>
      </c>
      <c r="AB179" s="5" t="s">
        <v>238</v>
      </c>
      <c r="AC179" s="6" t="s">
        <v>238</v>
      </c>
      <c r="AD179" s="6" t="s">
        <v>238</v>
      </c>
      <c r="AF179" s="6" t="s">
        <v>238</v>
      </c>
      <c r="AG179" s="6" t="s">
        <v>246</v>
      </c>
      <c r="AH179" s="5" t="s">
        <v>247</v>
      </c>
      <c r="AI179" s="5" t="s">
        <v>248</v>
      </c>
      <c r="AT179" s="6" t="s">
        <v>238</v>
      </c>
      <c r="AW179" s="5" t="s">
        <v>304</v>
      </c>
      <c r="AX179" s="5" t="s">
        <v>304</v>
      </c>
      <c r="AY179" s="5" t="s">
        <v>250</v>
      </c>
      <c r="AZ179" s="5" t="s">
        <v>305</v>
      </c>
      <c r="BA179" s="5" t="s">
        <v>251</v>
      </c>
      <c r="BB179" s="5" t="s">
        <v>238</v>
      </c>
      <c r="BC179" s="5" t="s">
        <v>253</v>
      </c>
      <c r="BD179" s="5" t="s">
        <v>238</v>
      </c>
      <c r="BF179" s="5" t="s">
        <v>760</v>
      </c>
      <c r="BH179" s="5" t="s">
        <v>283</v>
      </c>
      <c r="BI179" s="6" t="s">
        <v>293</v>
      </c>
      <c r="BJ179" s="5" t="s">
        <v>255</v>
      </c>
      <c r="BK179" s="5" t="s">
        <v>256</v>
      </c>
      <c r="BL179" s="5" t="s">
        <v>238</v>
      </c>
      <c r="BM179" s="7">
        <f>0</f>
        <v>0</v>
      </c>
      <c r="BN179" s="8">
        <f>0</f>
        <v>0</v>
      </c>
      <c r="BO179" s="5" t="s">
        <v>257</v>
      </c>
      <c r="BP179" s="5" t="s">
        <v>258</v>
      </c>
      <c r="BQ179" s="5" t="s">
        <v>238</v>
      </c>
      <c r="BR179" s="5" t="s">
        <v>238</v>
      </c>
      <c r="BS179" s="5" t="s">
        <v>238</v>
      </c>
      <c r="BT179" s="5" t="s">
        <v>238</v>
      </c>
      <c r="CC179" s="5" t="s">
        <v>258</v>
      </c>
      <c r="CD179" s="5" t="s">
        <v>238</v>
      </c>
      <c r="CE179" s="5" t="s">
        <v>238</v>
      </c>
      <c r="CI179" s="5" t="s">
        <v>527</v>
      </c>
      <c r="CJ179" s="5" t="s">
        <v>260</v>
      </c>
      <c r="CK179" s="5" t="s">
        <v>238</v>
      </c>
      <c r="CM179" s="5" t="s">
        <v>908</v>
      </c>
      <c r="CN179" s="6" t="s">
        <v>262</v>
      </c>
      <c r="CO179" s="5" t="s">
        <v>263</v>
      </c>
      <c r="CP179" s="5" t="s">
        <v>264</v>
      </c>
      <c r="CQ179" s="5" t="s">
        <v>285</v>
      </c>
      <c r="CR179" s="5" t="s">
        <v>238</v>
      </c>
      <c r="CS179" s="5">
        <v>0</v>
      </c>
      <c r="CT179" s="5" t="s">
        <v>265</v>
      </c>
      <c r="CU179" s="5" t="s">
        <v>266</v>
      </c>
      <c r="CV179" s="5" t="s">
        <v>267</v>
      </c>
      <c r="CW179" s="7">
        <f>0</f>
        <v>0</v>
      </c>
      <c r="CX179" s="8">
        <f>3346800</f>
        <v>3346800</v>
      </c>
      <c r="CY179" s="8">
        <f>1</f>
        <v>1</v>
      </c>
      <c r="DA179" s="5" t="s">
        <v>238</v>
      </c>
      <c r="DB179" s="5" t="s">
        <v>238</v>
      </c>
      <c r="DD179" s="5" t="s">
        <v>238</v>
      </c>
      <c r="DE179" s="8">
        <f>0</f>
        <v>0</v>
      </c>
      <c r="DG179" s="5" t="s">
        <v>238</v>
      </c>
      <c r="DH179" s="5" t="s">
        <v>238</v>
      </c>
      <c r="DI179" s="5" t="s">
        <v>238</v>
      </c>
      <c r="DJ179" s="5" t="s">
        <v>238</v>
      </c>
      <c r="DK179" s="5" t="s">
        <v>271</v>
      </c>
      <c r="DL179" s="5" t="s">
        <v>272</v>
      </c>
      <c r="DM179" s="7">
        <f>55.78</f>
        <v>55.78</v>
      </c>
      <c r="DN179" s="5" t="s">
        <v>238</v>
      </c>
      <c r="DO179" s="5" t="s">
        <v>238</v>
      </c>
      <c r="DP179" s="5" t="s">
        <v>238</v>
      </c>
      <c r="DQ179" s="5" t="s">
        <v>238</v>
      </c>
      <c r="DT179" s="5" t="s">
        <v>3386</v>
      </c>
      <c r="DU179" s="5" t="s">
        <v>271</v>
      </c>
      <c r="HM179" s="5" t="s">
        <v>271</v>
      </c>
      <c r="HP179" s="5" t="s">
        <v>272</v>
      </c>
      <c r="HQ179" s="5" t="s">
        <v>272</v>
      </c>
      <c r="HR179" s="5" t="s">
        <v>238</v>
      </c>
      <c r="HS179" s="5" t="s">
        <v>238</v>
      </c>
      <c r="HT179" s="5" t="s">
        <v>238</v>
      </c>
      <c r="HU179" s="5" t="s">
        <v>238</v>
      </c>
      <c r="HV179" s="5" t="s">
        <v>238</v>
      </c>
      <c r="HW179" s="5" t="s">
        <v>238</v>
      </c>
      <c r="HX179" s="5" t="s">
        <v>238</v>
      </c>
      <c r="HY179" s="5" t="s">
        <v>238</v>
      </c>
      <c r="HZ179" s="5" t="s">
        <v>238</v>
      </c>
      <c r="IA179" s="5" t="s">
        <v>238</v>
      </c>
      <c r="IB179" s="5" t="s">
        <v>238</v>
      </c>
      <c r="IC179" s="5" t="s">
        <v>238</v>
      </c>
      <c r="ID179" s="5" t="s">
        <v>238</v>
      </c>
    </row>
    <row r="180" spans="1:238" x14ac:dyDescent="0.4">
      <c r="A180" s="5">
        <v>194</v>
      </c>
      <c r="B180" s="5">
        <v>1</v>
      </c>
      <c r="C180" s="5">
        <v>2</v>
      </c>
      <c r="D180" s="5" t="s">
        <v>3380</v>
      </c>
      <c r="E180" s="5" t="s">
        <v>751</v>
      </c>
      <c r="F180" s="5" t="s">
        <v>282</v>
      </c>
      <c r="G180" s="5" t="s">
        <v>752</v>
      </c>
      <c r="H180" s="6" t="s">
        <v>3381</v>
      </c>
      <c r="I180" s="5" t="s">
        <v>3379</v>
      </c>
      <c r="J180" s="7">
        <f>41.69</f>
        <v>41.69</v>
      </c>
      <c r="K180" s="5" t="s">
        <v>270</v>
      </c>
      <c r="L180" s="8">
        <f>1</f>
        <v>1</v>
      </c>
      <c r="M180" s="8">
        <f>2501400</f>
        <v>2501400</v>
      </c>
      <c r="N180" s="6" t="s">
        <v>906</v>
      </c>
      <c r="O180" s="5" t="s">
        <v>268</v>
      </c>
      <c r="P180" s="5" t="s">
        <v>909</v>
      </c>
      <c r="R180" s="8">
        <f>2501399</f>
        <v>2501399</v>
      </c>
      <c r="S180" s="5" t="s">
        <v>240</v>
      </c>
      <c r="T180" s="5" t="s">
        <v>237</v>
      </c>
      <c r="W180" s="5" t="s">
        <v>241</v>
      </c>
      <c r="X180" s="5" t="s">
        <v>750</v>
      </c>
      <c r="Y180" s="5" t="s">
        <v>238</v>
      </c>
      <c r="AB180" s="5" t="s">
        <v>238</v>
      </c>
      <c r="AC180" s="6" t="s">
        <v>238</v>
      </c>
      <c r="AD180" s="6" t="s">
        <v>238</v>
      </c>
      <c r="AF180" s="6" t="s">
        <v>238</v>
      </c>
      <c r="AG180" s="6" t="s">
        <v>246</v>
      </c>
      <c r="AH180" s="5" t="s">
        <v>247</v>
      </c>
      <c r="AI180" s="5" t="s">
        <v>248</v>
      </c>
      <c r="AT180" s="6" t="s">
        <v>238</v>
      </c>
      <c r="AW180" s="5" t="s">
        <v>304</v>
      </c>
      <c r="AX180" s="5" t="s">
        <v>304</v>
      </c>
      <c r="AY180" s="5" t="s">
        <v>250</v>
      </c>
      <c r="AZ180" s="5" t="s">
        <v>305</v>
      </c>
      <c r="BA180" s="5" t="s">
        <v>251</v>
      </c>
      <c r="BB180" s="5" t="s">
        <v>238</v>
      </c>
      <c r="BC180" s="5" t="s">
        <v>253</v>
      </c>
      <c r="BD180" s="5" t="s">
        <v>238</v>
      </c>
      <c r="BF180" s="5" t="s">
        <v>760</v>
      </c>
      <c r="BH180" s="5" t="s">
        <v>283</v>
      </c>
      <c r="BI180" s="6" t="s">
        <v>293</v>
      </c>
      <c r="BJ180" s="5" t="s">
        <v>255</v>
      </c>
      <c r="BK180" s="5" t="s">
        <v>256</v>
      </c>
      <c r="BL180" s="5" t="s">
        <v>238</v>
      </c>
      <c r="BM180" s="7">
        <f>0</f>
        <v>0</v>
      </c>
      <c r="BN180" s="8">
        <f>0</f>
        <v>0</v>
      </c>
      <c r="BO180" s="5" t="s">
        <v>257</v>
      </c>
      <c r="BP180" s="5" t="s">
        <v>258</v>
      </c>
      <c r="BQ180" s="5" t="s">
        <v>238</v>
      </c>
      <c r="BR180" s="5" t="s">
        <v>238</v>
      </c>
      <c r="BS180" s="5" t="s">
        <v>238</v>
      </c>
      <c r="BT180" s="5" t="s">
        <v>238</v>
      </c>
      <c r="CC180" s="5" t="s">
        <v>258</v>
      </c>
      <c r="CD180" s="5" t="s">
        <v>238</v>
      </c>
      <c r="CE180" s="5" t="s">
        <v>238</v>
      </c>
      <c r="CI180" s="5" t="s">
        <v>527</v>
      </c>
      <c r="CJ180" s="5" t="s">
        <v>260</v>
      </c>
      <c r="CK180" s="5" t="s">
        <v>238</v>
      </c>
      <c r="CM180" s="5" t="s">
        <v>908</v>
      </c>
      <c r="CN180" s="6" t="s">
        <v>262</v>
      </c>
      <c r="CO180" s="5" t="s">
        <v>263</v>
      </c>
      <c r="CP180" s="5" t="s">
        <v>264</v>
      </c>
      <c r="CQ180" s="5" t="s">
        <v>285</v>
      </c>
      <c r="CR180" s="5" t="s">
        <v>238</v>
      </c>
      <c r="CS180" s="5">
        <v>0</v>
      </c>
      <c r="CT180" s="5" t="s">
        <v>265</v>
      </c>
      <c r="CU180" s="5" t="s">
        <v>266</v>
      </c>
      <c r="CV180" s="5" t="s">
        <v>267</v>
      </c>
      <c r="CW180" s="7">
        <f>0</f>
        <v>0</v>
      </c>
      <c r="CX180" s="8">
        <f>2501400</f>
        <v>2501400</v>
      </c>
      <c r="CY180" s="8">
        <f>1</f>
        <v>1</v>
      </c>
      <c r="DA180" s="5" t="s">
        <v>238</v>
      </c>
      <c r="DB180" s="5" t="s">
        <v>238</v>
      </c>
      <c r="DD180" s="5" t="s">
        <v>238</v>
      </c>
      <c r="DE180" s="8">
        <f>0</f>
        <v>0</v>
      </c>
      <c r="DG180" s="5" t="s">
        <v>238</v>
      </c>
      <c r="DH180" s="5" t="s">
        <v>238</v>
      </c>
      <c r="DI180" s="5" t="s">
        <v>238</v>
      </c>
      <c r="DJ180" s="5" t="s">
        <v>238</v>
      </c>
      <c r="DK180" s="5" t="s">
        <v>271</v>
      </c>
      <c r="DL180" s="5" t="s">
        <v>272</v>
      </c>
      <c r="DM180" s="7">
        <f>41.69</f>
        <v>41.69</v>
      </c>
      <c r="DN180" s="5" t="s">
        <v>238</v>
      </c>
      <c r="DO180" s="5" t="s">
        <v>238</v>
      </c>
      <c r="DP180" s="5" t="s">
        <v>238</v>
      </c>
      <c r="DQ180" s="5" t="s">
        <v>238</v>
      </c>
      <c r="DT180" s="5" t="s">
        <v>3382</v>
      </c>
      <c r="DU180" s="5" t="s">
        <v>271</v>
      </c>
      <c r="HM180" s="5" t="s">
        <v>271</v>
      </c>
      <c r="HP180" s="5" t="s">
        <v>272</v>
      </c>
      <c r="HQ180" s="5" t="s">
        <v>272</v>
      </c>
      <c r="HR180" s="5" t="s">
        <v>238</v>
      </c>
      <c r="HS180" s="5" t="s">
        <v>238</v>
      </c>
      <c r="HT180" s="5" t="s">
        <v>238</v>
      </c>
      <c r="HU180" s="5" t="s">
        <v>238</v>
      </c>
      <c r="HV180" s="5" t="s">
        <v>238</v>
      </c>
      <c r="HW180" s="5" t="s">
        <v>238</v>
      </c>
      <c r="HX180" s="5" t="s">
        <v>238</v>
      </c>
      <c r="HY180" s="5" t="s">
        <v>238</v>
      </c>
      <c r="HZ180" s="5" t="s">
        <v>238</v>
      </c>
      <c r="IA180" s="5" t="s">
        <v>238</v>
      </c>
      <c r="IB180" s="5" t="s">
        <v>238</v>
      </c>
      <c r="IC180" s="5" t="s">
        <v>238</v>
      </c>
      <c r="ID180" s="5" t="s">
        <v>238</v>
      </c>
    </row>
    <row r="181" spans="1:238" x14ac:dyDescent="0.4">
      <c r="A181" s="5">
        <v>195</v>
      </c>
      <c r="B181" s="5">
        <v>1</v>
      </c>
      <c r="C181" s="5">
        <v>5</v>
      </c>
      <c r="D181" s="5" t="s">
        <v>3745</v>
      </c>
      <c r="E181" s="5" t="s">
        <v>751</v>
      </c>
      <c r="F181" s="5" t="s">
        <v>282</v>
      </c>
      <c r="G181" s="5" t="s">
        <v>752</v>
      </c>
      <c r="H181" s="6" t="s">
        <v>3747</v>
      </c>
      <c r="I181" s="5" t="s">
        <v>3744</v>
      </c>
      <c r="J181" s="7">
        <f>23.19</f>
        <v>23.19</v>
      </c>
      <c r="K181" s="5" t="s">
        <v>270</v>
      </c>
      <c r="L181" s="8">
        <f>1</f>
        <v>1</v>
      </c>
      <c r="M181" s="8">
        <f>2829180</f>
        <v>2829180</v>
      </c>
      <c r="N181" s="6" t="s">
        <v>3746</v>
      </c>
      <c r="O181" s="5" t="s">
        <v>268</v>
      </c>
      <c r="P181" s="5" t="s">
        <v>319</v>
      </c>
      <c r="Q181" s="8">
        <f>189555</f>
        <v>189555</v>
      </c>
      <c r="R181" s="8">
        <f>2829179</f>
        <v>2829179</v>
      </c>
      <c r="S181" s="5" t="s">
        <v>240</v>
      </c>
      <c r="T181" s="5" t="s">
        <v>237</v>
      </c>
      <c r="W181" s="5" t="s">
        <v>241</v>
      </c>
      <c r="X181" s="5" t="s">
        <v>750</v>
      </c>
      <c r="Y181" s="5" t="s">
        <v>238</v>
      </c>
      <c r="AB181" s="5" t="s">
        <v>238</v>
      </c>
      <c r="AC181" s="6" t="s">
        <v>238</v>
      </c>
      <c r="AD181" s="6" t="s">
        <v>238</v>
      </c>
      <c r="AF181" s="6" t="s">
        <v>238</v>
      </c>
      <c r="AG181" s="6" t="s">
        <v>246</v>
      </c>
      <c r="AH181" s="5" t="s">
        <v>247</v>
      </c>
      <c r="AI181" s="5" t="s">
        <v>248</v>
      </c>
      <c r="AO181" s="5" t="s">
        <v>238</v>
      </c>
      <c r="AP181" s="5" t="s">
        <v>238</v>
      </c>
      <c r="AQ181" s="5" t="s">
        <v>238</v>
      </c>
      <c r="AR181" s="6" t="s">
        <v>238</v>
      </c>
      <c r="AS181" s="6" t="s">
        <v>238</v>
      </c>
      <c r="AT181" s="6" t="s">
        <v>238</v>
      </c>
      <c r="AW181" s="5" t="s">
        <v>304</v>
      </c>
      <c r="AX181" s="5" t="s">
        <v>304</v>
      </c>
      <c r="AY181" s="5" t="s">
        <v>250</v>
      </c>
      <c r="AZ181" s="5" t="s">
        <v>305</v>
      </c>
      <c r="BA181" s="5" t="s">
        <v>251</v>
      </c>
      <c r="BB181" s="5" t="s">
        <v>238</v>
      </c>
      <c r="BC181" s="5" t="s">
        <v>253</v>
      </c>
      <c r="BD181" s="5" t="s">
        <v>238</v>
      </c>
      <c r="BF181" s="5" t="s">
        <v>760</v>
      </c>
      <c r="BH181" s="5" t="s">
        <v>283</v>
      </c>
      <c r="BI181" s="6" t="s">
        <v>293</v>
      </c>
      <c r="BJ181" s="5" t="s">
        <v>294</v>
      </c>
      <c r="BK181" s="5" t="s">
        <v>294</v>
      </c>
      <c r="BL181" s="5" t="s">
        <v>238</v>
      </c>
      <c r="BM181" s="7">
        <f>0</f>
        <v>0</v>
      </c>
      <c r="BN181" s="8">
        <f>-175409</f>
        <v>-175409</v>
      </c>
      <c r="BO181" s="5" t="s">
        <v>257</v>
      </c>
      <c r="BP181" s="5" t="s">
        <v>258</v>
      </c>
      <c r="BQ181" s="5" t="s">
        <v>238</v>
      </c>
      <c r="BR181" s="5" t="s">
        <v>238</v>
      </c>
      <c r="BS181" s="5" t="s">
        <v>238</v>
      </c>
      <c r="BT181" s="5" t="s">
        <v>238</v>
      </c>
      <c r="CC181" s="5" t="s">
        <v>258</v>
      </c>
      <c r="CD181" s="5" t="s">
        <v>238</v>
      </c>
      <c r="CE181" s="5" t="s">
        <v>238</v>
      </c>
      <c r="CI181" s="5" t="s">
        <v>259</v>
      </c>
      <c r="CJ181" s="5" t="s">
        <v>260</v>
      </c>
      <c r="CK181" s="5" t="s">
        <v>238</v>
      </c>
      <c r="CM181" s="5" t="s">
        <v>318</v>
      </c>
      <c r="CN181" s="6" t="s">
        <v>262</v>
      </c>
      <c r="CO181" s="5" t="s">
        <v>263</v>
      </c>
      <c r="CP181" s="5" t="s">
        <v>264</v>
      </c>
      <c r="CQ181" s="5" t="s">
        <v>285</v>
      </c>
      <c r="CR181" s="5" t="s">
        <v>238</v>
      </c>
      <c r="CS181" s="5">
        <v>6.7000000000000004E-2</v>
      </c>
      <c r="CT181" s="5" t="s">
        <v>265</v>
      </c>
      <c r="CU181" s="5" t="s">
        <v>266</v>
      </c>
      <c r="CV181" s="5" t="s">
        <v>267</v>
      </c>
      <c r="CW181" s="7">
        <f>0</f>
        <v>0</v>
      </c>
      <c r="CX181" s="8">
        <f>2829180</f>
        <v>2829180</v>
      </c>
      <c r="CY181" s="8">
        <f>1</f>
        <v>1</v>
      </c>
      <c r="DA181" s="5" t="s">
        <v>238</v>
      </c>
      <c r="DB181" s="5" t="s">
        <v>238</v>
      </c>
      <c r="DD181" s="5" t="s">
        <v>238</v>
      </c>
      <c r="DE181" s="8">
        <f>0</f>
        <v>0</v>
      </c>
      <c r="DG181" s="5" t="s">
        <v>238</v>
      </c>
      <c r="DH181" s="5" t="s">
        <v>238</v>
      </c>
      <c r="DI181" s="5" t="s">
        <v>238</v>
      </c>
      <c r="DJ181" s="5" t="s">
        <v>238</v>
      </c>
      <c r="DK181" s="5" t="s">
        <v>271</v>
      </c>
      <c r="DL181" s="5" t="s">
        <v>272</v>
      </c>
      <c r="DM181" s="7">
        <f>23.19</f>
        <v>23.19</v>
      </c>
      <c r="DN181" s="5" t="s">
        <v>238</v>
      </c>
      <c r="DO181" s="5" t="s">
        <v>238</v>
      </c>
      <c r="DP181" s="5" t="s">
        <v>238</v>
      </c>
      <c r="DQ181" s="5" t="s">
        <v>238</v>
      </c>
      <c r="DT181" s="5" t="s">
        <v>3748</v>
      </c>
      <c r="DU181" s="5" t="s">
        <v>271</v>
      </c>
      <c r="GL181" s="5" t="s">
        <v>3749</v>
      </c>
      <c r="HM181" s="5" t="s">
        <v>313</v>
      </c>
      <c r="HP181" s="5" t="s">
        <v>272</v>
      </c>
      <c r="HQ181" s="5" t="s">
        <v>272</v>
      </c>
      <c r="HR181" s="5" t="s">
        <v>238</v>
      </c>
      <c r="HS181" s="5" t="s">
        <v>238</v>
      </c>
      <c r="HT181" s="5" t="s">
        <v>238</v>
      </c>
      <c r="HU181" s="5" t="s">
        <v>238</v>
      </c>
      <c r="HV181" s="5" t="s">
        <v>238</v>
      </c>
      <c r="HW181" s="5" t="s">
        <v>238</v>
      </c>
      <c r="HX181" s="5" t="s">
        <v>238</v>
      </c>
      <c r="HY181" s="5" t="s">
        <v>238</v>
      </c>
      <c r="HZ181" s="5" t="s">
        <v>238</v>
      </c>
      <c r="IA181" s="5" t="s">
        <v>238</v>
      </c>
      <c r="IB181" s="5" t="s">
        <v>238</v>
      </c>
      <c r="IC181" s="5" t="s">
        <v>238</v>
      </c>
      <c r="ID181" s="5" t="s">
        <v>238</v>
      </c>
    </row>
    <row r="182" spans="1:238" x14ac:dyDescent="0.4">
      <c r="A182" s="5">
        <v>196</v>
      </c>
      <c r="B182" s="5">
        <v>1</v>
      </c>
      <c r="C182" s="5">
        <v>2</v>
      </c>
      <c r="D182" s="5" t="s">
        <v>3376</v>
      </c>
      <c r="E182" s="5" t="s">
        <v>751</v>
      </c>
      <c r="F182" s="5" t="s">
        <v>282</v>
      </c>
      <c r="G182" s="5" t="s">
        <v>752</v>
      </c>
      <c r="H182" s="6" t="s">
        <v>3377</v>
      </c>
      <c r="I182" s="5" t="s">
        <v>3375</v>
      </c>
      <c r="J182" s="7">
        <f>98.54</f>
        <v>98.54</v>
      </c>
      <c r="K182" s="5" t="s">
        <v>270</v>
      </c>
      <c r="L182" s="8">
        <f>1</f>
        <v>1</v>
      </c>
      <c r="M182" s="8">
        <f>5912400</f>
        <v>5912400</v>
      </c>
      <c r="N182" s="6" t="s">
        <v>906</v>
      </c>
      <c r="O182" s="5" t="s">
        <v>268</v>
      </c>
      <c r="P182" s="5" t="s">
        <v>909</v>
      </c>
      <c r="R182" s="8">
        <f>5912399</f>
        <v>5912399</v>
      </c>
      <c r="S182" s="5" t="s">
        <v>240</v>
      </c>
      <c r="T182" s="5" t="s">
        <v>237</v>
      </c>
      <c r="W182" s="5" t="s">
        <v>241</v>
      </c>
      <c r="X182" s="5" t="s">
        <v>750</v>
      </c>
      <c r="Y182" s="5" t="s">
        <v>238</v>
      </c>
      <c r="AB182" s="5" t="s">
        <v>238</v>
      </c>
      <c r="AC182" s="6" t="s">
        <v>238</v>
      </c>
      <c r="AD182" s="6" t="s">
        <v>238</v>
      </c>
      <c r="AF182" s="6" t="s">
        <v>238</v>
      </c>
      <c r="AG182" s="6" t="s">
        <v>246</v>
      </c>
      <c r="AH182" s="5" t="s">
        <v>247</v>
      </c>
      <c r="AI182" s="5" t="s">
        <v>248</v>
      </c>
      <c r="AT182" s="6" t="s">
        <v>238</v>
      </c>
      <c r="AW182" s="5" t="s">
        <v>304</v>
      </c>
      <c r="AX182" s="5" t="s">
        <v>304</v>
      </c>
      <c r="AY182" s="5" t="s">
        <v>250</v>
      </c>
      <c r="AZ182" s="5" t="s">
        <v>305</v>
      </c>
      <c r="BA182" s="5" t="s">
        <v>251</v>
      </c>
      <c r="BB182" s="5" t="s">
        <v>238</v>
      </c>
      <c r="BC182" s="5" t="s">
        <v>253</v>
      </c>
      <c r="BD182" s="5" t="s">
        <v>238</v>
      </c>
      <c r="BF182" s="5" t="s">
        <v>760</v>
      </c>
      <c r="BH182" s="5" t="s">
        <v>283</v>
      </c>
      <c r="BI182" s="6" t="s">
        <v>293</v>
      </c>
      <c r="BJ182" s="5" t="s">
        <v>255</v>
      </c>
      <c r="BK182" s="5" t="s">
        <v>256</v>
      </c>
      <c r="BL182" s="5" t="s">
        <v>238</v>
      </c>
      <c r="BM182" s="7">
        <f>0</f>
        <v>0</v>
      </c>
      <c r="BN182" s="8">
        <f>0</f>
        <v>0</v>
      </c>
      <c r="BO182" s="5" t="s">
        <v>257</v>
      </c>
      <c r="BP182" s="5" t="s">
        <v>258</v>
      </c>
      <c r="BQ182" s="5" t="s">
        <v>238</v>
      </c>
      <c r="BR182" s="5" t="s">
        <v>238</v>
      </c>
      <c r="BS182" s="5" t="s">
        <v>238</v>
      </c>
      <c r="BT182" s="5" t="s">
        <v>238</v>
      </c>
      <c r="CC182" s="5" t="s">
        <v>258</v>
      </c>
      <c r="CD182" s="5" t="s">
        <v>238</v>
      </c>
      <c r="CE182" s="5" t="s">
        <v>238</v>
      </c>
      <c r="CI182" s="5" t="s">
        <v>527</v>
      </c>
      <c r="CJ182" s="5" t="s">
        <v>260</v>
      </c>
      <c r="CK182" s="5" t="s">
        <v>238</v>
      </c>
      <c r="CM182" s="5" t="s">
        <v>908</v>
      </c>
      <c r="CN182" s="6" t="s">
        <v>262</v>
      </c>
      <c r="CO182" s="5" t="s">
        <v>263</v>
      </c>
      <c r="CP182" s="5" t="s">
        <v>264</v>
      </c>
      <c r="CQ182" s="5" t="s">
        <v>285</v>
      </c>
      <c r="CR182" s="5" t="s">
        <v>238</v>
      </c>
      <c r="CS182" s="5">
        <v>0</v>
      </c>
      <c r="CT182" s="5" t="s">
        <v>265</v>
      </c>
      <c r="CU182" s="5" t="s">
        <v>266</v>
      </c>
      <c r="CV182" s="5" t="s">
        <v>267</v>
      </c>
      <c r="CW182" s="7">
        <f>0</f>
        <v>0</v>
      </c>
      <c r="CX182" s="8">
        <f>5912400</f>
        <v>5912400</v>
      </c>
      <c r="CY182" s="8">
        <f>1</f>
        <v>1</v>
      </c>
      <c r="DA182" s="5" t="s">
        <v>238</v>
      </c>
      <c r="DB182" s="5" t="s">
        <v>238</v>
      </c>
      <c r="DD182" s="5" t="s">
        <v>238</v>
      </c>
      <c r="DE182" s="8">
        <f>0</f>
        <v>0</v>
      </c>
      <c r="DG182" s="5" t="s">
        <v>238</v>
      </c>
      <c r="DH182" s="5" t="s">
        <v>238</v>
      </c>
      <c r="DI182" s="5" t="s">
        <v>238</v>
      </c>
      <c r="DJ182" s="5" t="s">
        <v>238</v>
      </c>
      <c r="DK182" s="5" t="s">
        <v>271</v>
      </c>
      <c r="DL182" s="5" t="s">
        <v>272</v>
      </c>
      <c r="DM182" s="7">
        <f>98.54</f>
        <v>98.54</v>
      </c>
      <c r="DN182" s="5" t="s">
        <v>238</v>
      </c>
      <c r="DO182" s="5" t="s">
        <v>238</v>
      </c>
      <c r="DP182" s="5" t="s">
        <v>238</v>
      </c>
      <c r="DQ182" s="5" t="s">
        <v>238</v>
      </c>
      <c r="DT182" s="5" t="s">
        <v>3378</v>
      </c>
      <c r="DU182" s="5" t="s">
        <v>271</v>
      </c>
      <c r="HM182" s="5" t="s">
        <v>271</v>
      </c>
      <c r="HP182" s="5" t="s">
        <v>272</v>
      </c>
      <c r="HQ182" s="5" t="s">
        <v>272</v>
      </c>
      <c r="HR182" s="5" t="s">
        <v>238</v>
      </c>
      <c r="HS182" s="5" t="s">
        <v>238</v>
      </c>
      <c r="HT182" s="5" t="s">
        <v>238</v>
      </c>
      <c r="HU182" s="5" t="s">
        <v>238</v>
      </c>
      <c r="HV182" s="5" t="s">
        <v>238</v>
      </c>
      <c r="HW182" s="5" t="s">
        <v>238</v>
      </c>
      <c r="HX182" s="5" t="s">
        <v>238</v>
      </c>
      <c r="HY182" s="5" t="s">
        <v>238</v>
      </c>
      <c r="HZ182" s="5" t="s">
        <v>238</v>
      </c>
      <c r="IA182" s="5" t="s">
        <v>238</v>
      </c>
      <c r="IB182" s="5" t="s">
        <v>238</v>
      </c>
      <c r="IC182" s="5" t="s">
        <v>238</v>
      </c>
      <c r="ID182" s="5" t="s">
        <v>238</v>
      </c>
    </row>
    <row r="183" spans="1:238" x14ac:dyDescent="0.4">
      <c r="A183" s="5">
        <v>197</v>
      </c>
      <c r="B183" s="5">
        <v>1</v>
      </c>
      <c r="C183" s="5">
        <v>2</v>
      </c>
      <c r="D183" s="5" t="s">
        <v>3372</v>
      </c>
      <c r="E183" s="5" t="s">
        <v>751</v>
      </c>
      <c r="F183" s="5" t="s">
        <v>282</v>
      </c>
      <c r="G183" s="5" t="s">
        <v>752</v>
      </c>
      <c r="H183" s="6" t="s">
        <v>3373</v>
      </c>
      <c r="I183" s="5" t="s">
        <v>3371</v>
      </c>
      <c r="J183" s="7">
        <f>21.3</f>
        <v>21.3</v>
      </c>
      <c r="K183" s="5" t="s">
        <v>270</v>
      </c>
      <c r="L183" s="8">
        <f>1</f>
        <v>1</v>
      </c>
      <c r="M183" s="8">
        <f>1278000</f>
        <v>1278000</v>
      </c>
      <c r="N183" s="6" t="s">
        <v>906</v>
      </c>
      <c r="O183" s="5" t="s">
        <v>268</v>
      </c>
      <c r="P183" s="5" t="s">
        <v>909</v>
      </c>
      <c r="R183" s="8">
        <f>1277999</f>
        <v>1277999</v>
      </c>
      <c r="S183" s="5" t="s">
        <v>240</v>
      </c>
      <c r="T183" s="5" t="s">
        <v>237</v>
      </c>
      <c r="W183" s="5" t="s">
        <v>241</v>
      </c>
      <c r="X183" s="5" t="s">
        <v>750</v>
      </c>
      <c r="Y183" s="5" t="s">
        <v>238</v>
      </c>
      <c r="AB183" s="5" t="s">
        <v>238</v>
      </c>
      <c r="AC183" s="6" t="s">
        <v>238</v>
      </c>
      <c r="AD183" s="6" t="s">
        <v>238</v>
      </c>
      <c r="AF183" s="6" t="s">
        <v>238</v>
      </c>
      <c r="AG183" s="6" t="s">
        <v>246</v>
      </c>
      <c r="AH183" s="5" t="s">
        <v>247</v>
      </c>
      <c r="AI183" s="5" t="s">
        <v>248</v>
      </c>
      <c r="AT183" s="6" t="s">
        <v>238</v>
      </c>
      <c r="AW183" s="5" t="s">
        <v>304</v>
      </c>
      <c r="AX183" s="5" t="s">
        <v>304</v>
      </c>
      <c r="AY183" s="5" t="s">
        <v>250</v>
      </c>
      <c r="AZ183" s="5" t="s">
        <v>305</v>
      </c>
      <c r="BA183" s="5" t="s">
        <v>251</v>
      </c>
      <c r="BB183" s="5" t="s">
        <v>238</v>
      </c>
      <c r="BC183" s="5" t="s">
        <v>253</v>
      </c>
      <c r="BD183" s="5" t="s">
        <v>238</v>
      </c>
      <c r="BF183" s="5" t="s">
        <v>760</v>
      </c>
      <c r="BH183" s="5" t="s">
        <v>283</v>
      </c>
      <c r="BI183" s="6" t="s">
        <v>293</v>
      </c>
      <c r="BJ183" s="5" t="s">
        <v>255</v>
      </c>
      <c r="BK183" s="5" t="s">
        <v>256</v>
      </c>
      <c r="BL183" s="5" t="s">
        <v>238</v>
      </c>
      <c r="BM183" s="7">
        <f>0</f>
        <v>0</v>
      </c>
      <c r="BN183" s="8">
        <f>0</f>
        <v>0</v>
      </c>
      <c r="BO183" s="5" t="s">
        <v>257</v>
      </c>
      <c r="BP183" s="5" t="s">
        <v>258</v>
      </c>
      <c r="BQ183" s="5" t="s">
        <v>238</v>
      </c>
      <c r="BR183" s="5" t="s">
        <v>238</v>
      </c>
      <c r="BS183" s="5" t="s">
        <v>238</v>
      </c>
      <c r="BT183" s="5" t="s">
        <v>238</v>
      </c>
      <c r="CC183" s="5" t="s">
        <v>258</v>
      </c>
      <c r="CD183" s="5" t="s">
        <v>238</v>
      </c>
      <c r="CE183" s="5" t="s">
        <v>238</v>
      </c>
      <c r="CI183" s="5" t="s">
        <v>527</v>
      </c>
      <c r="CJ183" s="5" t="s">
        <v>260</v>
      </c>
      <c r="CK183" s="5" t="s">
        <v>238</v>
      </c>
      <c r="CM183" s="5" t="s">
        <v>908</v>
      </c>
      <c r="CN183" s="6" t="s">
        <v>262</v>
      </c>
      <c r="CO183" s="5" t="s">
        <v>263</v>
      </c>
      <c r="CP183" s="5" t="s">
        <v>264</v>
      </c>
      <c r="CQ183" s="5" t="s">
        <v>285</v>
      </c>
      <c r="CR183" s="5" t="s">
        <v>238</v>
      </c>
      <c r="CS183" s="5">
        <v>0</v>
      </c>
      <c r="CT183" s="5" t="s">
        <v>265</v>
      </c>
      <c r="CU183" s="5" t="s">
        <v>266</v>
      </c>
      <c r="CV183" s="5" t="s">
        <v>267</v>
      </c>
      <c r="CW183" s="7">
        <f>0</f>
        <v>0</v>
      </c>
      <c r="CX183" s="8">
        <f>1278000</f>
        <v>1278000</v>
      </c>
      <c r="CY183" s="8">
        <f>1</f>
        <v>1</v>
      </c>
      <c r="DA183" s="5" t="s">
        <v>238</v>
      </c>
      <c r="DB183" s="5" t="s">
        <v>238</v>
      </c>
      <c r="DD183" s="5" t="s">
        <v>238</v>
      </c>
      <c r="DE183" s="8">
        <f>0</f>
        <v>0</v>
      </c>
      <c r="DG183" s="5" t="s">
        <v>238</v>
      </c>
      <c r="DH183" s="5" t="s">
        <v>238</v>
      </c>
      <c r="DI183" s="5" t="s">
        <v>238</v>
      </c>
      <c r="DJ183" s="5" t="s">
        <v>238</v>
      </c>
      <c r="DK183" s="5" t="s">
        <v>271</v>
      </c>
      <c r="DL183" s="5" t="s">
        <v>272</v>
      </c>
      <c r="DM183" s="7">
        <f>21.3</f>
        <v>21.3</v>
      </c>
      <c r="DN183" s="5" t="s">
        <v>238</v>
      </c>
      <c r="DO183" s="5" t="s">
        <v>238</v>
      </c>
      <c r="DP183" s="5" t="s">
        <v>238</v>
      </c>
      <c r="DQ183" s="5" t="s">
        <v>238</v>
      </c>
      <c r="DT183" s="5" t="s">
        <v>3374</v>
      </c>
      <c r="DU183" s="5" t="s">
        <v>271</v>
      </c>
      <c r="HM183" s="5" t="s">
        <v>271</v>
      </c>
      <c r="HP183" s="5" t="s">
        <v>272</v>
      </c>
      <c r="HQ183" s="5" t="s">
        <v>272</v>
      </c>
      <c r="HR183" s="5" t="s">
        <v>238</v>
      </c>
      <c r="HS183" s="5" t="s">
        <v>238</v>
      </c>
      <c r="HT183" s="5" t="s">
        <v>238</v>
      </c>
      <c r="HU183" s="5" t="s">
        <v>238</v>
      </c>
      <c r="HV183" s="5" t="s">
        <v>238</v>
      </c>
      <c r="HW183" s="5" t="s">
        <v>238</v>
      </c>
      <c r="HX183" s="5" t="s">
        <v>238</v>
      </c>
      <c r="HY183" s="5" t="s">
        <v>238</v>
      </c>
      <c r="HZ183" s="5" t="s">
        <v>238</v>
      </c>
      <c r="IA183" s="5" t="s">
        <v>238</v>
      </c>
      <c r="IB183" s="5" t="s">
        <v>238</v>
      </c>
      <c r="IC183" s="5" t="s">
        <v>238</v>
      </c>
      <c r="ID183" s="5" t="s">
        <v>238</v>
      </c>
    </row>
    <row r="184" spans="1:238" x14ac:dyDescent="0.4">
      <c r="A184" s="5">
        <v>198</v>
      </c>
      <c r="B184" s="5">
        <v>1</v>
      </c>
      <c r="C184" s="5">
        <v>2</v>
      </c>
      <c r="D184" s="5" t="s">
        <v>3368</v>
      </c>
      <c r="E184" s="5" t="s">
        <v>751</v>
      </c>
      <c r="F184" s="5" t="s">
        <v>282</v>
      </c>
      <c r="G184" s="5" t="s">
        <v>752</v>
      </c>
      <c r="H184" s="6" t="s">
        <v>3369</v>
      </c>
      <c r="I184" s="5" t="s">
        <v>3367</v>
      </c>
      <c r="J184" s="7">
        <f>10.8</f>
        <v>10.8</v>
      </c>
      <c r="K184" s="5" t="s">
        <v>270</v>
      </c>
      <c r="L184" s="8">
        <f>1</f>
        <v>1</v>
      </c>
      <c r="M184" s="8">
        <f>648000</f>
        <v>648000</v>
      </c>
      <c r="N184" s="6" t="s">
        <v>906</v>
      </c>
      <c r="O184" s="5" t="s">
        <v>651</v>
      </c>
      <c r="P184" s="5" t="s">
        <v>909</v>
      </c>
      <c r="R184" s="8">
        <f>647999</f>
        <v>647999</v>
      </c>
      <c r="S184" s="5" t="s">
        <v>240</v>
      </c>
      <c r="T184" s="5" t="s">
        <v>237</v>
      </c>
      <c r="W184" s="5" t="s">
        <v>241</v>
      </c>
      <c r="X184" s="5" t="s">
        <v>750</v>
      </c>
      <c r="Y184" s="5" t="s">
        <v>238</v>
      </c>
      <c r="AB184" s="5" t="s">
        <v>238</v>
      </c>
      <c r="AC184" s="6" t="s">
        <v>238</v>
      </c>
      <c r="AD184" s="6" t="s">
        <v>238</v>
      </c>
      <c r="AF184" s="6" t="s">
        <v>238</v>
      </c>
      <c r="AG184" s="6" t="s">
        <v>246</v>
      </c>
      <c r="AH184" s="5" t="s">
        <v>247</v>
      </c>
      <c r="AI184" s="5" t="s">
        <v>248</v>
      </c>
      <c r="AT184" s="6" t="s">
        <v>238</v>
      </c>
      <c r="AW184" s="5" t="s">
        <v>304</v>
      </c>
      <c r="AX184" s="5" t="s">
        <v>304</v>
      </c>
      <c r="AY184" s="5" t="s">
        <v>250</v>
      </c>
      <c r="AZ184" s="5" t="s">
        <v>305</v>
      </c>
      <c r="BA184" s="5" t="s">
        <v>251</v>
      </c>
      <c r="BB184" s="5" t="s">
        <v>238</v>
      </c>
      <c r="BC184" s="5" t="s">
        <v>253</v>
      </c>
      <c r="BD184" s="5" t="s">
        <v>238</v>
      </c>
      <c r="BF184" s="5" t="s">
        <v>760</v>
      </c>
      <c r="BH184" s="5" t="s">
        <v>283</v>
      </c>
      <c r="BI184" s="6" t="s">
        <v>293</v>
      </c>
      <c r="BJ184" s="5" t="s">
        <v>255</v>
      </c>
      <c r="BK184" s="5" t="s">
        <v>256</v>
      </c>
      <c r="BL184" s="5" t="s">
        <v>238</v>
      </c>
      <c r="BM184" s="7">
        <f>0</f>
        <v>0</v>
      </c>
      <c r="BN184" s="8">
        <f>0</f>
        <v>0</v>
      </c>
      <c r="BO184" s="5" t="s">
        <v>257</v>
      </c>
      <c r="BP184" s="5" t="s">
        <v>258</v>
      </c>
      <c r="BQ184" s="5" t="s">
        <v>238</v>
      </c>
      <c r="BR184" s="5" t="s">
        <v>238</v>
      </c>
      <c r="BS184" s="5" t="s">
        <v>238</v>
      </c>
      <c r="BT184" s="5" t="s">
        <v>238</v>
      </c>
      <c r="CC184" s="5" t="s">
        <v>258</v>
      </c>
      <c r="CD184" s="5" t="s">
        <v>238</v>
      </c>
      <c r="CE184" s="5" t="s">
        <v>238</v>
      </c>
      <c r="CI184" s="5" t="s">
        <v>527</v>
      </c>
      <c r="CJ184" s="5" t="s">
        <v>260</v>
      </c>
      <c r="CK184" s="5" t="s">
        <v>238</v>
      </c>
      <c r="CM184" s="5" t="s">
        <v>908</v>
      </c>
      <c r="CN184" s="6" t="s">
        <v>262</v>
      </c>
      <c r="CO184" s="5" t="s">
        <v>263</v>
      </c>
      <c r="CP184" s="5" t="s">
        <v>264</v>
      </c>
      <c r="CQ184" s="5" t="s">
        <v>285</v>
      </c>
      <c r="CR184" s="5" t="s">
        <v>238</v>
      </c>
      <c r="CS184" s="5">
        <v>0</v>
      </c>
      <c r="CT184" s="5" t="s">
        <v>265</v>
      </c>
      <c r="CU184" s="5" t="s">
        <v>266</v>
      </c>
      <c r="CV184" s="5" t="s">
        <v>331</v>
      </c>
      <c r="CW184" s="7">
        <f>0</f>
        <v>0</v>
      </c>
      <c r="CX184" s="8">
        <f>648000</f>
        <v>648000</v>
      </c>
      <c r="CY184" s="8">
        <f>1</f>
        <v>1</v>
      </c>
      <c r="DA184" s="5" t="s">
        <v>238</v>
      </c>
      <c r="DB184" s="5" t="s">
        <v>238</v>
      </c>
      <c r="DD184" s="5" t="s">
        <v>238</v>
      </c>
      <c r="DE184" s="8">
        <f>0</f>
        <v>0</v>
      </c>
      <c r="DG184" s="5" t="s">
        <v>238</v>
      </c>
      <c r="DH184" s="5" t="s">
        <v>238</v>
      </c>
      <c r="DI184" s="5" t="s">
        <v>238</v>
      </c>
      <c r="DJ184" s="5" t="s">
        <v>238</v>
      </c>
      <c r="DK184" s="5" t="s">
        <v>271</v>
      </c>
      <c r="DL184" s="5" t="s">
        <v>272</v>
      </c>
      <c r="DM184" s="7">
        <f>10.8</f>
        <v>10.8</v>
      </c>
      <c r="DN184" s="5" t="s">
        <v>238</v>
      </c>
      <c r="DO184" s="5" t="s">
        <v>238</v>
      </c>
      <c r="DP184" s="5" t="s">
        <v>238</v>
      </c>
      <c r="DQ184" s="5" t="s">
        <v>238</v>
      </c>
      <c r="DT184" s="5" t="s">
        <v>3370</v>
      </c>
      <c r="DU184" s="5" t="s">
        <v>271</v>
      </c>
      <c r="HM184" s="5" t="s">
        <v>271</v>
      </c>
      <c r="HP184" s="5" t="s">
        <v>272</v>
      </c>
      <c r="HQ184" s="5" t="s">
        <v>272</v>
      </c>
      <c r="HR184" s="5" t="s">
        <v>238</v>
      </c>
      <c r="HS184" s="5" t="s">
        <v>238</v>
      </c>
      <c r="HT184" s="5" t="s">
        <v>238</v>
      </c>
      <c r="HU184" s="5" t="s">
        <v>238</v>
      </c>
      <c r="HV184" s="5" t="s">
        <v>238</v>
      </c>
      <c r="HW184" s="5" t="s">
        <v>238</v>
      </c>
      <c r="HX184" s="5" t="s">
        <v>238</v>
      </c>
      <c r="HY184" s="5" t="s">
        <v>238</v>
      </c>
      <c r="HZ184" s="5" t="s">
        <v>238</v>
      </c>
      <c r="IA184" s="5" t="s">
        <v>238</v>
      </c>
      <c r="IB184" s="5" t="s">
        <v>238</v>
      </c>
      <c r="IC184" s="5" t="s">
        <v>238</v>
      </c>
      <c r="ID184" s="5" t="s">
        <v>238</v>
      </c>
    </row>
    <row r="185" spans="1:238" x14ac:dyDescent="0.4">
      <c r="A185" s="5">
        <v>199</v>
      </c>
      <c r="B185" s="5">
        <v>1</v>
      </c>
      <c r="C185" s="5">
        <v>2</v>
      </c>
      <c r="D185" s="5" t="s">
        <v>3364</v>
      </c>
      <c r="E185" s="5" t="s">
        <v>751</v>
      </c>
      <c r="F185" s="5" t="s">
        <v>282</v>
      </c>
      <c r="G185" s="5" t="s">
        <v>752</v>
      </c>
      <c r="H185" s="6" t="s">
        <v>3365</v>
      </c>
      <c r="I185" s="5" t="s">
        <v>3363</v>
      </c>
      <c r="J185" s="7">
        <f>16.8</f>
        <v>16.8</v>
      </c>
      <c r="K185" s="5" t="s">
        <v>270</v>
      </c>
      <c r="L185" s="8">
        <f>1</f>
        <v>1</v>
      </c>
      <c r="M185" s="8">
        <f>1008000</f>
        <v>1008000</v>
      </c>
      <c r="N185" s="6" t="s">
        <v>906</v>
      </c>
      <c r="O185" s="5" t="s">
        <v>651</v>
      </c>
      <c r="P185" s="5" t="s">
        <v>909</v>
      </c>
      <c r="R185" s="8">
        <f>1007999</f>
        <v>1007999</v>
      </c>
      <c r="S185" s="5" t="s">
        <v>240</v>
      </c>
      <c r="T185" s="5" t="s">
        <v>237</v>
      </c>
      <c r="W185" s="5" t="s">
        <v>241</v>
      </c>
      <c r="X185" s="5" t="s">
        <v>750</v>
      </c>
      <c r="Y185" s="5" t="s">
        <v>238</v>
      </c>
      <c r="AB185" s="5" t="s">
        <v>238</v>
      </c>
      <c r="AC185" s="6" t="s">
        <v>238</v>
      </c>
      <c r="AD185" s="6" t="s">
        <v>238</v>
      </c>
      <c r="AF185" s="6" t="s">
        <v>238</v>
      </c>
      <c r="AG185" s="6" t="s">
        <v>246</v>
      </c>
      <c r="AH185" s="5" t="s">
        <v>247</v>
      </c>
      <c r="AI185" s="5" t="s">
        <v>248</v>
      </c>
      <c r="AT185" s="6" t="s">
        <v>238</v>
      </c>
      <c r="AW185" s="5" t="s">
        <v>304</v>
      </c>
      <c r="AX185" s="5" t="s">
        <v>304</v>
      </c>
      <c r="AY185" s="5" t="s">
        <v>250</v>
      </c>
      <c r="AZ185" s="5" t="s">
        <v>305</v>
      </c>
      <c r="BA185" s="5" t="s">
        <v>251</v>
      </c>
      <c r="BB185" s="5" t="s">
        <v>238</v>
      </c>
      <c r="BC185" s="5" t="s">
        <v>253</v>
      </c>
      <c r="BD185" s="5" t="s">
        <v>238</v>
      </c>
      <c r="BF185" s="5" t="s">
        <v>760</v>
      </c>
      <c r="BH185" s="5" t="s">
        <v>283</v>
      </c>
      <c r="BI185" s="6" t="s">
        <v>293</v>
      </c>
      <c r="BJ185" s="5" t="s">
        <v>255</v>
      </c>
      <c r="BK185" s="5" t="s">
        <v>256</v>
      </c>
      <c r="BL185" s="5" t="s">
        <v>238</v>
      </c>
      <c r="BM185" s="7">
        <f>0</f>
        <v>0</v>
      </c>
      <c r="BN185" s="8">
        <f>0</f>
        <v>0</v>
      </c>
      <c r="BO185" s="5" t="s">
        <v>257</v>
      </c>
      <c r="BP185" s="5" t="s">
        <v>258</v>
      </c>
      <c r="BQ185" s="5" t="s">
        <v>238</v>
      </c>
      <c r="BR185" s="5" t="s">
        <v>238</v>
      </c>
      <c r="BS185" s="5" t="s">
        <v>238</v>
      </c>
      <c r="BT185" s="5" t="s">
        <v>238</v>
      </c>
      <c r="CC185" s="5" t="s">
        <v>258</v>
      </c>
      <c r="CD185" s="5" t="s">
        <v>238</v>
      </c>
      <c r="CE185" s="5" t="s">
        <v>238</v>
      </c>
      <c r="CI185" s="5" t="s">
        <v>527</v>
      </c>
      <c r="CJ185" s="5" t="s">
        <v>260</v>
      </c>
      <c r="CK185" s="5" t="s">
        <v>238</v>
      </c>
      <c r="CM185" s="5" t="s">
        <v>908</v>
      </c>
      <c r="CN185" s="6" t="s">
        <v>262</v>
      </c>
      <c r="CO185" s="5" t="s">
        <v>263</v>
      </c>
      <c r="CP185" s="5" t="s">
        <v>264</v>
      </c>
      <c r="CQ185" s="5" t="s">
        <v>285</v>
      </c>
      <c r="CR185" s="5" t="s">
        <v>238</v>
      </c>
      <c r="CS185" s="5">
        <v>0</v>
      </c>
      <c r="CT185" s="5" t="s">
        <v>265</v>
      </c>
      <c r="CU185" s="5" t="s">
        <v>266</v>
      </c>
      <c r="CV185" s="5" t="s">
        <v>331</v>
      </c>
      <c r="CW185" s="7">
        <f>0</f>
        <v>0</v>
      </c>
      <c r="CX185" s="8">
        <f>1008000</f>
        <v>1008000</v>
      </c>
      <c r="CY185" s="8">
        <f>1</f>
        <v>1</v>
      </c>
      <c r="DA185" s="5" t="s">
        <v>238</v>
      </c>
      <c r="DB185" s="5" t="s">
        <v>238</v>
      </c>
      <c r="DD185" s="5" t="s">
        <v>238</v>
      </c>
      <c r="DE185" s="8">
        <f>0</f>
        <v>0</v>
      </c>
      <c r="DG185" s="5" t="s">
        <v>238</v>
      </c>
      <c r="DH185" s="5" t="s">
        <v>238</v>
      </c>
      <c r="DI185" s="5" t="s">
        <v>238</v>
      </c>
      <c r="DJ185" s="5" t="s">
        <v>238</v>
      </c>
      <c r="DK185" s="5" t="s">
        <v>271</v>
      </c>
      <c r="DL185" s="5" t="s">
        <v>272</v>
      </c>
      <c r="DM185" s="7">
        <f>16.8</f>
        <v>16.8</v>
      </c>
      <c r="DN185" s="5" t="s">
        <v>238</v>
      </c>
      <c r="DO185" s="5" t="s">
        <v>238</v>
      </c>
      <c r="DP185" s="5" t="s">
        <v>238</v>
      </c>
      <c r="DQ185" s="5" t="s">
        <v>238</v>
      </c>
      <c r="DT185" s="5" t="s">
        <v>3366</v>
      </c>
      <c r="DU185" s="5" t="s">
        <v>271</v>
      </c>
      <c r="HM185" s="5" t="s">
        <v>271</v>
      </c>
      <c r="HP185" s="5" t="s">
        <v>272</v>
      </c>
      <c r="HQ185" s="5" t="s">
        <v>272</v>
      </c>
      <c r="HR185" s="5" t="s">
        <v>238</v>
      </c>
      <c r="HS185" s="5" t="s">
        <v>238</v>
      </c>
      <c r="HT185" s="5" t="s">
        <v>238</v>
      </c>
      <c r="HU185" s="5" t="s">
        <v>238</v>
      </c>
      <c r="HV185" s="5" t="s">
        <v>238</v>
      </c>
      <c r="HW185" s="5" t="s">
        <v>238</v>
      </c>
      <c r="HX185" s="5" t="s">
        <v>238</v>
      </c>
      <c r="HY185" s="5" t="s">
        <v>238</v>
      </c>
      <c r="HZ185" s="5" t="s">
        <v>238</v>
      </c>
      <c r="IA185" s="5" t="s">
        <v>238</v>
      </c>
      <c r="IB185" s="5" t="s">
        <v>238</v>
      </c>
      <c r="IC185" s="5" t="s">
        <v>238</v>
      </c>
      <c r="ID185" s="5" t="s">
        <v>238</v>
      </c>
    </row>
    <row r="186" spans="1:238" x14ac:dyDescent="0.4">
      <c r="A186" s="5">
        <v>200</v>
      </c>
      <c r="B186" s="5">
        <v>1</v>
      </c>
      <c r="C186" s="5">
        <v>2</v>
      </c>
      <c r="D186" s="5" t="s">
        <v>3360</v>
      </c>
      <c r="E186" s="5" t="s">
        <v>751</v>
      </c>
      <c r="F186" s="5" t="s">
        <v>282</v>
      </c>
      <c r="G186" s="5" t="s">
        <v>752</v>
      </c>
      <c r="H186" s="6" t="s">
        <v>3361</v>
      </c>
      <c r="I186" s="5" t="s">
        <v>3359</v>
      </c>
      <c r="J186" s="7">
        <f>23.38</f>
        <v>23.38</v>
      </c>
      <c r="K186" s="5" t="s">
        <v>270</v>
      </c>
      <c r="L186" s="8">
        <f>1</f>
        <v>1</v>
      </c>
      <c r="M186" s="8">
        <f>1402800</f>
        <v>1402800</v>
      </c>
      <c r="N186" s="6" t="s">
        <v>906</v>
      </c>
      <c r="O186" s="5" t="s">
        <v>651</v>
      </c>
      <c r="P186" s="5" t="s">
        <v>909</v>
      </c>
      <c r="R186" s="8">
        <f>1402799</f>
        <v>1402799</v>
      </c>
      <c r="S186" s="5" t="s">
        <v>240</v>
      </c>
      <c r="T186" s="5" t="s">
        <v>237</v>
      </c>
      <c r="W186" s="5" t="s">
        <v>241</v>
      </c>
      <c r="X186" s="5" t="s">
        <v>750</v>
      </c>
      <c r="Y186" s="5" t="s">
        <v>238</v>
      </c>
      <c r="AB186" s="5" t="s">
        <v>238</v>
      </c>
      <c r="AC186" s="6" t="s">
        <v>238</v>
      </c>
      <c r="AD186" s="6" t="s">
        <v>238</v>
      </c>
      <c r="AF186" s="6" t="s">
        <v>238</v>
      </c>
      <c r="AG186" s="6" t="s">
        <v>246</v>
      </c>
      <c r="AH186" s="5" t="s">
        <v>247</v>
      </c>
      <c r="AI186" s="5" t="s">
        <v>248</v>
      </c>
      <c r="AT186" s="6" t="s">
        <v>238</v>
      </c>
      <c r="AW186" s="5" t="s">
        <v>304</v>
      </c>
      <c r="AX186" s="5" t="s">
        <v>304</v>
      </c>
      <c r="AY186" s="5" t="s">
        <v>250</v>
      </c>
      <c r="AZ186" s="5" t="s">
        <v>305</v>
      </c>
      <c r="BA186" s="5" t="s">
        <v>251</v>
      </c>
      <c r="BB186" s="5" t="s">
        <v>238</v>
      </c>
      <c r="BC186" s="5" t="s">
        <v>253</v>
      </c>
      <c r="BD186" s="5" t="s">
        <v>238</v>
      </c>
      <c r="BF186" s="5" t="s">
        <v>760</v>
      </c>
      <c r="BH186" s="5" t="s">
        <v>283</v>
      </c>
      <c r="BI186" s="6" t="s">
        <v>293</v>
      </c>
      <c r="BJ186" s="5" t="s">
        <v>255</v>
      </c>
      <c r="BK186" s="5" t="s">
        <v>256</v>
      </c>
      <c r="BL186" s="5" t="s">
        <v>238</v>
      </c>
      <c r="BM186" s="7">
        <f>0</f>
        <v>0</v>
      </c>
      <c r="BN186" s="8">
        <f>0</f>
        <v>0</v>
      </c>
      <c r="BO186" s="5" t="s">
        <v>257</v>
      </c>
      <c r="BP186" s="5" t="s">
        <v>258</v>
      </c>
      <c r="BQ186" s="5" t="s">
        <v>238</v>
      </c>
      <c r="BR186" s="5" t="s">
        <v>238</v>
      </c>
      <c r="BS186" s="5" t="s">
        <v>238</v>
      </c>
      <c r="BT186" s="5" t="s">
        <v>238</v>
      </c>
      <c r="CC186" s="5" t="s">
        <v>258</v>
      </c>
      <c r="CD186" s="5" t="s">
        <v>238</v>
      </c>
      <c r="CE186" s="5" t="s">
        <v>238</v>
      </c>
      <c r="CI186" s="5" t="s">
        <v>527</v>
      </c>
      <c r="CJ186" s="5" t="s">
        <v>260</v>
      </c>
      <c r="CK186" s="5" t="s">
        <v>238</v>
      </c>
      <c r="CM186" s="5" t="s">
        <v>908</v>
      </c>
      <c r="CN186" s="6" t="s">
        <v>262</v>
      </c>
      <c r="CO186" s="5" t="s">
        <v>263</v>
      </c>
      <c r="CP186" s="5" t="s">
        <v>264</v>
      </c>
      <c r="CQ186" s="5" t="s">
        <v>285</v>
      </c>
      <c r="CR186" s="5" t="s">
        <v>238</v>
      </c>
      <c r="CS186" s="5">
        <v>0</v>
      </c>
      <c r="CT186" s="5" t="s">
        <v>265</v>
      </c>
      <c r="CU186" s="5" t="s">
        <v>266</v>
      </c>
      <c r="CV186" s="5" t="s">
        <v>331</v>
      </c>
      <c r="CW186" s="7">
        <f>0</f>
        <v>0</v>
      </c>
      <c r="CX186" s="8">
        <f>1402800</f>
        <v>1402800</v>
      </c>
      <c r="CY186" s="8">
        <f>1</f>
        <v>1</v>
      </c>
      <c r="DA186" s="5" t="s">
        <v>238</v>
      </c>
      <c r="DB186" s="5" t="s">
        <v>238</v>
      </c>
      <c r="DD186" s="5" t="s">
        <v>238</v>
      </c>
      <c r="DE186" s="8">
        <f>0</f>
        <v>0</v>
      </c>
      <c r="DG186" s="5" t="s">
        <v>238</v>
      </c>
      <c r="DH186" s="5" t="s">
        <v>238</v>
      </c>
      <c r="DI186" s="5" t="s">
        <v>238</v>
      </c>
      <c r="DJ186" s="5" t="s">
        <v>238</v>
      </c>
      <c r="DK186" s="5" t="s">
        <v>274</v>
      </c>
      <c r="DL186" s="5" t="s">
        <v>272</v>
      </c>
      <c r="DM186" s="7">
        <f>23.38</f>
        <v>23.38</v>
      </c>
      <c r="DN186" s="5" t="s">
        <v>238</v>
      </c>
      <c r="DO186" s="5" t="s">
        <v>238</v>
      </c>
      <c r="DP186" s="5" t="s">
        <v>238</v>
      </c>
      <c r="DQ186" s="5" t="s">
        <v>238</v>
      </c>
      <c r="DT186" s="5" t="s">
        <v>3362</v>
      </c>
      <c r="DU186" s="5" t="s">
        <v>271</v>
      </c>
      <c r="HM186" s="5" t="s">
        <v>271</v>
      </c>
      <c r="HP186" s="5" t="s">
        <v>272</v>
      </c>
      <c r="HQ186" s="5" t="s">
        <v>272</v>
      </c>
      <c r="HR186" s="5" t="s">
        <v>238</v>
      </c>
      <c r="HS186" s="5" t="s">
        <v>238</v>
      </c>
      <c r="HT186" s="5" t="s">
        <v>238</v>
      </c>
      <c r="HU186" s="5" t="s">
        <v>238</v>
      </c>
      <c r="HV186" s="5" t="s">
        <v>238</v>
      </c>
      <c r="HW186" s="5" t="s">
        <v>238</v>
      </c>
      <c r="HX186" s="5" t="s">
        <v>238</v>
      </c>
      <c r="HY186" s="5" t="s">
        <v>238</v>
      </c>
      <c r="HZ186" s="5" t="s">
        <v>238</v>
      </c>
      <c r="IA186" s="5" t="s">
        <v>238</v>
      </c>
      <c r="IB186" s="5" t="s">
        <v>238</v>
      </c>
      <c r="IC186" s="5" t="s">
        <v>238</v>
      </c>
      <c r="ID186" s="5" t="s">
        <v>238</v>
      </c>
    </row>
    <row r="187" spans="1:238" x14ac:dyDescent="0.4">
      <c r="A187" s="5">
        <v>201</v>
      </c>
      <c r="B187" s="5">
        <v>1</v>
      </c>
      <c r="C187" s="5">
        <v>2</v>
      </c>
      <c r="D187" s="5" t="s">
        <v>3356</v>
      </c>
      <c r="E187" s="5" t="s">
        <v>751</v>
      </c>
      <c r="F187" s="5" t="s">
        <v>282</v>
      </c>
      <c r="G187" s="5" t="s">
        <v>752</v>
      </c>
      <c r="H187" s="6" t="s">
        <v>3357</v>
      </c>
      <c r="I187" s="5" t="s">
        <v>3355</v>
      </c>
      <c r="J187" s="7">
        <f>9.97</f>
        <v>9.9700000000000006</v>
      </c>
      <c r="K187" s="5" t="s">
        <v>270</v>
      </c>
      <c r="L187" s="8">
        <f>1</f>
        <v>1</v>
      </c>
      <c r="M187" s="8">
        <f>697900</f>
        <v>697900</v>
      </c>
      <c r="N187" s="6" t="s">
        <v>906</v>
      </c>
      <c r="O187" s="5" t="s">
        <v>755</v>
      </c>
      <c r="P187" s="5" t="s">
        <v>909</v>
      </c>
      <c r="R187" s="8">
        <f>697899</f>
        <v>697899</v>
      </c>
      <c r="S187" s="5" t="s">
        <v>240</v>
      </c>
      <c r="T187" s="5" t="s">
        <v>237</v>
      </c>
      <c r="W187" s="5" t="s">
        <v>241</v>
      </c>
      <c r="X187" s="5" t="s">
        <v>750</v>
      </c>
      <c r="Y187" s="5" t="s">
        <v>238</v>
      </c>
      <c r="AB187" s="5" t="s">
        <v>238</v>
      </c>
      <c r="AC187" s="6" t="s">
        <v>238</v>
      </c>
      <c r="AD187" s="6" t="s">
        <v>238</v>
      </c>
      <c r="AF187" s="6" t="s">
        <v>238</v>
      </c>
      <c r="AG187" s="6" t="s">
        <v>246</v>
      </c>
      <c r="AH187" s="5" t="s">
        <v>247</v>
      </c>
      <c r="AI187" s="5" t="s">
        <v>248</v>
      </c>
      <c r="AT187" s="6" t="s">
        <v>238</v>
      </c>
      <c r="AW187" s="5" t="s">
        <v>304</v>
      </c>
      <c r="AX187" s="5" t="s">
        <v>304</v>
      </c>
      <c r="AY187" s="5" t="s">
        <v>250</v>
      </c>
      <c r="AZ187" s="5" t="s">
        <v>305</v>
      </c>
      <c r="BA187" s="5" t="s">
        <v>251</v>
      </c>
      <c r="BB187" s="5" t="s">
        <v>238</v>
      </c>
      <c r="BC187" s="5" t="s">
        <v>253</v>
      </c>
      <c r="BD187" s="5" t="s">
        <v>238</v>
      </c>
      <c r="BF187" s="5" t="s">
        <v>760</v>
      </c>
      <c r="BH187" s="5" t="s">
        <v>283</v>
      </c>
      <c r="BI187" s="6" t="s">
        <v>293</v>
      </c>
      <c r="BJ187" s="5" t="s">
        <v>255</v>
      </c>
      <c r="BK187" s="5" t="s">
        <v>256</v>
      </c>
      <c r="BL187" s="5" t="s">
        <v>238</v>
      </c>
      <c r="BM187" s="7">
        <f>0</f>
        <v>0</v>
      </c>
      <c r="BN187" s="8">
        <f>0</f>
        <v>0</v>
      </c>
      <c r="BO187" s="5" t="s">
        <v>257</v>
      </c>
      <c r="BP187" s="5" t="s">
        <v>258</v>
      </c>
      <c r="BQ187" s="5" t="s">
        <v>238</v>
      </c>
      <c r="BR187" s="5" t="s">
        <v>238</v>
      </c>
      <c r="BS187" s="5" t="s">
        <v>238</v>
      </c>
      <c r="BT187" s="5" t="s">
        <v>238</v>
      </c>
      <c r="CC187" s="5" t="s">
        <v>258</v>
      </c>
      <c r="CD187" s="5" t="s">
        <v>238</v>
      </c>
      <c r="CE187" s="5" t="s">
        <v>238</v>
      </c>
      <c r="CI187" s="5" t="s">
        <v>527</v>
      </c>
      <c r="CJ187" s="5" t="s">
        <v>260</v>
      </c>
      <c r="CK187" s="5" t="s">
        <v>238</v>
      </c>
      <c r="CM187" s="5" t="s">
        <v>908</v>
      </c>
      <c r="CN187" s="6" t="s">
        <v>262</v>
      </c>
      <c r="CO187" s="5" t="s">
        <v>263</v>
      </c>
      <c r="CP187" s="5" t="s">
        <v>264</v>
      </c>
      <c r="CQ187" s="5" t="s">
        <v>285</v>
      </c>
      <c r="CR187" s="5" t="s">
        <v>238</v>
      </c>
      <c r="CS187" s="5">
        <v>0</v>
      </c>
      <c r="CT187" s="5" t="s">
        <v>265</v>
      </c>
      <c r="CU187" s="5" t="s">
        <v>266</v>
      </c>
      <c r="CV187" s="5" t="s">
        <v>754</v>
      </c>
      <c r="CW187" s="7">
        <f>0</f>
        <v>0</v>
      </c>
      <c r="CX187" s="8">
        <f>697900</f>
        <v>697900</v>
      </c>
      <c r="CY187" s="8">
        <f>1</f>
        <v>1</v>
      </c>
      <c r="DA187" s="5" t="s">
        <v>238</v>
      </c>
      <c r="DB187" s="5" t="s">
        <v>238</v>
      </c>
      <c r="DD187" s="5" t="s">
        <v>238</v>
      </c>
      <c r="DE187" s="8">
        <f>0</f>
        <v>0</v>
      </c>
      <c r="DG187" s="5" t="s">
        <v>238</v>
      </c>
      <c r="DH187" s="5" t="s">
        <v>238</v>
      </c>
      <c r="DI187" s="5" t="s">
        <v>238</v>
      </c>
      <c r="DJ187" s="5" t="s">
        <v>238</v>
      </c>
      <c r="DK187" s="5" t="s">
        <v>271</v>
      </c>
      <c r="DL187" s="5" t="s">
        <v>272</v>
      </c>
      <c r="DM187" s="7">
        <f>9.97</f>
        <v>9.9700000000000006</v>
      </c>
      <c r="DN187" s="5" t="s">
        <v>238</v>
      </c>
      <c r="DO187" s="5" t="s">
        <v>238</v>
      </c>
      <c r="DP187" s="5" t="s">
        <v>238</v>
      </c>
      <c r="DQ187" s="5" t="s">
        <v>238</v>
      </c>
      <c r="DT187" s="5" t="s">
        <v>3358</v>
      </c>
      <c r="DU187" s="5" t="s">
        <v>271</v>
      </c>
      <c r="HM187" s="5" t="s">
        <v>271</v>
      </c>
      <c r="HP187" s="5" t="s">
        <v>272</v>
      </c>
      <c r="HQ187" s="5" t="s">
        <v>272</v>
      </c>
      <c r="HR187" s="5" t="s">
        <v>238</v>
      </c>
      <c r="HS187" s="5" t="s">
        <v>238</v>
      </c>
      <c r="HT187" s="5" t="s">
        <v>238</v>
      </c>
      <c r="HU187" s="5" t="s">
        <v>238</v>
      </c>
      <c r="HV187" s="5" t="s">
        <v>238</v>
      </c>
      <c r="HW187" s="5" t="s">
        <v>238</v>
      </c>
      <c r="HX187" s="5" t="s">
        <v>238</v>
      </c>
      <c r="HY187" s="5" t="s">
        <v>238</v>
      </c>
      <c r="HZ187" s="5" t="s">
        <v>238</v>
      </c>
      <c r="IA187" s="5" t="s">
        <v>238</v>
      </c>
      <c r="IB187" s="5" t="s">
        <v>238</v>
      </c>
      <c r="IC187" s="5" t="s">
        <v>238</v>
      </c>
      <c r="ID187" s="5" t="s">
        <v>238</v>
      </c>
    </row>
    <row r="188" spans="1:238" x14ac:dyDescent="0.4">
      <c r="A188" s="5">
        <v>202</v>
      </c>
      <c r="B188" s="5">
        <v>1</v>
      </c>
      <c r="C188" s="5">
        <v>2</v>
      </c>
      <c r="D188" s="5" t="s">
        <v>3352</v>
      </c>
      <c r="E188" s="5" t="s">
        <v>751</v>
      </c>
      <c r="F188" s="5" t="s">
        <v>282</v>
      </c>
      <c r="G188" s="5" t="s">
        <v>752</v>
      </c>
      <c r="H188" s="6" t="s">
        <v>3353</v>
      </c>
      <c r="I188" s="5" t="s">
        <v>3351</v>
      </c>
      <c r="J188" s="7">
        <f>23.38</f>
        <v>23.38</v>
      </c>
      <c r="K188" s="5" t="s">
        <v>270</v>
      </c>
      <c r="L188" s="8">
        <f>1</f>
        <v>1</v>
      </c>
      <c r="M188" s="8">
        <f>1402800</f>
        <v>1402800</v>
      </c>
      <c r="N188" s="6" t="s">
        <v>906</v>
      </c>
      <c r="O188" s="5" t="s">
        <v>651</v>
      </c>
      <c r="P188" s="5" t="s">
        <v>909</v>
      </c>
      <c r="R188" s="8">
        <f>1402799</f>
        <v>1402799</v>
      </c>
      <c r="S188" s="5" t="s">
        <v>240</v>
      </c>
      <c r="T188" s="5" t="s">
        <v>237</v>
      </c>
      <c r="W188" s="5" t="s">
        <v>241</v>
      </c>
      <c r="X188" s="5" t="s">
        <v>750</v>
      </c>
      <c r="Y188" s="5" t="s">
        <v>238</v>
      </c>
      <c r="AB188" s="5" t="s">
        <v>238</v>
      </c>
      <c r="AC188" s="6" t="s">
        <v>238</v>
      </c>
      <c r="AD188" s="6" t="s">
        <v>238</v>
      </c>
      <c r="AF188" s="6" t="s">
        <v>238</v>
      </c>
      <c r="AG188" s="6" t="s">
        <v>246</v>
      </c>
      <c r="AH188" s="5" t="s">
        <v>247</v>
      </c>
      <c r="AI188" s="5" t="s">
        <v>248</v>
      </c>
      <c r="AT188" s="6" t="s">
        <v>238</v>
      </c>
      <c r="AW188" s="5" t="s">
        <v>304</v>
      </c>
      <c r="AX188" s="5" t="s">
        <v>304</v>
      </c>
      <c r="AY188" s="5" t="s">
        <v>250</v>
      </c>
      <c r="AZ188" s="5" t="s">
        <v>305</v>
      </c>
      <c r="BA188" s="5" t="s">
        <v>251</v>
      </c>
      <c r="BB188" s="5" t="s">
        <v>238</v>
      </c>
      <c r="BC188" s="5" t="s">
        <v>253</v>
      </c>
      <c r="BD188" s="5" t="s">
        <v>238</v>
      </c>
      <c r="BF188" s="5" t="s">
        <v>760</v>
      </c>
      <c r="BH188" s="5" t="s">
        <v>283</v>
      </c>
      <c r="BI188" s="6" t="s">
        <v>293</v>
      </c>
      <c r="BJ188" s="5" t="s">
        <v>255</v>
      </c>
      <c r="BK188" s="5" t="s">
        <v>256</v>
      </c>
      <c r="BL188" s="5" t="s">
        <v>238</v>
      </c>
      <c r="BM188" s="7">
        <f>0</f>
        <v>0</v>
      </c>
      <c r="BN188" s="8">
        <f>0</f>
        <v>0</v>
      </c>
      <c r="BO188" s="5" t="s">
        <v>257</v>
      </c>
      <c r="BP188" s="5" t="s">
        <v>258</v>
      </c>
      <c r="BQ188" s="5" t="s">
        <v>238</v>
      </c>
      <c r="BR188" s="5" t="s">
        <v>238</v>
      </c>
      <c r="BS188" s="5" t="s">
        <v>238</v>
      </c>
      <c r="BT188" s="5" t="s">
        <v>238</v>
      </c>
      <c r="CC188" s="5" t="s">
        <v>258</v>
      </c>
      <c r="CD188" s="5" t="s">
        <v>238</v>
      </c>
      <c r="CE188" s="5" t="s">
        <v>238</v>
      </c>
      <c r="CI188" s="5" t="s">
        <v>527</v>
      </c>
      <c r="CJ188" s="5" t="s">
        <v>260</v>
      </c>
      <c r="CK188" s="5" t="s">
        <v>238</v>
      </c>
      <c r="CM188" s="5" t="s">
        <v>908</v>
      </c>
      <c r="CN188" s="6" t="s">
        <v>262</v>
      </c>
      <c r="CO188" s="5" t="s">
        <v>263</v>
      </c>
      <c r="CP188" s="5" t="s">
        <v>264</v>
      </c>
      <c r="CQ188" s="5" t="s">
        <v>285</v>
      </c>
      <c r="CR188" s="5" t="s">
        <v>238</v>
      </c>
      <c r="CS188" s="5">
        <v>0</v>
      </c>
      <c r="CT188" s="5" t="s">
        <v>265</v>
      </c>
      <c r="CU188" s="5" t="s">
        <v>266</v>
      </c>
      <c r="CV188" s="5" t="s">
        <v>331</v>
      </c>
      <c r="CW188" s="7">
        <f>0</f>
        <v>0</v>
      </c>
      <c r="CX188" s="8">
        <f>1402800</f>
        <v>1402800</v>
      </c>
      <c r="CY188" s="8">
        <f>1</f>
        <v>1</v>
      </c>
      <c r="DA188" s="5" t="s">
        <v>238</v>
      </c>
      <c r="DB188" s="5" t="s">
        <v>238</v>
      </c>
      <c r="DD188" s="5" t="s">
        <v>238</v>
      </c>
      <c r="DE188" s="8">
        <f>0</f>
        <v>0</v>
      </c>
      <c r="DG188" s="5" t="s">
        <v>238</v>
      </c>
      <c r="DH188" s="5" t="s">
        <v>238</v>
      </c>
      <c r="DI188" s="5" t="s">
        <v>238</v>
      </c>
      <c r="DJ188" s="5" t="s">
        <v>238</v>
      </c>
      <c r="DK188" s="5" t="s">
        <v>271</v>
      </c>
      <c r="DL188" s="5" t="s">
        <v>272</v>
      </c>
      <c r="DM188" s="7">
        <f>23.38</f>
        <v>23.38</v>
      </c>
      <c r="DN188" s="5" t="s">
        <v>238</v>
      </c>
      <c r="DO188" s="5" t="s">
        <v>238</v>
      </c>
      <c r="DP188" s="5" t="s">
        <v>238</v>
      </c>
      <c r="DQ188" s="5" t="s">
        <v>238</v>
      </c>
      <c r="DT188" s="5" t="s">
        <v>3354</v>
      </c>
      <c r="DU188" s="5" t="s">
        <v>271</v>
      </c>
      <c r="HM188" s="5" t="s">
        <v>271</v>
      </c>
      <c r="HP188" s="5" t="s">
        <v>272</v>
      </c>
      <c r="HQ188" s="5" t="s">
        <v>272</v>
      </c>
      <c r="HR188" s="5" t="s">
        <v>238</v>
      </c>
      <c r="HS188" s="5" t="s">
        <v>238</v>
      </c>
      <c r="HT188" s="5" t="s">
        <v>238</v>
      </c>
      <c r="HU188" s="5" t="s">
        <v>238</v>
      </c>
      <c r="HV188" s="5" t="s">
        <v>238</v>
      </c>
      <c r="HW188" s="5" t="s">
        <v>238</v>
      </c>
      <c r="HX188" s="5" t="s">
        <v>238</v>
      </c>
      <c r="HY188" s="5" t="s">
        <v>238</v>
      </c>
      <c r="HZ188" s="5" t="s">
        <v>238</v>
      </c>
      <c r="IA188" s="5" t="s">
        <v>238</v>
      </c>
      <c r="IB188" s="5" t="s">
        <v>238</v>
      </c>
      <c r="IC188" s="5" t="s">
        <v>238</v>
      </c>
      <c r="ID188" s="5" t="s">
        <v>238</v>
      </c>
    </row>
    <row r="189" spans="1:238" x14ac:dyDescent="0.4">
      <c r="A189" s="5">
        <v>203</v>
      </c>
      <c r="B189" s="5">
        <v>1</v>
      </c>
      <c r="C189" s="5">
        <v>2</v>
      </c>
      <c r="D189" s="5" t="s">
        <v>3348</v>
      </c>
      <c r="E189" s="5" t="s">
        <v>751</v>
      </c>
      <c r="F189" s="5" t="s">
        <v>282</v>
      </c>
      <c r="G189" s="5" t="s">
        <v>752</v>
      </c>
      <c r="H189" s="6" t="s">
        <v>3349</v>
      </c>
      <c r="I189" s="5" t="s">
        <v>3347</v>
      </c>
      <c r="J189" s="7">
        <f>19.87</f>
        <v>19.87</v>
      </c>
      <c r="K189" s="5" t="s">
        <v>270</v>
      </c>
      <c r="L189" s="8">
        <f>1</f>
        <v>1</v>
      </c>
      <c r="M189" s="8">
        <f>1192200</f>
        <v>1192200</v>
      </c>
      <c r="N189" s="6" t="s">
        <v>906</v>
      </c>
      <c r="O189" s="5" t="s">
        <v>268</v>
      </c>
      <c r="P189" s="5" t="s">
        <v>909</v>
      </c>
      <c r="R189" s="8">
        <f>1192199</f>
        <v>1192199</v>
      </c>
      <c r="S189" s="5" t="s">
        <v>240</v>
      </c>
      <c r="T189" s="5" t="s">
        <v>237</v>
      </c>
      <c r="W189" s="5" t="s">
        <v>241</v>
      </c>
      <c r="X189" s="5" t="s">
        <v>750</v>
      </c>
      <c r="Y189" s="5" t="s">
        <v>238</v>
      </c>
      <c r="AB189" s="5" t="s">
        <v>238</v>
      </c>
      <c r="AC189" s="6" t="s">
        <v>238</v>
      </c>
      <c r="AD189" s="6" t="s">
        <v>238</v>
      </c>
      <c r="AF189" s="6" t="s">
        <v>238</v>
      </c>
      <c r="AG189" s="6" t="s">
        <v>246</v>
      </c>
      <c r="AH189" s="5" t="s">
        <v>247</v>
      </c>
      <c r="AI189" s="5" t="s">
        <v>248</v>
      </c>
      <c r="AT189" s="6" t="s">
        <v>238</v>
      </c>
      <c r="AW189" s="5" t="s">
        <v>304</v>
      </c>
      <c r="AX189" s="5" t="s">
        <v>304</v>
      </c>
      <c r="AY189" s="5" t="s">
        <v>250</v>
      </c>
      <c r="AZ189" s="5" t="s">
        <v>305</v>
      </c>
      <c r="BA189" s="5" t="s">
        <v>251</v>
      </c>
      <c r="BB189" s="5" t="s">
        <v>238</v>
      </c>
      <c r="BC189" s="5" t="s">
        <v>253</v>
      </c>
      <c r="BD189" s="5" t="s">
        <v>238</v>
      </c>
      <c r="BF189" s="5" t="s">
        <v>760</v>
      </c>
      <c r="BH189" s="5" t="s">
        <v>283</v>
      </c>
      <c r="BI189" s="6" t="s">
        <v>293</v>
      </c>
      <c r="BJ189" s="5" t="s">
        <v>255</v>
      </c>
      <c r="BK189" s="5" t="s">
        <v>256</v>
      </c>
      <c r="BL189" s="5" t="s">
        <v>238</v>
      </c>
      <c r="BM189" s="7">
        <f>0</f>
        <v>0</v>
      </c>
      <c r="BN189" s="8">
        <f>0</f>
        <v>0</v>
      </c>
      <c r="BO189" s="5" t="s">
        <v>257</v>
      </c>
      <c r="BP189" s="5" t="s">
        <v>258</v>
      </c>
      <c r="BQ189" s="5" t="s">
        <v>238</v>
      </c>
      <c r="BR189" s="5" t="s">
        <v>238</v>
      </c>
      <c r="BS189" s="5" t="s">
        <v>238</v>
      </c>
      <c r="BT189" s="5" t="s">
        <v>238</v>
      </c>
      <c r="CC189" s="5" t="s">
        <v>258</v>
      </c>
      <c r="CD189" s="5" t="s">
        <v>238</v>
      </c>
      <c r="CE189" s="5" t="s">
        <v>238</v>
      </c>
      <c r="CI189" s="5" t="s">
        <v>527</v>
      </c>
      <c r="CJ189" s="5" t="s">
        <v>260</v>
      </c>
      <c r="CK189" s="5" t="s">
        <v>238</v>
      </c>
      <c r="CM189" s="5" t="s">
        <v>908</v>
      </c>
      <c r="CN189" s="6" t="s">
        <v>262</v>
      </c>
      <c r="CO189" s="5" t="s">
        <v>263</v>
      </c>
      <c r="CP189" s="5" t="s">
        <v>264</v>
      </c>
      <c r="CQ189" s="5" t="s">
        <v>285</v>
      </c>
      <c r="CR189" s="5" t="s">
        <v>238</v>
      </c>
      <c r="CS189" s="5">
        <v>0</v>
      </c>
      <c r="CT189" s="5" t="s">
        <v>265</v>
      </c>
      <c r="CU189" s="5" t="s">
        <v>266</v>
      </c>
      <c r="CV189" s="5" t="s">
        <v>267</v>
      </c>
      <c r="CW189" s="7">
        <f>0</f>
        <v>0</v>
      </c>
      <c r="CX189" s="8">
        <f>1192200</f>
        <v>1192200</v>
      </c>
      <c r="CY189" s="8">
        <f>1</f>
        <v>1</v>
      </c>
      <c r="DA189" s="5" t="s">
        <v>238</v>
      </c>
      <c r="DB189" s="5" t="s">
        <v>238</v>
      </c>
      <c r="DD189" s="5" t="s">
        <v>238</v>
      </c>
      <c r="DE189" s="8">
        <f>0</f>
        <v>0</v>
      </c>
      <c r="DG189" s="5" t="s">
        <v>238</v>
      </c>
      <c r="DH189" s="5" t="s">
        <v>238</v>
      </c>
      <c r="DI189" s="5" t="s">
        <v>238</v>
      </c>
      <c r="DJ189" s="5" t="s">
        <v>238</v>
      </c>
      <c r="DK189" s="5" t="s">
        <v>271</v>
      </c>
      <c r="DL189" s="5" t="s">
        <v>272</v>
      </c>
      <c r="DM189" s="7">
        <f>19.87</f>
        <v>19.87</v>
      </c>
      <c r="DN189" s="5" t="s">
        <v>238</v>
      </c>
      <c r="DO189" s="5" t="s">
        <v>238</v>
      </c>
      <c r="DP189" s="5" t="s">
        <v>238</v>
      </c>
      <c r="DQ189" s="5" t="s">
        <v>238</v>
      </c>
      <c r="DT189" s="5" t="s">
        <v>3350</v>
      </c>
      <c r="DU189" s="5" t="s">
        <v>271</v>
      </c>
      <c r="HM189" s="5" t="s">
        <v>271</v>
      </c>
      <c r="HP189" s="5" t="s">
        <v>272</v>
      </c>
      <c r="HQ189" s="5" t="s">
        <v>272</v>
      </c>
      <c r="HR189" s="5" t="s">
        <v>238</v>
      </c>
      <c r="HS189" s="5" t="s">
        <v>238</v>
      </c>
      <c r="HT189" s="5" t="s">
        <v>238</v>
      </c>
      <c r="HU189" s="5" t="s">
        <v>238</v>
      </c>
      <c r="HV189" s="5" t="s">
        <v>238</v>
      </c>
      <c r="HW189" s="5" t="s">
        <v>238</v>
      </c>
      <c r="HX189" s="5" t="s">
        <v>238</v>
      </c>
      <c r="HY189" s="5" t="s">
        <v>238</v>
      </c>
      <c r="HZ189" s="5" t="s">
        <v>238</v>
      </c>
      <c r="IA189" s="5" t="s">
        <v>238</v>
      </c>
      <c r="IB189" s="5" t="s">
        <v>238</v>
      </c>
      <c r="IC189" s="5" t="s">
        <v>238</v>
      </c>
      <c r="ID189" s="5" t="s">
        <v>238</v>
      </c>
    </row>
    <row r="190" spans="1:238" x14ac:dyDescent="0.4">
      <c r="A190" s="5">
        <v>204</v>
      </c>
      <c r="B190" s="5">
        <v>1</v>
      </c>
      <c r="C190" s="5">
        <v>2</v>
      </c>
      <c r="D190" s="5" t="s">
        <v>3345</v>
      </c>
      <c r="E190" s="5" t="s">
        <v>751</v>
      </c>
      <c r="F190" s="5" t="s">
        <v>282</v>
      </c>
      <c r="G190" s="5" t="s">
        <v>752</v>
      </c>
      <c r="H190" s="6" t="s">
        <v>1178</v>
      </c>
      <c r="I190" s="5" t="s">
        <v>3344</v>
      </c>
      <c r="J190" s="7">
        <f>46.8</f>
        <v>46.8</v>
      </c>
      <c r="K190" s="5" t="s">
        <v>270</v>
      </c>
      <c r="L190" s="8">
        <f>1</f>
        <v>1</v>
      </c>
      <c r="M190" s="8">
        <f>2808000</f>
        <v>2808000</v>
      </c>
      <c r="N190" s="6" t="s">
        <v>906</v>
      </c>
      <c r="O190" s="5" t="s">
        <v>650</v>
      </c>
      <c r="P190" s="5" t="s">
        <v>909</v>
      </c>
      <c r="R190" s="8">
        <f>2807999</f>
        <v>2807999</v>
      </c>
      <c r="S190" s="5" t="s">
        <v>240</v>
      </c>
      <c r="T190" s="5" t="s">
        <v>237</v>
      </c>
      <c r="W190" s="5" t="s">
        <v>241</v>
      </c>
      <c r="X190" s="5" t="s">
        <v>750</v>
      </c>
      <c r="Y190" s="5" t="s">
        <v>238</v>
      </c>
      <c r="AB190" s="5" t="s">
        <v>238</v>
      </c>
      <c r="AC190" s="6" t="s">
        <v>238</v>
      </c>
      <c r="AD190" s="6" t="s">
        <v>238</v>
      </c>
      <c r="AF190" s="6" t="s">
        <v>238</v>
      </c>
      <c r="AG190" s="6" t="s">
        <v>246</v>
      </c>
      <c r="AH190" s="5" t="s">
        <v>247</v>
      </c>
      <c r="AI190" s="5" t="s">
        <v>248</v>
      </c>
      <c r="AT190" s="6" t="s">
        <v>238</v>
      </c>
      <c r="AW190" s="5" t="s">
        <v>304</v>
      </c>
      <c r="AX190" s="5" t="s">
        <v>304</v>
      </c>
      <c r="AY190" s="5" t="s">
        <v>250</v>
      </c>
      <c r="AZ190" s="5" t="s">
        <v>305</v>
      </c>
      <c r="BA190" s="5" t="s">
        <v>251</v>
      </c>
      <c r="BB190" s="5" t="s">
        <v>238</v>
      </c>
      <c r="BC190" s="5" t="s">
        <v>253</v>
      </c>
      <c r="BD190" s="5" t="s">
        <v>238</v>
      </c>
      <c r="BF190" s="5" t="s">
        <v>760</v>
      </c>
      <c r="BH190" s="5" t="s">
        <v>283</v>
      </c>
      <c r="BI190" s="6" t="s">
        <v>293</v>
      </c>
      <c r="BJ190" s="5" t="s">
        <v>255</v>
      </c>
      <c r="BK190" s="5" t="s">
        <v>256</v>
      </c>
      <c r="BL190" s="5" t="s">
        <v>238</v>
      </c>
      <c r="BM190" s="7">
        <f>0</f>
        <v>0</v>
      </c>
      <c r="BN190" s="8">
        <f>0</f>
        <v>0</v>
      </c>
      <c r="BO190" s="5" t="s">
        <v>257</v>
      </c>
      <c r="BP190" s="5" t="s">
        <v>258</v>
      </c>
      <c r="BQ190" s="5" t="s">
        <v>238</v>
      </c>
      <c r="BR190" s="5" t="s">
        <v>238</v>
      </c>
      <c r="BS190" s="5" t="s">
        <v>238</v>
      </c>
      <c r="BT190" s="5" t="s">
        <v>238</v>
      </c>
      <c r="CC190" s="5" t="s">
        <v>258</v>
      </c>
      <c r="CD190" s="5" t="s">
        <v>238</v>
      </c>
      <c r="CE190" s="5" t="s">
        <v>238</v>
      </c>
      <c r="CI190" s="5" t="s">
        <v>527</v>
      </c>
      <c r="CJ190" s="5" t="s">
        <v>260</v>
      </c>
      <c r="CK190" s="5" t="s">
        <v>238</v>
      </c>
      <c r="CM190" s="5" t="s">
        <v>908</v>
      </c>
      <c r="CN190" s="6" t="s">
        <v>262</v>
      </c>
      <c r="CO190" s="5" t="s">
        <v>263</v>
      </c>
      <c r="CP190" s="5" t="s">
        <v>264</v>
      </c>
      <c r="CQ190" s="5" t="s">
        <v>285</v>
      </c>
      <c r="CR190" s="5" t="s">
        <v>238</v>
      </c>
      <c r="CS190" s="5">
        <v>0</v>
      </c>
      <c r="CT190" s="5" t="s">
        <v>265</v>
      </c>
      <c r="CU190" s="5" t="s">
        <v>266</v>
      </c>
      <c r="CV190" s="5" t="s">
        <v>649</v>
      </c>
      <c r="CW190" s="7">
        <f>0</f>
        <v>0</v>
      </c>
      <c r="CX190" s="8">
        <f>2808000</f>
        <v>2808000</v>
      </c>
      <c r="CY190" s="8">
        <f>1</f>
        <v>1</v>
      </c>
      <c r="DA190" s="5" t="s">
        <v>238</v>
      </c>
      <c r="DB190" s="5" t="s">
        <v>238</v>
      </c>
      <c r="DD190" s="5" t="s">
        <v>238</v>
      </c>
      <c r="DE190" s="8">
        <f>0</f>
        <v>0</v>
      </c>
      <c r="DG190" s="5" t="s">
        <v>238</v>
      </c>
      <c r="DH190" s="5" t="s">
        <v>238</v>
      </c>
      <c r="DI190" s="5" t="s">
        <v>238</v>
      </c>
      <c r="DJ190" s="5" t="s">
        <v>238</v>
      </c>
      <c r="DK190" s="5" t="s">
        <v>271</v>
      </c>
      <c r="DL190" s="5" t="s">
        <v>272</v>
      </c>
      <c r="DM190" s="7">
        <f>46.8</f>
        <v>46.8</v>
      </c>
      <c r="DN190" s="5" t="s">
        <v>238</v>
      </c>
      <c r="DO190" s="5" t="s">
        <v>238</v>
      </c>
      <c r="DP190" s="5" t="s">
        <v>238</v>
      </c>
      <c r="DQ190" s="5" t="s">
        <v>238</v>
      </c>
      <c r="DT190" s="5" t="s">
        <v>3346</v>
      </c>
      <c r="DU190" s="5" t="s">
        <v>271</v>
      </c>
      <c r="HM190" s="5" t="s">
        <v>271</v>
      </c>
      <c r="HP190" s="5" t="s">
        <v>272</v>
      </c>
      <c r="HQ190" s="5" t="s">
        <v>272</v>
      </c>
      <c r="HR190" s="5" t="s">
        <v>238</v>
      </c>
      <c r="HS190" s="5" t="s">
        <v>238</v>
      </c>
      <c r="HT190" s="5" t="s">
        <v>238</v>
      </c>
      <c r="HU190" s="5" t="s">
        <v>238</v>
      </c>
      <c r="HV190" s="5" t="s">
        <v>238</v>
      </c>
      <c r="HW190" s="5" t="s">
        <v>238</v>
      </c>
      <c r="HX190" s="5" t="s">
        <v>238</v>
      </c>
      <c r="HY190" s="5" t="s">
        <v>238</v>
      </c>
      <c r="HZ190" s="5" t="s">
        <v>238</v>
      </c>
      <c r="IA190" s="5" t="s">
        <v>238</v>
      </c>
      <c r="IB190" s="5" t="s">
        <v>238</v>
      </c>
      <c r="IC190" s="5" t="s">
        <v>238</v>
      </c>
      <c r="ID190" s="5" t="s">
        <v>238</v>
      </c>
    </row>
    <row r="191" spans="1:238" x14ac:dyDescent="0.4">
      <c r="A191" s="5">
        <v>205</v>
      </c>
      <c r="B191" s="5">
        <v>1</v>
      </c>
      <c r="C191" s="5">
        <v>2</v>
      </c>
      <c r="D191" s="5" t="s">
        <v>3341</v>
      </c>
      <c r="E191" s="5" t="s">
        <v>751</v>
      </c>
      <c r="F191" s="5" t="s">
        <v>282</v>
      </c>
      <c r="G191" s="5" t="s">
        <v>752</v>
      </c>
      <c r="H191" s="6" t="s">
        <v>3342</v>
      </c>
      <c r="I191" s="5" t="s">
        <v>3340</v>
      </c>
      <c r="J191" s="7">
        <f>28.98</f>
        <v>28.98</v>
      </c>
      <c r="K191" s="5" t="s">
        <v>270</v>
      </c>
      <c r="L191" s="8">
        <f>1</f>
        <v>1</v>
      </c>
      <c r="M191" s="8">
        <f>1738800</f>
        <v>1738800</v>
      </c>
      <c r="N191" s="6" t="s">
        <v>906</v>
      </c>
      <c r="O191" s="5" t="s">
        <v>268</v>
      </c>
      <c r="P191" s="5" t="s">
        <v>909</v>
      </c>
      <c r="R191" s="8">
        <f>1738799</f>
        <v>1738799</v>
      </c>
      <c r="S191" s="5" t="s">
        <v>240</v>
      </c>
      <c r="T191" s="5" t="s">
        <v>237</v>
      </c>
      <c r="W191" s="5" t="s">
        <v>241</v>
      </c>
      <c r="X191" s="5" t="s">
        <v>750</v>
      </c>
      <c r="Y191" s="5" t="s">
        <v>238</v>
      </c>
      <c r="AB191" s="5" t="s">
        <v>238</v>
      </c>
      <c r="AC191" s="6" t="s">
        <v>238</v>
      </c>
      <c r="AD191" s="6" t="s">
        <v>238</v>
      </c>
      <c r="AF191" s="6" t="s">
        <v>238</v>
      </c>
      <c r="AG191" s="6" t="s">
        <v>246</v>
      </c>
      <c r="AH191" s="5" t="s">
        <v>247</v>
      </c>
      <c r="AI191" s="5" t="s">
        <v>248</v>
      </c>
      <c r="AT191" s="6" t="s">
        <v>238</v>
      </c>
      <c r="AW191" s="5" t="s">
        <v>304</v>
      </c>
      <c r="AX191" s="5" t="s">
        <v>304</v>
      </c>
      <c r="AY191" s="5" t="s">
        <v>250</v>
      </c>
      <c r="AZ191" s="5" t="s">
        <v>305</v>
      </c>
      <c r="BA191" s="5" t="s">
        <v>251</v>
      </c>
      <c r="BB191" s="5" t="s">
        <v>238</v>
      </c>
      <c r="BC191" s="5" t="s">
        <v>253</v>
      </c>
      <c r="BD191" s="5" t="s">
        <v>238</v>
      </c>
      <c r="BF191" s="5" t="s">
        <v>760</v>
      </c>
      <c r="BH191" s="5" t="s">
        <v>283</v>
      </c>
      <c r="BI191" s="6" t="s">
        <v>293</v>
      </c>
      <c r="BJ191" s="5" t="s">
        <v>255</v>
      </c>
      <c r="BK191" s="5" t="s">
        <v>256</v>
      </c>
      <c r="BL191" s="5" t="s">
        <v>238</v>
      </c>
      <c r="BM191" s="7">
        <f>0</f>
        <v>0</v>
      </c>
      <c r="BN191" s="8">
        <f>0</f>
        <v>0</v>
      </c>
      <c r="BO191" s="5" t="s">
        <v>257</v>
      </c>
      <c r="BP191" s="5" t="s">
        <v>258</v>
      </c>
      <c r="BQ191" s="5" t="s">
        <v>238</v>
      </c>
      <c r="BR191" s="5" t="s">
        <v>238</v>
      </c>
      <c r="BS191" s="5" t="s">
        <v>238</v>
      </c>
      <c r="BT191" s="5" t="s">
        <v>238</v>
      </c>
      <c r="CC191" s="5" t="s">
        <v>258</v>
      </c>
      <c r="CD191" s="5" t="s">
        <v>238</v>
      </c>
      <c r="CE191" s="5" t="s">
        <v>238</v>
      </c>
      <c r="CI191" s="5" t="s">
        <v>527</v>
      </c>
      <c r="CJ191" s="5" t="s">
        <v>260</v>
      </c>
      <c r="CK191" s="5" t="s">
        <v>238</v>
      </c>
      <c r="CM191" s="5" t="s">
        <v>908</v>
      </c>
      <c r="CN191" s="6" t="s">
        <v>262</v>
      </c>
      <c r="CO191" s="5" t="s">
        <v>263</v>
      </c>
      <c r="CP191" s="5" t="s">
        <v>264</v>
      </c>
      <c r="CQ191" s="5" t="s">
        <v>285</v>
      </c>
      <c r="CR191" s="5" t="s">
        <v>238</v>
      </c>
      <c r="CS191" s="5">
        <v>0</v>
      </c>
      <c r="CT191" s="5" t="s">
        <v>265</v>
      </c>
      <c r="CU191" s="5" t="s">
        <v>266</v>
      </c>
      <c r="CV191" s="5" t="s">
        <v>267</v>
      </c>
      <c r="CW191" s="7">
        <f>0</f>
        <v>0</v>
      </c>
      <c r="CX191" s="8">
        <f>1738800</f>
        <v>1738800</v>
      </c>
      <c r="CY191" s="8">
        <f>1</f>
        <v>1</v>
      </c>
      <c r="DA191" s="5" t="s">
        <v>238</v>
      </c>
      <c r="DB191" s="5" t="s">
        <v>238</v>
      </c>
      <c r="DD191" s="5" t="s">
        <v>238</v>
      </c>
      <c r="DE191" s="8">
        <f>0</f>
        <v>0</v>
      </c>
      <c r="DG191" s="5" t="s">
        <v>238</v>
      </c>
      <c r="DH191" s="5" t="s">
        <v>238</v>
      </c>
      <c r="DI191" s="5" t="s">
        <v>238</v>
      </c>
      <c r="DJ191" s="5" t="s">
        <v>238</v>
      </c>
      <c r="DK191" s="5" t="s">
        <v>271</v>
      </c>
      <c r="DL191" s="5" t="s">
        <v>272</v>
      </c>
      <c r="DM191" s="7">
        <f>28.98</f>
        <v>28.98</v>
      </c>
      <c r="DN191" s="5" t="s">
        <v>238</v>
      </c>
      <c r="DO191" s="5" t="s">
        <v>238</v>
      </c>
      <c r="DP191" s="5" t="s">
        <v>238</v>
      </c>
      <c r="DQ191" s="5" t="s">
        <v>238</v>
      </c>
      <c r="DT191" s="5" t="s">
        <v>3343</v>
      </c>
      <c r="DU191" s="5" t="s">
        <v>271</v>
      </c>
      <c r="HM191" s="5" t="s">
        <v>271</v>
      </c>
      <c r="HP191" s="5" t="s">
        <v>272</v>
      </c>
      <c r="HQ191" s="5" t="s">
        <v>272</v>
      </c>
      <c r="HR191" s="5" t="s">
        <v>238</v>
      </c>
      <c r="HS191" s="5" t="s">
        <v>238</v>
      </c>
      <c r="HT191" s="5" t="s">
        <v>238</v>
      </c>
      <c r="HU191" s="5" t="s">
        <v>238</v>
      </c>
      <c r="HV191" s="5" t="s">
        <v>238</v>
      </c>
      <c r="HW191" s="5" t="s">
        <v>238</v>
      </c>
      <c r="HX191" s="5" t="s">
        <v>238</v>
      </c>
      <c r="HY191" s="5" t="s">
        <v>238</v>
      </c>
      <c r="HZ191" s="5" t="s">
        <v>238</v>
      </c>
      <c r="IA191" s="5" t="s">
        <v>238</v>
      </c>
      <c r="IB191" s="5" t="s">
        <v>238</v>
      </c>
      <c r="IC191" s="5" t="s">
        <v>238</v>
      </c>
      <c r="ID191" s="5" t="s">
        <v>238</v>
      </c>
    </row>
    <row r="192" spans="1:238" x14ac:dyDescent="0.4">
      <c r="A192" s="5">
        <v>206</v>
      </c>
      <c r="B192" s="5">
        <v>1</v>
      </c>
      <c r="C192" s="5">
        <v>2</v>
      </c>
      <c r="D192" s="5" t="s">
        <v>3337</v>
      </c>
      <c r="E192" s="5" t="s">
        <v>751</v>
      </c>
      <c r="F192" s="5" t="s">
        <v>282</v>
      </c>
      <c r="G192" s="5" t="s">
        <v>752</v>
      </c>
      <c r="H192" s="6" t="s">
        <v>3338</v>
      </c>
      <c r="I192" s="5" t="s">
        <v>3336</v>
      </c>
      <c r="J192" s="7">
        <f>19.87</f>
        <v>19.87</v>
      </c>
      <c r="K192" s="5" t="s">
        <v>270</v>
      </c>
      <c r="L192" s="8">
        <f>1</f>
        <v>1</v>
      </c>
      <c r="M192" s="8">
        <f>1192200</f>
        <v>1192200</v>
      </c>
      <c r="N192" s="6" t="s">
        <v>906</v>
      </c>
      <c r="O192" s="5" t="s">
        <v>268</v>
      </c>
      <c r="P192" s="5" t="s">
        <v>909</v>
      </c>
      <c r="R192" s="8">
        <f>1192199</f>
        <v>1192199</v>
      </c>
      <c r="S192" s="5" t="s">
        <v>240</v>
      </c>
      <c r="T192" s="5" t="s">
        <v>237</v>
      </c>
      <c r="W192" s="5" t="s">
        <v>241</v>
      </c>
      <c r="X192" s="5" t="s">
        <v>750</v>
      </c>
      <c r="Y192" s="5" t="s">
        <v>238</v>
      </c>
      <c r="AB192" s="5" t="s">
        <v>238</v>
      </c>
      <c r="AC192" s="6" t="s">
        <v>238</v>
      </c>
      <c r="AD192" s="6" t="s">
        <v>238</v>
      </c>
      <c r="AF192" s="6" t="s">
        <v>238</v>
      </c>
      <c r="AG192" s="6" t="s">
        <v>246</v>
      </c>
      <c r="AH192" s="5" t="s">
        <v>247</v>
      </c>
      <c r="AI192" s="5" t="s">
        <v>248</v>
      </c>
      <c r="AT192" s="6" t="s">
        <v>238</v>
      </c>
      <c r="AW192" s="5" t="s">
        <v>304</v>
      </c>
      <c r="AX192" s="5" t="s">
        <v>304</v>
      </c>
      <c r="AY192" s="5" t="s">
        <v>250</v>
      </c>
      <c r="AZ192" s="5" t="s">
        <v>305</v>
      </c>
      <c r="BA192" s="5" t="s">
        <v>251</v>
      </c>
      <c r="BB192" s="5" t="s">
        <v>238</v>
      </c>
      <c r="BC192" s="5" t="s">
        <v>253</v>
      </c>
      <c r="BD192" s="5" t="s">
        <v>238</v>
      </c>
      <c r="BF192" s="5" t="s">
        <v>760</v>
      </c>
      <c r="BH192" s="5" t="s">
        <v>283</v>
      </c>
      <c r="BI192" s="6" t="s">
        <v>293</v>
      </c>
      <c r="BJ192" s="5" t="s">
        <v>255</v>
      </c>
      <c r="BK192" s="5" t="s">
        <v>256</v>
      </c>
      <c r="BL192" s="5" t="s">
        <v>238</v>
      </c>
      <c r="BM192" s="7">
        <f>0</f>
        <v>0</v>
      </c>
      <c r="BN192" s="8">
        <f>0</f>
        <v>0</v>
      </c>
      <c r="BO192" s="5" t="s">
        <v>257</v>
      </c>
      <c r="BP192" s="5" t="s">
        <v>258</v>
      </c>
      <c r="BQ192" s="5" t="s">
        <v>238</v>
      </c>
      <c r="BR192" s="5" t="s">
        <v>238</v>
      </c>
      <c r="BS192" s="5" t="s">
        <v>238</v>
      </c>
      <c r="BT192" s="5" t="s">
        <v>238</v>
      </c>
      <c r="CC192" s="5" t="s">
        <v>258</v>
      </c>
      <c r="CD192" s="5" t="s">
        <v>238</v>
      </c>
      <c r="CE192" s="5" t="s">
        <v>238</v>
      </c>
      <c r="CI192" s="5" t="s">
        <v>527</v>
      </c>
      <c r="CJ192" s="5" t="s">
        <v>260</v>
      </c>
      <c r="CK192" s="5" t="s">
        <v>238</v>
      </c>
      <c r="CM192" s="5" t="s">
        <v>908</v>
      </c>
      <c r="CN192" s="6" t="s">
        <v>262</v>
      </c>
      <c r="CO192" s="5" t="s">
        <v>263</v>
      </c>
      <c r="CP192" s="5" t="s">
        <v>264</v>
      </c>
      <c r="CQ192" s="5" t="s">
        <v>285</v>
      </c>
      <c r="CR192" s="5" t="s">
        <v>238</v>
      </c>
      <c r="CS192" s="5">
        <v>0</v>
      </c>
      <c r="CT192" s="5" t="s">
        <v>265</v>
      </c>
      <c r="CU192" s="5" t="s">
        <v>266</v>
      </c>
      <c r="CV192" s="5" t="s">
        <v>267</v>
      </c>
      <c r="CW192" s="7">
        <f>0</f>
        <v>0</v>
      </c>
      <c r="CX192" s="8">
        <f>1192200</f>
        <v>1192200</v>
      </c>
      <c r="CY192" s="8">
        <f>1</f>
        <v>1</v>
      </c>
      <c r="DA192" s="5" t="s">
        <v>238</v>
      </c>
      <c r="DB192" s="5" t="s">
        <v>238</v>
      </c>
      <c r="DD192" s="5" t="s">
        <v>238</v>
      </c>
      <c r="DE192" s="8">
        <f>0</f>
        <v>0</v>
      </c>
      <c r="DG192" s="5" t="s">
        <v>238</v>
      </c>
      <c r="DH192" s="5" t="s">
        <v>238</v>
      </c>
      <c r="DI192" s="5" t="s">
        <v>238</v>
      </c>
      <c r="DJ192" s="5" t="s">
        <v>238</v>
      </c>
      <c r="DK192" s="5" t="s">
        <v>271</v>
      </c>
      <c r="DL192" s="5" t="s">
        <v>272</v>
      </c>
      <c r="DM192" s="7">
        <f>19.87</f>
        <v>19.87</v>
      </c>
      <c r="DN192" s="5" t="s">
        <v>238</v>
      </c>
      <c r="DO192" s="5" t="s">
        <v>238</v>
      </c>
      <c r="DP192" s="5" t="s">
        <v>238</v>
      </c>
      <c r="DQ192" s="5" t="s">
        <v>238</v>
      </c>
      <c r="DT192" s="5" t="s">
        <v>3339</v>
      </c>
      <c r="DU192" s="5" t="s">
        <v>271</v>
      </c>
      <c r="HM192" s="5" t="s">
        <v>271</v>
      </c>
      <c r="HP192" s="5" t="s">
        <v>272</v>
      </c>
      <c r="HQ192" s="5" t="s">
        <v>272</v>
      </c>
      <c r="HR192" s="5" t="s">
        <v>238</v>
      </c>
      <c r="HS192" s="5" t="s">
        <v>238</v>
      </c>
      <c r="HT192" s="5" t="s">
        <v>238</v>
      </c>
      <c r="HU192" s="5" t="s">
        <v>238</v>
      </c>
      <c r="HV192" s="5" t="s">
        <v>238</v>
      </c>
      <c r="HW192" s="5" t="s">
        <v>238</v>
      </c>
      <c r="HX192" s="5" t="s">
        <v>238</v>
      </c>
      <c r="HY192" s="5" t="s">
        <v>238</v>
      </c>
      <c r="HZ192" s="5" t="s">
        <v>238</v>
      </c>
      <c r="IA192" s="5" t="s">
        <v>238</v>
      </c>
      <c r="IB192" s="5" t="s">
        <v>238</v>
      </c>
      <c r="IC192" s="5" t="s">
        <v>238</v>
      </c>
      <c r="ID192" s="5" t="s">
        <v>238</v>
      </c>
    </row>
    <row r="193" spans="1:238" x14ac:dyDescent="0.4">
      <c r="A193" s="5">
        <v>207</v>
      </c>
      <c r="B193" s="5">
        <v>1</v>
      </c>
      <c r="C193" s="5">
        <v>3</v>
      </c>
      <c r="D193" s="5" t="s">
        <v>4057</v>
      </c>
      <c r="E193" s="5" t="s">
        <v>751</v>
      </c>
      <c r="F193" s="5" t="s">
        <v>282</v>
      </c>
      <c r="G193" s="5" t="s">
        <v>752</v>
      </c>
      <c r="H193" s="6" t="s">
        <v>4058</v>
      </c>
      <c r="I193" s="5" t="s">
        <v>1101</v>
      </c>
      <c r="J193" s="7">
        <f>19.87</f>
        <v>19.87</v>
      </c>
      <c r="K193" s="5" t="s">
        <v>270</v>
      </c>
      <c r="L193" s="8">
        <f>1</f>
        <v>1</v>
      </c>
      <c r="M193" s="8">
        <f>1192200</f>
        <v>1192200</v>
      </c>
      <c r="N193" s="6" t="s">
        <v>906</v>
      </c>
      <c r="O193" s="5" t="s">
        <v>268</v>
      </c>
      <c r="P193" s="5" t="s">
        <v>909</v>
      </c>
      <c r="Q193" s="8" t="s">
        <v>238</v>
      </c>
      <c r="R193" s="8">
        <f>1192199</f>
        <v>1192199</v>
      </c>
      <c r="S193" s="5" t="s">
        <v>240</v>
      </c>
      <c r="T193" s="5" t="s">
        <v>237</v>
      </c>
      <c r="W193" s="5" t="s">
        <v>241</v>
      </c>
      <c r="X193" s="5" t="s">
        <v>750</v>
      </c>
      <c r="Y193" s="5" t="s">
        <v>238</v>
      </c>
      <c r="AB193" s="5" t="s">
        <v>238</v>
      </c>
      <c r="AC193" s="6" t="s">
        <v>238</v>
      </c>
      <c r="AD193" s="6" t="s">
        <v>238</v>
      </c>
      <c r="AE193" s="5" t="s">
        <v>238</v>
      </c>
      <c r="AF193" s="6" t="s">
        <v>238</v>
      </c>
      <c r="AG193" s="6" t="s">
        <v>246</v>
      </c>
      <c r="AH193" s="5" t="s">
        <v>247</v>
      </c>
      <c r="AI193" s="5" t="s">
        <v>248</v>
      </c>
      <c r="AO193" s="5" t="s">
        <v>238</v>
      </c>
      <c r="AP193" s="5" t="s">
        <v>238</v>
      </c>
      <c r="AQ193" s="5" t="s">
        <v>238</v>
      </c>
      <c r="AR193" s="6" t="s">
        <v>238</v>
      </c>
      <c r="AS193" s="6" t="s">
        <v>238</v>
      </c>
      <c r="AT193" s="6" t="s">
        <v>238</v>
      </c>
      <c r="AW193" s="5" t="s">
        <v>304</v>
      </c>
      <c r="AX193" s="5" t="s">
        <v>304</v>
      </c>
      <c r="AY193" s="5" t="s">
        <v>250</v>
      </c>
      <c r="AZ193" s="5" t="s">
        <v>305</v>
      </c>
      <c r="BA193" s="5" t="s">
        <v>251</v>
      </c>
      <c r="BB193" s="5" t="s">
        <v>238</v>
      </c>
      <c r="BC193" s="5" t="s">
        <v>253</v>
      </c>
      <c r="BD193" s="5" t="s">
        <v>3170</v>
      </c>
      <c r="BF193" s="5" t="s">
        <v>760</v>
      </c>
      <c r="BH193" s="5" t="s">
        <v>283</v>
      </c>
      <c r="BI193" s="6" t="s">
        <v>293</v>
      </c>
      <c r="BJ193" s="5" t="s">
        <v>255</v>
      </c>
      <c r="BK193" s="5" t="s">
        <v>870</v>
      </c>
      <c r="BL193" s="5" t="s">
        <v>238</v>
      </c>
      <c r="BM193" s="7">
        <f>0</f>
        <v>0</v>
      </c>
      <c r="BN193" s="8">
        <f>0</f>
        <v>0</v>
      </c>
      <c r="BO193" s="5" t="s">
        <v>257</v>
      </c>
      <c r="BP193" s="5" t="s">
        <v>258</v>
      </c>
      <c r="BQ193" s="5" t="s">
        <v>238</v>
      </c>
      <c r="BR193" s="5" t="s">
        <v>238</v>
      </c>
      <c r="BS193" s="5" t="s">
        <v>238</v>
      </c>
      <c r="BT193" s="5" t="s">
        <v>238</v>
      </c>
      <c r="BY193" s="6" t="s">
        <v>238</v>
      </c>
      <c r="BZ193" s="5" t="s">
        <v>238</v>
      </c>
      <c r="CA193" s="5" t="s">
        <v>238</v>
      </c>
      <c r="CB193" s="5" t="s">
        <v>238</v>
      </c>
      <c r="CC193" s="5" t="s">
        <v>258</v>
      </c>
      <c r="CD193" s="5" t="s">
        <v>238</v>
      </c>
      <c r="CE193" s="5" t="s">
        <v>238</v>
      </c>
      <c r="CI193" s="5" t="s">
        <v>527</v>
      </c>
      <c r="CJ193" s="5" t="s">
        <v>260</v>
      </c>
      <c r="CK193" s="5" t="s">
        <v>272</v>
      </c>
      <c r="CM193" s="5" t="s">
        <v>908</v>
      </c>
      <c r="CN193" s="6" t="s">
        <v>262</v>
      </c>
      <c r="CO193" s="5" t="s">
        <v>263</v>
      </c>
      <c r="CP193" s="5" t="s">
        <v>264</v>
      </c>
      <c r="CQ193" s="5" t="s">
        <v>285</v>
      </c>
      <c r="CR193" s="5" t="s">
        <v>238</v>
      </c>
      <c r="CS193" s="5">
        <v>0</v>
      </c>
      <c r="CT193" s="5" t="s">
        <v>265</v>
      </c>
      <c r="CU193" s="5" t="s">
        <v>266</v>
      </c>
      <c r="CV193" s="5" t="s">
        <v>267</v>
      </c>
      <c r="CW193" s="7">
        <f>0</f>
        <v>0</v>
      </c>
      <c r="CX193" s="8">
        <f>1192200</f>
        <v>1192200</v>
      </c>
      <c r="CY193" s="8">
        <f>1</f>
        <v>1</v>
      </c>
      <c r="CZ193" s="8" t="s">
        <v>238</v>
      </c>
      <c r="DA193" s="5" t="s">
        <v>238</v>
      </c>
      <c r="DB193" s="5" t="s">
        <v>238</v>
      </c>
      <c r="DD193" s="5" t="s">
        <v>238</v>
      </c>
      <c r="DE193" s="8">
        <f>0</f>
        <v>0</v>
      </c>
      <c r="DF193" s="6" t="s">
        <v>238</v>
      </c>
      <c r="DG193" s="5" t="s">
        <v>238</v>
      </c>
      <c r="DH193" s="5" t="s">
        <v>238</v>
      </c>
      <c r="DI193" s="5" t="s">
        <v>238</v>
      </c>
      <c r="DJ193" s="5" t="s">
        <v>238</v>
      </c>
      <c r="DK193" s="5" t="s">
        <v>271</v>
      </c>
      <c r="DL193" s="5" t="s">
        <v>272</v>
      </c>
      <c r="DM193" s="7">
        <f>19.87</f>
        <v>19.87</v>
      </c>
      <c r="DN193" s="5" t="s">
        <v>238</v>
      </c>
      <c r="DO193" s="5" t="s">
        <v>247</v>
      </c>
      <c r="DP193" s="5" t="s">
        <v>3170</v>
      </c>
      <c r="DQ193" s="5" t="s">
        <v>3170</v>
      </c>
      <c r="DR193" s="5" t="s">
        <v>238</v>
      </c>
      <c r="DS193" s="5" t="s">
        <v>238</v>
      </c>
      <c r="DT193" s="5" t="s">
        <v>4059</v>
      </c>
      <c r="DU193" s="5" t="s">
        <v>271</v>
      </c>
      <c r="HP193" s="5" t="s">
        <v>272</v>
      </c>
      <c r="HQ193" s="5" t="s">
        <v>272</v>
      </c>
      <c r="HR193" s="5" t="s">
        <v>238</v>
      </c>
      <c r="HS193" s="5" t="s">
        <v>238</v>
      </c>
      <c r="HT193" s="5" t="s">
        <v>238</v>
      </c>
      <c r="HU193" s="5" t="s">
        <v>238</v>
      </c>
      <c r="HV193" s="5" t="s">
        <v>238</v>
      </c>
      <c r="HW193" s="5" t="s">
        <v>238</v>
      </c>
      <c r="HX193" s="5" t="s">
        <v>238</v>
      </c>
      <c r="HY193" s="5" t="s">
        <v>238</v>
      </c>
      <c r="HZ193" s="5" t="s">
        <v>238</v>
      </c>
      <c r="IA193" s="5" t="s">
        <v>238</v>
      </c>
      <c r="IB193" s="5" t="s">
        <v>238</v>
      </c>
      <c r="IC193" s="5" t="s">
        <v>238</v>
      </c>
      <c r="ID193" s="5" t="s">
        <v>238</v>
      </c>
    </row>
    <row r="194" spans="1:238" x14ac:dyDescent="0.4">
      <c r="A194" s="5">
        <v>208</v>
      </c>
      <c r="B194" s="5">
        <v>1</v>
      </c>
      <c r="C194" s="5">
        <v>2</v>
      </c>
      <c r="D194" s="5" t="s">
        <v>3333</v>
      </c>
      <c r="E194" s="5" t="s">
        <v>751</v>
      </c>
      <c r="F194" s="5" t="s">
        <v>282</v>
      </c>
      <c r="G194" s="5" t="s">
        <v>752</v>
      </c>
      <c r="H194" s="6" t="s">
        <v>3334</v>
      </c>
      <c r="I194" s="5" t="s">
        <v>3332</v>
      </c>
      <c r="J194" s="7">
        <f>19.87</f>
        <v>19.87</v>
      </c>
      <c r="K194" s="5" t="s">
        <v>270</v>
      </c>
      <c r="L194" s="8">
        <f>1</f>
        <v>1</v>
      </c>
      <c r="M194" s="8">
        <f>1192200</f>
        <v>1192200</v>
      </c>
      <c r="N194" s="6" t="s">
        <v>906</v>
      </c>
      <c r="O194" s="5" t="s">
        <v>268</v>
      </c>
      <c r="P194" s="5" t="s">
        <v>909</v>
      </c>
      <c r="R194" s="8">
        <f>1192199</f>
        <v>1192199</v>
      </c>
      <c r="S194" s="5" t="s">
        <v>240</v>
      </c>
      <c r="T194" s="5" t="s">
        <v>237</v>
      </c>
      <c r="W194" s="5" t="s">
        <v>241</v>
      </c>
      <c r="X194" s="5" t="s">
        <v>750</v>
      </c>
      <c r="Y194" s="5" t="s">
        <v>238</v>
      </c>
      <c r="AB194" s="5" t="s">
        <v>238</v>
      </c>
      <c r="AC194" s="6" t="s">
        <v>238</v>
      </c>
      <c r="AD194" s="6" t="s">
        <v>238</v>
      </c>
      <c r="AF194" s="6" t="s">
        <v>238</v>
      </c>
      <c r="AG194" s="6" t="s">
        <v>246</v>
      </c>
      <c r="AH194" s="5" t="s">
        <v>247</v>
      </c>
      <c r="AI194" s="5" t="s">
        <v>248</v>
      </c>
      <c r="AT194" s="6" t="s">
        <v>238</v>
      </c>
      <c r="AW194" s="5" t="s">
        <v>304</v>
      </c>
      <c r="AX194" s="5" t="s">
        <v>304</v>
      </c>
      <c r="AY194" s="5" t="s">
        <v>250</v>
      </c>
      <c r="AZ194" s="5" t="s">
        <v>305</v>
      </c>
      <c r="BA194" s="5" t="s">
        <v>251</v>
      </c>
      <c r="BB194" s="5" t="s">
        <v>238</v>
      </c>
      <c r="BC194" s="5" t="s">
        <v>253</v>
      </c>
      <c r="BD194" s="5" t="s">
        <v>238</v>
      </c>
      <c r="BF194" s="5" t="s">
        <v>760</v>
      </c>
      <c r="BH194" s="5" t="s">
        <v>283</v>
      </c>
      <c r="BI194" s="6" t="s">
        <v>293</v>
      </c>
      <c r="BJ194" s="5" t="s">
        <v>255</v>
      </c>
      <c r="BK194" s="5" t="s">
        <v>256</v>
      </c>
      <c r="BL194" s="5" t="s">
        <v>238</v>
      </c>
      <c r="BM194" s="7">
        <f>0</f>
        <v>0</v>
      </c>
      <c r="BN194" s="8">
        <f>0</f>
        <v>0</v>
      </c>
      <c r="BO194" s="5" t="s">
        <v>257</v>
      </c>
      <c r="BP194" s="5" t="s">
        <v>258</v>
      </c>
      <c r="BQ194" s="5" t="s">
        <v>238</v>
      </c>
      <c r="BR194" s="5" t="s">
        <v>238</v>
      </c>
      <c r="BS194" s="5" t="s">
        <v>238</v>
      </c>
      <c r="BT194" s="5" t="s">
        <v>238</v>
      </c>
      <c r="CC194" s="5" t="s">
        <v>258</v>
      </c>
      <c r="CD194" s="5" t="s">
        <v>238</v>
      </c>
      <c r="CE194" s="5" t="s">
        <v>238</v>
      </c>
      <c r="CI194" s="5" t="s">
        <v>527</v>
      </c>
      <c r="CJ194" s="5" t="s">
        <v>260</v>
      </c>
      <c r="CK194" s="5" t="s">
        <v>238</v>
      </c>
      <c r="CM194" s="5" t="s">
        <v>908</v>
      </c>
      <c r="CN194" s="6" t="s">
        <v>262</v>
      </c>
      <c r="CO194" s="5" t="s">
        <v>263</v>
      </c>
      <c r="CP194" s="5" t="s">
        <v>264</v>
      </c>
      <c r="CQ194" s="5" t="s">
        <v>285</v>
      </c>
      <c r="CR194" s="5" t="s">
        <v>238</v>
      </c>
      <c r="CS194" s="5">
        <v>0</v>
      </c>
      <c r="CT194" s="5" t="s">
        <v>265</v>
      </c>
      <c r="CU194" s="5" t="s">
        <v>266</v>
      </c>
      <c r="CV194" s="5" t="s">
        <v>267</v>
      </c>
      <c r="CW194" s="7">
        <f>0</f>
        <v>0</v>
      </c>
      <c r="CX194" s="8">
        <f>1192200</f>
        <v>1192200</v>
      </c>
      <c r="CY194" s="8">
        <f>1</f>
        <v>1</v>
      </c>
      <c r="DA194" s="5" t="s">
        <v>238</v>
      </c>
      <c r="DB194" s="5" t="s">
        <v>238</v>
      </c>
      <c r="DD194" s="5" t="s">
        <v>238</v>
      </c>
      <c r="DE194" s="8">
        <f>0</f>
        <v>0</v>
      </c>
      <c r="DG194" s="5" t="s">
        <v>238</v>
      </c>
      <c r="DH194" s="5" t="s">
        <v>238</v>
      </c>
      <c r="DI194" s="5" t="s">
        <v>238</v>
      </c>
      <c r="DJ194" s="5" t="s">
        <v>238</v>
      </c>
      <c r="DK194" s="5" t="s">
        <v>271</v>
      </c>
      <c r="DL194" s="5" t="s">
        <v>272</v>
      </c>
      <c r="DM194" s="7">
        <f>19.87</f>
        <v>19.87</v>
      </c>
      <c r="DN194" s="5" t="s">
        <v>238</v>
      </c>
      <c r="DO194" s="5" t="s">
        <v>238</v>
      </c>
      <c r="DP194" s="5" t="s">
        <v>238</v>
      </c>
      <c r="DQ194" s="5" t="s">
        <v>238</v>
      </c>
      <c r="DT194" s="5" t="s">
        <v>3335</v>
      </c>
      <c r="DU194" s="5" t="s">
        <v>271</v>
      </c>
      <c r="HM194" s="5" t="s">
        <v>271</v>
      </c>
      <c r="HP194" s="5" t="s">
        <v>272</v>
      </c>
      <c r="HQ194" s="5" t="s">
        <v>272</v>
      </c>
      <c r="HR194" s="5" t="s">
        <v>238</v>
      </c>
      <c r="HS194" s="5" t="s">
        <v>238</v>
      </c>
      <c r="HT194" s="5" t="s">
        <v>238</v>
      </c>
      <c r="HU194" s="5" t="s">
        <v>238</v>
      </c>
      <c r="HV194" s="5" t="s">
        <v>238</v>
      </c>
      <c r="HW194" s="5" t="s">
        <v>238</v>
      </c>
      <c r="HX194" s="5" t="s">
        <v>238</v>
      </c>
      <c r="HY194" s="5" t="s">
        <v>238</v>
      </c>
      <c r="HZ194" s="5" t="s">
        <v>238</v>
      </c>
      <c r="IA194" s="5" t="s">
        <v>238</v>
      </c>
      <c r="IB194" s="5" t="s">
        <v>238</v>
      </c>
      <c r="IC194" s="5" t="s">
        <v>238</v>
      </c>
      <c r="ID194" s="5" t="s">
        <v>238</v>
      </c>
    </row>
    <row r="195" spans="1:238" x14ac:dyDescent="0.4">
      <c r="A195" s="5">
        <v>209</v>
      </c>
      <c r="B195" s="5">
        <v>1</v>
      </c>
      <c r="C195" s="5">
        <v>2</v>
      </c>
      <c r="D195" s="5" t="s">
        <v>3329</v>
      </c>
      <c r="E195" s="5" t="s">
        <v>751</v>
      </c>
      <c r="F195" s="5" t="s">
        <v>282</v>
      </c>
      <c r="G195" s="5" t="s">
        <v>752</v>
      </c>
      <c r="H195" s="6" t="s">
        <v>3330</v>
      </c>
      <c r="I195" s="5" t="s">
        <v>3328</v>
      </c>
      <c r="J195" s="7">
        <f>11.34</f>
        <v>11.34</v>
      </c>
      <c r="K195" s="5" t="s">
        <v>270</v>
      </c>
      <c r="L195" s="8">
        <f>1</f>
        <v>1</v>
      </c>
      <c r="M195" s="8">
        <f>793800</f>
        <v>793800</v>
      </c>
      <c r="N195" s="6" t="s">
        <v>906</v>
      </c>
      <c r="O195" s="5" t="s">
        <v>755</v>
      </c>
      <c r="P195" s="5" t="s">
        <v>909</v>
      </c>
      <c r="R195" s="8">
        <f>793799</f>
        <v>793799</v>
      </c>
      <c r="S195" s="5" t="s">
        <v>240</v>
      </c>
      <c r="T195" s="5" t="s">
        <v>237</v>
      </c>
      <c r="W195" s="5" t="s">
        <v>241</v>
      </c>
      <c r="X195" s="5" t="s">
        <v>750</v>
      </c>
      <c r="Y195" s="5" t="s">
        <v>238</v>
      </c>
      <c r="AB195" s="5" t="s">
        <v>238</v>
      </c>
      <c r="AC195" s="6" t="s">
        <v>238</v>
      </c>
      <c r="AD195" s="6" t="s">
        <v>238</v>
      </c>
      <c r="AF195" s="6" t="s">
        <v>238</v>
      </c>
      <c r="AG195" s="6" t="s">
        <v>246</v>
      </c>
      <c r="AH195" s="5" t="s">
        <v>247</v>
      </c>
      <c r="AI195" s="5" t="s">
        <v>248</v>
      </c>
      <c r="AT195" s="6" t="s">
        <v>238</v>
      </c>
      <c r="AW195" s="5" t="s">
        <v>304</v>
      </c>
      <c r="AX195" s="5" t="s">
        <v>304</v>
      </c>
      <c r="AY195" s="5" t="s">
        <v>250</v>
      </c>
      <c r="AZ195" s="5" t="s">
        <v>305</v>
      </c>
      <c r="BA195" s="5" t="s">
        <v>251</v>
      </c>
      <c r="BB195" s="5" t="s">
        <v>238</v>
      </c>
      <c r="BC195" s="5" t="s">
        <v>253</v>
      </c>
      <c r="BD195" s="5" t="s">
        <v>238</v>
      </c>
      <c r="BF195" s="5" t="s">
        <v>760</v>
      </c>
      <c r="BH195" s="5" t="s">
        <v>283</v>
      </c>
      <c r="BI195" s="6" t="s">
        <v>293</v>
      </c>
      <c r="BJ195" s="5" t="s">
        <v>255</v>
      </c>
      <c r="BK195" s="5" t="s">
        <v>256</v>
      </c>
      <c r="BL195" s="5" t="s">
        <v>238</v>
      </c>
      <c r="BM195" s="7">
        <f>0</f>
        <v>0</v>
      </c>
      <c r="BN195" s="8">
        <f>0</f>
        <v>0</v>
      </c>
      <c r="BO195" s="5" t="s">
        <v>257</v>
      </c>
      <c r="BP195" s="5" t="s">
        <v>258</v>
      </c>
      <c r="BQ195" s="5" t="s">
        <v>238</v>
      </c>
      <c r="BR195" s="5" t="s">
        <v>238</v>
      </c>
      <c r="BS195" s="5" t="s">
        <v>238</v>
      </c>
      <c r="BT195" s="5" t="s">
        <v>238</v>
      </c>
      <c r="CC195" s="5" t="s">
        <v>258</v>
      </c>
      <c r="CD195" s="5" t="s">
        <v>238</v>
      </c>
      <c r="CE195" s="5" t="s">
        <v>238</v>
      </c>
      <c r="CI195" s="5" t="s">
        <v>527</v>
      </c>
      <c r="CJ195" s="5" t="s">
        <v>260</v>
      </c>
      <c r="CK195" s="5" t="s">
        <v>238</v>
      </c>
      <c r="CM195" s="5" t="s">
        <v>908</v>
      </c>
      <c r="CN195" s="6" t="s">
        <v>262</v>
      </c>
      <c r="CO195" s="5" t="s">
        <v>263</v>
      </c>
      <c r="CP195" s="5" t="s">
        <v>264</v>
      </c>
      <c r="CQ195" s="5" t="s">
        <v>285</v>
      </c>
      <c r="CR195" s="5" t="s">
        <v>238</v>
      </c>
      <c r="CS195" s="5">
        <v>0</v>
      </c>
      <c r="CT195" s="5" t="s">
        <v>265</v>
      </c>
      <c r="CU195" s="5" t="s">
        <v>266</v>
      </c>
      <c r="CV195" s="5" t="s">
        <v>754</v>
      </c>
      <c r="CW195" s="7">
        <f>0</f>
        <v>0</v>
      </c>
      <c r="CX195" s="8">
        <f>793800</f>
        <v>793800</v>
      </c>
      <c r="CY195" s="8">
        <f>1</f>
        <v>1</v>
      </c>
      <c r="DA195" s="5" t="s">
        <v>238</v>
      </c>
      <c r="DB195" s="5" t="s">
        <v>238</v>
      </c>
      <c r="DD195" s="5" t="s">
        <v>238</v>
      </c>
      <c r="DE195" s="8">
        <f>0</f>
        <v>0</v>
      </c>
      <c r="DG195" s="5" t="s">
        <v>238</v>
      </c>
      <c r="DH195" s="5" t="s">
        <v>238</v>
      </c>
      <c r="DI195" s="5" t="s">
        <v>238</v>
      </c>
      <c r="DJ195" s="5" t="s">
        <v>238</v>
      </c>
      <c r="DK195" s="5" t="s">
        <v>271</v>
      </c>
      <c r="DL195" s="5" t="s">
        <v>272</v>
      </c>
      <c r="DM195" s="7">
        <f>11.34</f>
        <v>11.34</v>
      </c>
      <c r="DN195" s="5" t="s">
        <v>238</v>
      </c>
      <c r="DO195" s="5" t="s">
        <v>238</v>
      </c>
      <c r="DP195" s="5" t="s">
        <v>238</v>
      </c>
      <c r="DQ195" s="5" t="s">
        <v>238</v>
      </c>
      <c r="DT195" s="5" t="s">
        <v>3331</v>
      </c>
      <c r="DU195" s="5" t="s">
        <v>271</v>
      </c>
      <c r="HM195" s="5" t="s">
        <v>271</v>
      </c>
      <c r="HP195" s="5" t="s">
        <v>272</v>
      </c>
      <c r="HQ195" s="5" t="s">
        <v>272</v>
      </c>
      <c r="HR195" s="5" t="s">
        <v>238</v>
      </c>
      <c r="HS195" s="5" t="s">
        <v>238</v>
      </c>
      <c r="HT195" s="5" t="s">
        <v>238</v>
      </c>
      <c r="HU195" s="5" t="s">
        <v>238</v>
      </c>
      <c r="HV195" s="5" t="s">
        <v>238</v>
      </c>
      <c r="HW195" s="5" t="s">
        <v>238</v>
      </c>
      <c r="HX195" s="5" t="s">
        <v>238</v>
      </c>
      <c r="HY195" s="5" t="s">
        <v>238</v>
      </c>
      <c r="HZ195" s="5" t="s">
        <v>238</v>
      </c>
      <c r="IA195" s="5" t="s">
        <v>238</v>
      </c>
      <c r="IB195" s="5" t="s">
        <v>238</v>
      </c>
      <c r="IC195" s="5" t="s">
        <v>238</v>
      </c>
      <c r="ID195" s="5" t="s">
        <v>238</v>
      </c>
    </row>
    <row r="196" spans="1:238" x14ac:dyDescent="0.4">
      <c r="A196" s="5">
        <v>210</v>
      </c>
      <c r="B196" s="5">
        <v>1</v>
      </c>
      <c r="C196" s="5">
        <v>3</v>
      </c>
      <c r="D196" s="5" t="s">
        <v>4055</v>
      </c>
      <c r="E196" s="5" t="s">
        <v>751</v>
      </c>
      <c r="F196" s="5" t="s">
        <v>282</v>
      </c>
      <c r="G196" s="5" t="s">
        <v>752</v>
      </c>
      <c r="H196" s="6" t="s">
        <v>512</v>
      </c>
      <c r="I196" s="5" t="s">
        <v>4054</v>
      </c>
      <c r="J196" s="7">
        <f>31.06</f>
        <v>31.06</v>
      </c>
      <c r="K196" s="5" t="s">
        <v>270</v>
      </c>
      <c r="L196" s="8">
        <f>1</f>
        <v>1</v>
      </c>
      <c r="M196" s="8">
        <f>1863600</f>
        <v>1863600</v>
      </c>
      <c r="N196" s="6" t="s">
        <v>906</v>
      </c>
      <c r="O196" s="5" t="s">
        <v>651</v>
      </c>
      <c r="P196" s="5" t="s">
        <v>909</v>
      </c>
      <c r="Q196" s="8" t="s">
        <v>238</v>
      </c>
      <c r="R196" s="8">
        <f>1863599</f>
        <v>1863599</v>
      </c>
      <c r="S196" s="5" t="s">
        <v>240</v>
      </c>
      <c r="T196" s="5" t="s">
        <v>237</v>
      </c>
      <c r="W196" s="5" t="s">
        <v>241</v>
      </c>
      <c r="X196" s="5" t="s">
        <v>750</v>
      </c>
      <c r="Y196" s="5" t="s">
        <v>238</v>
      </c>
      <c r="AB196" s="5" t="s">
        <v>238</v>
      </c>
      <c r="AC196" s="6" t="s">
        <v>238</v>
      </c>
      <c r="AD196" s="6" t="s">
        <v>238</v>
      </c>
      <c r="AE196" s="5" t="s">
        <v>238</v>
      </c>
      <c r="AF196" s="6" t="s">
        <v>238</v>
      </c>
      <c r="AG196" s="6" t="s">
        <v>246</v>
      </c>
      <c r="AH196" s="5" t="s">
        <v>247</v>
      </c>
      <c r="AI196" s="5" t="s">
        <v>248</v>
      </c>
      <c r="AO196" s="5" t="s">
        <v>238</v>
      </c>
      <c r="AP196" s="5" t="s">
        <v>238</v>
      </c>
      <c r="AQ196" s="5" t="s">
        <v>238</v>
      </c>
      <c r="AR196" s="6" t="s">
        <v>238</v>
      </c>
      <c r="AS196" s="6" t="s">
        <v>238</v>
      </c>
      <c r="AT196" s="6" t="s">
        <v>238</v>
      </c>
      <c r="AW196" s="5" t="s">
        <v>304</v>
      </c>
      <c r="AX196" s="5" t="s">
        <v>304</v>
      </c>
      <c r="AY196" s="5" t="s">
        <v>250</v>
      </c>
      <c r="AZ196" s="5" t="s">
        <v>305</v>
      </c>
      <c r="BA196" s="5" t="s">
        <v>251</v>
      </c>
      <c r="BB196" s="5" t="s">
        <v>238</v>
      </c>
      <c r="BC196" s="5" t="s">
        <v>253</v>
      </c>
      <c r="BD196" s="5" t="s">
        <v>3170</v>
      </c>
      <c r="BF196" s="5" t="s">
        <v>760</v>
      </c>
      <c r="BH196" s="5" t="s">
        <v>283</v>
      </c>
      <c r="BI196" s="6" t="s">
        <v>293</v>
      </c>
      <c r="BJ196" s="5" t="s">
        <v>255</v>
      </c>
      <c r="BK196" s="5" t="s">
        <v>870</v>
      </c>
      <c r="BL196" s="5" t="s">
        <v>238</v>
      </c>
      <c r="BM196" s="7">
        <f>0</f>
        <v>0</v>
      </c>
      <c r="BN196" s="8">
        <f>0</f>
        <v>0</v>
      </c>
      <c r="BO196" s="5" t="s">
        <v>257</v>
      </c>
      <c r="BP196" s="5" t="s">
        <v>258</v>
      </c>
      <c r="BQ196" s="5" t="s">
        <v>238</v>
      </c>
      <c r="BR196" s="5" t="s">
        <v>238</v>
      </c>
      <c r="BS196" s="5" t="s">
        <v>238</v>
      </c>
      <c r="BT196" s="5" t="s">
        <v>238</v>
      </c>
      <c r="BY196" s="6" t="s">
        <v>238</v>
      </c>
      <c r="BZ196" s="5" t="s">
        <v>238</v>
      </c>
      <c r="CA196" s="5" t="s">
        <v>238</v>
      </c>
      <c r="CB196" s="5" t="s">
        <v>238</v>
      </c>
      <c r="CC196" s="5" t="s">
        <v>258</v>
      </c>
      <c r="CD196" s="5" t="s">
        <v>238</v>
      </c>
      <c r="CE196" s="5" t="s">
        <v>238</v>
      </c>
      <c r="CI196" s="5" t="s">
        <v>527</v>
      </c>
      <c r="CJ196" s="5" t="s">
        <v>260</v>
      </c>
      <c r="CK196" s="5" t="s">
        <v>272</v>
      </c>
      <c r="CM196" s="5" t="s">
        <v>908</v>
      </c>
      <c r="CN196" s="6" t="s">
        <v>262</v>
      </c>
      <c r="CO196" s="5" t="s">
        <v>263</v>
      </c>
      <c r="CP196" s="5" t="s">
        <v>264</v>
      </c>
      <c r="CQ196" s="5" t="s">
        <v>285</v>
      </c>
      <c r="CR196" s="5" t="s">
        <v>238</v>
      </c>
      <c r="CS196" s="5">
        <v>0</v>
      </c>
      <c r="CT196" s="5" t="s">
        <v>265</v>
      </c>
      <c r="CU196" s="5" t="s">
        <v>266</v>
      </c>
      <c r="CV196" s="5" t="s">
        <v>331</v>
      </c>
      <c r="CW196" s="7">
        <f>0</f>
        <v>0</v>
      </c>
      <c r="CX196" s="8">
        <f>1863600</f>
        <v>1863600</v>
      </c>
      <c r="CY196" s="8">
        <f>1</f>
        <v>1</v>
      </c>
      <c r="CZ196" s="8" t="s">
        <v>238</v>
      </c>
      <c r="DA196" s="5" t="s">
        <v>238</v>
      </c>
      <c r="DB196" s="5" t="s">
        <v>238</v>
      </c>
      <c r="DD196" s="5" t="s">
        <v>238</v>
      </c>
      <c r="DE196" s="8">
        <f>0</f>
        <v>0</v>
      </c>
      <c r="DF196" s="6" t="s">
        <v>238</v>
      </c>
      <c r="DG196" s="5" t="s">
        <v>238</v>
      </c>
      <c r="DH196" s="5" t="s">
        <v>238</v>
      </c>
      <c r="DI196" s="5" t="s">
        <v>238</v>
      </c>
      <c r="DJ196" s="5" t="s">
        <v>238</v>
      </c>
      <c r="DK196" s="5" t="s">
        <v>271</v>
      </c>
      <c r="DL196" s="5" t="s">
        <v>272</v>
      </c>
      <c r="DM196" s="7">
        <f>31.06</f>
        <v>31.06</v>
      </c>
      <c r="DN196" s="5" t="s">
        <v>238</v>
      </c>
      <c r="DO196" s="5" t="s">
        <v>247</v>
      </c>
      <c r="DP196" s="5" t="s">
        <v>3170</v>
      </c>
      <c r="DQ196" s="5" t="s">
        <v>3170</v>
      </c>
      <c r="DR196" s="5" t="s">
        <v>238</v>
      </c>
      <c r="DS196" s="5" t="s">
        <v>238</v>
      </c>
      <c r="DT196" s="5" t="s">
        <v>4056</v>
      </c>
      <c r="DU196" s="5" t="s">
        <v>271</v>
      </c>
      <c r="HP196" s="5" t="s">
        <v>272</v>
      </c>
      <c r="HQ196" s="5" t="s">
        <v>272</v>
      </c>
      <c r="HR196" s="5" t="s">
        <v>238</v>
      </c>
      <c r="HS196" s="5" t="s">
        <v>238</v>
      </c>
      <c r="HT196" s="5" t="s">
        <v>238</v>
      </c>
      <c r="HU196" s="5" t="s">
        <v>238</v>
      </c>
      <c r="HV196" s="5" t="s">
        <v>238</v>
      </c>
      <c r="HW196" s="5" t="s">
        <v>238</v>
      </c>
      <c r="HX196" s="5" t="s">
        <v>238</v>
      </c>
      <c r="HY196" s="5" t="s">
        <v>238</v>
      </c>
      <c r="HZ196" s="5" t="s">
        <v>238</v>
      </c>
      <c r="IA196" s="5" t="s">
        <v>238</v>
      </c>
      <c r="IB196" s="5" t="s">
        <v>238</v>
      </c>
      <c r="IC196" s="5" t="s">
        <v>238</v>
      </c>
      <c r="ID196" s="5" t="s">
        <v>238</v>
      </c>
    </row>
    <row r="197" spans="1:238" x14ac:dyDescent="0.4">
      <c r="A197" s="5">
        <v>211</v>
      </c>
      <c r="B197" s="5">
        <v>1</v>
      </c>
      <c r="C197" s="5">
        <v>2</v>
      </c>
      <c r="D197" s="5" t="s">
        <v>3325</v>
      </c>
      <c r="E197" s="5" t="s">
        <v>751</v>
      </c>
      <c r="F197" s="5" t="s">
        <v>282</v>
      </c>
      <c r="G197" s="5" t="s">
        <v>752</v>
      </c>
      <c r="H197" s="6" t="s">
        <v>3326</v>
      </c>
      <c r="I197" s="5" t="s">
        <v>3324</v>
      </c>
      <c r="J197" s="7">
        <f>31.06</f>
        <v>31.06</v>
      </c>
      <c r="K197" s="5" t="s">
        <v>270</v>
      </c>
      <c r="L197" s="8">
        <f>1</f>
        <v>1</v>
      </c>
      <c r="M197" s="8">
        <f>1863600</f>
        <v>1863600</v>
      </c>
      <c r="N197" s="6" t="s">
        <v>906</v>
      </c>
      <c r="O197" s="5" t="s">
        <v>651</v>
      </c>
      <c r="P197" s="5" t="s">
        <v>909</v>
      </c>
      <c r="R197" s="8">
        <f>1863599</f>
        <v>1863599</v>
      </c>
      <c r="S197" s="5" t="s">
        <v>240</v>
      </c>
      <c r="T197" s="5" t="s">
        <v>237</v>
      </c>
      <c r="W197" s="5" t="s">
        <v>241</v>
      </c>
      <c r="X197" s="5" t="s">
        <v>750</v>
      </c>
      <c r="Y197" s="5" t="s">
        <v>238</v>
      </c>
      <c r="AB197" s="5" t="s">
        <v>238</v>
      </c>
      <c r="AC197" s="6" t="s">
        <v>238</v>
      </c>
      <c r="AD197" s="6" t="s">
        <v>238</v>
      </c>
      <c r="AF197" s="6" t="s">
        <v>238</v>
      </c>
      <c r="AG197" s="6" t="s">
        <v>246</v>
      </c>
      <c r="AH197" s="5" t="s">
        <v>247</v>
      </c>
      <c r="AI197" s="5" t="s">
        <v>248</v>
      </c>
      <c r="AT197" s="6" t="s">
        <v>238</v>
      </c>
      <c r="AW197" s="5" t="s">
        <v>304</v>
      </c>
      <c r="AX197" s="5" t="s">
        <v>304</v>
      </c>
      <c r="AY197" s="5" t="s">
        <v>250</v>
      </c>
      <c r="AZ197" s="5" t="s">
        <v>305</v>
      </c>
      <c r="BA197" s="5" t="s">
        <v>251</v>
      </c>
      <c r="BB197" s="5" t="s">
        <v>238</v>
      </c>
      <c r="BC197" s="5" t="s">
        <v>253</v>
      </c>
      <c r="BD197" s="5" t="s">
        <v>238</v>
      </c>
      <c r="BF197" s="5" t="s">
        <v>760</v>
      </c>
      <c r="BH197" s="5" t="s">
        <v>283</v>
      </c>
      <c r="BI197" s="6" t="s">
        <v>293</v>
      </c>
      <c r="BJ197" s="5" t="s">
        <v>255</v>
      </c>
      <c r="BK197" s="5" t="s">
        <v>256</v>
      </c>
      <c r="BL197" s="5" t="s">
        <v>238</v>
      </c>
      <c r="BM197" s="7">
        <f>0</f>
        <v>0</v>
      </c>
      <c r="BN197" s="8">
        <f>0</f>
        <v>0</v>
      </c>
      <c r="BO197" s="5" t="s">
        <v>257</v>
      </c>
      <c r="BP197" s="5" t="s">
        <v>258</v>
      </c>
      <c r="BQ197" s="5" t="s">
        <v>238</v>
      </c>
      <c r="BR197" s="5" t="s">
        <v>238</v>
      </c>
      <c r="BS197" s="5" t="s">
        <v>238</v>
      </c>
      <c r="BT197" s="5" t="s">
        <v>238</v>
      </c>
      <c r="CC197" s="5" t="s">
        <v>258</v>
      </c>
      <c r="CD197" s="5" t="s">
        <v>238</v>
      </c>
      <c r="CE197" s="5" t="s">
        <v>238</v>
      </c>
      <c r="CI197" s="5" t="s">
        <v>527</v>
      </c>
      <c r="CJ197" s="5" t="s">
        <v>260</v>
      </c>
      <c r="CK197" s="5" t="s">
        <v>238</v>
      </c>
      <c r="CM197" s="5" t="s">
        <v>908</v>
      </c>
      <c r="CN197" s="6" t="s">
        <v>262</v>
      </c>
      <c r="CO197" s="5" t="s">
        <v>263</v>
      </c>
      <c r="CP197" s="5" t="s">
        <v>264</v>
      </c>
      <c r="CQ197" s="5" t="s">
        <v>285</v>
      </c>
      <c r="CR197" s="5" t="s">
        <v>238</v>
      </c>
      <c r="CS197" s="5">
        <v>0</v>
      </c>
      <c r="CT197" s="5" t="s">
        <v>265</v>
      </c>
      <c r="CU197" s="5" t="s">
        <v>266</v>
      </c>
      <c r="CV197" s="5" t="s">
        <v>331</v>
      </c>
      <c r="CW197" s="7">
        <f>0</f>
        <v>0</v>
      </c>
      <c r="CX197" s="8">
        <f>1863600</f>
        <v>1863600</v>
      </c>
      <c r="CY197" s="8">
        <f>1</f>
        <v>1</v>
      </c>
      <c r="DA197" s="5" t="s">
        <v>238</v>
      </c>
      <c r="DB197" s="5" t="s">
        <v>238</v>
      </c>
      <c r="DD197" s="5" t="s">
        <v>238</v>
      </c>
      <c r="DE197" s="8">
        <f>0</f>
        <v>0</v>
      </c>
      <c r="DG197" s="5" t="s">
        <v>238</v>
      </c>
      <c r="DH197" s="5" t="s">
        <v>238</v>
      </c>
      <c r="DI197" s="5" t="s">
        <v>238</v>
      </c>
      <c r="DJ197" s="5" t="s">
        <v>238</v>
      </c>
      <c r="DK197" s="5" t="s">
        <v>271</v>
      </c>
      <c r="DL197" s="5" t="s">
        <v>272</v>
      </c>
      <c r="DM197" s="7">
        <f>31.06</f>
        <v>31.06</v>
      </c>
      <c r="DN197" s="5" t="s">
        <v>238</v>
      </c>
      <c r="DO197" s="5" t="s">
        <v>238</v>
      </c>
      <c r="DP197" s="5" t="s">
        <v>238</v>
      </c>
      <c r="DQ197" s="5" t="s">
        <v>238</v>
      </c>
      <c r="DT197" s="5" t="s">
        <v>3327</v>
      </c>
      <c r="DU197" s="5" t="s">
        <v>271</v>
      </c>
      <c r="HM197" s="5" t="s">
        <v>271</v>
      </c>
      <c r="HP197" s="5" t="s">
        <v>272</v>
      </c>
      <c r="HQ197" s="5" t="s">
        <v>272</v>
      </c>
      <c r="HR197" s="5" t="s">
        <v>238</v>
      </c>
      <c r="HS197" s="5" t="s">
        <v>238</v>
      </c>
      <c r="HT197" s="5" t="s">
        <v>238</v>
      </c>
      <c r="HU197" s="5" t="s">
        <v>238</v>
      </c>
      <c r="HV197" s="5" t="s">
        <v>238</v>
      </c>
      <c r="HW197" s="5" t="s">
        <v>238</v>
      </c>
      <c r="HX197" s="5" t="s">
        <v>238</v>
      </c>
      <c r="HY197" s="5" t="s">
        <v>238</v>
      </c>
      <c r="HZ197" s="5" t="s">
        <v>238</v>
      </c>
      <c r="IA197" s="5" t="s">
        <v>238</v>
      </c>
      <c r="IB197" s="5" t="s">
        <v>238</v>
      </c>
      <c r="IC197" s="5" t="s">
        <v>238</v>
      </c>
      <c r="ID197" s="5" t="s">
        <v>238</v>
      </c>
    </row>
    <row r="198" spans="1:238" x14ac:dyDescent="0.4">
      <c r="A198" s="5">
        <v>212</v>
      </c>
      <c r="B198" s="5">
        <v>1</v>
      </c>
      <c r="C198" s="5">
        <v>2</v>
      </c>
      <c r="D198" s="5" t="s">
        <v>3321</v>
      </c>
      <c r="E198" s="5" t="s">
        <v>751</v>
      </c>
      <c r="F198" s="5" t="s">
        <v>282</v>
      </c>
      <c r="G198" s="5" t="s">
        <v>752</v>
      </c>
      <c r="H198" s="6" t="s">
        <v>3322</v>
      </c>
      <c r="I198" s="5" t="s">
        <v>3320</v>
      </c>
      <c r="J198" s="7">
        <f>30.71</f>
        <v>30.71</v>
      </c>
      <c r="K198" s="5" t="s">
        <v>270</v>
      </c>
      <c r="L198" s="8">
        <f>1</f>
        <v>1</v>
      </c>
      <c r="M198" s="8">
        <f>1842600</f>
        <v>1842600</v>
      </c>
      <c r="N198" s="6" t="s">
        <v>906</v>
      </c>
      <c r="O198" s="5" t="s">
        <v>651</v>
      </c>
      <c r="P198" s="5" t="s">
        <v>909</v>
      </c>
      <c r="R198" s="8">
        <f>1842599</f>
        <v>1842599</v>
      </c>
      <c r="S198" s="5" t="s">
        <v>240</v>
      </c>
      <c r="T198" s="5" t="s">
        <v>237</v>
      </c>
      <c r="W198" s="5" t="s">
        <v>241</v>
      </c>
      <c r="X198" s="5" t="s">
        <v>750</v>
      </c>
      <c r="Y198" s="5" t="s">
        <v>238</v>
      </c>
      <c r="AB198" s="5" t="s">
        <v>238</v>
      </c>
      <c r="AC198" s="6" t="s">
        <v>238</v>
      </c>
      <c r="AD198" s="6" t="s">
        <v>238</v>
      </c>
      <c r="AF198" s="6" t="s">
        <v>238</v>
      </c>
      <c r="AG198" s="6" t="s">
        <v>246</v>
      </c>
      <c r="AH198" s="5" t="s">
        <v>247</v>
      </c>
      <c r="AI198" s="5" t="s">
        <v>248</v>
      </c>
      <c r="AT198" s="6" t="s">
        <v>238</v>
      </c>
      <c r="AW198" s="5" t="s">
        <v>304</v>
      </c>
      <c r="AX198" s="5" t="s">
        <v>304</v>
      </c>
      <c r="AY198" s="5" t="s">
        <v>250</v>
      </c>
      <c r="AZ198" s="5" t="s">
        <v>305</v>
      </c>
      <c r="BA198" s="5" t="s">
        <v>251</v>
      </c>
      <c r="BB198" s="5" t="s">
        <v>238</v>
      </c>
      <c r="BC198" s="5" t="s">
        <v>253</v>
      </c>
      <c r="BD198" s="5" t="s">
        <v>238</v>
      </c>
      <c r="BF198" s="5" t="s">
        <v>760</v>
      </c>
      <c r="BH198" s="5" t="s">
        <v>283</v>
      </c>
      <c r="BI198" s="6" t="s">
        <v>293</v>
      </c>
      <c r="BJ198" s="5" t="s">
        <v>255</v>
      </c>
      <c r="BK198" s="5" t="s">
        <v>256</v>
      </c>
      <c r="BL198" s="5" t="s">
        <v>238</v>
      </c>
      <c r="BM198" s="7">
        <f>0</f>
        <v>0</v>
      </c>
      <c r="BN198" s="8">
        <f>0</f>
        <v>0</v>
      </c>
      <c r="BO198" s="5" t="s">
        <v>257</v>
      </c>
      <c r="BP198" s="5" t="s">
        <v>258</v>
      </c>
      <c r="BQ198" s="5" t="s">
        <v>238</v>
      </c>
      <c r="BR198" s="5" t="s">
        <v>238</v>
      </c>
      <c r="BS198" s="5" t="s">
        <v>238</v>
      </c>
      <c r="BT198" s="5" t="s">
        <v>238</v>
      </c>
      <c r="CC198" s="5" t="s">
        <v>258</v>
      </c>
      <c r="CD198" s="5" t="s">
        <v>238</v>
      </c>
      <c r="CE198" s="5" t="s">
        <v>238</v>
      </c>
      <c r="CI198" s="5" t="s">
        <v>527</v>
      </c>
      <c r="CJ198" s="5" t="s">
        <v>260</v>
      </c>
      <c r="CK198" s="5" t="s">
        <v>238</v>
      </c>
      <c r="CM198" s="5" t="s">
        <v>908</v>
      </c>
      <c r="CN198" s="6" t="s">
        <v>262</v>
      </c>
      <c r="CO198" s="5" t="s">
        <v>263</v>
      </c>
      <c r="CP198" s="5" t="s">
        <v>264</v>
      </c>
      <c r="CQ198" s="5" t="s">
        <v>285</v>
      </c>
      <c r="CR198" s="5" t="s">
        <v>238</v>
      </c>
      <c r="CS198" s="5">
        <v>0</v>
      </c>
      <c r="CT198" s="5" t="s">
        <v>265</v>
      </c>
      <c r="CU198" s="5" t="s">
        <v>266</v>
      </c>
      <c r="CV198" s="5" t="s">
        <v>331</v>
      </c>
      <c r="CW198" s="7">
        <f>0</f>
        <v>0</v>
      </c>
      <c r="CX198" s="8">
        <f>1842600</f>
        <v>1842600</v>
      </c>
      <c r="CY198" s="8">
        <f>1</f>
        <v>1</v>
      </c>
      <c r="DA198" s="5" t="s">
        <v>238</v>
      </c>
      <c r="DB198" s="5" t="s">
        <v>238</v>
      </c>
      <c r="DD198" s="5" t="s">
        <v>238</v>
      </c>
      <c r="DE198" s="8">
        <f>0</f>
        <v>0</v>
      </c>
      <c r="DG198" s="5" t="s">
        <v>238</v>
      </c>
      <c r="DH198" s="5" t="s">
        <v>238</v>
      </c>
      <c r="DI198" s="5" t="s">
        <v>238</v>
      </c>
      <c r="DJ198" s="5" t="s">
        <v>238</v>
      </c>
      <c r="DK198" s="5" t="s">
        <v>271</v>
      </c>
      <c r="DL198" s="5" t="s">
        <v>272</v>
      </c>
      <c r="DM198" s="7">
        <f>30.71</f>
        <v>30.71</v>
      </c>
      <c r="DN198" s="5" t="s">
        <v>238</v>
      </c>
      <c r="DO198" s="5" t="s">
        <v>238</v>
      </c>
      <c r="DP198" s="5" t="s">
        <v>238</v>
      </c>
      <c r="DQ198" s="5" t="s">
        <v>238</v>
      </c>
      <c r="DT198" s="5" t="s">
        <v>3323</v>
      </c>
      <c r="DU198" s="5" t="s">
        <v>271</v>
      </c>
      <c r="HM198" s="5" t="s">
        <v>271</v>
      </c>
      <c r="HP198" s="5" t="s">
        <v>272</v>
      </c>
      <c r="HQ198" s="5" t="s">
        <v>272</v>
      </c>
      <c r="HR198" s="5" t="s">
        <v>238</v>
      </c>
      <c r="HS198" s="5" t="s">
        <v>238</v>
      </c>
      <c r="HT198" s="5" t="s">
        <v>238</v>
      </c>
      <c r="HU198" s="5" t="s">
        <v>238</v>
      </c>
      <c r="HV198" s="5" t="s">
        <v>238</v>
      </c>
      <c r="HW198" s="5" t="s">
        <v>238</v>
      </c>
      <c r="HX198" s="5" t="s">
        <v>238</v>
      </c>
      <c r="HY198" s="5" t="s">
        <v>238</v>
      </c>
      <c r="HZ198" s="5" t="s">
        <v>238</v>
      </c>
      <c r="IA198" s="5" t="s">
        <v>238</v>
      </c>
      <c r="IB198" s="5" t="s">
        <v>238</v>
      </c>
      <c r="IC198" s="5" t="s">
        <v>238</v>
      </c>
      <c r="ID198" s="5" t="s">
        <v>238</v>
      </c>
    </row>
    <row r="199" spans="1:238" x14ac:dyDescent="0.4">
      <c r="A199" s="5">
        <v>213</v>
      </c>
      <c r="B199" s="5">
        <v>1</v>
      </c>
      <c r="C199" s="5">
        <v>2</v>
      </c>
      <c r="D199" s="5" t="s">
        <v>3317</v>
      </c>
      <c r="E199" s="5" t="s">
        <v>751</v>
      </c>
      <c r="F199" s="5" t="s">
        <v>282</v>
      </c>
      <c r="G199" s="5" t="s">
        <v>752</v>
      </c>
      <c r="H199" s="6" t="s">
        <v>3318</v>
      </c>
      <c r="I199" s="5" t="s">
        <v>3316</v>
      </c>
      <c r="J199" s="7">
        <f>19.87</f>
        <v>19.87</v>
      </c>
      <c r="K199" s="5" t="s">
        <v>270</v>
      </c>
      <c r="L199" s="8">
        <f>1</f>
        <v>1</v>
      </c>
      <c r="M199" s="8">
        <f>1192200</f>
        <v>1192200</v>
      </c>
      <c r="N199" s="6" t="s">
        <v>906</v>
      </c>
      <c r="O199" s="5" t="s">
        <v>268</v>
      </c>
      <c r="P199" s="5" t="s">
        <v>909</v>
      </c>
      <c r="R199" s="8">
        <f>1192199</f>
        <v>1192199</v>
      </c>
      <c r="S199" s="5" t="s">
        <v>240</v>
      </c>
      <c r="T199" s="5" t="s">
        <v>237</v>
      </c>
      <c r="W199" s="5" t="s">
        <v>241</v>
      </c>
      <c r="X199" s="5" t="s">
        <v>750</v>
      </c>
      <c r="Y199" s="5" t="s">
        <v>238</v>
      </c>
      <c r="AB199" s="5" t="s">
        <v>238</v>
      </c>
      <c r="AC199" s="6" t="s">
        <v>238</v>
      </c>
      <c r="AD199" s="6" t="s">
        <v>238</v>
      </c>
      <c r="AF199" s="6" t="s">
        <v>238</v>
      </c>
      <c r="AG199" s="6" t="s">
        <v>246</v>
      </c>
      <c r="AH199" s="5" t="s">
        <v>247</v>
      </c>
      <c r="AI199" s="5" t="s">
        <v>248</v>
      </c>
      <c r="AT199" s="6" t="s">
        <v>238</v>
      </c>
      <c r="AW199" s="5" t="s">
        <v>304</v>
      </c>
      <c r="AX199" s="5" t="s">
        <v>304</v>
      </c>
      <c r="AY199" s="5" t="s">
        <v>250</v>
      </c>
      <c r="AZ199" s="5" t="s">
        <v>305</v>
      </c>
      <c r="BA199" s="5" t="s">
        <v>251</v>
      </c>
      <c r="BB199" s="5" t="s">
        <v>238</v>
      </c>
      <c r="BC199" s="5" t="s">
        <v>253</v>
      </c>
      <c r="BD199" s="5" t="s">
        <v>238</v>
      </c>
      <c r="BF199" s="5" t="s">
        <v>760</v>
      </c>
      <c r="BH199" s="5" t="s">
        <v>283</v>
      </c>
      <c r="BI199" s="6" t="s">
        <v>293</v>
      </c>
      <c r="BJ199" s="5" t="s">
        <v>255</v>
      </c>
      <c r="BK199" s="5" t="s">
        <v>256</v>
      </c>
      <c r="BL199" s="5" t="s">
        <v>238</v>
      </c>
      <c r="BM199" s="7">
        <f>0</f>
        <v>0</v>
      </c>
      <c r="BN199" s="8">
        <f>0</f>
        <v>0</v>
      </c>
      <c r="BO199" s="5" t="s">
        <v>257</v>
      </c>
      <c r="BP199" s="5" t="s">
        <v>258</v>
      </c>
      <c r="BQ199" s="5" t="s">
        <v>238</v>
      </c>
      <c r="BR199" s="5" t="s">
        <v>238</v>
      </c>
      <c r="BS199" s="5" t="s">
        <v>238</v>
      </c>
      <c r="BT199" s="5" t="s">
        <v>238</v>
      </c>
      <c r="CC199" s="5" t="s">
        <v>258</v>
      </c>
      <c r="CD199" s="5" t="s">
        <v>238</v>
      </c>
      <c r="CE199" s="5" t="s">
        <v>238</v>
      </c>
      <c r="CI199" s="5" t="s">
        <v>527</v>
      </c>
      <c r="CJ199" s="5" t="s">
        <v>260</v>
      </c>
      <c r="CK199" s="5" t="s">
        <v>238</v>
      </c>
      <c r="CM199" s="5" t="s">
        <v>908</v>
      </c>
      <c r="CN199" s="6" t="s">
        <v>262</v>
      </c>
      <c r="CO199" s="5" t="s">
        <v>263</v>
      </c>
      <c r="CP199" s="5" t="s">
        <v>264</v>
      </c>
      <c r="CQ199" s="5" t="s">
        <v>285</v>
      </c>
      <c r="CR199" s="5" t="s">
        <v>238</v>
      </c>
      <c r="CS199" s="5">
        <v>0</v>
      </c>
      <c r="CT199" s="5" t="s">
        <v>265</v>
      </c>
      <c r="CU199" s="5" t="s">
        <v>266</v>
      </c>
      <c r="CV199" s="5" t="s">
        <v>267</v>
      </c>
      <c r="CW199" s="7">
        <f>0</f>
        <v>0</v>
      </c>
      <c r="CX199" s="8">
        <f>1192200</f>
        <v>1192200</v>
      </c>
      <c r="CY199" s="8">
        <f>1</f>
        <v>1</v>
      </c>
      <c r="DA199" s="5" t="s">
        <v>238</v>
      </c>
      <c r="DB199" s="5" t="s">
        <v>238</v>
      </c>
      <c r="DD199" s="5" t="s">
        <v>238</v>
      </c>
      <c r="DE199" s="8">
        <f>0</f>
        <v>0</v>
      </c>
      <c r="DG199" s="5" t="s">
        <v>238</v>
      </c>
      <c r="DH199" s="5" t="s">
        <v>238</v>
      </c>
      <c r="DI199" s="5" t="s">
        <v>238</v>
      </c>
      <c r="DJ199" s="5" t="s">
        <v>238</v>
      </c>
      <c r="DK199" s="5" t="s">
        <v>271</v>
      </c>
      <c r="DL199" s="5" t="s">
        <v>272</v>
      </c>
      <c r="DM199" s="7">
        <f>19.87</f>
        <v>19.87</v>
      </c>
      <c r="DN199" s="5" t="s">
        <v>238</v>
      </c>
      <c r="DO199" s="5" t="s">
        <v>238</v>
      </c>
      <c r="DP199" s="5" t="s">
        <v>238</v>
      </c>
      <c r="DQ199" s="5" t="s">
        <v>238</v>
      </c>
      <c r="DT199" s="5" t="s">
        <v>3319</v>
      </c>
      <c r="DU199" s="5" t="s">
        <v>271</v>
      </c>
      <c r="HM199" s="5" t="s">
        <v>271</v>
      </c>
      <c r="HP199" s="5" t="s">
        <v>272</v>
      </c>
      <c r="HQ199" s="5" t="s">
        <v>272</v>
      </c>
      <c r="HR199" s="5" t="s">
        <v>238</v>
      </c>
      <c r="HS199" s="5" t="s">
        <v>238</v>
      </c>
      <c r="HT199" s="5" t="s">
        <v>238</v>
      </c>
      <c r="HU199" s="5" t="s">
        <v>238</v>
      </c>
      <c r="HV199" s="5" t="s">
        <v>238</v>
      </c>
      <c r="HW199" s="5" t="s">
        <v>238</v>
      </c>
      <c r="HX199" s="5" t="s">
        <v>238</v>
      </c>
      <c r="HY199" s="5" t="s">
        <v>238</v>
      </c>
      <c r="HZ199" s="5" t="s">
        <v>238</v>
      </c>
      <c r="IA199" s="5" t="s">
        <v>238</v>
      </c>
      <c r="IB199" s="5" t="s">
        <v>238</v>
      </c>
      <c r="IC199" s="5" t="s">
        <v>238</v>
      </c>
      <c r="ID199" s="5" t="s">
        <v>238</v>
      </c>
    </row>
    <row r="200" spans="1:238" x14ac:dyDescent="0.4">
      <c r="A200" s="5">
        <v>214</v>
      </c>
      <c r="B200" s="5">
        <v>1</v>
      </c>
      <c r="C200" s="5">
        <v>3</v>
      </c>
      <c r="D200" s="5" t="s">
        <v>4051</v>
      </c>
      <c r="E200" s="5" t="s">
        <v>751</v>
      </c>
      <c r="F200" s="5" t="s">
        <v>282</v>
      </c>
      <c r="G200" s="5" t="s">
        <v>752</v>
      </c>
      <c r="H200" s="6" t="s">
        <v>4052</v>
      </c>
      <c r="I200" s="5" t="s">
        <v>4050</v>
      </c>
      <c r="J200" s="7">
        <f>9.99</f>
        <v>9.99</v>
      </c>
      <c r="K200" s="5" t="s">
        <v>270</v>
      </c>
      <c r="L200" s="8">
        <f>1</f>
        <v>1</v>
      </c>
      <c r="M200" s="8">
        <f>699300</f>
        <v>699300</v>
      </c>
      <c r="N200" s="6" t="s">
        <v>906</v>
      </c>
      <c r="O200" s="5" t="s">
        <v>755</v>
      </c>
      <c r="P200" s="5" t="s">
        <v>909</v>
      </c>
      <c r="Q200" s="8" t="s">
        <v>238</v>
      </c>
      <c r="R200" s="8">
        <f>699299</f>
        <v>699299</v>
      </c>
      <c r="S200" s="5" t="s">
        <v>240</v>
      </c>
      <c r="T200" s="5" t="s">
        <v>237</v>
      </c>
      <c r="W200" s="5" t="s">
        <v>241</v>
      </c>
      <c r="X200" s="5" t="s">
        <v>750</v>
      </c>
      <c r="Y200" s="5" t="s">
        <v>238</v>
      </c>
      <c r="AB200" s="5" t="s">
        <v>238</v>
      </c>
      <c r="AC200" s="6" t="s">
        <v>238</v>
      </c>
      <c r="AD200" s="6" t="s">
        <v>238</v>
      </c>
      <c r="AE200" s="5" t="s">
        <v>238</v>
      </c>
      <c r="AF200" s="6" t="s">
        <v>238</v>
      </c>
      <c r="AG200" s="6" t="s">
        <v>246</v>
      </c>
      <c r="AH200" s="5" t="s">
        <v>247</v>
      </c>
      <c r="AI200" s="5" t="s">
        <v>248</v>
      </c>
      <c r="AO200" s="5" t="s">
        <v>238</v>
      </c>
      <c r="AP200" s="5" t="s">
        <v>238</v>
      </c>
      <c r="AQ200" s="5" t="s">
        <v>238</v>
      </c>
      <c r="AR200" s="6" t="s">
        <v>238</v>
      </c>
      <c r="AS200" s="6" t="s">
        <v>238</v>
      </c>
      <c r="AT200" s="6" t="s">
        <v>238</v>
      </c>
      <c r="AW200" s="5" t="s">
        <v>304</v>
      </c>
      <c r="AX200" s="5" t="s">
        <v>304</v>
      </c>
      <c r="AY200" s="5" t="s">
        <v>250</v>
      </c>
      <c r="AZ200" s="5" t="s">
        <v>305</v>
      </c>
      <c r="BA200" s="5" t="s">
        <v>251</v>
      </c>
      <c r="BB200" s="5" t="s">
        <v>238</v>
      </c>
      <c r="BC200" s="5" t="s">
        <v>253</v>
      </c>
      <c r="BD200" s="5" t="s">
        <v>3170</v>
      </c>
      <c r="BF200" s="5" t="s">
        <v>760</v>
      </c>
      <c r="BH200" s="5" t="s">
        <v>283</v>
      </c>
      <c r="BI200" s="6" t="s">
        <v>293</v>
      </c>
      <c r="BJ200" s="5" t="s">
        <v>255</v>
      </c>
      <c r="BK200" s="5" t="s">
        <v>870</v>
      </c>
      <c r="BL200" s="5" t="s">
        <v>238</v>
      </c>
      <c r="BM200" s="7">
        <f>0</f>
        <v>0</v>
      </c>
      <c r="BN200" s="8">
        <f>0</f>
        <v>0</v>
      </c>
      <c r="BO200" s="5" t="s">
        <v>257</v>
      </c>
      <c r="BP200" s="5" t="s">
        <v>258</v>
      </c>
      <c r="BQ200" s="5" t="s">
        <v>238</v>
      </c>
      <c r="BR200" s="5" t="s">
        <v>238</v>
      </c>
      <c r="BS200" s="5" t="s">
        <v>238</v>
      </c>
      <c r="BT200" s="5" t="s">
        <v>238</v>
      </c>
      <c r="BY200" s="6" t="s">
        <v>238</v>
      </c>
      <c r="BZ200" s="5" t="s">
        <v>238</v>
      </c>
      <c r="CA200" s="5" t="s">
        <v>238</v>
      </c>
      <c r="CB200" s="5" t="s">
        <v>238</v>
      </c>
      <c r="CC200" s="5" t="s">
        <v>258</v>
      </c>
      <c r="CD200" s="5" t="s">
        <v>238</v>
      </c>
      <c r="CE200" s="5" t="s">
        <v>238</v>
      </c>
      <c r="CI200" s="5" t="s">
        <v>527</v>
      </c>
      <c r="CJ200" s="5" t="s">
        <v>260</v>
      </c>
      <c r="CK200" s="5" t="s">
        <v>272</v>
      </c>
      <c r="CM200" s="5" t="s">
        <v>908</v>
      </c>
      <c r="CN200" s="6" t="s">
        <v>262</v>
      </c>
      <c r="CO200" s="5" t="s">
        <v>263</v>
      </c>
      <c r="CP200" s="5" t="s">
        <v>264</v>
      </c>
      <c r="CQ200" s="5" t="s">
        <v>285</v>
      </c>
      <c r="CR200" s="5" t="s">
        <v>238</v>
      </c>
      <c r="CS200" s="5">
        <v>0</v>
      </c>
      <c r="CT200" s="5" t="s">
        <v>265</v>
      </c>
      <c r="CU200" s="5" t="s">
        <v>266</v>
      </c>
      <c r="CV200" s="5" t="s">
        <v>754</v>
      </c>
      <c r="CW200" s="7">
        <f>0</f>
        <v>0</v>
      </c>
      <c r="CX200" s="8">
        <f>699300</f>
        <v>699300</v>
      </c>
      <c r="CY200" s="8">
        <f>1</f>
        <v>1</v>
      </c>
      <c r="CZ200" s="8" t="s">
        <v>238</v>
      </c>
      <c r="DA200" s="5" t="s">
        <v>238</v>
      </c>
      <c r="DB200" s="5" t="s">
        <v>238</v>
      </c>
      <c r="DD200" s="5" t="s">
        <v>238</v>
      </c>
      <c r="DE200" s="8">
        <f>0</f>
        <v>0</v>
      </c>
      <c r="DF200" s="6" t="s">
        <v>238</v>
      </c>
      <c r="DG200" s="5" t="s">
        <v>238</v>
      </c>
      <c r="DH200" s="5" t="s">
        <v>238</v>
      </c>
      <c r="DI200" s="5" t="s">
        <v>238</v>
      </c>
      <c r="DJ200" s="5" t="s">
        <v>238</v>
      </c>
      <c r="DK200" s="5" t="s">
        <v>271</v>
      </c>
      <c r="DL200" s="5" t="s">
        <v>272</v>
      </c>
      <c r="DM200" s="7">
        <f>9.99</f>
        <v>9.99</v>
      </c>
      <c r="DN200" s="5" t="s">
        <v>238</v>
      </c>
      <c r="DO200" s="5" t="s">
        <v>247</v>
      </c>
      <c r="DP200" s="5" t="s">
        <v>3170</v>
      </c>
      <c r="DQ200" s="5" t="s">
        <v>3170</v>
      </c>
      <c r="DR200" s="5" t="s">
        <v>238</v>
      </c>
      <c r="DS200" s="5" t="s">
        <v>238</v>
      </c>
      <c r="DT200" s="5" t="s">
        <v>4053</v>
      </c>
      <c r="DU200" s="5" t="s">
        <v>271</v>
      </c>
      <c r="HP200" s="5" t="s">
        <v>272</v>
      </c>
      <c r="HQ200" s="5" t="s">
        <v>272</v>
      </c>
      <c r="HR200" s="5" t="s">
        <v>238</v>
      </c>
      <c r="HS200" s="5" t="s">
        <v>238</v>
      </c>
      <c r="HT200" s="5" t="s">
        <v>238</v>
      </c>
      <c r="HU200" s="5" t="s">
        <v>238</v>
      </c>
      <c r="HV200" s="5" t="s">
        <v>238</v>
      </c>
      <c r="HW200" s="5" t="s">
        <v>238</v>
      </c>
      <c r="HX200" s="5" t="s">
        <v>238</v>
      </c>
      <c r="HY200" s="5" t="s">
        <v>238</v>
      </c>
      <c r="HZ200" s="5" t="s">
        <v>238</v>
      </c>
      <c r="IA200" s="5" t="s">
        <v>238</v>
      </c>
      <c r="IB200" s="5" t="s">
        <v>238</v>
      </c>
      <c r="IC200" s="5" t="s">
        <v>238</v>
      </c>
      <c r="ID200" s="5" t="s">
        <v>238</v>
      </c>
    </row>
    <row r="201" spans="1:238" x14ac:dyDescent="0.4">
      <c r="A201" s="5">
        <v>215</v>
      </c>
      <c r="B201" s="5">
        <v>1</v>
      </c>
      <c r="C201" s="5">
        <v>2</v>
      </c>
      <c r="D201" s="5" t="s">
        <v>3313</v>
      </c>
      <c r="E201" s="5" t="s">
        <v>751</v>
      </c>
      <c r="F201" s="5" t="s">
        <v>282</v>
      </c>
      <c r="G201" s="5" t="s">
        <v>752</v>
      </c>
      <c r="H201" s="6" t="s">
        <v>3314</v>
      </c>
      <c r="I201" s="5" t="s">
        <v>3312</v>
      </c>
      <c r="J201" s="7">
        <f>19.87</f>
        <v>19.87</v>
      </c>
      <c r="K201" s="5" t="s">
        <v>270</v>
      </c>
      <c r="L201" s="8">
        <f>1</f>
        <v>1</v>
      </c>
      <c r="M201" s="8">
        <f>1192200</f>
        <v>1192200</v>
      </c>
      <c r="N201" s="6" t="s">
        <v>906</v>
      </c>
      <c r="O201" s="5" t="s">
        <v>268</v>
      </c>
      <c r="P201" s="5" t="s">
        <v>909</v>
      </c>
      <c r="R201" s="8">
        <f>1192199</f>
        <v>1192199</v>
      </c>
      <c r="S201" s="5" t="s">
        <v>240</v>
      </c>
      <c r="T201" s="5" t="s">
        <v>237</v>
      </c>
      <c r="W201" s="5" t="s">
        <v>241</v>
      </c>
      <c r="X201" s="5" t="s">
        <v>750</v>
      </c>
      <c r="Y201" s="5" t="s">
        <v>238</v>
      </c>
      <c r="AB201" s="5" t="s">
        <v>238</v>
      </c>
      <c r="AC201" s="6" t="s">
        <v>238</v>
      </c>
      <c r="AD201" s="6" t="s">
        <v>238</v>
      </c>
      <c r="AF201" s="6" t="s">
        <v>238</v>
      </c>
      <c r="AG201" s="6" t="s">
        <v>246</v>
      </c>
      <c r="AH201" s="5" t="s">
        <v>247</v>
      </c>
      <c r="AI201" s="5" t="s">
        <v>248</v>
      </c>
      <c r="AT201" s="6" t="s">
        <v>238</v>
      </c>
      <c r="AW201" s="5" t="s">
        <v>304</v>
      </c>
      <c r="AX201" s="5" t="s">
        <v>304</v>
      </c>
      <c r="AY201" s="5" t="s">
        <v>250</v>
      </c>
      <c r="AZ201" s="5" t="s">
        <v>305</v>
      </c>
      <c r="BA201" s="5" t="s">
        <v>251</v>
      </c>
      <c r="BB201" s="5" t="s">
        <v>238</v>
      </c>
      <c r="BC201" s="5" t="s">
        <v>253</v>
      </c>
      <c r="BD201" s="5" t="s">
        <v>238</v>
      </c>
      <c r="BF201" s="5" t="s">
        <v>760</v>
      </c>
      <c r="BH201" s="5" t="s">
        <v>283</v>
      </c>
      <c r="BI201" s="6" t="s">
        <v>293</v>
      </c>
      <c r="BJ201" s="5" t="s">
        <v>255</v>
      </c>
      <c r="BK201" s="5" t="s">
        <v>256</v>
      </c>
      <c r="BL201" s="5" t="s">
        <v>238</v>
      </c>
      <c r="BM201" s="7">
        <f>0</f>
        <v>0</v>
      </c>
      <c r="BN201" s="8">
        <f>0</f>
        <v>0</v>
      </c>
      <c r="BO201" s="5" t="s">
        <v>257</v>
      </c>
      <c r="BP201" s="5" t="s">
        <v>258</v>
      </c>
      <c r="BQ201" s="5" t="s">
        <v>238</v>
      </c>
      <c r="BR201" s="5" t="s">
        <v>238</v>
      </c>
      <c r="BS201" s="5" t="s">
        <v>238</v>
      </c>
      <c r="BT201" s="5" t="s">
        <v>238</v>
      </c>
      <c r="CC201" s="5" t="s">
        <v>258</v>
      </c>
      <c r="CD201" s="5" t="s">
        <v>238</v>
      </c>
      <c r="CE201" s="5" t="s">
        <v>238</v>
      </c>
      <c r="CI201" s="5" t="s">
        <v>527</v>
      </c>
      <c r="CJ201" s="5" t="s">
        <v>260</v>
      </c>
      <c r="CK201" s="5" t="s">
        <v>238</v>
      </c>
      <c r="CM201" s="5" t="s">
        <v>908</v>
      </c>
      <c r="CN201" s="6" t="s">
        <v>262</v>
      </c>
      <c r="CO201" s="5" t="s">
        <v>263</v>
      </c>
      <c r="CP201" s="5" t="s">
        <v>264</v>
      </c>
      <c r="CQ201" s="5" t="s">
        <v>285</v>
      </c>
      <c r="CR201" s="5" t="s">
        <v>238</v>
      </c>
      <c r="CS201" s="5">
        <v>0</v>
      </c>
      <c r="CT201" s="5" t="s">
        <v>265</v>
      </c>
      <c r="CU201" s="5" t="s">
        <v>266</v>
      </c>
      <c r="CV201" s="5" t="s">
        <v>267</v>
      </c>
      <c r="CW201" s="7">
        <f>0</f>
        <v>0</v>
      </c>
      <c r="CX201" s="8">
        <f>1192200</f>
        <v>1192200</v>
      </c>
      <c r="CY201" s="8">
        <f>1</f>
        <v>1</v>
      </c>
      <c r="DA201" s="5" t="s">
        <v>238</v>
      </c>
      <c r="DB201" s="5" t="s">
        <v>238</v>
      </c>
      <c r="DD201" s="5" t="s">
        <v>238</v>
      </c>
      <c r="DE201" s="8">
        <f>0</f>
        <v>0</v>
      </c>
      <c r="DG201" s="5" t="s">
        <v>238</v>
      </c>
      <c r="DH201" s="5" t="s">
        <v>238</v>
      </c>
      <c r="DI201" s="5" t="s">
        <v>238</v>
      </c>
      <c r="DJ201" s="5" t="s">
        <v>238</v>
      </c>
      <c r="DK201" s="5" t="s">
        <v>271</v>
      </c>
      <c r="DL201" s="5" t="s">
        <v>272</v>
      </c>
      <c r="DM201" s="7">
        <f>19.87</f>
        <v>19.87</v>
      </c>
      <c r="DN201" s="5" t="s">
        <v>238</v>
      </c>
      <c r="DO201" s="5" t="s">
        <v>238</v>
      </c>
      <c r="DP201" s="5" t="s">
        <v>238</v>
      </c>
      <c r="DQ201" s="5" t="s">
        <v>238</v>
      </c>
      <c r="DT201" s="5" t="s">
        <v>3315</v>
      </c>
      <c r="DU201" s="5" t="s">
        <v>271</v>
      </c>
      <c r="HM201" s="5" t="s">
        <v>271</v>
      </c>
      <c r="HP201" s="5" t="s">
        <v>272</v>
      </c>
      <c r="HQ201" s="5" t="s">
        <v>272</v>
      </c>
      <c r="HR201" s="5" t="s">
        <v>238</v>
      </c>
      <c r="HS201" s="5" t="s">
        <v>238</v>
      </c>
      <c r="HT201" s="5" t="s">
        <v>238</v>
      </c>
      <c r="HU201" s="5" t="s">
        <v>238</v>
      </c>
      <c r="HV201" s="5" t="s">
        <v>238</v>
      </c>
      <c r="HW201" s="5" t="s">
        <v>238</v>
      </c>
      <c r="HX201" s="5" t="s">
        <v>238</v>
      </c>
      <c r="HY201" s="5" t="s">
        <v>238</v>
      </c>
      <c r="HZ201" s="5" t="s">
        <v>238</v>
      </c>
      <c r="IA201" s="5" t="s">
        <v>238</v>
      </c>
      <c r="IB201" s="5" t="s">
        <v>238</v>
      </c>
      <c r="IC201" s="5" t="s">
        <v>238</v>
      </c>
      <c r="ID201" s="5" t="s">
        <v>238</v>
      </c>
    </row>
    <row r="202" spans="1:238" x14ac:dyDescent="0.4">
      <c r="A202" s="5">
        <v>216</v>
      </c>
      <c r="B202" s="5">
        <v>1</v>
      </c>
      <c r="C202" s="5">
        <v>2</v>
      </c>
      <c r="D202" s="5" t="s">
        <v>3309</v>
      </c>
      <c r="E202" s="5" t="s">
        <v>751</v>
      </c>
      <c r="F202" s="5" t="s">
        <v>282</v>
      </c>
      <c r="G202" s="5" t="s">
        <v>752</v>
      </c>
      <c r="H202" s="6" t="s">
        <v>3310</v>
      </c>
      <c r="I202" s="5" t="s">
        <v>3308</v>
      </c>
      <c r="J202" s="7">
        <f>19.87</f>
        <v>19.87</v>
      </c>
      <c r="K202" s="5" t="s">
        <v>270</v>
      </c>
      <c r="L202" s="8">
        <f>1</f>
        <v>1</v>
      </c>
      <c r="M202" s="8">
        <f>1192200</f>
        <v>1192200</v>
      </c>
      <c r="N202" s="6" t="s">
        <v>906</v>
      </c>
      <c r="O202" s="5" t="s">
        <v>268</v>
      </c>
      <c r="P202" s="5" t="s">
        <v>909</v>
      </c>
      <c r="R202" s="8">
        <f>1192199</f>
        <v>1192199</v>
      </c>
      <c r="S202" s="5" t="s">
        <v>240</v>
      </c>
      <c r="T202" s="5" t="s">
        <v>237</v>
      </c>
      <c r="W202" s="5" t="s">
        <v>241</v>
      </c>
      <c r="X202" s="5" t="s">
        <v>750</v>
      </c>
      <c r="Y202" s="5" t="s">
        <v>238</v>
      </c>
      <c r="AB202" s="5" t="s">
        <v>238</v>
      </c>
      <c r="AC202" s="6" t="s">
        <v>238</v>
      </c>
      <c r="AD202" s="6" t="s">
        <v>238</v>
      </c>
      <c r="AF202" s="6" t="s">
        <v>238</v>
      </c>
      <c r="AG202" s="6" t="s">
        <v>246</v>
      </c>
      <c r="AH202" s="5" t="s">
        <v>247</v>
      </c>
      <c r="AI202" s="5" t="s">
        <v>248</v>
      </c>
      <c r="AT202" s="6" t="s">
        <v>238</v>
      </c>
      <c r="AW202" s="5" t="s">
        <v>304</v>
      </c>
      <c r="AX202" s="5" t="s">
        <v>304</v>
      </c>
      <c r="AY202" s="5" t="s">
        <v>250</v>
      </c>
      <c r="AZ202" s="5" t="s">
        <v>305</v>
      </c>
      <c r="BA202" s="5" t="s">
        <v>251</v>
      </c>
      <c r="BB202" s="5" t="s">
        <v>238</v>
      </c>
      <c r="BC202" s="5" t="s">
        <v>253</v>
      </c>
      <c r="BD202" s="5" t="s">
        <v>238</v>
      </c>
      <c r="BF202" s="5" t="s">
        <v>760</v>
      </c>
      <c r="BH202" s="5" t="s">
        <v>283</v>
      </c>
      <c r="BI202" s="6" t="s">
        <v>293</v>
      </c>
      <c r="BJ202" s="5" t="s">
        <v>255</v>
      </c>
      <c r="BK202" s="5" t="s">
        <v>256</v>
      </c>
      <c r="BL202" s="5" t="s">
        <v>238</v>
      </c>
      <c r="BM202" s="7">
        <f>0</f>
        <v>0</v>
      </c>
      <c r="BN202" s="8">
        <f>0</f>
        <v>0</v>
      </c>
      <c r="BO202" s="5" t="s">
        <v>257</v>
      </c>
      <c r="BP202" s="5" t="s">
        <v>258</v>
      </c>
      <c r="BQ202" s="5" t="s">
        <v>238</v>
      </c>
      <c r="BR202" s="5" t="s">
        <v>238</v>
      </c>
      <c r="BS202" s="5" t="s">
        <v>238</v>
      </c>
      <c r="BT202" s="5" t="s">
        <v>238</v>
      </c>
      <c r="CC202" s="5" t="s">
        <v>258</v>
      </c>
      <c r="CD202" s="5" t="s">
        <v>238</v>
      </c>
      <c r="CE202" s="5" t="s">
        <v>238</v>
      </c>
      <c r="CI202" s="5" t="s">
        <v>527</v>
      </c>
      <c r="CJ202" s="5" t="s">
        <v>260</v>
      </c>
      <c r="CK202" s="5" t="s">
        <v>238</v>
      </c>
      <c r="CM202" s="5" t="s">
        <v>908</v>
      </c>
      <c r="CN202" s="6" t="s">
        <v>262</v>
      </c>
      <c r="CO202" s="5" t="s">
        <v>263</v>
      </c>
      <c r="CP202" s="5" t="s">
        <v>264</v>
      </c>
      <c r="CQ202" s="5" t="s">
        <v>285</v>
      </c>
      <c r="CR202" s="5" t="s">
        <v>238</v>
      </c>
      <c r="CS202" s="5">
        <v>0</v>
      </c>
      <c r="CT202" s="5" t="s">
        <v>265</v>
      </c>
      <c r="CU202" s="5" t="s">
        <v>266</v>
      </c>
      <c r="CV202" s="5" t="s">
        <v>267</v>
      </c>
      <c r="CW202" s="7">
        <f>0</f>
        <v>0</v>
      </c>
      <c r="CX202" s="8">
        <f>1192200</f>
        <v>1192200</v>
      </c>
      <c r="CY202" s="8">
        <f>1</f>
        <v>1</v>
      </c>
      <c r="DA202" s="5" t="s">
        <v>238</v>
      </c>
      <c r="DB202" s="5" t="s">
        <v>238</v>
      </c>
      <c r="DD202" s="5" t="s">
        <v>238</v>
      </c>
      <c r="DE202" s="8">
        <f>0</f>
        <v>0</v>
      </c>
      <c r="DG202" s="5" t="s">
        <v>238</v>
      </c>
      <c r="DH202" s="5" t="s">
        <v>238</v>
      </c>
      <c r="DI202" s="5" t="s">
        <v>238</v>
      </c>
      <c r="DJ202" s="5" t="s">
        <v>238</v>
      </c>
      <c r="DK202" s="5" t="s">
        <v>271</v>
      </c>
      <c r="DL202" s="5" t="s">
        <v>272</v>
      </c>
      <c r="DM202" s="7">
        <f>19.87</f>
        <v>19.87</v>
      </c>
      <c r="DN202" s="5" t="s">
        <v>238</v>
      </c>
      <c r="DO202" s="5" t="s">
        <v>238</v>
      </c>
      <c r="DP202" s="5" t="s">
        <v>238</v>
      </c>
      <c r="DQ202" s="5" t="s">
        <v>238</v>
      </c>
      <c r="DT202" s="5" t="s">
        <v>3311</v>
      </c>
      <c r="DU202" s="5" t="s">
        <v>271</v>
      </c>
      <c r="HM202" s="5" t="s">
        <v>271</v>
      </c>
      <c r="HP202" s="5" t="s">
        <v>272</v>
      </c>
      <c r="HQ202" s="5" t="s">
        <v>272</v>
      </c>
      <c r="HR202" s="5" t="s">
        <v>238</v>
      </c>
      <c r="HS202" s="5" t="s">
        <v>238</v>
      </c>
      <c r="HT202" s="5" t="s">
        <v>238</v>
      </c>
      <c r="HU202" s="5" t="s">
        <v>238</v>
      </c>
      <c r="HV202" s="5" t="s">
        <v>238</v>
      </c>
      <c r="HW202" s="5" t="s">
        <v>238</v>
      </c>
      <c r="HX202" s="5" t="s">
        <v>238</v>
      </c>
      <c r="HY202" s="5" t="s">
        <v>238</v>
      </c>
      <c r="HZ202" s="5" t="s">
        <v>238</v>
      </c>
      <c r="IA202" s="5" t="s">
        <v>238</v>
      </c>
      <c r="IB202" s="5" t="s">
        <v>238</v>
      </c>
      <c r="IC202" s="5" t="s">
        <v>238</v>
      </c>
      <c r="ID202" s="5" t="s">
        <v>238</v>
      </c>
    </row>
    <row r="203" spans="1:238" x14ac:dyDescent="0.4">
      <c r="A203" s="5">
        <v>217</v>
      </c>
      <c r="B203" s="5">
        <v>1</v>
      </c>
      <c r="C203" s="5">
        <v>2</v>
      </c>
      <c r="D203" s="5" t="s">
        <v>3305</v>
      </c>
      <c r="E203" s="5" t="s">
        <v>751</v>
      </c>
      <c r="F203" s="5" t="s">
        <v>282</v>
      </c>
      <c r="G203" s="5" t="s">
        <v>752</v>
      </c>
      <c r="H203" s="6" t="s">
        <v>3306</v>
      </c>
      <c r="I203" s="5" t="s">
        <v>3304</v>
      </c>
      <c r="J203" s="7">
        <f>19.87</f>
        <v>19.87</v>
      </c>
      <c r="K203" s="5" t="s">
        <v>270</v>
      </c>
      <c r="L203" s="8">
        <f>1</f>
        <v>1</v>
      </c>
      <c r="M203" s="8">
        <f>1192200</f>
        <v>1192200</v>
      </c>
      <c r="N203" s="6" t="s">
        <v>906</v>
      </c>
      <c r="O203" s="5" t="s">
        <v>268</v>
      </c>
      <c r="P203" s="5" t="s">
        <v>909</v>
      </c>
      <c r="R203" s="8">
        <f>1192199</f>
        <v>1192199</v>
      </c>
      <c r="S203" s="5" t="s">
        <v>240</v>
      </c>
      <c r="T203" s="5" t="s">
        <v>237</v>
      </c>
      <c r="W203" s="5" t="s">
        <v>241</v>
      </c>
      <c r="X203" s="5" t="s">
        <v>750</v>
      </c>
      <c r="Y203" s="5" t="s">
        <v>238</v>
      </c>
      <c r="AB203" s="5" t="s">
        <v>238</v>
      </c>
      <c r="AC203" s="6" t="s">
        <v>238</v>
      </c>
      <c r="AD203" s="6" t="s">
        <v>238</v>
      </c>
      <c r="AF203" s="6" t="s">
        <v>238</v>
      </c>
      <c r="AG203" s="6" t="s">
        <v>246</v>
      </c>
      <c r="AH203" s="5" t="s">
        <v>247</v>
      </c>
      <c r="AI203" s="5" t="s">
        <v>248</v>
      </c>
      <c r="AT203" s="6" t="s">
        <v>238</v>
      </c>
      <c r="AW203" s="5" t="s">
        <v>304</v>
      </c>
      <c r="AX203" s="5" t="s">
        <v>304</v>
      </c>
      <c r="AY203" s="5" t="s">
        <v>250</v>
      </c>
      <c r="AZ203" s="5" t="s">
        <v>305</v>
      </c>
      <c r="BA203" s="5" t="s">
        <v>251</v>
      </c>
      <c r="BB203" s="5" t="s">
        <v>238</v>
      </c>
      <c r="BC203" s="5" t="s">
        <v>253</v>
      </c>
      <c r="BD203" s="5" t="s">
        <v>238</v>
      </c>
      <c r="BF203" s="5" t="s">
        <v>760</v>
      </c>
      <c r="BH203" s="5" t="s">
        <v>283</v>
      </c>
      <c r="BI203" s="6" t="s">
        <v>293</v>
      </c>
      <c r="BJ203" s="5" t="s">
        <v>255</v>
      </c>
      <c r="BK203" s="5" t="s">
        <v>256</v>
      </c>
      <c r="BL203" s="5" t="s">
        <v>238</v>
      </c>
      <c r="BM203" s="7">
        <f>0</f>
        <v>0</v>
      </c>
      <c r="BN203" s="8">
        <f>0</f>
        <v>0</v>
      </c>
      <c r="BO203" s="5" t="s">
        <v>257</v>
      </c>
      <c r="BP203" s="5" t="s">
        <v>258</v>
      </c>
      <c r="BQ203" s="5" t="s">
        <v>238</v>
      </c>
      <c r="BR203" s="5" t="s">
        <v>238</v>
      </c>
      <c r="BS203" s="5" t="s">
        <v>238</v>
      </c>
      <c r="BT203" s="5" t="s">
        <v>238</v>
      </c>
      <c r="CC203" s="5" t="s">
        <v>258</v>
      </c>
      <c r="CD203" s="5" t="s">
        <v>238</v>
      </c>
      <c r="CE203" s="5" t="s">
        <v>238</v>
      </c>
      <c r="CI203" s="5" t="s">
        <v>527</v>
      </c>
      <c r="CJ203" s="5" t="s">
        <v>260</v>
      </c>
      <c r="CK203" s="5" t="s">
        <v>238</v>
      </c>
      <c r="CM203" s="5" t="s">
        <v>908</v>
      </c>
      <c r="CN203" s="6" t="s">
        <v>262</v>
      </c>
      <c r="CO203" s="5" t="s">
        <v>263</v>
      </c>
      <c r="CP203" s="5" t="s">
        <v>264</v>
      </c>
      <c r="CQ203" s="5" t="s">
        <v>285</v>
      </c>
      <c r="CR203" s="5" t="s">
        <v>238</v>
      </c>
      <c r="CS203" s="5">
        <v>0</v>
      </c>
      <c r="CT203" s="5" t="s">
        <v>265</v>
      </c>
      <c r="CU203" s="5" t="s">
        <v>266</v>
      </c>
      <c r="CV203" s="5" t="s">
        <v>267</v>
      </c>
      <c r="CW203" s="7">
        <f>0</f>
        <v>0</v>
      </c>
      <c r="CX203" s="8">
        <f>1192200</f>
        <v>1192200</v>
      </c>
      <c r="CY203" s="8">
        <f>1</f>
        <v>1</v>
      </c>
      <c r="DA203" s="5" t="s">
        <v>238</v>
      </c>
      <c r="DB203" s="5" t="s">
        <v>238</v>
      </c>
      <c r="DD203" s="5" t="s">
        <v>238</v>
      </c>
      <c r="DE203" s="8">
        <f>0</f>
        <v>0</v>
      </c>
      <c r="DG203" s="5" t="s">
        <v>238</v>
      </c>
      <c r="DH203" s="5" t="s">
        <v>238</v>
      </c>
      <c r="DI203" s="5" t="s">
        <v>238</v>
      </c>
      <c r="DJ203" s="5" t="s">
        <v>238</v>
      </c>
      <c r="DK203" s="5" t="s">
        <v>271</v>
      </c>
      <c r="DL203" s="5" t="s">
        <v>272</v>
      </c>
      <c r="DM203" s="7">
        <f>19.87</f>
        <v>19.87</v>
      </c>
      <c r="DN203" s="5" t="s">
        <v>238</v>
      </c>
      <c r="DO203" s="5" t="s">
        <v>238</v>
      </c>
      <c r="DP203" s="5" t="s">
        <v>238</v>
      </c>
      <c r="DQ203" s="5" t="s">
        <v>238</v>
      </c>
      <c r="DT203" s="5" t="s">
        <v>3307</v>
      </c>
      <c r="DU203" s="5" t="s">
        <v>271</v>
      </c>
      <c r="HM203" s="5" t="s">
        <v>271</v>
      </c>
      <c r="HP203" s="5" t="s">
        <v>272</v>
      </c>
      <c r="HQ203" s="5" t="s">
        <v>272</v>
      </c>
      <c r="HR203" s="5" t="s">
        <v>238</v>
      </c>
      <c r="HS203" s="5" t="s">
        <v>238</v>
      </c>
      <c r="HT203" s="5" t="s">
        <v>238</v>
      </c>
      <c r="HU203" s="5" t="s">
        <v>238</v>
      </c>
      <c r="HV203" s="5" t="s">
        <v>238</v>
      </c>
      <c r="HW203" s="5" t="s">
        <v>238</v>
      </c>
      <c r="HX203" s="5" t="s">
        <v>238</v>
      </c>
      <c r="HY203" s="5" t="s">
        <v>238</v>
      </c>
      <c r="HZ203" s="5" t="s">
        <v>238</v>
      </c>
      <c r="IA203" s="5" t="s">
        <v>238</v>
      </c>
      <c r="IB203" s="5" t="s">
        <v>238</v>
      </c>
      <c r="IC203" s="5" t="s">
        <v>238</v>
      </c>
      <c r="ID203" s="5" t="s">
        <v>238</v>
      </c>
    </row>
    <row r="204" spans="1:238" x14ac:dyDescent="0.4">
      <c r="A204" s="5">
        <v>218</v>
      </c>
      <c r="B204" s="5">
        <v>1</v>
      </c>
      <c r="C204" s="5">
        <v>2</v>
      </c>
      <c r="D204" s="5" t="s">
        <v>3301</v>
      </c>
      <c r="E204" s="5" t="s">
        <v>751</v>
      </c>
      <c r="F204" s="5" t="s">
        <v>282</v>
      </c>
      <c r="G204" s="5" t="s">
        <v>752</v>
      </c>
      <c r="H204" s="6" t="s">
        <v>3302</v>
      </c>
      <c r="I204" s="5" t="s">
        <v>3300</v>
      </c>
      <c r="J204" s="7">
        <f>21.12</f>
        <v>21.12</v>
      </c>
      <c r="K204" s="5" t="s">
        <v>270</v>
      </c>
      <c r="L204" s="8">
        <f>1</f>
        <v>1</v>
      </c>
      <c r="M204" s="8">
        <f>1478400</f>
        <v>1478400</v>
      </c>
      <c r="N204" s="6" t="s">
        <v>906</v>
      </c>
      <c r="O204" s="5" t="s">
        <v>755</v>
      </c>
      <c r="P204" s="5" t="s">
        <v>909</v>
      </c>
      <c r="R204" s="8">
        <f>1478399</f>
        <v>1478399</v>
      </c>
      <c r="S204" s="5" t="s">
        <v>240</v>
      </c>
      <c r="T204" s="5" t="s">
        <v>237</v>
      </c>
      <c r="W204" s="5" t="s">
        <v>241</v>
      </c>
      <c r="X204" s="5" t="s">
        <v>750</v>
      </c>
      <c r="Y204" s="5" t="s">
        <v>238</v>
      </c>
      <c r="AB204" s="5" t="s">
        <v>238</v>
      </c>
      <c r="AC204" s="6" t="s">
        <v>238</v>
      </c>
      <c r="AD204" s="6" t="s">
        <v>238</v>
      </c>
      <c r="AF204" s="6" t="s">
        <v>238</v>
      </c>
      <c r="AG204" s="6" t="s">
        <v>246</v>
      </c>
      <c r="AH204" s="5" t="s">
        <v>247</v>
      </c>
      <c r="AI204" s="5" t="s">
        <v>248</v>
      </c>
      <c r="AT204" s="6" t="s">
        <v>238</v>
      </c>
      <c r="AW204" s="5" t="s">
        <v>304</v>
      </c>
      <c r="AX204" s="5" t="s">
        <v>304</v>
      </c>
      <c r="AY204" s="5" t="s">
        <v>250</v>
      </c>
      <c r="AZ204" s="5" t="s">
        <v>305</v>
      </c>
      <c r="BA204" s="5" t="s">
        <v>251</v>
      </c>
      <c r="BB204" s="5" t="s">
        <v>238</v>
      </c>
      <c r="BC204" s="5" t="s">
        <v>253</v>
      </c>
      <c r="BD204" s="5" t="s">
        <v>238</v>
      </c>
      <c r="BF204" s="5" t="s">
        <v>760</v>
      </c>
      <c r="BH204" s="5" t="s">
        <v>283</v>
      </c>
      <c r="BI204" s="6" t="s">
        <v>293</v>
      </c>
      <c r="BJ204" s="5" t="s">
        <v>255</v>
      </c>
      <c r="BK204" s="5" t="s">
        <v>256</v>
      </c>
      <c r="BL204" s="5" t="s">
        <v>238</v>
      </c>
      <c r="BM204" s="7">
        <f>0</f>
        <v>0</v>
      </c>
      <c r="BN204" s="8">
        <f>0</f>
        <v>0</v>
      </c>
      <c r="BO204" s="5" t="s">
        <v>257</v>
      </c>
      <c r="BP204" s="5" t="s">
        <v>258</v>
      </c>
      <c r="BQ204" s="5" t="s">
        <v>238</v>
      </c>
      <c r="BR204" s="5" t="s">
        <v>238</v>
      </c>
      <c r="BS204" s="5" t="s">
        <v>238</v>
      </c>
      <c r="BT204" s="5" t="s">
        <v>238</v>
      </c>
      <c r="CC204" s="5" t="s">
        <v>258</v>
      </c>
      <c r="CD204" s="5" t="s">
        <v>238</v>
      </c>
      <c r="CE204" s="5" t="s">
        <v>238</v>
      </c>
      <c r="CI204" s="5" t="s">
        <v>527</v>
      </c>
      <c r="CJ204" s="5" t="s">
        <v>260</v>
      </c>
      <c r="CK204" s="5" t="s">
        <v>238</v>
      </c>
      <c r="CM204" s="5" t="s">
        <v>908</v>
      </c>
      <c r="CN204" s="6" t="s">
        <v>262</v>
      </c>
      <c r="CO204" s="5" t="s">
        <v>263</v>
      </c>
      <c r="CP204" s="5" t="s">
        <v>264</v>
      </c>
      <c r="CQ204" s="5" t="s">
        <v>285</v>
      </c>
      <c r="CR204" s="5" t="s">
        <v>238</v>
      </c>
      <c r="CS204" s="5">
        <v>0</v>
      </c>
      <c r="CT204" s="5" t="s">
        <v>265</v>
      </c>
      <c r="CU204" s="5" t="s">
        <v>266</v>
      </c>
      <c r="CV204" s="5" t="s">
        <v>754</v>
      </c>
      <c r="CW204" s="7">
        <f>0</f>
        <v>0</v>
      </c>
      <c r="CX204" s="8">
        <f>1478400</f>
        <v>1478400</v>
      </c>
      <c r="CY204" s="8">
        <f>1</f>
        <v>1</v>
      </c>
      <c r="DA204" s="5" t="s">
        <v>238</v>
      </c>
      <c r="DB204" s="5" t="s">
        <v>238</v>
      </c>
      <c r="DD204" s="5" t="s">
        <v>238</v>
      </c>
      <c r="DE204" s="8">
        <f>0</f>
        <v>0</v>
      </c>
      <c r="DG204" s="5" t="s">
        <v>238</v>
      </c>
      <c r="DH204" s="5" t="s">
        <v>238</v>
      </c>
      <c r="DI204" s="5" t="s">
        <v>238</v>
      </c>
      <c r="DJ204" s="5" t="s">
        <v>238</v>
      </c>
      <c r="DK204" s="5" t="s">
        <v>271</v>
      </c>
      <c r="DL204" s="5" t="s">
        <v>272</v>
      </c>
      <c r="DM204" s="7">
        <f>21.12</f>
        <v>21.12</v>
      </c>
      <c r="DN204" s="5" t="s">
        <v>238</v>
      </c>
      <c r="DO204" s="5" t="s">
        <v>238</v>
      </c>
      <c r="DP204" s="5" t="s">
        <v>238</v>
      </c>
      <c r="DQ204" s="5" t="s">
        <v>238</v>
      </c>
      <c r="DT204" s="5" t="s">
        <v>3303</v>
      </c>
      <c r="DU204" s="5" t="s">
        <v>271</v>
      </c>
      <c r="HM204" s="5" t="s">
        <v>271</v>
      </c>
      <c r="HP204" s="5" t="s">
        <v>272</v>
      </c>
      <c r="HQ204" s="5" t="s">
        <v>272</v>
      </c>
      <c r="HR204" s="5" t="s">
        <v>238</v>
      </c>
      <c r="HS204" s="5" t="s">
        <v>238</v>
      </c>
      <c r="HT204" s="5" t="s">
        <v>238</v>
      </c>
      <c r="HU204" s="5" t="s">
        <v>238</v>
      </c>
      <c r="HV204" s="5" t="s">
        <v>238</v>
      </c>
      <c r="HW204" s="5" t="s">
        <v>238</v>
      </c>
      <c r="HX204" s="5" t="s">
        <v>238</v>
      </c>
      <c r="HY204" s="5" t="s">
        <v>238</v>
      </c>
      <c r="HZ204" s="5" t="s">
        <v>238</v>
      </c>
      <c r="IA204" s="5" t="s">
        <v>238</v>
      </c>
      <c r="IB204" s="5" t="s">
        <v>238</v>
      </c>
      <c r="IC204" s="5" t="s">
        <v>238</v>
      </c>
      <c r="ID204" s="5" t="s">
        <v>238</v>
      </c>
    </row>
    <row r="205" spans="1:238" x14ac:dyDescent="0.4">
      <c r="A205" s="5">
        <v>219</v>
      </c>
      <c r="B205" s="5">
        <v>1</v>
      </c>
      <c r="C205" s="5">
        <v>2</v>
      </c>
      <c r="D205" s="5" t="s">
        <v>3297</v>
      </c>
      <c r="E205" s="5" t="s">
        <v>751</v>
      </c>
      <c r="F205" s="5" t="s">
        <v>282</v>
      </c>
      <c r="G205" s="5" t="s">
        <v>752</v>
      </c>
      <c r="H205" s="6" t="s">
        <v>3298</v>
      </c>
      <c r="I205" s="5" t="s">
        <v>3296</v>
      </c>
      <c r="J205" s="7">
        <f>19.87</f>
        <v>19.87</v>
      </c>
      <c r="K205" s="5" t="s">
        <v>270</v>
      </c>
      <c r="L205" s="8">
        <f>1</f>
        <v>1</v>
      </c>
      <c r="M205" s="8">
        <f>1192200</f>
        <v>1192200</v>
      </c>
      <c r="N205" s="6" t="s">
        <v>906</v>
      </c>
      <c r="O205" s="5" t="s">
        <v>268</v>
      </c>
      <c r="P205" s="5" t="s">
        <v>909</v>
      </c>
      <c r="R205" s="8">
        <f>1192199</f>
        <v>1192199</v>
      </c>
      <c r="S205" s="5" t="s">
        <v>240</v>
      </c>
      <c r="T205" s="5" t="s">
        <v>237</v>
      </c>
      <c r="W205" s="5" t="s">
        <v>241</v>
      </c>
      <c r="X205" s="5" t="s">
        <v>750</v>
      </c>
      <c r="Y205" s="5" t="s">
        <v>238</v>
      </c>
      <c r="AB205" s="5" t="s">
        <v>238</v>
      </c>
      <c r="AC205" s="6" t="s">
        <v>238</v>
      </c>
      <c r="AD205" s="6" t="s">
        <v>238</v>
      </c>
      <c r="AF205" s="6" t="s">
        <v>238</v>
      </c>
      <c r="AG205" s="6" t="s">
        <v>246</v>
      </c>
      <c r="AH205" s="5" t="s">
        <v>247</v>
      </c>
      <c r="AI205" s="5" t="s">
        <v>248</v>
      </c>
      <c r="AT205" s="6" t="s">
        <v>238</v>
      </c>
      <c r="AW205" s="5" t="s">
        <v>304</v>
      </c>
      <c r="AX205" s="5" t="s">
        <v>304</v>
      </c>
      <c r="AY205" s="5" t="s">
        <v>250</v>
      </c>
      <c r="AZ205" s="5" t="s">
        <v>305</v>
      </c>
      <c r="BA205" s="5" t="s">
        <v>251</v>
      </c>
      <c r="BB205" s="5" t="s">
        <v>238</v>
      </c>
      <c r="BC205" s="5" t="s">
        <v>253</v>
      </c>
      <c r="BD205" s="5" t="s">
        <v>238</v>
      </c>
      <c r="BF205" s="5" t="s">
        <v>760</v>
      </c>
      <c r="BH205" s="5" t="s">
        <v>283</v>
      </c>
      <c r="BI205" s="6" t="s">
        <v>293</v>
      </c>
      <c r="BJ205" s="5" t="s">
        <v>255</v>
      </c>
      <c r="BK205" s="5" t="s">
        <v>256</v>
      </c>
      <c r="BL205" s="5" t="s">
        <v>238</v>
      </c>
      <c r="BM205" s="7">
        <f>0</f>
        <v>0</v>
      </c>
      <c r="BN205" s="8">
        <f>0</f>
        <v>0</v>
      </c>
      <c r="BO205" s="5" t="s">
        <v>257</v>
      </c>
      <c r="BP205" s="5" t="s">
        <v>258</v>
      </c>
      <c r="BQ205" s="5" t="s">
        <v>238</v>
      </c>
      <c r="BR205" s="5" t="s">
        <v>238</v>
      </c>
      <c r="BS205" s="5" t="s">
        <v>238</v>
      </c>
      <c r="BT205" s="5" t="s">
        <v>238</v>
      </c>
      <c r="CC205" s="5" t="s">
        <v>258</v>
      </c>
      <c r="CD205" s="5" t="s">
        <v>238</v>
      </c>
      <c r="CE205" s="5" t="s">
        <v>238</v>
      </c>
      <c r="CI205" s="5" t="s">
        <v>527</v>
      </c>
      <c r="CJ205" s="5" t="s">
        <v>260</v>
      </c>
      <c r="CK205" s="5" t="s">
        <v>238</v>
      </c>
      <c r="CM205" s="5" t="s">
        <v>908</v>
      </c>
      <c r="CN205" s="6" t="s">
        <v>262</v>
      </c>
      <c r="CO205" s="5" t="s">
        <v>263</v>
      </c>
      <c r="CP205" s="5" t="s">
        <v>264</v>
      </c>
      <c r="CQ205" s="5" t="s">
        <v>285</v>
      </c>
      <c r="CR205" s="5" t="s">
        <v>238</v>
      </c>
      <c r="CS205" s="5">
        <v>0</v>
      </c>
      <c r="CT205" s="5" t="s">
        <v>265</v>
      </c>
      <c r="CU205" s="5" t="s">
        <v>266</v>
      </c>
      <c r="CV205" s="5" t="s">
        <v>267</v>
      </c>
      <c r="CW205" s="7">
        <f>0</f>
        <v>0</v>
      </c>
      <c r="CX205" s="8">
        <f>1192200</f>
        <v>1192200</v>
      </c>
      <c r="CY205" s="8">
        <f>1</f>
        <v>1</v>
      </c>
      <c r="DA205" s="5" t="s">
        <v>238</v>
      </c>
      <c r="DB205" s="5" t="s">
        <v>238</v>
      </c>
      <c r="DD205" s="5" t="s">
        <v>238</v>
      </c>
      <c r="DE205" s="8">
        <f>0</f>
        <v>0</v>
      </c>
      <c r="DG205" s="5" t="s">
        <v>238</v>
      </c>
      <c r="DH205" s="5" t="s">
        <v>238</v>
      </c>
      <c r="DI205" s="5" t="s">
        <v>238</v>
      </c>
      <c r="DJ205" s="5" t="s">
        <v>238</v>
      </c>
      <c r="DK205" s="5" t="s">
        <v>271</v>
      </c>
      <c r="DL205" s="5" t="s">
        <v>272</v>
      </c>
      <c r="DM205" s="7">
        <f>19.87</f>
        <v>19.87</v>
      </c>
      <c r="DN205" s="5" t="s">
        <v>238</v>
      </c>
      <c r="DO205" s="5" t="s">
        <v>238</v>
      </c>
      <c r="DP205" s="5" t="s">
        <v>238</v>
      </c>
      <c r="DQ205" s="5" t="s">
        <v>238</v>
      </c>
      <c r="DT205" s="5" t="s">
        <v>3299</v>
      </c>
      <c r="DU205" s="5" t="s">
        <v>271</v>
      </c>
      <c r="HM205" s="5" t="s">
        <v>271</v>
      </c>
      <c r="HP205" s="5" t="s">
        <v>272</v>
      </c>
      <c r="HQ205" s="5" t="s">
        <v>272</v>
      </c>
      <c r="HR205" s="5" t="s">
        <v>238</v>
      </c>
      <c r="HS205" s="5" t="s">
        <v>238</v>
      </c>
      <c r="HT205" s="5" t="s">
        <v>238</v>
      </c>
      <c r="HU205" s="5" t="s">
        <v>238</v>
      </c>
      <c r="HV205" s="5" t="s">
        <v>238</v>
      </c>
      <c r="HW205" s="5" t="s">
        <v>238</v>
      </c>
      <c r="HX205" s="5" t="s">
        <v>238</v>
      </c>
      <c r="HY205" s="5" t="s">
        <v>238</v>
      </c>
      <c r="HZ205" s="5" t="s">
        <v>238</v>
      </c>
      <c r="IA205" s="5" t="s">
        <v>238</v>
      </c>
      <c r="IB205" s="5" t="s">
        <v>238</v>
      </c>
      <c r="IC205" s="5" t="s">
        <v>238</v>
      </c>
      <c r="ID205" s="5" t="s">
        <v>238</v>
      </c>
    </row>
    <row r="206" spans="1:238" x14ac:dyDescent="0.4">
      <c r="A206" s="5">
        <v>221</v>
      </c>
      <c r="B206" s="5">
        <v>1</v>
      </c>
      <c r="C206" s="5">
        <v>5</v>
      </c>
      <c r="D206" s="5" t="s">
        <v>3740</v>
      </c>
      <c r="E206" s="5" t="s">
        <v>751</v>
      </c>
      <c r="F206" s="5" t="s">
        <v>282</v>
      </c>
      <c r="G206" s="5" t="s">
        <v>752</v>
      </c>
      <c r="H206" s="6" t="s">
        <v>3741</v>
      </c>
      <c r="I206" s="5" t="s">
        <v>3739</v>
      </c>
      <c r="J206" s="7">
        <f>19.37</f>
        <v>19.37</v>
      </c>
      <c r="K206" s="5" t="s">
        <v>270</v>
      </c>
      <c r="L206" s="8">
        <f>5086728</f>
        <v>5086728</v>
      </c>
      <c r="M206" s="8">
        <f>5873818</f>
        <v>5873818</v>
      </c>
      <c r="N206" s="6" t="s">
        <v>2976</v>
      </c>
      <c r="O206" s="5" t="s">
        <v>268</v>
      </c>
      <c r="P206" s="5" t="s">
        <v>272</v>
      </c>
      <c r="Q206" s="8">
        <f>5873817</f>
        <v>5873817</v>
      </c>
      <c r="R206" s="8">
        <f>787090</f>
        <v>787090</v>
      </c>
      <c r="S206" s="5" t="s">
        <v>240</v>
      </c>
      <c r="T206" s="5" t="s">
        <v>237</v>
      </c>
      <c r="W206" s="5" t="s">
        <v>241</v>
      </c>
      <c r="X206" s="5" t="s">
        <v>750</v>
      </c>
      <c r="Y206" s="5" t="s">
        <v>238</v>
      </c>
      <c r="AB206" s="5" t="s">
        <v>238</v>
      </c>
      <c r="AC206" s="6" t="s">
        <v>238</v>
      </c>
      <c r="AD206" s="6" t="s">
        <v>238</v>
      </c>
      <c r="AF206" s="6" t="s">
        <v>238</v>
      </c>
      <c r="AG206" s="6" t="s">
        <v>246</v>
      </c>
      <c r="AH206" s="5" t="s">
        <v>247</v>
      </c>
      <c r="AI206" s="5" t="s">
        <v>248</v>
      </c>
      <c r="AO206" s="5" t="s">
        <v>238</v>
      </c>
      <c r="AP206" s="5" t="s">
        <v>238</v>
      </c>
      <c r="AQ206" s="5" t="s">
        <v>238</v>
      </c>
      <c r="AR206" s="6" t="s">
        <v>238</v>
      </c>
      <c r="AS206" s="6" t="s">
        <v>238</v>
      </c>
      <c r="AT206" s="6" t="s">
        <v>238</v>
      </c>
      <c r="AW206" s="5" t="s">
        <v>304</v>
      </c>
      <c r="AX206" s="5" t="s">
        <v>304</v>
      </c>
      <c r="AY206" s="5" t="s">
        <v>250</v>
      </c>
      <c r="AZ206" s="5" t="s">
        <v>305</v>
      </c>
      <c r="BA206" s="5" t="s">
        <v>251</v>
      </c>
      <c r="BB206" s="5" t="s">
        <v>238</v>
      </c>
      <c r="BC206" s="5" t="s">
        <v>253</v>
      </c>
      <c r="BD206" s="5" t="s">
        <v>238</v>
      </c>
      <c r="BF206" s="5" t="s">
        <v>238</v>
      </c>
      <c r="BH206" s="5" t="s">
        <v>283</v>
      </c>
      <c r="BI206" s="6" t="s">
        <v>293</v>
      </c>
      <c r="BJ206" s="5" t="s">
        <v>294</v>
      </c>
      <c r="BK206" s="5" t="s">
        <v>294</v>
      </c>
      <c r="BL206" s="5" t="s">
        <v>238</v>
      </c>
      <c r="BM206" s="7">
        <f>0</f>
        <v>0</v>
      </c>
      <c r="BN206" s="8">
        <f>-393545</f>
        <v>-393545</v>
      </c>
      <c r="BO206" s="5" t="s">
        <v>257</v>
      </c>
      <c r="BP206" s="5" t="s">
        <v>258</v>
      </c>
      <c r="BQ206" s="5" t="s">
        <v>238</v>
      </c>
      <c r="BR206" s="5" t="s">
        <v>238</v>
      </c>
      <c r="BS206" s="5" t="s">
        <v>238</v>
      </c>
      <c r="BT206" s="5" t="s">
        <v>238</v>
      </c>
      <c r="CC206" s="5" t="s">
        <v>258</v>
      </c>
      <c r="CD206" s="5" t="s">
        <v>238</v>
      </c>
      <c r="CE206" s="5" t="s">
        <v>238</v>
      </c>
      <c r="CI206" s="5" t="s">
        <v>259</v>
      </c>
      <c r="CJ206" s="5" t="s">
        <v>260</v>
      </c>
      <c r="CK206" s="5" t="s">
        <v>238</v>
      </c>
      <c r="CM206" s="5" t="s">
        <v>408</v>
      </c>
      <c r="CN206" s="6" t="s">
        <v>262</v>
      </c>
      <c r="CO206" s="5" t="s">
        <v>263</v>
      </c>
      <c r="CP206" s="5" t="s">
        <v>264</v>
      </c>
      <c r="CQ206" s="5" t="s">
        <v>285</v>
      </c>
      <c r="CR206" s="5" t="s">
        <v>238</v>
      </c>
      <c r="CS206" s="5">
        <v>6.7000000000000004E-2</v>
      </c>
      <c r="CT206" s="5" t="s">
        <v>265</v>
      </c>
      <c r="CU206" s="5" t="s">
        <v>266</v>
      </c>
      <c r="CV206" s="5" t="s">
        <v>267</v>
      </c>
      <c r="CW206" s="7">
        <f>0</f>
        <v>0</v>
      </c>
      <c r="CX206" s="8">
        <f>5873818</f>
        <v>5873818</v>
      </c>
      <c r="CY206" s="8">
        <f>5086728</f>
        <v>5086728</v>
      </c>
      <c r="DA206" s="5" t="s">
        <v>238</v>
      </c>
      <c r="DB206" s="5" t="s">
        <v>238</v>
      </c>
      <c r="DD206" s="5" t="s">
        <v>238</v>
      </c>
      <c r="DE206" s="8">
        <f>0</f>
        <v>0</v>
      </c>
      <c r="DG206" s="5" t="s">
        <v>238</v>
      </c>
      <c r="DH206" s="5" t="s">
        <v>238</v>
      </c>
      <c r="DI206" s="5" t="s">
        <v>238</v>
      </c>
      <c r="DJ206" s="5" t="s">
        <v>238</v>
      </c>
      <c r="DK206" s="5" t="s">
        <v>272</v>
      </c>
      <c r="DL206" s="5" t="s">
        <v>272</v>
      </c>
      <c r="DM206" s="8" t="s">
        <v>238</v>
      </c>
      <c r="DN206" s="5" t="s">
        <v>238</v>
      </c>
      <c r="DO206" s="5" t="s">
        <v>238</v>
      </c>
      <c r="DP206" s="5" t="s">
        <v>238</v>
      </c>
      <c r="DQ206" s="5" t="s">
        <v>238</v>
      </c>
      <c r="DT206" s="5" t="s">
        <v>3742</v>
      </c>
      <c r="DU206" s="5" t="s">
        <v>274</v>
      </c>
      <c r="GL206" s="5" t="s">
        <v>3743</v>
      </c>
      <c r="HM206" s="5" t="s">
        <v>274</v>
      </c>
      <c r="HP206" s="5" t="s">
        <v>272</v>
      </c>
      <c r="HQ206" s="5" t="s">
        <v>272</v>
      </c>
      <c r="HR206" s="5" t="s">
        <v>238</v>
      </c>
      <c r="HS206" s="5" t="s">
        <v>238</v>
      </c>
      <c r="HT206" s="5" t="s">
        <v>238</v>
      </c>
      <c r="HU206" s="5" t="s">
        <v>238</v>
      </c>
      <c r="HV206" s="5" t="s">
        <v>238</v>
      </c>
      <c r="HW206" s="5" t="s">
        <v>238</v>
      </c>
      <c r="HX206" s="5" t="s">
        <v>238</v>
      </c>
      <c r="HY206" s="5" t="s">
        <v>238</v>
      </c>
      <c r="HZ206" s="5" t="s">
        <v>238</v>
      </c>
      <c r="IA206" s="5" t="s">
        <v>238</v>
      </c>
      <c r="IB206" s="5" t="s">
        <v>238</v>
      </c>
      <c r="IC206" s="5" t="s">
        <v>238</v>
      </c>
      <c r="ID206" s="5" t="s">
        <v>238</v>
      </c>
    </row>
    <row r="207" spans="1:238" x14ac:dyDescent="0.4">
      <c r="A207" s="5">
        <v>222</v>
      </c>
      <c r="B207" s="5">
        <v>1</v>
      </c>
      <c r="C207" s="5">
        <v>6</v>
      </c>
      <c r="D207" s="5" t="s">
        <v>3735</v>
      </c>
      <c r="E207" s="5" t="s">
        <v>751</v>
      </c>
      <c r="F207" s="5" t="s">
        <v>282</v>
      </c>
      <c r="G207" s="5" t="s">
        <v>752</v>
      </c>
      <c r="H207" s="6" t="s">
        <v>3369</v>
      </c>
      <c r="I207" s="5" t="s">
        <v>1101</v>
      </c>
      <c r="J207" s="7">
        <f>1</f>
        <v>1</v>
      </c>
      <c r="K207" s="5" t="s">
        <v>270</v>
      </c>
      <c r="L207" s="8">
        <f>281078</f>
        <v>281078</v>
      </c>
      <c r="M207" s="8">
        <f>682227</f>
        <v>682227</v>
      </c>
      <c r="N207" s="6" t="s">
        <v>3736</v>
      </c>
      <c r="O207" s="5" t="s">
        <v>651</v>
      </c>
      <c r="P207" s="5" t="s">
        <v>395</v>
      </c>
      <c r="Q207" s="8">
        <f>52479</f>
        <v>52479</v>
      </c>
      <c r="R207" s="8">
        <f>401149</f>
        <v>401149</v>
      </c>
      <c r="S207" s="5" t="s">
        <v>240</v>
      </c>
      <c r="T207" s="5" t="s">
        <v>237</v>
      </c>
      <c r="W207" s="5" t="s">
        <v>241</v>
      </c>
      <c r="X207" s="5" t="s">
        <v>750</v>
      </c>
      <c r="Y207" s="5" t="s">
        <v>238</v>
      </c>
      <c r="AB207" s="5" t="s">
        <v>238</v>
      </c>
      <c r="AC207" s="6" t="s">
        <v>238</v>
      </c>
      <c r="AD207" s="6" t="s">
        <v>238</v>
      </c>
      <c r="AF207" s="6" t="s">
        <v>238</v>
      </c>
      <c r="AG207" s="6" t="s">
        <v>246</v>
      </c>
      <c r="AH207" s="5" t="s">
        <v>247</v>
      </c>
      <c r="AI207" s="5" t="s">
        <v>248</v>
      </c>
      <c r="AO207" s="5" t="s">
        <v>238</v>
      </c>
      <c r="AP207" s="5" t="s">
        <v>238</v>
      </c>
      <c r="AQ207" s="5" t="s">
        <v>238</v>
      </c>
      <c r="AR207" s="6" t="s">
        <v>238</v>
      </c>
      <c r="AS207" s="6" t="s">
        <v>238</v>
      </c>
      <c r="AT207" s="6" t="s">
        <v>238</v>
      </c>
      <c r="AW207" s="5" t="s">
        <v>304</v>
      </c>
      <c r="AX207" s="5" t="s">
        <v>304</v>
      </c>
      <c r="AY207" s="5" t="s">
        <v>250</v>
      </c>
      <c r="AZ207" s="5" t="s">
        <v>305</v>
      </c>
      <c r="BA207" s="5" t="s">
        <v>251</v>
      </c>
      <c r="BB207" s="5" t="s">
        <v>238</v>
      </c>
      <c r="BC207" s="5" t="s">
        <v>253</v>
      </c>
      <c r="BD207" s="5" t="s">
        <v>238</v>
      </c>
      <c r="BF207" s="5" t="s">
        <v>760</v>
      </c>
      <c r="BH207" s="5" t="s">
        <v>283</v>
      </c>
      <c r="BI207" s="6" t="s">
        <v>293</v>
      </c>
      <c r="BJ207" s="5" t="s">
        <v>294</v>
      </c>
      <c r="BK207" s="5" t="s">
        <v>294</v>
      </c>
      <c r="BL207" s="5" t="s">
        <v>238</v>
      </c>
      <c r="BM207" s="7">
        <f>0</f>
        <v>0</v>
      </c>
      <c r="BN207" s="8">
        <f>-28653</f>
        <v>-28653</v>
      </c>
      <c r="BO207" s="5" t="s">
        <v>257</v>
      </c>
      <c r="BP207" s="5" t="s">
        <v>258</v>
      </c>
      <c r="BQ207" s="5" t="s">
        <v>238</v>
      </c>
      <c r="BR207" s="5" t="s">
        <v>238</v>
      </c>
      <c r="BS207" s="5" t="s">
        <v>238</v>
      </c>
      <c r="BT207" s="5" t="s">
        <v>238</v>
      </c>
      <c r="CC207" s="5" t="s">
        <v>258</v>
      </c>
      <c r="CD207" s="5" t="s">
        <v>238</v>
      </c>
      <c r="CE207" s="5" t="s">
        <v>238</v>
      </c>
      <c r="CI207" s="5" t="s">
        <v>259</v>
      </c>
      <c r="CJ207" s="5" t="s">
        <v>260</v>
      </c>
      <c r="CK207" s="5" t="s">
        <v>238</v>
      </c>
      <c r="CM207" s="5" t="s">
        <v>393</v>
      </c>
      <c r="CN207" s="6" t="s">
        <v>262</v>
      </c>
      <c r="CO207" s="5" t="s">
        <v>263</v>
      </c>
      <c r="CP207" s="5" t="s">
        <v>264</v>
      </c>
      <c r="CQ207" s="5" t="s">
        <v>285</v>
      </c>
      <c r="CR207" s="5" t="s">
        <v>238</v>
      </c>
      <c r="CS207" s="5">
        <v>4.2000000000000003E-2</v>
      </c>
      <c r="CT207" s="5" t="s">
        <v>265</v>
      </c>
      <c r="CU207" s="5" t="s">
        <v>266</v>
      </c>
      <c r="CV207" s="5" t="s">
        <v>331</v>
      </c>
      <c r="CW207" s="7">
        <f>0</f>
        <v>0</v>
      </c>
      <c r="CX207" s="8">
        <f>1249500</f>
        <v>1249500</v>
      </c>
      <c r="CY207" s="8">
        <f>281078</f>
        <v>281078</v>
      </c>
      <c r="DA207" s="5" t="s">
        <v>238</v>
      </c>
      <c r="DB207" s="5" t="s">
        <v>238</v>
      </c>
      <c r="DD207" s="5" t="s">
        <v>238</v>
      </c>
      <c r="DE207" s="8">
        <f>0</f>
        <v>0</v>
      </c>
      <c r="DG207" s="5" t="s">
        <v>238</v>
      </c>
      <c r="DH207" s="5" t="s">
        <v>238</v>
      </c>
      <c r="DI207" s="5" t="s">
        <v>238</v>
      </c>
      <c r="DJ207" s="5" t="s">
        <v>238</v>
      </c>
      <c r="DK207" s="5" t="s">
        <v>271</v>
      </c>
      <c r="DL207" s="5" t="s">
        <v>272</v>
      </c>
      <c r="DM207" s="7">
        <f>23.98</f>
        <v>23.98</v>
      </c>
      <c r="DN207" s="5" t="s">
        <v>238</v>
      </c>
      <c r="DO207" s="5" t="s">
        <v>238</v>
      </c>
      <c r="DP207" s="5" t="s">
        <v>238</v>
      </c>
      <c r="DQ207" s="5" t="s">
        <v>238</v>
      </c>
      <c r="DT207" s="5" t="s">
        <v>3737</v>
      </c>
      <c r="DU207" s="5" t="s">
        <v>271</v>
      </c>
      <c r="GL207" s="5" t="s">
        <v>3738</v>
      </c>
      <c r="HM207" s="5" t="s">
        <v>313</v>
      </c>
      <c r="HP207" s="5" t="s">
        <v>272</v>
      </c>
      <c r="HQ207" s="5" t="s">
        <v>272</v>
      </c>
      <c r="HR207" s="5" t="s">
        <v>238</v>
      </c>
      <c r="HS207" s="5" t="s">
        <v>238</v>
      </c>
      <c r="HT207" s="5" t="s">
        <v>238</v>
      </c>
      <c r="HU207" s="5" t="s">
        <v>238</v>
      </c>
      <c r="HV207" s="5" t="s">
        <v>238</v>
      </c>
      <c r="HW207" s="5" t="s">
        <v>238</v>
      </c>
      <c r="HX207" s="5" t="s">
        <v>238</v>
      </c>
      <c r="HY207" s="5" t="s">
        <v>238</v>
      </c>
      <c r="HZ207" s="5" t="s">
        <v>238</v>
      </c>
      <c r="IA207" s="5" t="s">
        <v>238</v>
      </c>
      <c r="IB207" s="5" t="s">
        <v>238</v>
      </c>
      <c r="IC207" s="5" t="s">
        <v>238</v>
      </c>
      <c r="ID207" s="5" t="s">
        <v>238</v>
      </c>
    </row>
    <row r="208" spans="1:238" x14ac:dyDescent="0.4">
      <c r="A208" s="5">
        <v>223</v>
      </c>
      <c r="B208" s="5">
        <v>1</v>
      </c>
      <c r="C208" s="5">
        <v>5</v>
      </c>
      <c r="D208" s="5" t="s">
        <v>3731</v>
      </c>
      <c r="E208" s="5" t="s">
        <v>751</v>
      </c>
      <c r="F208" s="5" t="s">
        <v>282</v>
      </c>
      <c r="G208" s="5" t="s">
        <v>752</v>
      </c>
      <c r="H208" s="6" t="s">
        <v>3732</v>
      </c>
      <c r="I208" s="5" t="s">
        <v>3730</v>
      </c>
      <c r="J208" s="7">
        <f>26.08</f>
        <v>26.08</v>
      </c>
      <c r="K208" s="5" t="s">
        <v>270</v>
      </c>
      <c r="L208" s="8">
        <f>394095</f>
        <v>394095</v>
      </c>
      <c r="M208" s="8">
        <f>3055000</f>
        <v>3055000</v>
      </c>
      <c r="N208" s="6" t="s">
        <v>1340</v>
      </c>
      <c r="O208" s="5" t="s">
        <v>268</v>
      </c>
      <c r="P208" s="5" t="s">
        <v>371</v>
      </c>
      <c r="Q208" s="8">
        <f>204685</f>
        <v>204685</v>
      </c>
      <c r="R208" s="8">
        <f>2660905</f>
        <v>2660905</v>
      </c>
      <c r="S208" s="5" t="s">
        <v>240</v>
      </c>
      <c r="T208" s="5" t="s">
        <v>237</v>
      </c>
      <c r="W208" s="5" t="s">
        <v>241</v>
      </c>
      <c r="X208" s="5" t="s">
        <v>750</v>
      </c>
      <c r="Y208" s="5" t="s">
        <v>238</v>
      </c>
      <c r="AB208" s="5" t="s">
        <v>238</v>
      </c>
      <c r="AC208" s="6" t="s">
        <v>238</v>
      </c>
      <c r="AD208" s="6" t="s">
        <v>238</v>
      </c>
      <c r="AF208" s="6" t="s">
        <v>238</v>
      </c>
      <c r="AG208" s="6" t="s">
        <v>246</v>
      </c>
      <c r="AH208" s="5" t="s">
        <v>247</v>
      </c>
      <c r="AI208" s="5" t="s">
        <v>248</v>
      </c>
      <c r="AO208" s="5" t="s">
        <v>238</v>
      </c>
      <c r="AP208" s="5" t="s">
        <v>238</v>
      </c>
      <c r="AQ208" s="5" t="s">
        <v>238</v>
      </c>
      <c r="AR208" s="6" t="s">
        <v>238</v>
      </c>
      <c r="AS208" s="6" t="s">
        <v>238</v>
      </c>
      <c r="AT208" s="6" t="s">
        <v>238</v>
      </c>
      <c r="AW208" s="5" t="s">
        <v>304</v>
      </c>
      <c r="AX208" s="5" t="s">
        <v>304</v>
      </c>
      <c r="AY208" s="5" t="s">
        <v>250</v>
      </c>
      <c r="AZ208" s="5" t="s">
        <v>305</v>
      </c>
      <c r="BA208" s="5" t="s">
        <v>251</v>
      </c>
      <c r="BB208" s="5" t="s">
        <v>238</v>
      </c>
      <c r="BC208" s="5" t="s">
        <v>253</v>
      </c>
      <c r="BD208" s="5" t="s">
        <v>238</v>
      </c>
      <c r="BF208" s="5" t="s">
        <v>760</v>
      </c>
      <c r="BH208" s="5" t="s">
        <v>283</v>
      </c>
      <c r="BI208" s="6" t="s">
        <v>293</v>
      </c>
      <c r="BJ208" s="5" t="s">
        <v>294</v>
      </c>
      <c r="BK208" s="5" t="s">
        <v>294</v>
      </c>
      <c r="BL208" s="5" t="s">
        <v>238</v>
      </c>
      <c r="BM208" s="7">
        <f>0</f>
        <v>0</v>
      </c>
      <c r="BN208" s="8">
        <f>-204685</f>
        <v>-204685</v>
      </c>
      <c r="BO208" s="5" t="s">
        <v>257</v>
      </c>
      <c r="BP208" s="5" t="s">
        <v>258</v>
      </c>
      <c r="BQ208" s="5" t="s">
        <v>238</v>
      </c>
      <c r="BR208" s="5" t="s">
        <v>238</v>
      </c>
      <c r="BS208" s="5" t="s">
        <v>238</v>
      </c>
      <c r="BT208" s="5" t="s">
        <v>238</v>
      </c>
      <c r="CC208" s="5" t="s">
        <v>258</v>
      </c>
      <c r="CD208" s="5" t="s">
        <v>238</v>
      </c>
      <c r="CE208" s="5" t="s">
        <v>238</v>
      </c>
      <c r="CI208" s="5" t="s">
        <v>259</v>
      </c>
      <c r="CJ208" s="5" t="s">
        <v>260</v>
      </c>
      <c r="CK208" s="5" t="s">
        <v>238</v>
      </c>
      <c r="CM208" s="5" t="s">
        <v>732</v>
      </c>
      <c r="CN208" s="6" t="s">
        <v>262</v>
      </c>
      <c r="CO208" s="5" t="s">
        <v>263</v>
      </c>
      <c r="CP208" s="5" t="s">
        <v>264</v>
      </c>
      <c r="CQ208" s="5" t="s">
        <v>285</v>
      </c>
      <c r="CR208" s="5" t="s">
        <v>238</v>
      </c>
      <c r="CS208" s="5">
        <v>6.7000000000000004E-2</v>
      </c>
      <c r="CT208" s="5" t="s">
        <v>265</v>
      </c>
      <c r="CU208" s="5" t="s">
        <v>266</v>
      </c>
      <c r="CV208" s="5" t="s">
        <v>267</v>
      </c>
      <c r="CW208" s="7">
        <f>0</f>
        <v>0</v>
      </c>
      <c r="CX208" s="8">
        <f>3055000</f>
        <v>3055000</v>
      </c>
      <c r="CY208" s="8">
        <f>394095</f>
        <v>394095</v>
      </c>
      <c r="DA208" s="5" t="s">
        <v>238</v>
      </c>
      <c r="DB208" s="5" t="s">
        <v>238</v>
      </c>
      <c r="DD208" s="5" t="s">
        <v>238</v>
      </c>
      <c r="DE208" s="8">
        <f>0</f>
        <v>0</v>
      </c>
      <c r="DG208" s="5" t="s">
        <v>238</v>
      </c>
      <c r="DH208" s="5" t="s">
        <v>238</v>
      </c>
      <c r="DI208" s="5" t="s">
        <v>238</v>
      </c>
      <c r="DJ208" s="5" t="s">
        <v>238</v>
      </c>
      <c r="DK208" s="5" t="s">
        <v>271</v>
      </c>
      <c r="DL208" s="5" t="s">
        <v>272</v>
      </c>
      <c r="DM208" s="7">
        <f>26.08</f>
        <v>26.08</v>
      </c>
      <c r="DN208" s="5" t="s">
        <v>238</v>
      </c>
      <c r="DO208" s="5" t="s">
        <v>238</v>
      </c>
      <c r="DP208" s="5" t="s">
        <v>238</v>
      </c>
      <c r="DQ208" s="5" t="s">
        <v>238</v>
      </c>
      <c r="DT208" s="5" t="s">
        <v>3733</v>
      </c>
      <c r="DU208" s="5" t="s">
        <v>271</v>
      </c>
      <c r="GL208" s="5" t="s">
        <v>3734</v>
      </c>
      <c r="HM208" s="5" t="s">
        <v>313</v>
      </c>
      <c r="HP208" s="5" t="s">
        <v>272</v>
      </c>
      <c r="HQ208" s="5" t="s">
        <v>272</v>
      </c>
      <c r="HR208" s="5" t="s">
        <v>238</v>
      </c>
      <c r="HS208" s="5" t="s">
        <v>238</v>
      </c>
      <c r="HT208" s="5" t="s">
        <v>238</v>
      </c>
      <c r="HU208" s="5" t="s">
        <v>238</v>
      </c>
      <c r="HV208" s="5" t="s">
        <v>238</v>
      </c>
      <c r="HW208" s="5" t="s">
        <v>238</v>
      </c>
      <c r="HX208" s="5" t="s">
        <v>238</v>
      </c>
      <c r="HY208" s="5" t="s">
        <v>238</v>
      </c>
      <c r="HZ208" s="5" t="s">
        <v>238</v>
      </c>
      <c r="IA208" s="5" t="s">
        <v>238</v>
      </c>
      <c r="IB208" s="5" t="s">
        <v>238</v>
      </c>
      <c r="IC208" s="5" t="s">
        <v>238</v>
      </c>
      <c r="ID208" s="5" t="s">
        <v>238</v>
      </c>
    </row>
    <row r="209" spans="1:238" x14ac:dyDescent="0.4">
      <c r="A209" s="5">
        <v>224</v>
      </c>
      <c r="B209" s="5">
        <v>1</v>
      </c>
      <c r="C209" s="5">
        <v>5</v>
      </c>
      <c r="D209" s="5" t="s">
        <v>3725</v>
      </c>
      <c r="E209" s="5" t="s">
        <v>751</v>
      </c>
      <c r="F209" s="5" t="s">
        <v>282</v>
      </c>
      <c r="G209" s="5" t="s">
        <v>752</v>
      </c>
      <c r="H209" s="6" t="s">
        <v>3727</v>
      </c>
      <c r="I209" s="5" t="s">
        <v>3724</v>
      </c>
      <c r="J209" s="7">
        <f t="shared" ref="J209:J221" si="5">19.87</f>
        <v>19.87</v>
      </c>
      <c r="K209" s="5" t="s">
        <v>270</v>
      </c>
      <c r="L209" s="8">
        <f>613284</f>
        <v>613284</v>
      </c>
      <c r="M209" s="8">
        <f>3129000</f>
        <v>3129000</v>
      </c>
      <c r="N209" s="6" t="s">
        <v>3726</v>
      </c>
      <c r="O209" s="5" t="s">
        <v>268</v>
      </c>
      <c r="P209" s="5" t="s">
        <v>377</v>
      </c>
      <c r="Q209" s="8">
        <f>209643</f>
        <v>209643</v>
      </c>
      <c r="R209" s="8">
        <f>2515716</f>
        <v>2515716</v>
      </c>
      <c r="S209" s="5" t="s">
        <v>240</v>
      </c>
      <c r="T209" s="5" t="s">
        <v>237</v>
      </c>
      <c r="W209" s="5" t="s">
        <v>241</v>
      </c>
      <c r="X209" s="5" t="s">
        <v>750</v>
      </c>
      <c r="Y209" s="5" t="s">
        <v>238</v>
      </c>
      <c r="AB209" s="5" t="s">
        <v>238</v>
      </c>
      <c r="AC209" s="6" t="s">
        <v>238</v>
      </c>
      <c r="AD209" s="6" t="s">
        <v>238</v>
      </c>
      <c r="AF209" s="6" t="s">
        <v>238</v>
      </c>
      <c r="AG209" s="6" t="s">
        <v>246</v>
      </c>
      <c r="AH209" s="5" t="s">
        <v>247</v>
      </c>
      <c r="AI209" s="5" t="s">
        <v>248</v>
      </c>
      <c r="AO209" s="5" t="s">
        <v>238</v>
      </c>
      <c r="AP209" s="5" t="s">
        <v>238</v>
      </c>
      <c r="AQ209" s="5" t="s">
        <v>238</v>
      </c>
      <c r="AR209" s="6" t="s">
        <v>238</v>
      </c>
      <c r="AS209" s="6" t="s">
        <v>238</v>
      </c>
      <c r="AT209" s="6" t="s">
        <v>238</v>
      </c>
      <c r="AW209" s="5" t="s">
        <v>304</v>
      </c>
      <c r="AX209" s="5" t="s">
        <v>304</v>
      </c>
      <c r="AY209" s="5" t="s">
        <v>250</v>
      </c>
      <c r="AZ209" s="5" t="s">
        <v>305</v>
      </c>
      <c r="BA209" s="5" t="s">
        <v>251</v>
      </c>
      <c r="BB209" s="5" t="s">
        <v>238</v>
      </c>
      <c r="BC209" s="5" t="s">
        <v>253</v>
      </c>
      <c r="BD209" s="5" t="s">
        <v>238</v>
      </c>
      <c r="BF209" s="5" t="s">
        <v>760</v>
      </c>
      <c r="BH209" s="5" t="s">
        <v>283</v>
      </c>
      <c r="BI209" s="6" t="s">
        <v>293</v>
      </c>
      <c r="BJ209" s="5" t="s">
        <v>294</v>
      </c>
      <c r="BK209" s="5" t="s">
        <v>294</v>
      </c>
      <c r="BL209" s="5" t="s">
        <v>238</v>
      </c>
      <c r="BM209" s="7">
        <f>0</f>
        <v>0</v>
      </c>
      <c r="BN209" s="8">
        <f>-209643</f>
        <v>-209643</v>
      </c>
      <c r="BO209" s="5" t="s">
        <v>257</v>
      </c>
      <c r="BP209" s="5" t="s">
        <v>258</v>
      </c>
      <c r="BQ209" s="5" t="s">
        <v>238</v>
      </c>
      <c r="BR209" s="5" t="s">
        <v>238</v>
      </c>
      <c r="BS209" s="5" t="s">
        <v>238</v>
      </c>
      <c r="BT209" s="5" t="s">
        <v>238</v>
      </c>
      <c r="CC209" s="5" t="s">
        <v>258</v>
      </c>
      <c r="CD209" s="5" t="s">
        <v>238</v>
      </c>
      <c r="CE209" s="5" t="s">
        <v>238</v>
      </c>
      <c r="CI209" s="5" t="s">
        <v>259</v>
      </c>
      <c r="CJ209" s="5" t="s">
        <v>260</v>
      </c>
      <c r="CK209" s="5" t="s">
        <v>238</v>
      </c>
      <c r="CM209" s="5" t="s">
        <v>1955</v>
      </c>
      <c r="CN209" s="6" t="s">
        <v>262</v>
      </c>
      <c r="CO209" s="5" t="s">
        <v>263</v>
      </c>
      <c r="CP209" s="5" t="s">
        <v>264</v>
      </c>
      <c r="CQ209" s="5" t="s">
        <v>285</v>
      </c>
      <c r="CR209" s="5" t="s">
        <v>238</v>
      </c>
      <c r="CS209" s="5">
        <v>6.7000000000000004E-2</v>
      </c>
      <c r="CT209" s="5" t="s">
        <v>265</v>
      </c>
      <c r="CU209" s="5" t="s">
        <v>266</v>
      </c>
      <c r="CV209" s="5" t="s">
        <v>267</v>
      </c>
      <c r="CW209" s="7">
        <f>0</f>
        <v>0</v>
      </c>
      <c r="CX209" s="8">
        <f>3129000</f>
        <v>3129000</v>
      </c>
      <c r="CY209" s="8">
        <f>613284</f>
        <v>613284</v>
      </c>
      <c r="DA209" s="5" t="s">
        <v>238</v>
      </c>
      <c r="DB209" s="5" t="s">
        <v>238</v>
      </c>
      <c r="DD209" s="5" t="s">
        <v>238</v>
      </c>
      <c r="DE209" s="8">
        <f>0</f>
        <v>0</v>
      </c>
      <c r="DG209" s="5" t="s">
        <v>238</v>
      </c>
      <c r="DH209" s="5" t="s">
        <v>238</v>
      </c>
      <c r="DI209" s="5" t="s">
        <v>238</v>
      </c>
      <c r="DJ209" s="5" t="s">
        <v>238</v>
      </c>
      <c r="DK209" s="5" t="s">
        <v>271</v>
      </c>
      <c r="DL209" s="5" t="s">
        <v>272</v>
      </c>
      <c r="DM209" s="7">
        <f t="shared" ref="DM209:DM221" si="6">19.87</f>
        <v>19.87</v>
      </c>
      <c r="DN209" s="5" t="s">
        <v>238</v>
      </c>
      <c r="DO209" s="5" t="s">
        <v>238</v>
      </c>
      <c r="DP209" s="5" t="s">
        <v>238</v>
      </c>
      <c r="DQ209" s="5" t="s">
        <v>238</v>
      </c>
      <c r="DT209" s="5" t="s">
        <v>3728</v>
      </c>
      <c r="DU209" s="5" t="s">
        <v>271</v>
      </c>
      <c r="GL209" s="5" t="s">
        <v>3729</v>
      </c>
      <c r="HM209" s="5" t="s">
        <v>313</v>
      </c>
      <c r="HP209" s="5" t="s">
        <v>272</v>
      </c>
      <c r="HQ209" s="5" t="s">
        <v>272</v>
      </c>
      <c r="HR209" s="5" t="s">
        <v>238</v>
      </c>
      <c r="HS209" s="5" t="s">
        <v>238</v>
      </c>
      <c r="HT209" s="5" t="s">
        <v>238</v>
      </c>
      <c r="HU209" s="5" t="s">
        <v>238</v>
      </c>
      <c r="HV209" s="5" t="s">
        <v>238</v>
      </c>
      <c r="HW209" s="5" t="s">
        <v>238</v>
      </c>
      <c r="HX209" s="5" t="s">
        <v>238</v>
      </c>
      <c r="HY209" s="5" t="s">
        <v>238</v>
      </c>
      <c r="HZ209" s="5" t="s">
        <v>238</v>
      </c>
      <c r="IA209" s="5" t="s">
        <v>238</v>
      </c>
      <c r="IB209" s="5" t="s">
        <v>238</v>
      </c>
      <c r="IC209" s="5" t="s">
        <v>238</v>
      </c>
      <c r="ID209" s="5" t="s">
        <v>238</v>
      </c>
    </row>
    <row r="210" spans="1:238" x14ac:dyDescent="0.4">
      <c r="A210" s="5">
        <v>225</v>
      </c>
      <c r="B210" s="5">
        <v>1</v>
      </c>
      <c r="C210" s="5">
        <v>5</v>
      </c>
      <c r="D210" s="5" t="s">
        <v>3719</v>
      </c>
      <c r="E210" s="5" t="s">
        <v>751</v>
      </c>
      <c r="F210" s="5" t="s">
        <v>282</v>
      </c>
      <c r="G210" s="5" t="s">
        <v>752</v>
      </c>
      <c r="H210" s="6" t="s">
        <v>3721</v>
      </c>
      <c r="I210" s="5" t="s">
        <v>3718</v>
      </c>
      <c r="J210" s="7">
        <f t="shared" si="5"/>
        <v>19.87</v>
      </c>
      <c r="K210" s="5" t="s">
        <v>270</v>
      </c>
      <c r="L210" s="8">
        <f>621516</f>
        <v>621516</v>
      </c>
      <c r="M210" s="8">
        <f>3171000</f>
        <v>3171000</v>
      </c>
      <c r="N210" s="6" t="s">
        <v>3720</v>
      </c>
      <c r="O210" s="5" t="s">
        <v>268</v>
      </c>
      <c r="P210" s="5" t="s">
        <v>377</v>
      </c>
      <c r="Q210" s="8">
        <f>212457</f>
        <v>212457</v>
      </c>
      <c r="R210" s="8">
        <f>2549484</f>
        <v>2549484</v>
      </c>
      <c r="S210" s="5" t="s">
        <v>240</v>
      </c>
      <c r="T210" s="5" t="s">
        <v>237</v>
      </c>
      <c r="W210" s="5" t="s">
        <v>241</v>
      </c>
      <c r="X210" s="5" t="s">
        <v>750</v>
      </c>
      <c r="Y210" s="5" t="s">
        <v>238</v>
      </c>
      <c r="AB210" s="5" t="s">
        <v>238</v>
      </c>
      <c r="AC210" s="6" t="s">
        <v>238</v>
      </c>
      <c r="AD210" s="6" t="s">
        <v>238</v>
      </c>
      <c r="AF210" s="6" t="s">
        <v>238</v>
      </c>
      <c r="AG210" s="6" t="s">
        <v>246</v>
      </c>
      <c r="AH210" s="5" t="s">
        <v>247</v>
      </c>
      <c r="AI210" s="5" t="s">
        <v>248</v>
      </c>
      <c r="AO210" s="5" t="s">
        <v>238</v>
      </c>
      <c r="AP210" s="5" t="s">
        <v>238</v>
      </c>
      <c r="AQ210" s="5" t="s">
        <v>238</v>
      </c>
      <c r="AR210" s="6" t="s">
        <v>238</v>
      </c>
      <c r="AS210" s="6" t="s">
        <v>238</v>
      </c>
      <c r="AT210" s="6" t="s">
        <v>238</v>
      </c>
      <c r="AW210" s="5" t="s">
        <v>304</v>
      </c>
      <c r="AX210" s="5" t="s">
        <v>304</v>
      </c>
      <c r="AY210" s="5" t="s">
        <v>250</v>
      </c>
      <c r="AZ210" s="5" t="s">
        <v>305</v>
      </c>
      <c r="BA210" s="5" t="s">
        <v>251</v>
      </c>
      <c r="BB210" s="5" t="s">
        <v>238</v>
      </c>
      <c r="BC210" s="5" t="s">
        <v>253</v>
      </c>
      <c r="BD210" s="5" t="s">
        <v>238</v>
      </c>
      <c r="BF210" s="5" t="s">
        <v>760</v>
      </c>
      <c r="BH210" s="5" t="s">
        <v>283</v>
      </c>
      <c r="BI210" s="6" t="s">
        <v>293</v>
      </c>
      <c r="BJ210" s="5" t="s">
        <v>294</v>
      </c>
      <c r="BK210" s="5" t="s">
        <v>294</v>
      </c>
      <c r="BL210" s="5" t="s">
        <v>238</v>
      </c>
      <c r="BM210" s="7">
        <f>0</f>
        <v>0</v>
      </c>
      <c r="BN210" s="8">
        <f>-212457</f>
        <v>-212457</v>
      </c>
      <c r="BO210" s="5" t="s">
        <v>257</v>
      </c>
      <c r="BP210" s="5" t="s">
        <v>258</v>
      </c>
      <c r="BQ210" s="5" t="s">
        <v>238</v>
      </c>
      <c r="BR210" s="5" t="s">
        <v>238</v>
      </c>
      <c r="BS210" s="5" t="s">
        <v>238</v>
      </c>
      <c r="BT210" s="5" t="s">
        <v>238</v>
      </c>
      <c r="CC210" s="5" t="s">
        <v>258</v>
      </c>
      <c r="CD210" s="5" t="s">
        <v>238</v>
      </c>
      <c r="CE210" s="5" t="s">
        <v>238</v>
      </c>
      <c r="CI210" s="5" t="s">
        <v>259</v>
      </c>
      <c r="CJ210" s="5" t="s">
        <v>260</v>
      </c>
      <c r="CK210" s="5" t="s">
        <v>238</v>
      </c>
      <c r="CM210" s="5" t="s">
        <v>1955</v>
      </c>
      <c r="CN210" s="6" t="s">
        <v>262</v>
      </c>
      <c r="CO210" s="5" t="s">
        <v>263</v>
      </c>
      <c r="CP210" s="5" t="s">
        <v>264</v>
      </c>
      <c r="CQ210" s="5" t="s">
        <v>285</v>
      </c>
      <c r="CR210" s="5" t="s">
        <v>238</v>
      </c>
      <c r="CS210" s="5">
        <v>6.7000000000000004E-2</v>
      </c>
      <c r="CT210" s="5" t="s">
        <v>265</v>
      </c>
      <c r="CU210" s="5" t="s">
        <v>266</v>
      </c>
      <c r="CV210" s="5" t="s">
        <v>267</v>
      </c>
      <c r="CW210" s="7">
        <f>0</f>
        <v>0</v>
      </c>
      <c r="CX210" s="8">
        <f>3171000</f>
        <v>3171000</v>
      </c>
      <c r="CY210" s="8">
        <f>621516</f>
        <v>621516</v>
      </c>
      <c r="DA210" s="5" t="s">
        <v>238</v>
      </c>
      <c r="DB210" s="5" t="s">
        <v>238</v>
      </c>
      <c r="DD210" s="5" t="s">
        <v>238</v>
      </c>
      <c r="DE210" s="8">
        <f>0</f>
        <v>0</v>
      </c>
      <c r="DG210" s="5" t="s">
        <v>238</v>
      </c>
      <c r="DH210" s="5" t="s">
        <v>238</v>
      </c>
      <c r="DI210" s="5" t="s">
        <v>238</v>
      </c>
      <c r="DJ210" s="5" t="s">
        <v>238</v>
      </c>
      <c r="DK210" s="5" t="s">
        <v>271</v>
      </c>
      <c r="DL210" s="5" t="s">
        <v>272</v>
      </c>
      <c r="DM210" s="7">
        <f t="shared" si="6"/>
        <v>19.87</v>
      </c>
      <c r="DN210" s="5" t="s">
        <v>238</v>
      </c>
      <c r="DO210" s="5" t="s">
        <v>238</v>
      </c>
      <c r="DP210" s="5" t="s">
        <v>238</v>
      </c>
      <c r="DQ210" s="5" t="s">
        <v>238</v>
      </c>
      <c r="DT210" s="5" t="s">
        <v>3722</v>
      </c>
      <c r="DU210" s="5" t="s">
        <v>271</v>
      </c>
      <c r="GL210" s="5" t="s">
        <v>3723</v>
      </c>
      <c r="HM210" s="5" t="s">
        <v>313</v>
      </c>
      <c r="HP210" s="5" t="s">
        <v>272</v>
      </c>
      <c r="HQ210" s="5" t="s">
        <v>272</v>
      </c>
      <c r="HR210" s="5" t="s">
        <v>238</v>
      </c>
      <c r="HS210" s="5" t="s">
        <v>238</v>
      </c>
      <c r="HT210" s="5" t="s">
        <v>238</v>
      </c>
      <c r="HU210" s="5" t="s">
        <v>238</v>
      </c>
      <c r="HV210" s="5" t="s">
        <v>238</v>
      </c>
      <c r="HW210" s="5" t="s">
        <v>238</v>
      </c>
      <c r="HX210" s="5" t="s">
        <v>238</v>
      </c>
      <c r="HY210" s="5" t="s">
        <v>238</v>
      </c>
      <c r="HZ210" s="5" t="s">
        <v>238</v>
      </c>
      <c r="IA210" s="5" t="s">
        <v>238</v>
      </c>
      <c r="IB210" s="5" t="s">
        <v>238</v>
      </c>
      <c r="IC210" s="5" t="s">
        <v>238</v>
      </c>
      <c r="ID210" s="5" t="s">
        <v>238</v>
      </c>
    </row>
    <row r="211" spans="1:238" x14ac:dyDescent="0.4">
      <c r="A211" s="5">
        <v>226</v>
      </c>
      <c r="B211" s="5">
        <v>1</v>
      </c>
      <c r="C211" s="5">
        <v>5</v>
      </c>
      <c r="D211" s="5" t="s">
        <v>3715</v>
      </c>
      <c r="E211" s="5" t="s">
        <v>751</v>
      </c>
      <c r="F211" s="5" t="s">
        <v>282</v>
      </c>
      <c r="G211" s="5" t="s">
        <v>752</v>
      </c>
      <c r="H211" s="6" t="s">
        <v>936</v>
      </c>
      <c r="I211" s="5" t="s">
        <v>3714</v>
      </c>
      <c r="J211" s="7">
        <f t="shared" si="5"/>
        <v>19.87</v>
      </c>
      <c r="K211" s="5" t="s">
        <v>270</v>
      </c>
      <c r="L211" s="8">
        <f>1091480</f>
        <v>1091480</v>
      </c>
      <c r="M211" s="8">
        <f>3307500</f>
        <v>3307500</v>
      </c>
      <c r="N211" s="6" t="s">
        <v>3701</v>
      </c>
      <c r="O211" s="5" t="s">
        <v>268</v>
      </c>
      <c r="P211" s="5" t="s">
        <v>354</v>
      </c>
      <c r="Q211" s="8">
        <f>221602</f>
        <v>221602</v>
      </c>
      <c r="R211" s="8">
        <f>2216020</f>
        <v>2216020</v>
      </c>
      <c r="S211" s="5" t="s">
        <v>240</v>
      </c>
      <c r="T211" s="5" t="s">
        <v>237</v>
      </c>
      <c r="W211" s="5" t="s">
        <v>241</v>
      </c>
      <c r="X211" s="5" t="s">
        <v>750</v>
      </c>
      <c r="Y211" s="5" t="s">
        <v>238</v>
      </c>
      <c r="AB211" s="5" t="s">
        <v>238</v>
      </c>
      <c r="AC211" s="6" t="s">
        <v>238</v>
      </c>
      <c r="AD211" s="6" t="s">
        <v>238</v>
      </c>
      <c r="AF211" s="6" t="s">
        <v>238</v>
      </c>
      <c r="AG211" s="6" t="s">
        <v>246</v>
      </c>
      <c r="AH211" s="5" t="s">
        <v>247</v>
      </c>
      <c r="AI211" s="5" t="s">
        <v>248</v>
      </c>
      <c r="AO211" s="5" t="s">
        <v>238</v>
      </c>
      <c r="AP211" s="5" t="s">
        <v>238</v>
      </c>
      <c r="AQ211" s="5" t="s">
        <v>238</v>
      </c>
      <c r="AR211" s="6" t="s">
        <v>238</v>
      </c>
      <c r="AS211" s="6" t="s">
        <v>238</v>
      </c>
      <c r="AT211" s="6" t="s">
        <v>238</v>
      </c>
      <c r="AW211" s="5" t="s">
        <v>304</v>
      </c>
      <c r="AX211" s="5" t="s">
        <v>304</v>
      </c>
      <c r="AY211" s="5" t="s">
        <v>250</v>
      </c>
      <c r="AZ211" s="5" t="s">
        <v>305</v>
      </c>
      <c r="BA211" s="5" t="s">
        <v>251</v>
      </c>
      <c r="BB211" s="5" t="s">
        <v>238</v>
      </c>
      <c r="BC211" s="5" t="s">
        <v>253</v>
      </c>
      <c r="BD211" s="5" t="s">
        <v>238</v>
      </c>
      <c r="BF211" s="5" t="s">
        <v>238</v>
      </c>
      <c r="BH211" s="5" t="s">
        <v>283</v>
      </c>
      <c r="BI211" s="6" t="s">
        <v>293</v>
      </c>
      <c r="BJ211" s="5" t="s">
        <v>294</v>
      </c>
      <c r="BK211" s="5" t="s">
        <v>294</v>
      </c>
      <c r="BL211" s="5" t="s">
        <v>238</v>
      </c>
      <c r="BM211" s="7">
        <f>0</f>
        <v>0</v>
      </c>
      <c r="BN211" s="8">
        <f>-221602</f>
        <v>-221602</v>
      </c>
      <c r="BO211" s="5" t="s">
        <v>257</v>
      </c>
      <c r="BP211" s="5" t="s">
        <v>258</v>
      </c>
      <c r="BQ211" s="5" t="s">
        <v>238</v>
      </c>
      <c r="BR211" s="5" t="s">
        <v>238</v>
      </c>
      <c r="BS211" s="5" t="s">
        <v>238</v>
      </c>
      <c r="BT211" s="5" t="s">
        <v>238</v>
      </c>
      <c r="CC211" s="5" t="s">
        <v>258</v>
      </c>
      <c r="CD211" s="5" t="s">
        <v>238</v>
      </c>
      <c r="CE211" s="5" t="s">
        <v>238</v>
      </c>
      <c r="CI211" s="5" t="s">
        <v>259</v>
      </c>
      <c r="CJ211" s="5" t="s">
        <v>260</v>
      </c>
      <c r="CK211" s="5" t="s">
        <v>238</v>
      </c>
      <c r="CM211" s="5" t="s">
        <v>670</v>
      </c>
      <c r="CN211" s="6" t="s">
        <v>262</v>
      </c>
      <c r="CO211" s="5" t="s">
        <v>263</v>
      </c>
      <c r="CP211" s="5" t="s">
        <v>264</v>
      </c>
      <c r="CQ211" s="5" t="s">
        <v>285</v>
      </c>
      <c r="CR211" s="5" t="s">
        <v>238</v>
      </c>
      <c r="CS211" s="5">
        <v>6.7000000000000004E-2</v>
      </c>
      <c r="CT211" s="5" t="s">
        <v>265</v>
      </c>
      <c r="CU211" s="5" t="s">
        <v>266</v>
      </c>
      <c r="CV211" s="5" t="s">
        <v>267</v>
      </c>
      <c r="CW211" s="7">
        <f>0</f>
        <v>0</v>
      </c>
      <c r="CX211" s="8">
        <f>3307500</f>
        <v>3307500</v>
      </c>
      <c r="CY211" s="8">
        <f>1091480</f>
        <v>1091480</v>
      </c>
      <c r="DA211" s="5" t="s">
        <v>238</v>
      </c>
      <c r="DB211" s="5" t="s">
        <v>238</v>
      </c>
      <c r="DD211" s="5" t="s">
        <v>238</v>
      </c>
      <c r="DE211" s="8">
        <f>0</f>
        <v>0</v>
      </c>
      <c r="DG211" s="5" t="s">
        <v>238</v>
      </c>
      <c r="DH211" s="5" t="s">
        <v>238</v>
      </c>
      <c r="DI211" s="5" t="s">
        <v>238</v>
      </c>
      <c r="DJ211" s="5" t="s">
        <v>238</v>
      </c>
      <c r="DK211" s="5" t="s">
        <v>271</v>
      </c>
      <c r="DL211" s="5" t="s">
        <v>272</v>
      </c>
      <c r="DM211" s="7">
        <f t="shared" si="6"/>
        <v>19.87</v>
      </c>
      <c r="DN211" s="5" t="s">
        <v>238</v>
      </c>
      <c r="DO211" s="5" t="s">
        <v>238</v>
      </c>
      <c r="DP211" s="5" t="s">
        <v>238</v>
      </c>
      <c r="DQ211" s="5" t="s">
        <v>238</v>
      </c>
      <c r="DT211" s="5" t="s">
        <v>3716</v>
      </c>
      <c r="DU211" s="5" t="s">
        <v>271</v>
      </c>
      <c r="GL211" s="5" t="s">
        <v>3717</v>
      </c>
      <c r="HM211" s="5" t="s">
        <v>313</v>
      </c>
      <c r="HP211" s="5" t="s">
        <v>272</v>
      </c>
      <c r="HQ211" s="5" t="s">
        <v>272</v>
      </c>
      <c r="HR211" s="5" t="s">
        <v>238</v>
      </c>
      <c r="HS211" s="5" t="s">
        <v>238</v>
      </c>
      <c r="HT211" s="5" t="s">
        <v>238</v>
      </c>
      <c r="HU211" s="5" t="s">
        <v>238</v>
      </c>
      <c r="HV211" s="5" t="s">
        <v>238</v>
      </c>
      <c r="HW211" s="5" t="s">
        <v>238</v>
      </c>
      <c r="HX211" s="5" t="s">
        <v>238</v>
      </c>
      <c r="HY211" s="5" t="s">
        <v>238</v>
      </c>
      <c r="HZ211" s="5" t="s">
        <v>238</v>
      </c>
      <c r="IA211" s="5" t="s">
        <v>238</v>
      </c>
      <c r="IB211" s="5" t="s">
        <v>238</v>
      </c>
      <c r="IC211" s="5" t="s">
        <v>238</v>
      </c>
      <c r="ID211" s="5" t="s">
        <v>238</v>
      </c>
    </row>
    <row r="212" spans="1:238" x14ac:dyDescent="0.4">
      <c r="A212" s="5">
        <v>227</v>
      </c>
      <c r="B212" s="5">
        <v>1</v>
      </c>
      <c r="C212" s="5">
        <v>5</v>
      </c>
      <c r="D212" s="5" t="s">
        <v>3711</v>
      </c>
      <c r="E212" s="5" t="s">
        <v>751</v>
      </c>
      <c r="F212" s="5" t="s">
        <v>282</v>
      </c>
      <c r="G212" s="5" t="s">
        <v>752</v>
      </c>
      <c r="H212" s="6" t="s">
        <v>1346</v>
      </c>
      <c r="I212" s="5" t="s">
        <v>3710</v>
      </c>
      <c r="J212" s="7">
        <f t="shared" si="5"/>
        <v>19.87</v>
      </c>
      <c r="K212" s="5" t="s">
        <v>270</v>
      </c>
      <c r="L212" s="8">
        <f>1091480</f>
        <v>1091480</v>
      </c>
      <c r="M212" s="8">
        <f>3307500</f>
        <v>3307500</v>
      </c>
      <c r="N212" s="6" t="s">
        <v>3701</v>
      </c>
      <c r="O212" s="5" t="s">
        <v>268</v>
      </c>
      <c r="P212" s="5" t="s">
        <v>354</v>
      </c>
      <c r="Q212" s="8">
        <f>221602</f>
        <v>221602</v>
      </c>
      <c r="R212" s="8">
        <f>2216020</f>
        <v>2216020</v>
      </c>
      <c r="S212" s="5" t="s">
        <v>240</v>
      </c>
      <c r="T212" s="5" t="s">
        <v>237</v>
      </c>
      <c r="W212" s="5" t="s">
        <v>241</v>
      </c>
      <c r="X212" s="5" t="s">
        <v>750</v>
      </c>
      <c r="Y212" s="5" t="s">
        <v>238</v>
      </c>
      <c r="AB212" s="5" t="s">
        <v>238</v>
      </c>
      <c r="AC212" s="6" t="s">
        <v>238</v>
      </c>
      <c r="AD212" s="6" t="s">
        <v>238</v>
      </c>
      <c r="AF212" s="6" t="s">
        <v>238</v>
      </c>
      <c r="AG212" s="6" t="s">
        <v>246</v>
      </c>
      <c r="AH212" s="5" t="s">
        <v>247</v>
      </c>
      <c r="AI212" s="5" t="s">
        <v>248</v>
      </c>
      <c r="AO212" s="5" t="s">
        <v>238</v>
      </c>
      <c r="AP212" s="5" t="s">
        <v>238</v>
      </c>
      <c r="AQ212" s="5" t="s">
        <v>238</v>
      </c>
      <c r="AR212" s="6" t="s">
        <v>238</v>
      </c>
      <c r="AS212" s="6" t="s">
        <v>238</v>
      </c>
      <c r="AT212" s="6" t="s">
        <v>238</v>
      </c>
      <c r="AW212" s="5" t="s">
        <v>304</v>
      </c>
      <c r="AX212" s="5" t="s">
        <v>304</v>
      </c>
      <c r="AY212" s="5" t="s">
        <v>250</v>
      </c>
      <c r="AZ212" s="5" t="s">
        <v>305</v>
      </c>
      <c r="BA212" s="5" t="s">
        <v>251</v>
      </c>
      <c r="BB212" s="5" t="s">
        <v>238</v>
      </c>
      <c r="BC212" s="5" t="s">
        <v>253</v>
      </c>
      <c r="BD212" s="5" t="s">
        <v>238</v>
      </c>
      <c r="BF212" s="5" t="s">
        <v>760</v>
      </c>
      <c r="BH212" s="5" t="s">
        <v>283</v>
      </c>
      <c r="BI212" s="6" t="s">
        <v>293</v>
      </c>
      <c r="BJ212" s="5" t="s">
        <v>294</v>
      </c>
      <c r="BK212" s="5" t="s">
        <v>294</v>
      </c>
      <c r="BL212" s="5" t="s">
        <v>238</v>
      </c>
      <c r="BM212" s="7">
        <f>0</f>
        <v>0</v>
      </c>
      <c r="BN212" s="8">
        <f>-221602</f>
        <v>-221602</v>
      </c>
      <c r="BO212" s="5" t="s">
        <v>257</v>
      </c>
      <c r="BP212" s="5" t="s">
        <v>258</v>
      </c>
      <c r="BQ212" s="5" t="s">
        <v>238</v>
      </c>
      <c r="BR212" s="5" t="s">
        <v>238</v>
      </c>
      <c r="BS212" s="5" t="s">
        <v>238</v>
      </c>
      <c r="BT212" s="5" t="s">
        <v>238</v>
      </c>
      <c r="CC212" s="5" t="s">
        <v>258</v>
      </c>
      <c r="CD212" s="5" t="s">
        <v>238</v>
      </c>
      <c r="CE212" s="5" t="s">
        <v>238</v>
      </c>
      <c r="CI212" s="5" t="s">
        <v>259</v>
      </c>
      <c r="CJ212" s="5" t="s">
        <v>260</v>
      </c>
      <c r="CK212" s="5" t="s">
        <v>238</v>
      </c>
      <c r="CM212" s="5" t="s">
        <v>670</v>
      </c>
      <c r="CN212" s="6" t="s">
        <v>262</v>
      </c>
      <c r="CO212" s="5" t="s">
        <v>263</v>
      </c>
      <c r="CP212" s="5" t="s">
        <v>264</v>
      </c>
      <c r="CQ212" s="5" t="s">
        <v>285</v>
      </c>
      <c r="CR212" s="5" t="s">
        <v>238</v>
      </c>
      <c r="CS212" s="5">
        <v>6.7000000000000004E-2</v>
      </c>
      <c r="CT212" s="5" t="s">
        <v>265</v>
      </c>
      <c r="CU212" s="5" t="s">
        <v>266</v>
      </c>
      <c r="CV212" s="5" t="s">
        <v>267</v>
      </c>
      <c r="CW212" s="7">
        <f>0</f>
        <v>0</v>
      </c>
      <c r="CX212" s="8">
        <f>3307500</f>
        <v>3307500</v>
      </c>
      <c r="CY212" s="8">
        <f>1091480</f>
        <v>1091480</v>
      </c>
      <c r="DA212" s="5" t="s">
        <v>238</v>
      </c>
      <c r="DB212" s="5" t="s">
        <v>238</v>
      </c>
      <c r="DD212" s="5" t="s">
        <v>238</v>
      </c>
      <c r="DE212" s="8">
        <f>0</f>
        <v>0</v>
      </c>
      <c r="DG212" s="5" t="s">
        <v>238</v>
      </c>
      <c r="DH212" s="5" t="s">
        <v>238</v>
      </c>
      <c r="DI212" s="5" t="s">
        <v>238</v>
      </c>
      <c r="DJ212" s="5" t="s">
        <v>238</v>
      </c>
      <c r="DK212" s="5" t="s">
        <v>271</v>
      </c>
      <c r="DL212" s="5" t="s">
        <v>272</v>
      </c>
      <c r="DM212" s="7">
        <f t="shared" si="6"/>
        <v>19.87</v>
      </c>
      <c r="DN212" s="5" t="s">
        <v>238</v>
      </c>
      <c r="DO212" s="5" t="s">
        <v>238</v>
      </c>
      <c r="DP212" s="5" t="s">
        <v>238</v>
      </c>
      <c r="DQ212" s="5" t="s">
        <v>238</v>
      </c>
      <c r="DT212" s="5" t="s">
        <v>3712</v>
      </c>
      <c r="DU212" s="5" t="s">
        <v>271</v>
      </c>
      <c r="GL212" s="5" t="s">
        <v>3713</v>
      </c>
      <c r="HM212" s="5" t="s">
        <v>313</v>
      </c>
      <c r="HP212" s="5" t="s">
        <v>272</v>
      </c>
      <c r="HQ212" s="5" t="s">
        <v>272</v>
      </c>
      <c r="HR212" s="5" t="s">
        <v>238</v>
      </c>
      <c r="HS212" s="5" t="s">
        <v>238</v>
      </c>
      <c r="HT212" s="5" t="s">
        <v>238</v>
      </c>
      <c r="HU212" s="5" t="s">
        <v>238</v>
      </c>
      <c r="HV212" s="5" t="s">
        <v>238</v>
      </c>
      <c r="HW212" s="5" t="s">
        <v>238</v>
      </c>
      <c r="HX212" s="5" t="s">
        <v>238</v>
      </c>
      <c r="HY212" s="5" t="s">
        <v>238</v>
      </c>
      <c r="HZ212" s="5" t="s">
        <v>238</v>
      </c>
      <c r="IA212" s="5" t="s">
        <v>238</v>
      </c>
      <c r="IB212" s="5" t="s">
        <v>238</v>
      </c>
      <c r="IC212" s="5" t="s">
        <v>238</v>
      </c>
      <c r="ID212" s="5" t="s">
        <v>238</v>
      </c>
    </row>
    <row r="213" spans="1:238" x14ac:dyDescent="0.4">
      <c r="A213" s="5">
        <v>228</v>
      </c>
      <c r="B213" s="5">
        <v>1</v>
      </c>
      <c r="C213" s="5">
        <v>5</v>
      </c>
      <c r="D213" s="5" t="s">
        <v>3706</v>
      </c>
      <c r="E213" s="5" t="s">
        <v>751</v>
      </c>
      <c r="F213" s="5" t="s">
        <v>282</v>
      </c>
      <c r="G213" s="5" t="s">
        <v>752</v>
      </c>
      <c r="H213" s="6" t="s">
        <v>3707</v>
      </c>
      <c r="I213" s="5" t="s">
        <v>3705</v>
      </c>
      <c r="J213" s="7">
        <f t="shared" si="5"/>
        <v>19.87</v>
      </c>
      <c r="K213" s="5" t="s">
        <v>270</v>
      </c>
      <c r="L213" s="8">
        <f>1091480</f>
        <v>1091480</v>
      </c>
      <c r="M213" s="8">
        <f>3307500</f>
        <v>3307500</v>
      </c>
      <c r="N213" s="6" t="s">
        <v>3701</v>
      </c>
      <c r="O213" s="5" t="s">
        <v>268</v>
      </c>
      <c r="P213" s="5" t="s">
        <v>354</v>
      </c>
      <c r="Q213" s="8">
        <f>221602</f>
        <v>221602</v>
      </c>
      <c r="R213" s="8">
        <f>2216020</f>
        <v>2216020</v>
      </c>
      <c r="S213" s="5" t="s">
        <v>240</v>
      </c>
      <c r="T213" s="5" t="s">
        <v>237</v>
      </c>
      <c r="W213" s="5" t="s">
        <v>241</v>
      </c>
      <c r="X213" s="5" t="s">
        <v>750</v>
      </c>
      <c r="Y213" s="5" t="s">
        <v>238</v>
      </c>
      <c r="AB213" s="5" t="s">
        <v>238</v>
      </c>
      <c r="AC213" s="6" t="s">
        <v>238</v>
      </c>
      <c r="AD213" s="6" t="s">
        <v>238</v>
      </c>
      <c r="AF213" s="6" t="s">
        <v>238</v>
      </c>
      <c r="AG213" s="6" t="s">
        <v>246</v>
      </c>
      <c r="AH213" s="5" t="s">
        <v>247</v>
      </c>
      <c r="AI213" s="5" t="s">
        <v>248</v>
      </c>
      <c r="AO213" s="5" t="s">
        <v>238</v>
      </c>
      <c r="AP213" s="5" t="s">
        <v>238</v>
      </c>
      <c r="AQ213" s="5" t="s">
        <v>238</v>
      </c>
      <c r="AR213" s="6" t="s">
        <v>238</v>
      </c>
      <c r="AS213" s="6" t="s">
        <v>238</v>
      </c>
      <c r="AT213" s="6" t="s">
        <v>238</v>
      </c>
      <c r="AW213" s="5" t="s">
        <v>304</v>
      </c>
      <c r="AX213" s="5" t="s">
        <v>304</v>
      </c>
      <c r="AY213" s="5" t="s">
        <v>250</v>
      </c>
      <c r="AZ213" s="5" t="s">
        <v>305</v>
      </c>
      <c r="BA213" s="5" t="s">
        <v>251</v>
      </c>
      <c r="BB213" s="5" t="s">
        <v>238</v>
      </c>
      <c r="BC213" s="5" t="s">
        <v>253</v>
      </c>
      <c r="BD213" s="5" t="s">
        <v>238</v>
      </c>
      <c r="BF213" s="5" t="s">
        <v>760</v>
      </c>
      <c r="BH213" s="5" t="s">
        <v>283</v>
      </c>
      <c r="BI213" s="6" t="s">
        <v>293</v>
      </c>
      <c r="BJ213" s="5" t="s">
        <v>294</v>
      </c>
      <c r="BK213" s="5" t="s">
        <v>294</v>
      </c>
      <c r="BL213" s="5" t="s">
        <v>238</v>
      </c>
      <c r="BM213" s="7">
        <f>0</f>
        <v>0</v>
      </c>
      <c r="BN213" s="8">
        <f>-221602</f>
        <v>-221602</v>
      </c>
      <c r="BO213" s="5" t="s">
        <v>257</v>
      </c>
      <c r="BP213" s="5" t="s">
        <v>258</v>
      </c>
      <c r="BQ213" s="5" t="s">
        <v>238</v>
      </c>
      <c r="BR213" s="5" t="s">
        <v>238</v>
      </c>
      <c r="BS213" s="5" t="s">
        <v>238</v>
      </c>
      <c r="BT213" s="5" t="s">
        <v>238</v>
      </c>
      <c r="CC213" s="5" t="s">
        <v>258</v>
      </c>
      <c r="CD213" s="5" t="s">
        <v>238</v>
      </c>
      <c r="CE213" s="5" t="s">
        <v>238</v>
      </c>
      <c r="CI213" s="5" t="s">
        <v>259</v>
      </c>
      <c r="CJ213" s="5" t="s">
        <v>260</v>
      </c>
      <c r="CK213" s="5" t="s">
        <v>238</v>
      </c>
      <c r="CM213" s="5" t="s">
        <v>670</v>
      </c>
      <c r="CN213" s="6" t="s">
        <v>262</v>
      </c>
      <c r="CO213" s="5" t="s">
        <v>263</v>
      </c>
      <c r="CP213" s="5" t="s">
        <v>264</v>
      </c>
      <c r="CQ213" s="5" t="s">
        <v>285</v>
      </c>
      <c r="CR213" s="5" t="s">
        <v>238</v>
      </c>
      <c r="CS213" s="5">
        <v>6.7000000000000004E-2</v>
      </c>
      <c r="CT213" s="5" t="s">
        <v>265</v>
      </c>
      <c r="CU213" s="5" t="s">
        <v>266</v>
      </c>
      <c r="CV213" s="5" t="s">
        <v>267</v>
      </c>
      <c r="CW213" s="7">
        <f>0</f>
        <v>0</v>
      </c>
      <c r="CX213" s="8">
        <f>3307500</f>
        <v>3307500</v>
      </c>
      <c r="CY213" s="8">
        <f>1091480</f>
        <v>1091480</v>
      </c>
      <c r="DA213" s="5" t="s">
        <v>238</v>
      </c>
      <c r="DB213" s="5" t="s">
        <v>238</v>
      </c>
      <c r="DD213" s="5" t="s">
        <v>238</v>
      </c>
      <c r="DE213" s="8">
        <f>0</f>
        <v>0</v>
      </c>
      <c r="DG213" s="5" t="s">
        <v>238</v>
      </c>
      <c r="DH213" s="5" t="s">
        <v>238</v>
      </c>
      <c r="DI213" s="5" t="s">
        <v>238</v>
      </c>
      <c r="DJ213" s="5" t="s">
        <v>238</v>
      </c>
      <c r="DK213" s="5" t="s">
        <v>271</v>
      </c>
      <c r="DL213" s="5" t="s">
        <v>272</v>
      </c>
      <c r="DM213" s="7">
        <f t="shared" si="6"/>
        <v>19.87</v>
      </c>
      <c r="DN213" s="5" t="s">
        <v>238</v>
      </c>
      <c r="DO213" s="5" t="s">
        <v>238</v>
      </c>
      <c r="DP213" s="5" t="s">
        <v>238</v>
      </c>
      <c r="DQ213" s="5" t="s">
        <v>238</v>
      </c>
      <c r="DT213" s="5" t="s">
        <v>3708</v>
      </c>
      <c r="DU213" s="5" t="s">
        <v>271</v>
      </c>
      <c r="GL213" s="5" t="s">
        <v>3709</v>
      </c>
      <c r="HM213" s="5" t="s">
        <v>313</v>
      </c>
      <c r="HP213" s="5" t="s">
        <v>272</v>
      </c>
      <c r="HQ213" s="5" t="s">
        <v>272</v>
      </c>
      <c r="HR213" s="5" t="s">
        <v>238</v>
      </c>
      <c r="HS213" s="5" t="s">
        <v>238</v>
      </c>
      <c r="HT213" s="5" t="s">
        <v>238</v>
      </c>
      <c r="HU213" s="5" t="s">
        <v>238</v>
      </c>
      <c r="HV213" s="5" t="s">
        <v>238</v>
      </c>
      <c r="HW213" s="5" t="s">
        <v>238</v>
      </c>
      <c r="HX213" s="5" t="s">
        <v>238</v>
      </c>
      <c r="HY213" s="5" t="s">
        <v>238</v>
      </c>
      <c r="HZ213" s="5" t="s">
        <v>238</v>
      </c>
      <c r="IA213" s="5" t="s">
        <v>238</v>
      </c>
      <c r="IB213" s="5" t="s">
        <v>238</v>
      </c>
      <c r="IC213" s="5" t="s">
        <v>238</v>
      </c>
      <c r="ID213" s="5" t="s">
        <v>238</v>
      </c>
    </row>
    <row r="214" spans="1:238" x14ac:dyDescent="0.4">
      <c r="A214" s="5">
        <v>229</v>
      </c>
      <c r="B214" s="5">
        <v>1</v>
      </c>
      <c r="C214" s="5">
        <v>5</v>
      </c>
      <c r="D214" s="5" t="s">
        <v>3700</v>
      </c>
      <c r="E214" s="5" t="s">
        <v>751</v>
      </c>
      <c r="F214" s="5" t="s">
        <v>282</v>
      </c>
      <c r="G214" s="5" t="s">
        <v>752</v>
      </c>
      <c r="H214" s="6" t="s">
        <v>3702</v>
      </c>
      <c r="I214" s="5" t="s">
        <v>3699</v>
      </c>
      <c r="J214" s="7">
        <f t="shared" si="5"/>
        <v>19.87</v>
      </c>
      <c r="K214" s="5" t="s">
        <v>270</v>
      </c>
      <c r="L214" s="8">
        <f>1091480</f>
        <v>1091480</v>
      </c>
      <c r="M214" s="8">
        <f>3307500</f>
        <v>3307500</v>
      </c>
      <c r="N214" s="6" t="s">
        <v>3701</v>
      </c>
      <c r="O214" s="5" t="s">
        <v>268</v>
      </c>
      <c r="P214" s="5" t="s">
        <v>354</v>
      </c>
      <c r="Q214" s="8">
        <f>221602</f>
        <v>221602</v>
      </c>
      <c r="R214" s="8">
        <f>2216020</f>
        <v>2216020</v>
      </c>
      <c r="S214" s="5" t="s">
        <v>240</v>
      </c>
      <c r="T214" s="5" t="s">
        <v>237</v>
      </c>
      <c r="W214" s="5" t="s">
        <v>241</v>
      </c>
      <c r="X214" s="5" t="s">
        <v>750</v>
      </c>
      <c r="Y214" s="5" t="s">
        <v>238</v>
      </c>
      <c r="AB214" s="5" t="s">
        <v>238</v>
      </c>
      <c r="AC214" s="6" t="s">
        <v>238</v>
      </c>
      <c r="AD214" s="6" t="s">
        <v>238</v>
      </c>
      <c r="AF214" s="6" t="s">
        <v>238</v>
      </c>
      <c r="AG214" s="6" t="s">
        <v>246</v>
      </c>
      <c r="AH214" s="5" t="s">
        <v>247</v>
      </c>
      <c r="AI214" s="5" t="s">
        <v>248</v>
      </c>
      <c r="AO214" s="5" t="s">
        <v>238</v>
      </c>
      <c r="AP214" s="5" t="s">
        <v>238</v>
      </c>
      <c r="AQ214" s="5" t="s">
        <v>238</v>
      </c>
      <c r="AR214" s="6" t="s">
        <v>238</v>
      </c>
      <c r="AS214" s="6" t="s">
        <v>238</v>
      </c>
      <c r="AT214" s="6" t="s">
        <v>238</v>
      </c>
      <c r="AW214" s="5" t="s">
        <v>304</v>
      </c>
      <c r="AX214" s="5" t="s">
        <v>304</v>
      </c>
      <c r="AY214" s="5" t="s">
        <v>250</v>
      </c>
      <c r="AZ214" s="5" t="s">
        <v>305</v>
      </c>
      <c r="BA214" s="5" t="s">
        <v>251</v>
      </c>
      <c r="BB214" s="5" t="s">
        <v>238</v>
      </c>
      <c r="BC214" s="5" t="s">
        <v>253</v>
      </c>
      <c r="BD214" s="5" t="s">
        <v>238</v>
      </c>
      <c r="BF214" s="5" t="s">
        <v>760</v>
      </c>
      <c r="BH214" s="5" t="s">
        <v>283</v>
      </c>
      <c r="BI214" s="6" t="s">
        <v>293</v>
      </c>
      <c r="BJ214" s="5" t="s">
        <v>294</v>
      </c>
      <c r="BK214" s="5" t="s">
        <v>294</v>
      </c>
      <c r="BL214" s="5" t="s">
        <v>238</v>
      </c>
      <c r="BM214" s="7">
        <f>0</f>
        <v>0</v>
      </c>
      <c r="BN214" s="8">
        <f>-221602</f>
        <v>-221602</v>
      </c>
      <c r="BO214" s="5" t="s">
        <v>257</v>
      </c>
      <c r="BP214" s="5" t="s">
        <v>258</v>
      </c>
      <c r="BQ214" s="5" t="s">
        <v>238</v>
      </c>
      <c r="BR214" s="5" t="s">
        <v>238</v>
      </c>
      <c r="BS214" s="5" t="s">
        <v>238</v>
      </c>
      <c r="BT214" s="5" t="s">
        <v>238</v>
      </c>
      <c r="CC214" s="5" t="s">
        <v>258</v>
      </c>
      <c r="CD214" s="5" t="s">
        <v>238</v>
      </c>
      <c r="CE214" s="5" t="s">
        <v>238</v>
      </c>
      <c r="CI214" s="5" t="s">
        <v>259</v>
      </c>
      <c r="CJ214" s="5" t="s">
        <v>260</v>
      </c>
      <c r="CK214" s="5" t="s">
        <v>238</v>
      </c>
      <c r="CM214" s="5" t="s">
        <v>670</v>
      </c>
      <c r="CN214" s="6" t="s">
        <v>262</v>
      </c>
      <c r="CO214" s="5" t="s">
        <v>263</v>
      </c>
      <c r="CP214" s="5" t="s">
        <v>264</v>
      </c>
      <c r="CQ214" s="5" t="s">
        <v>285</v>
      </c>
      <c r="CR214" s="5" t="s">
        <v>238</v>
      </c>
      <c r="CS214" s="5">
        <v>6.7000000000000004E-2</v>
      </c>
      <c r="CT214" s="5" t="s">
        <v>265</v>
      </c>
      <c r="CU214" s="5" t="s">
        <v>266</v>
      </c>
      <c r="CV214" s="5" t="s">
        <v>267</v>
      </c>
      <c r="CW214" s="7">
        <f>0</f>
        <v>0</v>
      </c>
      <c r="CX214" s="8">
        <f>3307500</f>
        <v>3307500</v>
      </c>
      <c r="CY214" s="8">
        <f>1091480</f>
        <v>1091480</v>
      </c>
      <c r="DA214" s="5" t="s">
        <v>238</v>
      </c>
      <c r="DB214" s="5" t="s">
        <v>238</v>
      </c>
      <c r="DD214" s="5" t="s">
        <v>238</v>
      </c>
      <c r="DE214" s="8">
        <f>0</f>
        <v>0</v>
      </c>
      <c r="DG214" s="5" t="s">
        <v>238</v>
      </c>
      <c r="DH214" s="5" t="s">
        <v>238</v>
      </c>
      <c r="DI214" s="5" t="s">
        <v>238</v>
      </c>
      <c r="DJ214" s="5" t="s">
        <v>238</v>
      </c>
      <c r="DK214" s="5" t="s">
        <v>271</v>
      </c>
      <c r="DL214" s="5" t="s">
        <v>272</v>
      </c>
      <c r="DM214" s="7">
        <f t="shared" si="6"/>
        <v>19.87</v>
      </c>
      <c r="DN214" s="5" t="s">
        <v>238</v>
      </c>
      <c r="DO214" s="5" t="s">
        <v>238</v>
      </c>
      <c r="DP214" s="5" t="s">
        <v>238</v>
      </c>
      <c r="DQ214" s="5" t="s">
        <v>238</v>
      </c>
      <c r="DT214" s="5" t="s">
        <v>3703</v>
      </c>
      <c r="DU214" s="5" t="s">
        <v>271</v>
      </c>
      <c r="GL214" s="5" t="s">
        <v>3704</v>
      </c>
      <c r="HM214" s="5" t="s">
        <v>313</v>
      </c>
      <c r="HP214" s="5" t="s">
        <v>272</v>
      </c>
      <c r="HQ214" s="5" t="s">
        <v>272</v>
      </c>
      <c r="HR214" s="5" t="s">
        <v>238</v>
      </c>
      <c r="HS214" s="5" t="s">
        <v>238</v>
      </c>
      <c r="HT214" s="5" t="s">
        <v>238</v>
      </c>
      <c r="HU214" s="5" t="s">
        <v>238</v>
      </c>
      <c r="HV214" s="5" t="s">
        <v>238</v>
      </c>
      <c r="HW214" s="5" t="s">
        <v>238</v>
      </c>
      <c r="HX214" s="5" t="s">
        <v>238</v>
      </c>
      <c r="HY214" s="5" t="s">
        <v>238</v>
      </c>
      <c r="HZ214" s="5" t="s">
        <v>238</v>
      </c>
      <c r="IA214" s="5" t="s">
        <v>238</v>
      </c>
      <c r="IB214" s="5" t="s">
        <v>238</v>
      </c>
      <c r="IC214" s="5" t="s">
        <v>238</v>
      </c>
      <c r="ID214" s="5" t="s">
        <v>238</v>
      </c>
    </row>
    <row r="215" spans="1:238" x14ac:dyDescent="0.4">
      <c r="A215" s="5">
        <v>230</v>
      </c>
      <c r="B215" s="5">
        <v>1</v>
      </c>
      <c r="C215" s="5">
        <v>5</v>
      </c>
      <c r="D215" s="5" t="s">
        <v>3694</v>
      </c>
      <c r="E215" s="5" t="s">
        <v>751</v>
      </c>
      <c r="F215" s="5" t="s">
        <v>282</v>
      </c>
      <c r="G215" s="5" t="s">
        <v>752</v>
      </c>
      <c r="H215" s="6" t="s">
        <v>3696</v>
      </c>
      <c r="I215" s="5" t="s">
        <v>3693</v>
      </c>
      <c r="J215" s="7">
        <f t="shared" si="5"/>
        <v>19.87</v>
      </c>
      <c r="K215" s="5" t="s">
        <v>270</v>
      </c>
      <c r="L215" s="8">
        <f>1000440</f>
        <v>1000440</v>
      </c>
      <c r="M215" s="8">
        <f>2520000</f>
        <v>2520000</v>
      </c>
      <c r="N215" s="6" t="s">
        <v>3695</v>
      </c>
      <c r="O215" s="5" t="s">
        <v>268</v>
      </c>
      <c r="P215" s="5" t="s">
        <v>389</v>
      </c>
      <c r="Q215" s="8">
        <f>168840</f>
        <v>168840</v>
      </c>
      <c r="R215" s="8">
        <f>1519560</f>
        <v>1519560</v>
      </c>
      <c r="S215" s="5" t="s">
        <v>240</v>
      </c>
      <c r="T215" s="5" t="s">
        <v>237</v>
      </c>
      <c r="W215" s="5" t="s">
        <v>241</v>
      </c>
      <c r="X215" s="5" t="s">
        <v>750</v>
      </c>
      <c r="Y215" s="5" t="s">
        <v>238</v>
      </c>
      <c r="AB215" s="5" t="s">
        <v>238</v>
      </c>
      <c r="AC215" s="6" t="s">
        <v>238</v>
      </c>
      <c r="AD215" s="6" t="s">
        <v>238</v>
      </c>
      <c r="AF215" s="6" t="s">
        <v>238</v>
      </c>
      <c r="AG215" s="6" t="s">
        <v>246</v>
      </c>
      <c r="AH215" s="5" t="s">
        <v>247</v>
      </c>
      <c r="AI215" s="5" t="s">
        <v>248</v>
      </c>
      <c r="AO215" s="5" t="s">
        <v>238</v>
      </c>
      <c r="AP215" s="5" t="s">
        <v>238</v>
      </c>
      <c r="AQ215" s="5" t="s">
        <v>238</v>
      </c>
      <c r="AR215" s="6" t="s">
        <v>238</v>
      </c>
      <c r="AS215" s="6" t="s">
        <v>238</v>
      </c>
      <c r="AT215" s="6" t="s">
        <v>238</v>
      </c>
      <c r="AW215" s="5" t="s">
        <v>304</v>
      </c>
      <c r="AX215" s="5" t="s">
        <v>304</v>
      </c>
      <c r="AY215" s="5" t="s">
        <v>250</v>
      </c>
      <c r="AZ215" s="5" t="s">
        <v>305</v>
      </c>
      <c r="BA215" s="5" t="s">
        <v>251</v>
      </c>
      <c r="BB215" s="5" t="s">
        <v>238</v>
      </c>
      <c r="BC215" s="5" t="s">
        <v>253</v>
      </c>
      <c r="BD215" s="5" t="s">
        <v>238</v>
      </c>
      <c r="BF215" s="5" t="s">
        <v>760</v>
      </c>
      <c r="BH215" s="5" t="s">
        <v>283</v>
      </c>
      <c r="BI215" s="6" t="s">
        <v>293</v>
      </c>
      <c r="BJ215" s="5" t="s">
        <v>294</v>
      </c>
      <c r="BK215" s="5" t="s">
        <v>294</v>
      </c>
      <c r="BL215" s="5" t="s">
        <v>238</v>
      </c>
      <c r="BM215" s="7">
        <f>0</f>
        <v>0</v>
      </c>
      <c r="BN215" s="8">
        <f>-168840</f>
        <v>-168840</v>
      </c>
      <c r="BO215" s="5" t="s">
        <v>257</v>
      </c>
      <c r="BP215" s="5" t="s">
        <v>258</v>
      </c>
      <c r="BQ215" s="5" t="s">
        <v>238</v>
      </c>
      <c r="BR215" s="5" t="s">
        <v>238</v>
      </c>
      <c r="BS215" s="5" t="s">
        <v>238</v>
      </c>
      <c r="BT215" s="5" t="s">
        <v>238</v>
      </c>
      <c r="CC215" s="5" t="s">
        <v>258</v>
      </c>
      <c r="CD215" s="5" t="s">
        <v>238</v>
      </c>
      <c r="CE215" s="5" t="s">
        <v>238</v>
      </c>
      <c r="CI215" s="5" t="s">
        <v>259</v>
      </c>
      <c r="CJ215" s="5" t="s">
        <v>260</v>
      </c>
      <c r="CK215" s="5" t="s">
        <v>238</v>
      </c>
      <c r="CM215" s="5" t="s">
        <v>1649</v>
      </c>
      <c r="CN215" s="6" t="s">
        <v>262</v>
      </c>
      <c r="CO215" s="5" t="s">
        <v>263</v>
      </c>
      <c r="CP215" s="5" t="s">
        <v>264</v>
      </c>
      <c r="CQ215" s="5" t="s">
        <v>285</v>
      </c>
      <c r="CR215" s="5" t="s">
        <v>238</v>
      </c>
      <c r="CS215" s="5">
        <v>6.7000000000000004E-2</v>
      </c>
      <c r="CT215" s="5" t="s">
        <v>265</v>
      </c>
      <c r="CU215" s="5" t="s">
        <v>266</v>
      </c>
      <c r="CV215" s="5" t="s">
        <v>267</v>
      </c>
      <c r="CW215" s="7">
        <f>0</f>
        <v>0</v>
      </c>
      <c r="CX215" s="8">
        <f>2520000</f>
        <v>2520000</v>
      </c>
      <c r="CY215" s="8">
        <f>1000440</f>
        <v>1000440</v>
      </c>
      <c r="DA215" s="5" t="s">
        <v>238</v>
      </c>
      <c r="DB215" s="5" t="s">
        <v>238</v>
      </c>
      <c r="DD215" s="5" t="s">
        <v>238</v>
      </c>
      <c r="DE215" s="8">
        <f>0</f>
        <v>0</v>
      </c>
      <c r="DG215" s="5" t="s">
        <v>238</v>
      </c>
      <c r="DH215" s="5" t="s">
        <v>238</v>
      </c>
      <c r="DI215" s="5" t="s">
        <v>238</v>
      </c>
      <c r="DJ215" s="5" t="s">
        <v>238</v>
      </c>
      <c r="DK215" s="5" t="s">
        <v>271</v>
      </c>
      <c r="DL215" s="5" t="s">
        <v>272</v>
      </c>
      <c r="DM215" s="7">
        <f t="shared" si="6"/>
        <v>19.87</v>
      </c>
      <c r="DN215" s="5" t="s">
        <v>238</v>
      </c>
      <c r="DO215" s="5" t="s">
        <v>238</v>
      </c>
      <c r="DP215" s="5" t="s">
        <v>238</v>
      </c>
      <c r="DQ215" s="5" t="s">
        <v>238</v>
      </c>
      <c r="DT215" s="5" t="s">
        <v>3697</v>
      </c>
      <c r="DU215" s="5" t="s">
        <v>271</v>
      </c>
      <c r="GL215" s="5" t="s">
        <v>3698</v>
      </c>
      <c r="HM215" s="5" t="s">
        <v>313</v>
      </c>
      <c r="HP215" s="5" t="s">
        <v>272</v>
      </c>
      <c r="HQ215" s="5" t="s">
        <v>272</v>
      </c>
      <c r="HR215" s="5" t="s">
        <v>238</v>
      </c>
      <c r="HS215" s="5" t="s">
        <v>238</v>
      </c>
      <c r="HT215" s="5" t="s">
        <v>238</v>
      </c>
      <c r="HU215" s="5" t="s">
        <v>238</v>
      </c>
      <c r="HV215" s="5" t="s">
        <v>238</v>
      </c>
      <c r="HW215" s="5" t="s">
        <v>238</v>
      </c>
      <c r="HX215" s="5" t="s">
        <v>238</v>
      </c>
      <c r="HY215" s="5" t="s">
        <v>238</v>
      </c>
      <c r="HZ215" s="5" t="s">
        <v>238</v>
      </c>
      <c r="IA215" s="5" t="s">
        <v>238</v>
      </c>
      <c r="IB215" s="5" t="s">
        <v>238</v>
      </c>
      <c r="IC215" s="5" t="s">
        <v>238</v>
      </c>
      <c r="ID215" s="5" t="s">
        <v>238</v>
      </c>
    </row>
    <row r="216" spans="1:238" x14ac:dyDescent="0.4">
      <c r="A216" s="5">
        <v>231</v>
      </c>
      <c r="B216" s="5">
        <v>1</v>
      </c>
      <c r="C216" s="5">
        <v>5</v>
      </c>
      <c r="D216" s="5" t="s">
        <v>3689</v>
      </c>
      <c r="E216" s="5" t="s">
        <v>751</v>
      </c>
      <c r="F216" s="5" t="s">
        <v>282</v>
      </c>
      <c r="G216" s="5" t="s">
        <v>752</v>
      </c>
      <c r="H216" s="6" t="s">
        <v>3690</v>
      </c>
      <c r="I216" s="5" t="s">
        <v>3688</v>
      </c>
      <c r="J216" s="7">
        <f t="shared" si="5"/>
        <v>19.87</v>
      </c>
      <c r="K216" s="5" t="s">
        <v>270</v>
      </c>
      <c r="L216" s="8">
        <f>1039346</f>
        <v>1039346</v>
      </c>
      <c r="M216" s="8">
        <f>2618000</f>
        <v>2618000</v>
      </c>
      <c r="N216" s="6" t="s">
        <v>3410</v>
      </c>
      <c r="O216" s="5" t="s">
        <v>268</v>
      </c>
      <c r="P216" s="5" t="s">
        <v>389</v>
      </c>
      <c r="Q216" s="8">
        <f>175406</f>
        <v>175406</v>
      </c>
      <c r="R216" s="8">
        <f>1578654</f>
        <v>1578654</v>
      </c>
      <c r="S216" s="5" t="s">
        <v>240</v>
      </c>
      <c r="T216" s="5" t="s">
        <v>237</v>
      </c>
      <c r="W216" s="5" t="s">
        <v>241</v>
      </c>
      <c r="X216" s="5" t="s">
        <v>750</v>
      </c>
      <c r="Y216" s="5" t="s">
        <v>238</v>
      </c>
      <c r="AB216" s="5" t="s">
        <v>238</v>
      </c>
      <c r="AC216" s="6" t="s">
        <v>238</v>
      </c>
      <c r="AD216" s="6" t="s">
        <v>238</v>
      </c>
      <c r="AF216" s="6" t="s">
        <v>238</v>
      </c>
      <c r="AG216" s="6" t="s">
        <v>246</v>
      </c>
      <c r="AH216" s="5" t="s">
        <v>247</v>
      </c>
      <c r="AI216" s="5" t="s">
        <v>248</v>
      </c>
      <c r="AO216" s="5" t="s">
        <v>238</v>
      </c>
      <c r="AP216" s="5" t="s">
        <v>238</v>
      </c>
      <c r="AQ216" s="5" t="s">
        <v>238</v>
      </c>
      <c r="AR216" s="6" t="s">
        <v>238</v>
      </c>
      <c r="AS216" s="6" t="s">
        <v>238</v>
      </c>
      <c r="AT216" s="6" t="s">
        <v>238</v>
      </c>
      <c r="AW216" s="5" t="s">
        <v>304</v>
      </c>
      <c r="AX216" s="5" t="s">
        <v>304</v>
      </c>
      <c r="AY216" s="5" t="s">
        <v>250</v>
      </c>
      <c r="AZ216" s="5" t="s">
        <v>305</v>
      </c>
      <c r="BA216" s="5" t="s">
        <v>251</v>
      </c>
      <c r="BB216" s="5" t="s">
        <v>238</v>
      </c>
      <c r="BC216" s="5" t="s">
        <v>253</v>
      </c>
      <c r="BD216" s="5" t="s">
        <v>238</v>
      </c>
      <c r="BF216" s="5" t="s">
        <v>760</v>
      </c>
      <c r="BH216" s="5" t="s">
        <v>283</v>
      </c>
      <c r="BI216" s="6" t="s">
        <v>293</v>
      </c>
      <c r="BJ216" s="5" t="s">
        <v>294</v>
      </c>
      <c r="BK216" s="5" t="s">
        <v>294</v>
      </c>
      <c r="BL216" s="5" t="s">
        <v>238</v>
      </c>
      <c r="BM216" s="7">
        <f>0</f>
        <v>0</v>
      </c>
      <c r="BN216" s="8">
        <f>-175406</f>
        <v>-175406</v>
      </c>
      <c r="BO216" s="5" t="s">
        <v>257</v>
      </c>
      <c r="BP216" s="5" t="s">
        <v>258</v>
      </c>
      <c r="BQ216" s="5" t="s">
        <v>238</v>
      </c>
      <c r="BR216" s="5" t="s">
        <v>238</v>
      </c>
      <c r="BS216" s="5" t="s">
        <v>238</v>
      </c>
      <c r="BT216" s="5" t="s">
        <v>238</v>
      </c>
      <c r="CC216" s="5" t="s">
        <v>258</v>
      </c>
      <c r="CD216" s="5" t="s">
        <v>238</v>
      </c>
      <c r="CE216" s="5" t="s">
        <v>238</v>
      </c>
      <c r="CI216" s="5" t="s">
        <v>259</v>
      </c>
      <c r="CJ216" s="5" t="s">
        <v>260</v>
      </c>
      <c r="CK216" s="5" t="s">
        <v>238</v>
      </c>
      <c r="CM216" s="5" t="s">
        <v>1649</v>
      </c>
      <c r="CN216" s="6" t="s">
        <v>262</v>
      </c>
      <c r="CO216" s="5" t="s">
        <v>263</v>
      </c>
      <c r="CP216" s="5" t="s">
        <v>264</v>
      </c>
      <c r="CQ216" s="5" t="s">
        <v>285</v>
      </c>
      <c r="CR216" s="5" t="s">
        <v>238</v>
      </c>
      <c r="CS216" s="5">
        <v>6.7000000000000004E-2</v>
      </c>
      <c r="CT216" s="5" t="s">
        <v>265</v>
      </c>
      <c r="CU216" s="5" t="s">
        <v>266</v>
      </c>
      <c r="CV216" s="5" t="s">
        <v>267</v>
      </c>
      <c r="CW216" s="7">
        <f>0</f>
        <v>0</v>
      </c>
      <c r="CX216" s="8">
        <f>2618000</f>
        <v>2618000</v>
      </c>
      <c r="CY216" s="8">
        <f>1039346</f>
        <v>1039346</v>
      </c>
      <c r="DA216" s="5" t="s">
        <v>238</v>
      </c>
      <c r="DB216" s="5" t="s">
        <v>238</v>
      </c>
      <c r="DD216" s="5" t="s">
        <v>238</v>
      </c>
      <c r="DE216" s="8">
        <f>0</f>
        <v>0</v>
      </c>
      <c r="DG216" s="5" t="s">
        <v>238</v>
      </c>
      <c r="DH216" s="5" t="s">
        <v>238</v>
      </c>
      <c r="DI216" s="5" t="s">
        <v>238</v>
      </c>
      <c r="DJ216" s="5" t="s">
        <v>238</v>
      </c>
      <c r="DK216" s="5" t="s">
        <v>271</v>
      </c>
      <c r="DL216" s="5" t="s">
        <v>272</v>
      </c>
      <c r="DM216" s="7">
        <f t="shared" si="6"/>
        <v>19.87</v>
      </c>
      <c r="DN216" s="5" t="s">
        <v>238</v>
      </c>
      <c r="DO216" s="5" t="s">
        <v>238</v>
      </c>
      <c r="DP216" s="5" t="s">
        <v>238</v>
      </c>
      <c r="DQ216" s="5" t="s">
        <v>238</v>
      </c>
      <c r="DT216" s="5" t="s">
        <v>3691</v>
      </c>
      <c r="DU216" s="5" t="s">
        <v>271</v>
      </c>
      <c r="GL216" s="5" t="s">
        <v>3692</v>
      </c>
      <c r="HM216" s="5" t="s">
        <v>313</v>
      </c>
      <c r="HP216" s="5" t="s">
        <v>272</v>
      </c>
      <c r="HQ216" s="5" t="s">
        <v>272</v>
      </c>
      <c r="HR216" s="5" t="s">
        <v>238</v>
      </c>
      <c r="HS216" s="5" t="s">
        <v>238</v>
      </c>
      <c r="HT216" s="5" t="s">
        <v>238</v>
      </c>
      <c r="HU216" s="5" t="s">
        <v>238</v>
      </c>
      <c r="HV216" s="5" t="s">
        <v>238</v>
      </c>
      <c r="HW216" s="5" t="s">
        <v>238</v>
      </c>
      <c r="HX216" s="5" t="s">
        <v>238</v>
      </c>
      <c r="HY216" s="5" t="s">
        <v>238</v>
      </c>
      <c r="HZ216" s="5" t="s">
        <v>238</v>
      </c>
      <c r="IA216" s="5" t="s">
        <v>238</v>
      </c>
      <c r="IB216" s="5" t="s">
        <v>238</v>
      </c>
      <c r="IC216" s="5" t="s">
        <v>238</v>
      </c>
      <c r="ID216" s="5" t="s">
        <v>238</v>
      </c>
    </row>
    <row r="217" spans="1:238" x14ac:dyDescent="0.4">
      <c r="A217" s="5">
        <v>232</v>
      </c>
      <c r="B217" s="5">
        <v>1</v>
      </c>
      <c r="C217" s="5">
        <v>5</v>
      </c>
      <c r="D217" s="5" t="s">
        <v>3684</v>
      </c>
      <c r="E217" s="5" t="s">
        <v>751</v>
      </c>
      <c r="F217" s="5" t="s">
        <v>282</v>
      </c>
      <c r="G217" s="5" t="s">
        <v>752</v>
      </c>
      <c r="H217" s="6" t="s">
        <v>3685</v>
      </c>
      <c r="I217" s="5" t="s">
        <v>3683</v>
      </c>
      <c r="J217" s="7">
        <f t="shared" si="5"/>
        <v>19.87</v>
      </c>
      <c r="K217" s="5" t="s">
        <v>270</v>
      </c>
      <c r="L217" s="8">
        <f>1386432</f>
        <v>1386432</v>
      </c>
      <c r="M217" s="8">
        <f>2988000</f>
        <v>2988000</v>
      </c>
      <c r="N217" s="6" t="s">
        <v>3674</v>
      </c>
      <c r="O217" s="5" t="s">
        <v>268</v>
      </c>
      <c r="P217" s="5" t="s">
        <v>313</v>
      </c>
      <c r="Q217" s="8">
        <f>200196</f>
        <v>200196</v>
      </c>
      <c r="R217" s="8">
        <f>1601568</f>
        <v>1601568</v>
      </c>
      <c r="S217" s="5" t="s">
        <v>240</v>
      </c>
      <c r="T217" s="5" t="s">
        <v>237</v>
      </c>
      <c r="W217" s="5" t="s">
        <v>241</v>
      </c>
      <c r="X217" s="5" t="s">
        <v>750</v>
      </c>
      <c r="Y217" s="5" t="s">
        <v>238</v>
      </c>
      <c r="AB217" s="5" t="s">
        <v>238</v>
      </c>
      <c r="AC217" s="6" t="s">
        <v>238</v>
      </c>
      <c r="AD217" s="6" t="s">
        <v>238</v>
      </c>
      <c r="AF217" s="6" t="s">
        <v>238</v>
      </c>
      <c r="AG217" s="6" t="s">
        <v>246</v>
      </c>
      <c r="AH217" s="5" t="s">
        <v>247</v>
      </c>
      <c r="AI217" s="5" t="s">
        <v>248</v>
      </c>
      <c r="AO217" s="5" t="s">
        <v>238</v>
      </c>
      <c r="AP217" s="5" t="s">
        <v>238</v>
      </c>
      <c r="AQ217" s="5" t="s">
        <v>238</v>
      </c>
      <c r="AR217" s="6" t="s">
        <v>238</v>
      </c>
      <c r="AS217" s="6" t="s">
        <v>238</v>
      </c>
      <c r="AT217" s="6" t="s">
        <v>238</v>
      </c>
      <c r="AW217" s="5" t="s">
        <v>304</v>
      </c>
      <c r="AX217" s="5" t="s">
        <v>304</v>
      </c>
      <c r="AY217" s="5" t="s">
        <v>250</v>
      </c>
      <c r="AZ217" s="5" t="s">
        <v>305</v>
      </c>
      <c r="BA217" s="5" t="s">
        <v>251</v>
      </c>
      <c r="BB217" s="5" t="s">
        <v>238</v>
      </c>
      <c r="BC217" s="5" t="s">
        <v>253</v>
      </c>
      <c r="BD217" s="5" t="s">
        <v>238</v>
      </c>
      <c r="BF217" s="5" t="s">
        <v>760</v>
      </c>
      <c r="BH217" s="5" t="s">
        <v>283</v>
      </c>
      <c r="BI217" s="6" t="s">
        <v>293</v>
      </c>
      <c r="BJ217" s="5" t="s">
        <v>294</v>
      </c>
      <c r="BK217" s="5" t="s">
        <v>294</v>
      </c>
      <c r="BL217" s="5" t="s">
        <v>238</v>
      </c>
      <c r="BM217" s="7">
        <f>0</f>
        <v>0</v>
      </c>
      <c r="BN217" s="8">
        <f>-200196</f>
        <v>-200196</v>
      </c>
      <c r="BO217" s="5" t="s">
        <v>257</v>
      </c>
      <c r="BP217" s="5" t="s">
        <v>258</v>
      </c>
      <c r="BQ217" s="5" t="s">
        <v>238</v>
      </c>
      <c r="BR217" s="5" t="s">
        <v>238</v>
      </c>
      <c r="BS217" s="5" t="s">
        <v>238</v>
      </c>
      <c r="BT217" s="5" t="s">
        <v>238</v>
      </c>
      <c r="CC217" s="5" t="s">
        <v>258</v>
      </c>
      <c r="CD217" s="5" t="s">
        <v>238</v>
      </c>
      <c r="CE217" s="5" t="s">
        <v>238</v>
      </c>
      <c r="CI217" s="5" t="s">
        <v>259</v>
      </c>
      <c r="CJ217" s="5" t="s">
        <v>260</v>
      </c>
      <c r="CK217" s="5" t="s">
        <v>238</v>
      </c>
      <c r="CM217" s="5" t="s">
        <v>723</v>
      </c>
      <c r="CN217" s="6" t="s">
        <v>262</v>
      </c>
      <c r="CO217" s="5" t="s">
        <v>263</v>
      </c>
      <c r="CP217" s="5" t="s">
        <v>264</v>
      </c>
      <c r="CQ217" s="5" t="s">
        <v>285</v>
      </c>
      <c r="CR217" s="5" t="s">
        <v>238</v>
      </c>
      <c r="CS217" s="5">
        <v>6.7000000000000004E-2</v>
      </c>
      <c r="CT217" s="5" t="s">
        <v>265</v>
      </c>
      <c r="CU217" s="5" t="s">
        <v>266</v>
      </c>
      <c r="CV217" s="5" t="s">
        <v>267</v>
      </c>
      <c r="CW217" s="7">
        <f>0</f>
        <v>0</v>
      </c>
      <c r="CX217" s="8">
        <f>2988000</f>
        <v>2988000</v>
      </c>
      <c r="CY217" s="8">
        <f>1386432</f>
        <v>1386432</v>
      </c>
      <c r="DA217" s="5" t="s">
        <v>238</v>
      </c>
      <c r="DB217" s="5" t="s">
        <v>238</v>
      </c>
      <c r="DD217" s="5" t="s">
        <v>238</v>
      </c>
      <c r="DE217" s="8">
        <f>0</f>
        <v>0</v>
      </c>
      <c r="DG217" s="5" t="s">
        <v>238</v>
      </c>
      <c r="DH217" s="5" t="s">
        <v>238</v>
      </c>
      <c r="DI217" s="5" t="s">
        <v>238</v>
      </c>
      <c r="DJ217" s="5" t="s">
        <v>238</v>
      </c>
      <c r="DK217" s="5" t="s">
        <v>271</v>
      </c>
      <c r="DL217" s="5" t="s">
        <v>272</v>
      </c>
      <c r="DM217" s="7">
        <f t="shared" si="6"/>
        <v>19.87</v>
      </c>
      <c r="DN217" s="5" t="s">
        <v>238</v>
      </c>
      <c r="DO217" s="5" t="s">
        <v>238</v>
      </c>
      <c r="DP217" s="5" t="s">
        <v>238</v>
      </c>
      <c r="DQ217" s="5" t="s">
        <v>238</v>
      </c>
      <c r="DT217" s="5" t="s">
        <v>3686</v>
      </c>
      <c r="DU217" s="5" t="s">
        <v>271</v>
      </c>
      <c r="GL217" s="5" t="s">
        <v>3687</v>
      </c>
      <c r="HM217" s="5" t="s">
        <v>313</v>
      </c>
      <c r="HP217" s="5" t="s">
        <v>272</v>
      </c>
      <c r="HQ217" s="5" t="s">
        <v>272</v>
      </c>
      <c r="HR217" s="5" t="s">
        <v>238</v>
      </c>
      <c r="HS217" s="5" t="s">
        <v>238</v>
      </c>
      <c r="HT217" s="5" t="s">
        <v>238</v>
      </c>
      <c r="HU217" s="5" t="s">
        <v>238</v>
      </c>
      <c r="HV217" s="5" t="s">
        <v>238</v>
      </c>
      <c r="HW217" s="5" t="s">
        <v>238</v>
      </c>
      <c r="HX217" s="5" t="s">
        <v>238</v>
      </c>
      <c r="HY217" s="5" t="s">
        <v>238</v>
      </c>
      <c r="HZ217" s="5" t="s">
        <v>238</v>
      </c>
      <c r="IA217" s="5" t="s">
        <v>238</v>
      </c>
      <c r="IB217" s="5" t="s">
        <v>238</v>
      </c>
      <c r="IC217" s="5" t="s">
        <v>238</v>
      </c>
      <c r="ID217" s="5" t="s">
        <v>238</v>
      </c>
    </row>
    <row r="218" spans="1:238" x14ac:dyDescent="0.4">
      <c r="A218" s="5">
        <v>233</v>
      </c>
      <c r="B218" s="5">
        <v>1</v>
      </c>
      <c r="C218" s="5">
        <v>5</v>
      </c>
      <c r="D218" s="5" t="s">
        <v>3679</v>
      </c>
      <c r="E218" s="5" t="s">
        <v>751</v>
      </c>
      <c r="F218" s="5" t="s">
        <v>282</v>
      </c>
      <c r="G218" s="5" t="s">
        <v>752</v>
      </c>
      <c r="H218" s="6" t="s">
        <v>3680</v>
      </c>
      <c r="I218" s="5" t="s">
        <v>3678</v>
      </c>
      <c r="J218" s="7">
        <f t="shared" si="5"/>
        <v>19.87</v>
      </c>
      <c r="K218" s="5" t="s">
        <v>270</v>
      </c>
      <c r="L218" s="8">
        <f>1386432</f>
        <v>1386432</v>
      </c>
      <c r="M218" s="8">
        <f>2988000</f>
        <v>2988000</v>
      </c>
      <c r="N218" s="6" t="s">
        <v>3674</v>
      </c>
      <c r="O218" s="5" t="s">
        <v>268</v>
      </c>
      <c r="P218" s="5" t="s">
        <v>313</v>
      </c>
      <c r="Q218" s="8">
        <f>200196</f>
        <v>200196</v>
      </c>
      <c r="R218" s="8">
        <f>1601568</f>
        <v>1601568</v>
      </c>
      <c r="S218" s="5" t="s">
        <v>240</v>
      </c>
      <c r="T218" s="5" t="s">
        <v>237</v>
      </c>
      <c r="W218" s="5" t="s">
        <v>241</v>
      </c>
      <c r="X218" s="5" t="s">
        <v>750</v>
      </c>
      <c r="Y218" s="5" t="s">
        <v>238</v>
      </c>
      <c r="AB218" s="5" t="s">
        <v>238</v>
      </c>
      <c r="AC218" s="6" t="s">
        <v>238</v>
      </c>
      <c r="AD218" s="6" t="s">
        <v>238</v>
      </c>
      <c r="AF218" s="6" t="s">
        <v>238</v>
      </c>
      <c r="AG218" s="6" t="s">
        <v>246</v>
      </c>
      <c r="AH218" s="5" t="s">
        <v>247</v>
      </c>
      <c r="AI218" s="5" t="s">
        <v>248</v>
      </c>
      <c r="AO218" s="5" t="s">
        <v>238</v>
      </c>
      <c r="AP218" s="5" t="s">
        <v>238</v>
      </c>
      <c r="AQ218" s="5" t="s">
        <v>238</v>
      </c>
      <c r="AR218" s="6" t="s">
        <v>238</v>
      </c>
      <c r="AS218" s="6" t="s">
        <v>238</v>
      </c>
      <c r="AT218" s="6" t="s">
        <v>238</v>
      </c>
      <c r="AW218" s="5" t="s">
        <v>304</v>
      </c>
      <c r="AX218" s="5" t="s">
        <v>304</v>
      </c>
      <c r="AY218" s="5" t="s">
        <v>250</v>
      </c>
      <c r="AZ218" s="5" t="s">
        <v>305</v>
      </c>
      <c r="BA218" s="5" t="s">
        <v>251</v>
      </c>
      <c r="BB218" s="5" t="s">
        <v>238</v>
      </c>
      <c r="BC218" s="5" t="s">
        <v>253</v>
      </c>
      <c r="BD218" s="5" t="s">
        <v>238</v>
      </c>
      <c r="BF218" s="5" t="s">
        <v>760</v>
      </c>
      <c r="BH218" s="5" t="s">
        <v>283</v>
      </c>
      <c r="BI218" s="6" t="s">
        <v>293</v>
      </c>
      <c r="BJ218" s="5" t="s">
        <v>294</v>
      </c>
      <c r="BK218" s="5" t="s">
        <v>294</v>
      </c>
      <c r="BL218" s="5" t="s">
        <v>238</v>
      </c>
      <c r="BM218" s="7">
        <f>0</f>
        <v>0</v>
      </c>
      <c r="BN218" s="8">
        <f>-200196</f>
        <v>-200196</v>
      </c>
      <c r="BO218" s="5" t="s">
        <v>257</v>
      </c>
      <c r="BP218" s="5" t="s">
        <v>258</v>
      </c>
      <c r="BQ218" s="5" t="s">
        <v>238</v>
      </c>
      <c r="BR218" s="5" t="s">
        <v>238</v>
      </c>
      <c r="BS218" s="5" t="s">
        <v>238</v>
      </c>
      <c r="BT218" s="5" t="s">
        <v>238</v>
      </c>
      <c r="CC218" s="5" t="s">
        <v>258</v>
      </c>
      <c r="CD218" s="5" t="s">
        <v>238</v>
      </c>
      <c r="CE218" s="5" t="s">
        <v>238</v>
      </c>
      <c r="CI218" s="5" t="s">
        <v>259</v>
      </c>
      <c r="CJ218" s="5" t="s">
        <v>260</v>
      </c>
      <c r="CK218" s="5" t="s">
        <v>238</v>
      </c>
      <c r="CM218" s="5" t="s">
        <v>723</v>
      </c>
      <c r="CN218" s="6" t="s">
        <v>262</v>
      </c>
      <c r="CO218" s="5" t="s">
        <v>263</v>
      </c>
      <c r="CP218" s="5" t="s">
        <v>264</v>
      </c>
      <c r="CQ218" s="5" t="s">
        <v>285</v>
      </c>
      <c r="CR218" s="5" t="s">
        <v>238</v>
      </c>
      <c r="CS218" s="5">
        <v>6.7000000000000004E-2</v>
      </c>
      <c r="CT218" s="5" t="s">
        <v>265</v>
      </c>
      <c r="CU218" s="5" t="s">
        <v>266</v>
      </c>
      <c r="CV218" s="5" t="s">
        <v>267</v>
      </c>
      <c r="CW218" s="7">
        <f>0</f>
        <v>0</v>
      </c>
      <c r="CX218" s="8">
        <f>2988000</f>
        <v>2988000</v>
      </c>
      <c r="CY218" s="8">
        <f>1386432</f>
        <v>1386432</v>
      </c>
      <c r="DA218" s="5" t="s">
        <v>238</v>
      </c>
      <c r="DB218" s="5" t="s">
        <v>238</v>
      </c>
      <c r="DD218" s="5" t="s">
        <v>238</v>
      </c>
      <c r="DE218" s="8">
        <f>0</f>
        <v>0</v>
      </c>
      <c r="DG218" s="5" t="s">
        <v>238</v>
      </c>
      <c r="DH218" s="5" t="s">
        <v>238</v>
      </c>
      <c r="DI218" s="5" t="s">
        <v>238</v>
      </c>
      <c r="DJ218" s="5" t="s">
        <v>238</v>
      </c>
      <c r="DK218" s="5" t="s">
        <v>271</v>
      </c>
      <c r="DL218" s="5" t="s">
        <v>272</v>
      </c>
      <c r="DM218" s="7">
        <f t="shared" si="6"/>
        <v>19.87</v>
      </c>
      <c r="DN218" s="5" t="s">
        <v>238</v>
      </c>
      <c r="DO218" s="5" t="s">
        <v>238</v>
      </c>
      <c r="DP218" s="5" t="s">
        <v>238</v>
      </c>
      <c r="DQ218" s="5" t="s">
        <v>238</v>
      </c>
      <c r="DT218" s="5" t="s">
        <v>3681</v>
      </c>
      <c r="DU218" s="5" t="s">
        <v>271</v>
      </c>
      <c r="GL218" s="5" t="s">
        <v>3682</v>
      </c>
      <c r="HM218" s="5" t="s">
        <v>313</v>
      </c>
      <c r="HP218" s="5" t="s">
        <v>272</v>
      </c>
      <c r="HQ218" s="5" t="s">
        <v>272</v>
      </c>
      <c r="HR218" s="5" t="s">
        <v>238</v>
      </c>
      <c r="HS218" s="5" t="s">
        <v>238</v>
      </c>
      <c r="HT218" s="5" t="s">
        <v>238</v>
      </c>
      <c r="HU218" s="5" t="s">
        <v>238</v>
      </c>
      <c r="HV218" s="5" t="s">
        <v>238</v>
      </c>
      <c r="HW218" s="5" t="s">
        <v>238</v>
      </c>
      <c r="HX218" s="5" t="s">
        <v>238</v>
      </c>
      <c r="HY218" s="5" t="s">
        <v>238</v>
      </c>
      <c r="HZ218" s="5" t="s">
        <v>238</v>
      </c>
      <c r="IA218" s="5" t="s">
        <v>238</v>
      </c>
      <c r="IB218" s="5" t="s">
        <v>238</v>
      </c>
      <c r="IC218" s="5" t="s">
        <v>238</v>
      </c>
      <c r="ID218" s="5" t="s">
        <v>238</v>
      </c>
    </row>
    <row r="219" spans="1:238" x14ac:dyDescent="0.4">
      <c r="A219" s="5">
        <v>234</v>
      </c>
      <c r="B219" s="5">
        <v>1</v>
      </c>
      <c r="C219" s="5">
        <v>5</v>
      </c>
      <c r="D219" s="5" t="s">
        <v>3673</v>
      </c>
      <c r="E219" s="5" t="s">
        <v>751</v>
      </c>
      <c r="F219" s="5" t="s">
        <v>282</v>
      </c>
      <c r="G219" s="5" t="s">
        <v>752</v>
      </c>
      <c r="H219" s="6" t="s">
        <v>3675</v>
      </c>
      <c r="I219" s="5" t="s">
        <v>3672</v>
      </c>
      <c r="J219" s="7">
        <f t="shared" si="5"/>
        <v>19.87</v>
      </c>
      <c r="K219" s="5" t="s">
        <v>270</v>
      </c>
      <c r="L219" s="8">
        <f>1386432</f>
        <v>1386432</v>
      </c>
      <c r="M219" s="8">
        <f>2988000</f>
        <v>2988000</v>
      </c>
      <c r="N219" s="6" t="s">
        <v>3674</v>
      </c>
      <c r="O219" s="5" t="s">
        <v>268</v>
      </c>
      <c r="P219" s="5" t="s">
        <v>313</v>
      </c>
      <c r="Q219" s="8">
        <f>200196</f>
        <v>200196</v>
      </c>
      <c r="R219" s="8">
        <f>1601568</f>
        <v>1601568</v>
      </c>
      <c r="S219" s="5" t="s">
        <v>240</v>
      </c>
      <c r="T219" s="5" t="s">
        <v>237</v>
      </c>
      <c r="W219" s="5" t="s">
        <v>241</v>
      </c>
      <c r="X219" s="5" t="s">
        <v>750</v>
      </c>
      <c r="Y219" s="5" t="s">
        <v>238</v>
      </c>
      <c r="AB219" s="5" t="s">
        <v>238</v>
      </c>
      <c r="AC219" s="6" t="s">
        <v>238</v>
      </c>
      <c r="AD219" s="6" t="s">
        <v>238</v>
      </c>
      <c r="AF219" s="6" t="s">
        <v>238</v>
      </c>
      <c r="AG219" s="6" t="s">
        <v>246</v>
      </c>
      <c r="AH219" s="5" t="s">
        <v>247</v>
      </c>
      <c r="AI219" s="5" t="s">
        <v>248</v>
      </c>
      <c r="AO219" s="5" t="s">
        <v>238</v>
      </c>
      <c r="AP219" s="5" t="s">
        <v>238</v>
      </c>
      <c r="AQ219" s="5" t="s">
        <v>238</v>
      </c>
      <c r="AR219" s="6" t="s">
        <v>238</v>
      </c>
      <c r="AS219" s="6" t="s">
        <v>238</v>
      </c>
      <c r="AT219" s="6" t="s">
        <v>238</v>
      </c>
      <c r="AW219" s="5" t="s">
        <v>304</v>
      </c>
      <c r="AX219" s="5" t="s">
        <v>304</v>
      </c>
      <c r="AY219" s="5" t="s">
        <v>250</v>
      </c>
      <c r="AZ219" s="5" t="s">
        <v>305</v>
      </c>
      <c r="BA219" s="5" t="s">
        <v>251</v>
      </c>
      <c r="BB219" s="5" t="s">
        <v>238</v>
      </c>
      <c r="BC219" s="5" t="s">
        <v>253</v>
      </c>
      <c r="BD219" s="5" t="s">
        <v>238</v>
      </c>
      <c r="BF219" s="5" t="s">
        <v>760</v>
      </c>
      <c r="BH219" s="5" t="s">
        <v>283</v>
      </c>
      <c r="BI219" s="6" t="s">
        <v>293</v>
      </c>
      <c r="BJ219" s="5" t="s">
        <v>294</v>
      </c>
      <c r="BK219" s="5" t="s">
        <v>294</v>
      </c>
      <c r="BL219" s="5" t="s">
        <v>238</v>
      </c>
      <c r="BM219" s="7">
        <f>0</f>
        <v>0</v>
      </c>
      <c r="BN219" s="8">
        <f>-200196</f>
        <v>-200196</v>
      </c>
      <c r="BO219" s="5" t="s">
        <v>257</v>
      </c>
      <c r="BP219" s="5" t="s">
        <v>258</v>
      </c>
      <c r="BQ219" s="5" t="s">
        <v>238</v>
      </c>
      <c r="BR219" s="5" t="s">
        <v>238</v>
      </c>
      <c r="BS219" s="5" t="s">
        <v>238</v>
      </c>
      <c r="BT219" s="5" t="s">
        <v>238</v>
      </c>
      <c r="CC219" s="5" t="s">
        <v>258</v>
      </c>
      <c r="CD219" s="5" t="s">
        <v>238</v>
      </c>
      <c r="CE219" s="5" t="s">
        <v>238</v>
      </c>
      <c r="CI219" s="5" t="s">
        <v>259</v>
      </c>
      <c r="CJ219" s="5" t="s">
        <v>260</v>
      </c>
      <c r="CK219" s="5" t="s">
        <v>238</v>
      </c>
      <c r="CM219" s="5" t="s">
        <v>723</v>
      </c>
      <c r="CN219" s="6" t="s">
        <v>262</v>
      </c>
      <c r="CO219" s="5" t="s">
        <v>263</v>
      </c>
      <c r="CP219" s="5" t="s">
        <v>264</v>
      </c>
      <c r="CQ219" s="5" t="s">
        <v>285</v>
      </c>
      <c r="CR219" s="5" t="s">
        <v>238</v>
      </c>
      <c r="CS219" s="5">
        <v>6.7000000000000004E-2</v>
      </c>
      <c r="CT219" s="5" t="s">
        <v>265</v>
      </c>
      <c r="CU219" s="5" t="s">
        <v>266</v>
      </c>
      <c r="CV219" s="5" t="s">
        <v>267</v>
      </c>
      <c r="CW219" s="7">
        <f>0</f>
        <v>0</v>
      </c>
      <c r="CX219" s="8">
        <f>2988000</f>
        <v>2988000</v>
      </c>
      <c r="CY219" s="8">
        <f>1386432</f>
        <v>1386432</v>
      </c>
      <c r="DA219" s="5" t="s">
        <v>238</v>
      </c>
      <c r="DB219" s="5" t="s">
        <v>238</v>
      </c>
      <c r="DD219" s="5" t="s">
        <v>238</v>
      </c>
      <c r="DE219" s="8">
        <f>0</f>
        <v>0</v>
      </c>
      <c r="DG219" s="5" t="s">
        <v>238</v>
      </c>
      <c r="DH219" s="5" t="s">
        <v>238</v>
      </c>
      <c r="DI219" s="5" t="s">
        <v>238</v>
      </c>
      <c r="DJ219" s="5" t="s">
        <v>238</v>
      </c>
      <c r="DK219" s="5" t="s">
        <v>271</v>
      </c>
      <c r="DL219" s="5" t="s">
        <v>272</v>
      </c>
      <c r="DM219" s="7">
        <f t="shared" si="6"/>
        <v>19.87</v>
      </c>
      <c r="DN219" s="5" t="s">
        <v>238</v>
      </c>
      <c r="DO219" s="5" t="s">
        <v>238</v>
      </c>
      <c r="DP219" s="5" t="s">
        <v>238</v>
      </c>
      <c r="DQ219" s="5" t="s">
        <v>238</v>
      </c>
      <c r="DT219" s="5" t="s">
        <v>3676</v>
      </c>
      <c r="DU219" s="5" t="s">
        <v>271</v>
      </c>
      <c r="GL219" s="5" t="s">
        <v>3677</v>
      </c>
      <c r="HM219" s="5" t="s">
        <v>313</v>
      </c>
      <c r="HP219" s="5" t="s">
        <v>272</v>
      </c>
      <c r="HQ219" s="5" t="s">
        <v>272</v>
      </c>
      <c r="HR219" s="5" t="s">
        <v>238</v>
      </c>
      <c r="HS219" s="5" t="s">
        <v>238</v>
      </c>
      <c r="HT219" s="5" t="s">
        <v>238</v>
      </c>
      <c r="HU219" s="5" t="s">
        <v>238</v>
      </c>
      <c r="HV219" s="5" t="s">
        <v>238</v>
      </c>
      <c r="HW219" s="5" t="s">
        <v>238</v>
      </c>
      <c r="HX219" s="5" t="s">
        <v>238</v>
      </c>
      <c r="HY219" s="5" t="s">
        <v>238</v>
      </c>
      <c r="HZ219" s="5" t="s">
        <v>238</v>
      </c>
      <c r="IA219" s="5" t="s">
        <v>238</v>
      </c>
      <c r="IB219" s="5" t="s">
        <v>238</v>
      </c>
      <c r="IC219" s="5" t="s">
        <v>238</v>
      </c>
      <c r="ID219" s="5" t="s">
        <v>238</v>
      </c>
    </row>
    <row r="220" spans="1:238" x14ac:dyDescent="0.4">
      <c r="A220" s="5">
        <v>237</v>
      </c>
      <c r="B220" s="5">
        <v>1</v>
      </c>
      <c r="C220" s="5">
        <v>5</v>
      </c>
      <c r="D220" s="5" t="s">
        <v>3668</v>
      </c>
      <c r="E220" s="5" t="s">
        <v>751</v>
      </c>
      <c r="F220" s="5" t="s">
        <v>282</v>
      </c>
      <c r="G220" s="5" t="s">
        <v>752</v>
      </c>
      <c r="H220" s="6" t="s">
        <v>3669</v>
      </c>
      <c r="I220" s="5" t="s">
        <v>3667</v>
      </c>
      <c r="J220" s="7">
        <f t="shared" si="5"/>
        <v>19.87</v>
      </c>
      <c r="K220" s="5" t="s">
        <v>270</v>
      </c>
      <c r="L220" s="8">
        <f>1849473</f>
        <v>1849473</v>
      </c>
      <c r="M220" s="8">
        <f>3483000</f>
        <v>3483000</v>
      </c>
      <c r="N220" s="6" t="s">
        <v>3663</v>
      </c>
      <c r="O220" s="5" t="s">
        <v>268</v>
      </c>
      <c r="P220" s="5" t="s">
        <v>379</v>
      </c>
      <c r="Q220" s="8">
        <f>233361</f>
        <v>233361</v>
      </c>
      <c r="R220" s="8">
        <f>1633527</f>
        <v>1633527</v>
      </c>
      <c r="S220" s="5" t="s">
        <v>240</v>
      </c>
      <c r="T220" s="5" t="s">
        <v>237</v>
      </c>
      <c r="W220" s="5" t="s">
        <v>241</v>
      </c>
      <c r="X220" s="5" t="s">
        <v>750</v>
      </c>
      <c r="Y220" s="5" t="s">
        <v>238</v>
      </c>
      <c r="AB220" s="5" t="s">
        <v>238</v>
      </c>
      <c r="AC220" s="6" t="s">
        <v>238</v>
      </c>
      <c r="AD220" s="6" t="s">
        <v>238</v>
      </c>
      <c r="AF220" s="6" t="s">
        <v>238</v>
      </c>
      <c r="AG220" s="6" t="s">
        <v>246</v>
      </c>
      <c r="AH220" s="5" t="s">
        <v>247</v>
      </c>
      <c r="AI220" s="5" t="s">
        <v>248</v>
      </c>
      <c r="AO220" s="5" t="s">
        <v>238</v>
      </c>
      <c r="AP220" s="5" t="s">
        <v>238</v>
      </c>
      <c r="AQ220" s="5" t="s">
        <v>238</v>
      </c>
      <c r="AR220" s="6" t="s">
        <v>238</v>
      </c>
      <c r="AS220" s="6" t="s">
        <v>238</v>
      </c>
      <c r="AT220" s="6" t="s">
        <v>238</v>
      </c>
      <c r="AW220" s="5" t="s">
        <v>304</v>
      </c>
      <c r="AX220" s="5" t="s">
        <v>304</v>
      </c>
      <c r="AY220" s="5" t="s">
        <v>250</v>
      </c>
      <c r="AZ220" s="5" t="s">
        <v>305</v>
      </c>
      <c r="BA220" s="5" t="s">
        <v>251</v>
      </c>
      <c r="BB220" s="5" t="s">
        <v>238</v>
      </c>
      <c r="BC220" s="5" t="s">
        <v>253</v>
      </c>
      <c r="BD220" s="5" t="s">
        <v>238</v>
      </c>
      <c r="BF220" s="5" t="s">
        <v>238</v>
      </c>
      <c r="BH220" s="5" t="s">
        <v>283</v>
      </c>
      <c r="BI220" s="6" t="s">
        <v>293</v>
      </c>
      <c r="BJ220" s="5" t="s">
        <v>294</v>
      </c>
      <c r="BK220" s="5" t="s">
        <v>294</v>
      </c>
      <c r="BL220" s="5" t="s">
        <v>238</v>
      </c>
      <c r="BM220" s="7">
        <f>0</f>
        <v>0</v>
      </c>
      <c r="BN220" s="8">
        <f>-233361</f>
        <v>-233361</v>
      </c>
      <c r="BO220" s="5" t="s">
        <v>257</v>
      </c>
      <c r="BP220" s="5" t="s">
        <v>258</v>
      </c>
      <c r="BQ220" s="5" t="s">
        <v>238</v>
      </c>
      <c r="BR220" s="5" t="s">
        <v>238</v>
      </c>
      <c r="BS220" s="5" t="s">
        <v>238</v>
      </c>
      <c r="BT220" s="5" t="s">
        <v>238</v>
      </c>
      <c r="CC220" s="5" t="s">
        <v>258</v>
      </c>
      <c r="CD220" s="5" t="s">
        <v>238</v>
      </c>
      <c r="CE220" s="5" t="s">
        <v>238</v>
      </c>
      <c r="CI220" s="5" t="s">
        <v>259</v>
      </c>
      <c r="CJ220" s="5" t="s">
        <v>260</v>
      </c>
      <c r="CK220" s="5" t="s">
        <v>238</v>
      </c>
      <c r="CM220" s="5" t="s">
        <v>1358</v>
      </c>
      <c r="CN220" s="6" t="s">
        <v>262</v>
      </c>
      <c r="CO220" s="5" t="s">
        <v>263</v>
      </c>
      <c r="CP220" s="5" t="s">
        <v>264</v>
      </c>
      <c r="CQ220" s="5" t="s">
        <v>285</v>
      </c>
      <c r="CR220" s="5" t="s">
        <v>238</v>
      </c>
      <c r="CS220" s="5">
        <v>6.7000000000000004E-2</v>
      </c>
      <c r="CT220" s="5" t="s">
        <v>265</v>
      </c>
      <c r="CU220" s="5" t="s">
        <v>266</v>
      </c>
      <c r="CV220" s="5" t="s">
        <v>267</v>
      </c>
      <c r="CW220" s="7">
        <f>0</f>
        <v>0</v>
      </c>
      <c r="CX220" s="8">
        <f>3483000</f>
        <v>3483000</v>
      </c>
      <c r="CY220" s="8">
        <f>1849473</f>
        <v>1849473</v>
      </c>
      <c r="DA220" s="5" t="s">
        <v>238</v>
      </c>
      <c r="DB220" s="5" t="s">
        <v>238</v>
      </c>
      <c r="DD220" s="5" t="s">
        <v>238</v>
      </c>
      <c r="DE220" s="8">
        <f>0</f>
        <v>0</v>
      </c>
      <c r="DG220" s="5" t="s">
        <v>238</v>
      </c>
      <c r="DH220" s="5" t="s">
        <v>238</v>
      </c>
      <c r="DI220" s="5" t="s">
        <v>238</v>
      </c>
      <c r="DJ220" s="5" t="s">
        <v>238</v>
      </c>
      <c r="DK220" s="5" t="s">
        <v>271</v>
      </c>
      <c r="DL220" s="5" t="s">
        <v>272</v>
      </c>
      <c r="DM220" s="7">
        <f t="shared" si="6"/>
        <v>19.87</v>
      </c>
      <c r="DN220" s="5" t="s">
        <v>238</v>
      </c>
      <c r="DO220" s="5" t="s">
        <v>238</v>
      </c>
      <c r="DP220" s="5" t="s">
        <v>238</v>
      </c>
      <c r="DQ220" s="5" t="s">
        <v>238</v>
      </c>
      <c r="DT220" s="5" t="s">
        <v>3670</v>
      </c>
      <c r="DU220" s="5" t="s">
        <v>274</v>
      </c>
      <c r="GL220" s="5" t="s">
        <v>3671</v>
      </c>
      <c r="HM220" s="5" t="s">
        <v>313</v>
      </c>
      <c r="HP220" s="5" t="s">
        <v>272</v>
      </c>
      <c r="HQ220" s="5" t="s">
        <v>272</v>
      </c>
      <c r="HR220" s="5" t="s">
        <v>238</v>
      </c>
      <c r="HS220" s="5" t="s">
        <v>238</v>
      </c>
      <c r="HT220" s="5" t="s">
        <v>238</v>
      </c>
      <c r="HU220" s="5" t="s">
        <v>238</v>
      </c>
      <c r="HV220" s="5" t="s">
        <v>238</v>
      </c>
      <c r="HW220" s="5" t="s">
        <v>238</v>
      </c>
      <c r="HX220" s="5" t="s">
        <v>238</v>
      </c>
      <c r="HY220" s="5" t="s">
        <v>238</v>
      </c>
      <c r="HZ220" s="5" t="s">
        <v>238</v>
      </c>
      <c r="IA220" s="5" t="s">
        <v>238</v>
      </c>
      <c r="IB220" s="5" t="s">
        <v>238</v>
      </c>
      <c r="IC220" s="5" t="s">
        <v>238</v>
      </c>
      <c r="ID220" s="5" t="s">
        <v>238</v>
      </c>
    </row>
    <row r="221" spans="1:238" x14ac:dyDescent="0.4">
      <c r="A221" s="5">
        <v>239</v>
      </c>
      <c r="B221" s="5">
        <v>1</v>
      </c>
      <c r="C221" s="5">
        <v>5</v>
      </c>
      <c r="D221" s="5" t="s">
        <v>3662</v>
      </c>
      <c r="E221" s="5" t="s">
        <v>751</v>
      </c>
      <c r="F221" s="5" t="s">
        <v>282</v>
      </c>
      <c r="G221" s="5" t="s">
        <v>752</v>
      </c>
      <c r="H221" s="6" t="s">
        <v>3664</v>
      </c>
      <c r="I221" s="5" t="s">
        <v>3661</v>
      </c>
      <c r="J221" s="7">
        <f t="shared" si="5"/>
        <v>19.87</v>
      </c>
      <c r="K221" s="5" t="s">
        <v>270</v>
      </c>
      <c r="L221" s="8">
        <f>1849473</f>
        <v>1849473</v>
      </c>
      <c r="M221" s="8">
        <f>3483000</f>
        <v>3483000</v>
      </c>
      <c r="N221" s="6" t="s">
        <v>3663</v>
      </c>
      <c r="O221" s="5" t="s">
        <v>268</v>
      </c>
      <c r="P221" s="5" t="s">
        <v>379</v>
      </c>
      <c r="Q221" s="8">
        <f>233361</f>
        <v>233361</v>
      </c>
      <c r="R221" s="8">
        <f>1633527</f>
        <v>1633527</v>
      </c>
      <c r="S221" s="5" t="s">
        <v>240</v>
      </c>
      <c r="T221" s="5" t="s">
        <v>237</v>
      </c>
      <c r="W221" s="5" t="s">
        <v>241</v>
      </c>
      <c r="X221" s="5" t="s">
        <v>750</v>
      </c>
      <c r="Y221" s="5" t="s">
        <v>238</v>
      </c>
      <c r="AB221" s="5" t="s">
        <v>238</v>
      </c>
      <c r="AC221" s="6" t="s">
        <v>238</v>
      </c>
      <c r="AD221" s="6" t="s">
        <v>238</v>
      </c>
      <c r="AF221" s="6" t="s">
        <v>238</v>
      </c>
      <c r="AG221" s="6" t="s">
        <v>246</v>
      </c>
      <c r="AH221" s="5" t="s">
        <v>247</v>
      </c>
      <c r="AI221" s="5" t="s">
        <v>248</v>
      </c>
      <c r="AO221" s="5" t="s">
        <v>238</v>
      </c>
      <c r="AP221" s="5" t="s">
        <v>238</v>
      </c>
      <c r="AQ221" s="5" t="s">
        <v>238</v>
      </c>
      <c r="AR221" s="6" t="s">
        <v>238</v>
      </c>
      <c r="AS221" s="6" t="s">
        <v>238</v>
      </c>
      <c r="AT221" s="6" t="s">
        <v>238</v>
      </c>
      <c r="AW221" s="5" t="s">
        <v>304</v>
      </c>
      <c r="AX221" s="5" t="s">
        <v>304</v>
      </c>
      <c r="AY221" s="5" t="s">
        <v>250</v>
      </c>
      <c r="AZ221" s="5" t="s">
        <v>305</v>
      </c>
      <c r="BA221" s="5" t="s">
        <v>251</v>
      </c>
      <c r="BB221" s="5" t="s">
        <v>238</v>
      </c>
      <c r="BC221" s="5" t="s">
        <v>253</v>
      </c>
      <c r="BD221" s="5" t="s">
        <v>238</v>
      </c>
      <c r="BF221" s="5" t="s">
        <v>238</v>
      </c>
      <c r="BH221" s="5" t="s">
        <v>283</v>
      </c>
      <c r="BI221" s="6" t="s">
        <v>293</v>
      </c>
      <c r="BJ221" s="5" t="s">
        <v>294</v>
      </c>
      <c r="BK221" s="5" t="s">
        <v>294</v>
      </c>
      <c r="BL221" s="5" t="s">
        <v>238</v>
      </c>
      <c r="BM221" s="7">
        <f>0</f>
        <v>0</v>
      </c>
      <c r="BN221" s="8">
        <f>-233361</f>
        <v>-233361</v>
      </c>
      <c r="BO221" s="5" t="s">
        <v>257</v>
      </c>
      <c r="BP221" s="5" t="s">
        <v>258</v>
      </c>
      <c r="BQ221" s="5" t="s">
        <v>238</v>
      </c>
      <c r="BR221" s="5" t="s">
        <v>238</v>
      </c>
      <c r="BS221" s="5" t="s">
        <v>238</v>
      </c>
      <c r="BT221" s="5" t="s">
        <v>238</v>
      </c>
      <c r="CC221" s="5" t="s">
        <v>258</v>
      </c>
      <c r="CD221" s="5" t="s">
        <v>238</v>
      </c>
      <c r="CE221" s="5" t="s">
        <v>238</v>
      </c>
      <c r="CI221" s="5" t="s">
        <v>259</v>
      </c>
      <c r="CJ221" s="5" t="s">
        <v>260</v>
      </c>
      <c r="CK221" s="5" t="s">
        <v>238</v>
      </c>
      <c r="CM221" s="5" t="s">
        <v>1358</v>
      </c>
      <c r="CN221" s="6" t="s">
        <v>262</v>
      </c>
      <c r="CO221" s="5" t="s">
        <v>263</v>
      </c>
      <c r="CP221" s="5" t="s">
        <v>264</v>
      </c>
      <c r="CQ221" s="5" t="s">
        <v>285</v>
      </c>
      <c r="CR221" s="5" t="s">
        <v>238</v>
      </c>
      <c r="CS221" s="5">
        <v>6.7000000000000004E-2</v>
      </c>
      <c r="CT221" s="5" t="s">
        <v>265</v>
      </c>
      <c r="CU221" s="5" t="s">
        <v>266</v>
      </c>
      <c r="CV221" s="5" t="s">
        <v>267</v>
      </c>
      <c r="CW221" s="7">
        <f>0</f>
        <v>0</v>
      </c>
      <c r="CX221" s="8">
        <f>3483000</f>
        <v>3483000</v>
      </c>
      <c r="CY221" s="8">
        <f>1849473</f>
        <v>1849473</v>
      </c>
      <c r="DA221" s="5" t="s">
        <v>238</v>
      </c>
      <c r="DB221" s="5" t="s">
        <v>238</v>
      </c>
      <c r="DD221" s="5" t="s">
        <v>238</v>
      </c>
      <c r="DE221" s="8">
        <f>0</f>
        <v>0</v>
      </c>
      <c r="DG221" s="5" t="s">
        <v>238</v>
      </c>
      <c r="DH221" s="5" t="s">
        <v>238</v>
      </c>
      <c r="DI221" s="5" t="s">
        <v>238</v>
      </c>
      <c r="DJ221" s="5" t="s">
        <v>238</v>
      </c>
      <c r="DK221" s="5" t="s">
        <v>271</v>
      </c>
      <c r="DL221" s="5" t="s">
        <v>272</v>
      </c>
      <c r="DM221" s="7">
        <f t="shared" si="6"/>
        <v>19.87</v>
      </c>
      <c r="DN221" s="5" t="s">
        <v>238</v>
      </c>
      <c r="DO221" s="5" t="s">
        <v>238</v>
      </c>
      <c r="DP221" s="5" t="s">
        <v>238</v>
      </c>
      <c r="DQ221" s="5" t="s">
        <v>238</v>
      </c>
      <c r="DT221" s="5" t="s">
        <v>3665</v>
      </c>
      <c r="DU221" s="5" t="s">
        <v>274</v>
      </c>
      <c r="GL221" s="5" t="s">
        <v>3666</v>
      </c>
      <c r="HM221" s="5" t="s">
        <v>313</v>
      </c>
      <c r="HP221" s="5" t="s">
        <v>272</v>
      </c>
      <c r="HQ221" s="5" t="s">
        <v>272</v>
      </c>
      <c r="HR221" s="5" t="s">
        <v>238</v>
      </c>
      <c r="HS221" s="5" t="s">
        <v>238</v>
      </c>
      <c r="HT221" s="5" t="s">
        <v>238</v>
      </c>
      <c r="HU221" s="5" t="s">
        <v>238</v>
      </c>
      <c r="HV221" s="5" t="s">
        <v>238</v>
      </c>
      <c r="HW221" s="5" t="s">
        <v>238</v>
      </c>
      <c r="HX221" s="5" t="s">
        <v>238</v>
      </c>
      <c r="HY221" s="5" t="s">
        <v>238</v>
      </c>
      <c r="HZ221" s="5" t="s">
        <v>238</v>
      </c>
      <c r="IA221" s="5" t="s">
        <v>238</v>
      </c>
      <c r="IB221" s="5" t="s">
        <v>238</v>
      </c>
      <c r="IC221" s="5" t="s">
        <v>238</v>
      </c>
      <c r="ID221" s="5" t="s">
        <v>238</v>
      </c>
    </row>
    <row r="222" spans="1:238" x14ac:dyDescent="0.4">
      <c r="A222" s="5">
        <v>240</v>
      </c>
      <c r="B222" s="5">
        <v>1</v>
      </c>
      <c r="C222" s="5">
        <v>5</v>
      </c>
      <c r="D222" s="5" t="s">
        <v>3657</v>
      </c>
      <c r="E222" s="5" t="s">
        <v>751</v>
      </c>
      <c r="F222" s="5" t="s">
        <v>282</v>
      </c>
      <c r="G222" s="5" t="s">
        <v>752</v>
      </c>
      <c r="H222" s="6" t="s">
        <v>3658</v>
      </c>
      <c r="I222" s="5" t="s">
        <v>3656</v>
      </c>
      <c r="J222" s="7">
        <f>26.08</f>
        <v>26.08</v>
      </c>
      <c r="K222" s="5" t="s">
        <v>270</v>
      </c>
      <c r="L222" s="8">
        <f>2088972</f>
        <v>2088972</v>
      </c>
      <c r="M222" s="8">
        <f>3493260</f>
        <v>3493260</v>
      </c>
      <c r="N222" s="6" t="s">
        <v>3652</v>
      </c>
      <c r="O222" s="5" t="s">
        <v>268</v>
      </c>
      <c r="P222" s="5" t="s">
        <v>310</v>
      </c>
      <c r="Q222" s="8">
        <f>234048</f>
        <v>234048</v>
      </c>
      <c r="R222" s="8">
        <f>1404288</f>
        <v>1404288</v>
      </c>
      <c r="S222" s="5" t="s">
        <v>240</v>
      </c>
      <c r="T222" s="5" t="s">
        <v>237</v>
      </c>
      <c r="W222" s="5" t="s">
        <v>241</v>
      </c>
      <c r="X222" s="5" t="s">
        <v>750</v>
      </c>
      <c r="Y222" s="5" t="s">
        <v>238</v>
      </c>
      <c r="AB222" s="5" t="s">
        <v>238</v>
      </c>
      <c r="AC222" s="6" t="s">
        <v>238</v>
      </c>
      <c r="AD222" s="6" t="s">
        <v>238</v>
      </c>
      <c r="AF222" s="6" t="s">
        <v>238</v>
      </c>
      <c r="AG222" s="6" t="s">
        <v>246</v>
      </c>
      <c r="AH222" s="5" t="s">
        <v>247</v>
      </c>
      <c r="AI222" s="5" t="s">
        <v>248</v>
      </c>
      <c r="AO222" s="5" t="s">
        <v>238</v>
      </c>
      <c r="AP222" s="5" t="s">
        <v>238</v>
      </c>
      <c r="AQ222" s="5" t="s">
        <v>238</v>
      </c>
      <c r="AR222" s="6" t="s">
        <v>238</v>
      </c>
      <c r="AS222" s="6" t="s">
        <v>238</v>
      </c>
      <c r="AT222" s="6" t="s">
        <v>238</v>
      </c>
      <c r="AW222" s="5" t="s">
        <v>304</v>
      </c>
      <c r="AX222" s="5" t="s">
        <v>304</v>
      </c>
      <c r="AY222" s="5" t="s">
        <v>250</v>
      </c>
      <c r="AZ222" s="5" t="s">
        <v>305</v>
      </c>
      <c r="BA222" s="5" t="s">
        <v>251</v>
      </c>
      <c r="BB222" s="5" t="s">
        <v>238</v>
      </c>
      <c r="BC222" s="5" t="s">
        <v>253</v>
      </c>
      <c r="BD222" s="5" t="s">
        <v>238</v>
      </c>
      <c r="BF222" s="5" t="s">
        <v>760</v>
      </c>
      <c r="BH222" s="5" t="s">
        <v>283</v>
      </c>
      <c r="BI222" s="6" t="s">
        <v>293</v>
      </c>
      <c r="BJ222" s="5" t="s">
        <v>294</v>
      </c>
      <c r="BK222" s="5" t="s">
        <v>294</v>
      </c>
      <c r="BL222" s="5" t="s">
        <v>238</v>
      </c>
      <c r="BM222" s="7">
        <f>0</f>
        <v>0</v>
      </c>
      <c r="BN222" s="8">
        <f>-234048</f>
        <v>-234048</v>
      </c>
      <c r="BO222" s="5" t="s">
        <v>257</v>
      </c>
      <c r="BP222" s="5" t="s">
        <v>258</v>
      </c>
      <c r="BQ222" s="5" t="s">
        <v>238</v>
      </c>
      <c r="BR222" s="5" t="s">
        <v>238</v>
      </c>
      <c r="BS222" s="5" t="s">
        <v>238</v>
      </c>
      <c r="BT222" s="5" t="s">
        <v>238</v>
      </c>
      <c r="CC222" s="5" t="s">
        <v>258</v>
      </c>
      <c r="CD222" s="5" t="s">
        <v>238</v>
      </c>
      <c r="CE222" s="5" t="s">
        <v>238</v>
      </c>
      <c r="CI222" s="5" t="s">
        <v>259</v>
      </c>
      <c r="CJ222" s="5" t="s">
        <v>260</v>
      </c>
      <c r="CK222" s="5" t="s">
        <v>238</v>
      </c>
      <c r="CM222" s="5" t="s">
        <v>1202</v>
      </c>
      <c r="CN222" s="6" t="s">
        <v>262</v>
      </c>
      <c r="CO222" s="5" t="s">
        <v>263</v>
      </c>
      <c r="CP222" s="5" t="s">
        <v>264</v>
      </c>
      <c r="CQ222" s="5" t="s">
        <v>285</v>
      </c>
      <c r="CR222" s="5" t="s">
        <v>238</v>
      </c>
      <c r="CS222" s="5">
        <v>6.7000000000000004E-2</v>
      </c>
      <c r="CT222" s="5" t="s">
        <v>265</v>
      </c>
      <c r="CU222" s="5" t="s">
        <v>266</v>
      </c>
      <c r="CV222" s="5" t="s">
        <v>267</v>
      </c>
      <c r="CW222" s="7">
        <f>0</f>
        <v>0</v>
      </c>
      <c r="CX222" s="8">
        <f>3493260</f>
        <v>3493260</v>
      </c>
      <c r="CY222" s="8">
        <f>2088972</f>
        <v>2088972</v>
      </c>
      <c r="DA222" s="5" t="s">
        <v>238</v>
      </c>
      <c r="DB222" s="5" t="s">
        <v>238</v>
      </c>
      <c r="DD222" s="5" t="s">
        <v>238</v>
      </c>
      <c r="DE222" s="8">
        <f>0</f>
        <v>0</v>
      </c>
      <c r="DG222" s="5" t="s">
        <v>238</v>
      </c>
      <c r="DH222" s="5" t="s">
        <v>238</v>
      </c>
      <c r="DI222" s="5" t="s">
        <v>238</v>
      </c>
      <c r="DJ222" s="5" t="s">
        <v>238</v>
      </c>
      <c r="DK222" s="5" t="s">
        <v>271</v>
      </c>
      <c r="DL222" s="5" t="s">
        <v>272</v>
      </c>
      <c r="DM222" s="7">
        <f>26.08</f>
        <v>26.08</v>
      </c>
      <c r="DN222" s="5" t="s">
        <v>238</v>
      </c>
      <c r="DO222" s="5" t="s">
        <v>238</v>
      </c>
      <c r="DP222" s="5" t="s">
        <v>238</v>
      </c>
      <c r="DQ222" s="5" t="s">
        <v>238</v>
      </c>
      <c r="DT222" s="5" t="s">
        <v>3659</v>
      </c>
      <c r="DU222" s="5" t="s">
        <v>271</v>
      </c>
      <c r="GL222" s="5" t="s">
        <v>3660</v>
      </c>
      <c r="HM222" s="5" t="s">
        <v>313</v>
      </c>
      <c r="HP222" s="5" t="s">
        <v>272</v>
      </c>
      <c r="HQ222" s="5" t="s">
        <v>272</v>
      </c>
      <c r="HR222" s="5" t="s">
        <v>238</v>
      </c>
      <c r="HS222" s="5" t="s">
        <v>238</v>
      </c>
      <c r="HT222" s="5" t="s">
        <v>238</v>
      </c>
      <c r="HU222" s="5" t="s">
        <v>238</v>
      </c>
      <c r="HV222" s="5" t="s">
        <v>238</v>
      </c>
      <c r="HW222" s="5" t="s">
        <v>238</v>
      </c>
      <c r="HX222" s="5" t="s">
        <v>238</v>
      </c>
      <c r="HY222" s="5" t="s">
        <v>238</v>
      </c>
      <c r="HZ222" s="5" t="s">
        <v>238</v>
      </c>
      <c r="IA222" s="5" t="s">
        <v>238</v>
      </c>
      <c r="IB222" s="5" t="s">
        <v>238</v>
      </c>
      <c r="IC222" s="5" t="s">
        <v>238</v>
      </c>
      <c r="ID222" s="5" t="s">
        <v>238</v>
      </c>
    </row>
    <row r="223" spans="1:238" x14ac:dyDescent="0.4">
      <c r="A223" s="5">
        <v>241</v>
      </c>
      <c r="B223" s="5">
        <v>1</v>
      </c>
      <c r="C223" s="5">
        <v>5</v>
      </c>
      <c r="D223" s="5" t="s">
        <v>3651</v>
      </c>
      <c r="E223" s="5" t="s">
        <v>751</v>
      </c>
      <c r="F223" s="5" t="s">
        <v>282</v>
      </c>
      <c r="G223" s="5" t="s">
        <v>752</v>
      </c>
      <c r="H223" s="6" t="s">
        <v>3653</v>
      </c>
      <c r="I223" s="5" t="s">
        <v>3650</v>
      </c>
      <c r="J223" s="7">
        <f>26.08</f>
        <v>26.08</v>
      </c>
      <c r="K223" s="5" t="s">
        <v>270</v>
      </c>
      <c r="L223" s="8">
        <f>2088972</f>
        <v>2088972</v>
      </c>
      <c r="M223" s="8">
        <f>3493260</f>
        <v>3493260</v>
      </c>
      <c r="N223" s="6" t="s">
        <v>3652</v>
      </c>
      <c r="O223" s="5" t="s">
        <v>268</v>
      </c>
      <c r="P223" s="5" t="s">
        <v>310</v>
      </c>
      <c r="Q223" s="8">
        <f>234048</f>
        <v>234048</v>
      </c>
      <c r="R223" s="8">
        <f>1404288</f>
        <v>1404288</v>
      </c>
      <c r="S223" s="5" t="s">
        <v>240</v>
      </c>
      <c r="T223" s="5" t="s">
        <v>237</v>
      </c>
      <c r="W223" s="5" t="s">
        <v>241</v>
      </c>
      <c r="X223" s="5" t="s">
        <v>750</v>
      </c>
      <c r="Y223" s="5" t="s">
        <v>238</v>
      </c>
      <c r="AB223" s="5" t="s">
        <v>238</v>
      </c>
      <c r="AC223" s="6" t="s">
        <v>238</v>
      </c>
      <c r="AD223" s="6" t="s">
        <v>238</v>
      </c>
      <c r="AF223" s="6" t="s">
        <v>238</v>
      </c>
      <c r="AG223" s="6" t="s">
        <v>246</v>
      </c>
      <c r="AH223" s="5" t="s">
        <v>247</v>
      </c>
      <c r="AI223" s="5" t="s">
        <v>248</v>
      </c>
      <c r="AO223" s="5" t="s">
        <v>238</v>
      </c>
      <c r="AP223" s="5" t="s">
        <v>238</v>
      </c>
      <c r="AQ223" s="5" t="s">
        <v>238</v>
      </c>
      <c r="AR223" s="6" t="s">
        <v>238</v>
      </c>
      <c r="AS223" s="6" t="s">
        <v>238</v>
      </c>
      <c r="AT223" s="6" t="s">
        <v>238</v>
      </c>
      <c r="AW223" s="5" t="s">
        <v>304</v>
      </c>
      <c r="AX223" s="5" t="s">
        <v>304</v>
      </c>
      <c r="AY223" s="5" t="s">
        <v>250</v>
      </c>
      <c r="AZ223" s="5" t="s">
        <v>305</v>
      </c>
      <c r="BA223" s="5" t="s">
        <v>251</v>
      </c>
      <c r="BB223" s="5" t="s">
        <v>238</v>
      </c>
      <c r="BC223" s="5" t="s">
        <v>253</v>
      </c>
      <c r="BD223" s="5" t="s">
        <v>238</v>
      </c>
      <c r="BF223" s="5" t="s">
        <v>760</v>
      </c>
      <c r="BH223" s="5" t="s">
        <v>283</v>
      </c>
      <c r="BI223" s="6" t="s">
        <v>293</v>
      </c>
      <c r="BJ223" s="5" t="s">
        <v>294</v>
      </c>
      <c r="BK223" s="5" t="s">
        <v>294</v>
      </c>
      <c r="BL223" s="5" t="s">
        <v>238</v>
      </c>
      <c r="BM223" s="7">
        <f>0</f>
        <v>0</v>
      </c>
      <c r="BN223" s="8">
        <f>-234048</f>
        <v>-234048</v>
      </c>
      <c r="BO223" s="5" t="s">
        <v>257</v>
      </c>
      <c r="BP223" s="5" t="s">
        <v>258</v>
      </c>
      <c r="BQ223" s="5" t="s">
        <v>238</v>
      </c>
      <c r="BR223" s="5" t="s">
        <v>238</v>
      </c>
      <c r="BS223" s="5" t="s">
        <v>238</v>
      </c>
      <c r="BT223" s="5" t="s">
        <v>238</v>
      </c>
      <c r="CC223" s="5" t="s">
        <v>258</v>
      </c>
      <c r="CD223" s="5" t="s">
        <v>238</v>
      </c>
      <c r="CE223" s="5" t="s">
        <v>238</v>
      </c>
      <c r="CI223" s="5" t="s">
        <v>259</v>
      </c>
      <c r="CJ223" s="5" t="s">
        <v>260</v>
      </c>
      <c r="CK223" s="5" t="s">
        <v>238</v>
      </c>
      <c r="CM223" s="5" t="s">
        <v>1202</v>
      </c>
      <c r="CN223" s="6" t="s">
        <v>262</v>
      </c>
      <c r="CO223" s="5" t="s">
        <v>263</v>
      </c>
      <c r="CP223" s="5" t="s">
        <v>264</v>
      </c>
      <c r="CQ223" s="5" t="s">
        <v>285</v>
      </c>
      <c r="CR223" s="5" t="s">
        <v>238</v>
      </c>
      <c r="CS223" s="5">
        <v>6.7000000000000004E-2</v>
      </c>
      <c r="CT223" s="5" t="s">
        <v>265</v>
      </c>
      <c r="CU223" s="5" t="s">
        <v>266</v>
      </c>
      <c r="CV223" s="5" t="s">
        <v>267</v>
      </c>
      <c r="CW223" s="7">
        <f>0</f>
        <v>0</v>
      </c>
      <c r="CX223" s="8">
        <f>3493260</f>
        <v>3493260</v>
      </c>
      <c r="CY223" s="8">
        <f>2088972</f>
        <v>2088972</v>
      </c>
      <c r="DA223" s="5" t="s">
        <v>238</v>
      </c>
      <c r="DB223" s="5" t="s">
        <v>238</v>
      </c>
      <c r="DD223" s="5" t="s">
        <v>238</v>
      </c>
      <c r="DE223" s="8">
        <f>0</f>
        <v>0</v>
      </c>
      <c r="DG223" s="5" t="s">
        <v>238</v>
      </c>
      <c r="DH223" s="5" t="s">
        <v>238</v>
      </c>
      <c r="DI223" s="5" t="s">
        <v>238</v>
      </c>
      <c r="DJ223" s="5" t="s">
        <v>238</v>
      </c>
      <c r="DK223" s="5" t="s">
        <v>271</v>
      </c>
      <c r="DL223" s="5" t="s">
        <v>272</v>
      </c>
      <c r="DM223" s="7">
        <f>26.08</f>
        <v>26.08</v>
      </c>
      <c r="DN223" s="5" t="s">
        <v>238</v>
      </c>
      <c r="DO223" s="5" t="s">
        <v>238</v>
      </c>
      <c r="DP223" s="5" t="s">
        <v>238</v>
      </c>
      <c r="DQ223" s="5" t="s">
        <v>238</v>
      </c>
      <c r="DT223" s="5" t="s">
        <v>3654</v>
      </c>
      <c r="DU223" s="5" t="s">
        <v>271</v>
      </c>
      <c r="GL223" s="5" t="s">
        <v>3655</v>
      </c>
      <c r="HM223" s="5" t="s">
        <v>313</v>
      </c>
      <c r="HP223" s="5" t="s">
        <v>272</v>
      </c>
      <c r="HQ223" s="5" t="s">
        <v>272</v>
      </c>
      <c r="HR223" s="5" t="s">
        <v>238</v>
      </c>
      <c r="HS223" s="5" t="s">
        <v>238</v>
      </c>
      <c r="HT223" s="5" t="s">
        <v>238</v>
      </c>
      <c r="HU223" s="5" t="s">
        <v>238</v>
      </c>
      <c r="HV223" s="5" t="s">
        <v>238</v>
      </c>
      <c r="HW223" s="5" t="s">
        <v>238</v>
      </c>
      <c r="HX223" s="5" t="s">
        <v>238</v>
      </c>
      <c r="HY223" s="5" t="s">
        <v>238</v>
      </c>
      <c r="HZ223" s="5" t="s">
        <v>238</v>
      </c>
      <c r="IA223" s="5" t="s">
        <v>238</v>
      </c>
      <c r="IB223" s="5" t="s">
        <v>238</v>
      </c>
      <c r="IC223" s="5" t="s">
        <v>238</v>
      </c>
      <c r="ID223" s="5" t="s">
        <v>238</v>
      </c>
    </row>
    <row r="224" spans="1:238" x14ac:dyDescent="0.4">
      <c r="A224" s="5">
        <v>242</v>
      </c>
      <c r="B224" s="5">
        <v>1</v>
      </c>
      <c r="C224" s="5">
        <v>5</v>
      </c>
      <c r="D224" s="5" t="s">
        <v>3646</v>
      </c>
      <c r="E224" s="5" t="s">
        <v>751</v>
      </c>
      <c r="F224" s="5" t="s">
        <v>282</v>
      </c>
      <c r="G224" s="5" t="s">
        <v>752</v>
      </c>
      <c r="H224" s="6" t="s">
        <v>3647</v>
      </c>
      <c r="I224" s="5" t="s">
        <v>3645</v>
      </c>
      <c r="J224" s="7">
        <f>26.08</f>
        <v>26.08</v>
      </c>
      <c r="K224" s="5" t="s">
        <v>270</v>
      </c>
      <c r="L224" s="8">
        <f>2857825</f>
        <v>2857825</v>
      </c>
      <c r="M224" s="8">
        <f>4297480</f>
        <v>4297480</v>
      </c>
      <c r="N224" s="6" t="s">
        <v>758</v>
      </c>
      <c r="O224" s="5" t="s">
        <v>268</v>
      </c>
      <c r="P224" s="5" t="s">
        <v>356</v>
      </c>
      <c r="Q224" s="8">
        <f>287931</f>
        <v>287931</v>
      </c>
      <c r="R224" s="8">
        <f>1439655</f>
        <v>1439655</v>
      </c>
      <c r="S224" s="5" t="s">
        <v>240</v>
      </c>
      <c r="T224" s="5" t="s">
        <v>237</v>
      </c>
      <c r="W224" s="5" t="s">
        <v>241</v>
      </c>
      <c r="X224" s="5" t="s">
        <v>750</v>
      </c>
      <c r="Y224" s="5" t="s">
        <v>238</v>
      </c>
      <c r="AB224" s="5" t="s">
        <v>238</v>
      </c>
      <c r="AC224" s="6" t="s">
        <v>238</v>
      </c>
      <c r="AD224" s="6" t="s">
        <v>238</v>
      </c>
      <c r="AF224" s="6" t="s">
        <v>238</v>
      </c>
      <c r="AG224" s="6" t="s">
        <v>246</v>
      </c>
      <c r="AH224" s="5" t="s">
        <v>247</v>
      </c>
      <c r="AI224" s="5" t="s">
        <v>248</v>
      </c>
      <c r="AO224" s="5" t="s">
        <v>238</v>
      </c>
      <c r="AP224" s="5" t="s">
        <v>238</v>
      </c>
      <c r="AQ224" s="5" t="s">
        <v>238</v>
      </c>
      <c r="AR224" s="6" t="s">
        <v>238</v>
      </c>
      <c r="AS224" s="6" t="s">
        <v>238</v>
      </c>
      <c r="AT224" s="6" t="s">
        <v>238</v>
      </c>
      <c r="AW224" s="5" t="s">
        <v>304</v>
      </c>
      <c r="AX224" s="5" t="s">
        <v>304</v>
      </c>
      <c r="AY224" s="5" t="s">
        <v>250</v>
      </c>
      <c r="AZ224" s="5" t="s">
        <v>305</v>
      </c>
      <c r="BA224" s="5" t="s">
        <v>251</v>
      </c>
      <c r="BB224" s="5" t="s">
        <v>238</v>
      </c>
      <c r="BC224" s="5" t="s">
        <v>253</v>
      </c>
      <c r="BD224" s="5" t="s">
        <v>238</v>
      </c>
      <c r="BF224" s="5" t="s">
        <v>238</v>
      </c>
      <c r="BH224" s="5" t="s">
        <v>283</v>
      </c>
      <c r="BI224" s="6" t="s">
        <v>293</v>
      </c>
      <c r="BJ224" s="5" t="s">
        <v>294</v>
      </c>
      <c r="BK224" s="5" t="s">
        <v>294</v>
      </c>
      <c r="BL224" s="5" t="s">
        <v>238</v>
      </c>
      <c r="BM224" s="7">
        <f>0</f>
        <v>0</v>
      </c>
      <c r="BN224" s="8">
        <f>-287931</f>
        <v>-287931</v>
      </c>
      <c r="BO224" s="5" t="s">
        <v>257</v>
      </c>
      <c r="BP224" s="5" t="s">
        <v>258</v>
      </c>
      <c r="BQ224" s="5" t="s">
        <v>238</v>
      </c>
      <c r="BR224" s="5" t="s">
        <v>238</v>
      </c>
      <c r="BS224" s="5" t="s">
        <v>238</v>
      </c>
      <c r="BT224" s="5" t="s">
        <v>238</v>
      </c>
      <c r="CC224" s="5" t="s">
        <v>258</v>
      </c>
      <c r="CD224" s="5" t="s">
        <v>238</v>
      </c>
      <c r="CE224" s="5" t="s">
        <v>238</v>
      </c>
      <c r="CI224" s="5" t="s">
        <v>259</v>
      </c>
      <c r="CJ224" s="5" t="s">
        <v>260</v>
      </c>
      <c r="CK224" s="5" t="s">
        <v>238</v>
      </c>
      <c r="CM224" s="5" t="s">
        <v>376</v>
      </c>
      <c r="CN224" s="6" t="s">
        <v>262</v>
      </c>
      <c r="CO224" s="5" t="s">
        <v>263</v>
      </c>
      <c r="CP224" s="5" t="s">
        <v>264</v>
      </c>
      <c r="CQ224" s="5" t="s">
        <v>285</v>
      </c>
      <c r="CR224" s="5" t="s">
        <v>238</v>
      </c>
      <c r="CS224" s="5">
        <v>6.7000000000000004E-2</v>
      </c>
      <c r="CT224" s="5" t="s">
        <v>265</v>
      </c>
      <c r="CU224" s="5" t="s">
        <v>266</v>
      </c>
      <c r="CV224" s="5" t="s">
        <v>267</v>
      </c>
      <c r="CW224" s="7">
        <f>0</f>
        <v>0</v>
      </c>
      <c r="CX224" s="8">
        <f>4297480</f>
        <v>4297480</v>
      </c>
      <c r="CY224" s="8">
        <f>2857825</f>
        <v>2857825</v>
      </c>
      <c r="DA224" s="5" t="s">
        <v>238</v>
      </c>
      <c r="DB224" s="5" t="s">
        <v>238</v>
      </c>
      <c r="DD224" s="5" t="s">
        <v>238</v>
      </c>
      <c r="DE224" s="8">
        <f>0</f>
        <v>0</v>
      </c>
      <c r="DG224" s="5" t="s">
        <v>238</v>
      </c>
      <c r="DH224" s="5" t="s">
        <v>238</v>
      </c>
      <c r="DI224" s="5" t="s">
        <v>238</v>
      </c>
      <c r="DJ224" s="5" t="s">
        <v>238</v>
      </c>
      <c r="DK224" s="5" t="s">
        <v>271</v>
      </c>
      <c r="DL224" s="5" t="s">
        <v>272</v>
      </c>
      <c r="DM224" s="7">
        <f>26.08</f>
        <v>26.08</v>
      </c>
      <c r="DN224" s="5" t="s">
        <v>238</v>
      </c>
      <c r="DO224" s="5" t="s">
        <v>238</v>
      </c>
      <c r="DP224" s="5" t="s">
        <v>238</v>
      </c>
      <c r="DQ224" s="5" t="s">
        <v>238</v>
      </c>
      <c r="DT224" s="5" t="s">
        <v>3648</v>
      </c>
      <c r="DU224" s="5" t="s">
        <v>271</v>
      </c>
      <c r="GL224" s="5" t="s">
        <v>3649</v>
      </c>
      <c r="HM224" s="5" t="s">
        <v>379</v>
      </c>
      <c r="HP224" s="5" t="s">
        <v>272</v>
      </c>
      <c r="HQ224" s="5" t="s">
        <v>272</v>
      </c>
      <c r="HR224" s="5" t="s">
        <v>238</v>
      </c>
      <c r="HS224" s="5" t="s">
        <v>238</v>
      </c>
      <c r="HT224" s="5" t="s">
        <v>238</v>
      </c>
      <c r="HU224" s="5" t="s">
        <v>238</v>
      </c>
      <c r="HV224" s="5" t="s">
        <v>238</v>
      </c>
      <c r="HW224" s="5" t="s">
        <v>238</v>
      </c>
      <c r="HX224" s="5" t="s">
        <v>238</v>
      </c>
      <c r="HY224" s="5" t="s">
        <v>238</v>
      </c>
      <c r="HZ224" s="5" t="s">
        <v>238</v>
      </c>
      <c r="IA224" s="5" t="s">
        <v>238</v>
      </c>
      <c r="IB224" s="5" t="s">
        <v>238</v>
      </c>
      <c r="IC224" s="5" t="s">
        <v>238</v>
      </c>
      <c r="ID224" s="5" t="s">
        <v>238</v>
      </c>
    </row>
    <row r="225" spans="1:238" x14ac:dyDescent="0.4">
      <c r="A225" s="5">
        <v>243</v>
      </c>
      <c r="B225" s="5">
        <v>1</v>
      </c>
      <c r="C225" s="5">
        <v>4</v>
      </c>
      <c r="D225" s="5" t="s">
        <v>749</v>
      </c>
      <c r="E225" s="5" t="s">
        <v>751</v>
      </c>
      <c r="F225" s="5" t="s">
        <v>282</v>
      </c>
      <c r="G225" s="5" t="s">
        <v>759</v>
      </c>
      <c r="H225" s="6" t="s">
        <v>753</v>
      </c>
      <c r="I225" s="5" t="s">
        <v>748</v>
      </c>
      <c r="J225" s="7">
        <f>19.87</f>
        <v>19.87</v>
      </c>
      <c r="K225" s="5" t="s">
        <v>270</v>
      </c>
      <c r="L225" s="8">
        <f>2464650</f>
        <v>2464650</v>
      </c>
      <c r="M225" s="8">
        <f>3706240</f>
        <v>3706240</v>
      </c>
      <c r="N225" s="6" t="s">
        <v>758</v>
      </c>
      <c r="O225" s="5" t="s">
        <v>268</v>
      </c>
      <c r="P225" s="5" t="s">
        <v>356</v>
      </c>
      <c r="Q225" s="8">
        <f>248318</f>
        <v>248318</v>
      </c>
      <c r="R225" s="8">
        <f>1241590</f>
        <v>1241590</v>
      </c>
      <c r="S225" s="5" t="s">
        <v>240</v>
      </c>
      <c r="T225" s="5" t="s">
        <v>287</v>
      </c>
      <c r="U225" s="5" t="s">
        <v>238</v>
      </c>
      <c r="V225" s="5" t="s">
        <v>238</v>
      </c>
      <c r="W225" s="5" t="s">
        <v>241</v>
      </c>
      <c r="X225" s="5" t="s">
        <v>750</v>
      </c>
      <c r="Y225" s="5" t="s">
        <v>238</v>
      </c>
      <c r="AB225" s="5" t="s">
        <v>238</v>
      </c>
      <c r="AC225" s="6" t="s">
        <v>238</v>
      </c>
      <c r="AD225" s="6" t="s">
        <v>238</v>
      </c>
      <c r="AF225" s="6" t="s">
        <v>238</v>
      </c>
      <c r="AG225" s="6" t="s">
        <v>246</v>
      </c>
      <c r="AH225" s="5" t="s">
        <v>247</v>
      </c>
      <c r="AI225" s="5" t="s">
        <v>248</v>
      </c>
      <c r="AO225" s="5" t="s">
        <v>238</v>
      </c>
      <c r="AP225" s="5" t="s">
        <v>238</v>
      </c>
      <c r="AQ225" s="5" t="s">
        <v>238</v>
      </c>
      <c r="AR225" s="6" t="s">
        <v>238</v>
      </c>
      <c r="AS225" s="6" t="s">
        <v>238</v>
      </c>
      <c r="AT225" s="6" t="s">
        <v>238</v>
      </c>
      <c r="AW225" s="5" t="s">
        <v>304</v>
      </c>
      <c r="AX225" s="5" t="s">
        <v>304</v>
      </c>
      <c r="AY225" s="5" t="s">
        <v>250</v>
      </c>
      <c r="AZ225" s="5" t="s">
        <v>305</v>
      </c>
      <c r="BA225" s="5" t="s">
        <v>251</v>
      </c>
      <c r="BB225" s="5" t="s">
        <v>238</v>
      </c>
      <c r="BC225" s="5" t="s">
        <v>253</v>
      </c>
      <c r="BD225" s="5" t="s">
        <v>238</v>
      </c>
      <c r="BF225" s="5" t="s">
        <v>760</v>
      </c>
      <c r="BH225" s="5" t="s">
        <v>283</v>
      </c>
      <c r="BI225" s="6" t="s">
        <v>293</v>
      </c>
      <c r="BJ225" s="5" t="s">
        <v>294</v>
      </c>
      <c r="BK225" s="5" t="s">
        <v>294</v>
      </c>
      <c r="BL225" s="5" t="s">
        <v>238</v>
      </c>
      <c r="BM225" s="7">
        <f>0</f>
        <v>0</v>
      </c>
      <c r="BN225" s="8">
        <f>-248318</f>
        <v>-248318</v>
      </c>
      <c r="BO225" s="5" t="s">
        <v>257</v>
      </c>
      <c r="BP225" s="5" t="s">
        <v>258</v>
      </c>
      <c r="BQ225" s="5" t="s">
        <v>238</v>
      </c>
      <c r="BR225" s="5" t="s">
        <v>238</v>
      </c>
      <c r="BS225" s="5" t="s">
        <v>238</v>
      </c>
      <c r="BT225" s="5" t="s">
        <v>238</v>
      </c>
      <c r="CC225" s="5" t="s">
        <v>258</v>
      </c>
      <c r="CD225" s="5" t="s">
        <v>238</v>
      </c>
      <c r="CE225" s="5" t="s">
        <v>238</v>
      </c>
      <c r="CI225" s="5" t="s">
        <v>259</v>
      </c>
      <c r="CJ225" s="5" t="s">
        <v>260</v>
      </c>
      <c r="CK225" s="5" t="s">
        <v>238</v>
      </c>
      <c r="CM225" s="5" t="s">
        <v>376</v>
      </c>
      <c r="CN225" s="6" t="s">
        <v>262</v>
      </c>
      <c r="CO225" s="5" t="s">
        <v>263</v>
      </c>
      <c r="CP225" s="5" t="s">
        <v>264</v>
      </c>
      <c r="CQ225" s="5" t="s">
        <v>285</v>
      </c>
      <c r="CR225" s="5" t="s">
        <v>238</v>
      </c>
      <c r="CS225" s="5">
        <v>6.7000000000000004E-2</v>
      </c>
      <c r="CT225" s="5" t="s">
        <v>265</v>
      </c>
      <c r="CU225" s="5" t="s">
        <v>266</v>
      </c>
      <c r="CV225" s="5" t="s">
        <v>267</v>
      </c>
      <c r="CW225" s="7">
        <f>0</f>
        <v>0</v>
      </c>
      <c r="CX225" s="8">
        <f>3706240</f>
        <v>3706240</v>
      </c>
      <c r="CY225" s="8">
        <f>2712968</f>
        <v>2712968</v>
      </c>
      <c r="DA225" s="5" t="s">
        <v>238</v>
      </c>
      <c r="DB225" s="5" t="s">
        <v>238</v>
      </c>
      <c r="DD225" s="5" t="s">
        <v>238</v>
      </c>
      <c r="DE225" s="8">
        <f>0</f>
        <v>0</v>
      </c>
      <c r="DG225" s="5" t="s">
        <v>238</v>
      </c>
      <c r="DH225" s="5" t="s">
        <v>238</v>
      </c>
      <c r="DI225" s="5" t="s">
        <v>238</v>
      </c>
      <c r="DJ225" s="5" t="s">
        <v>238</v>
      </c>
      <c r="DK225" s="5" t="s">
        <v>271</v>
      </c>
      <c r="DL225" s="5" t="s">
        <v>272</v>
      </c>
      <c r="DM225" s="7">
        <f>19.87</f>
        <v>19.87</v>
      </c>
      <c r="DN225" s="5" t="s">
        <v>238</v>
      </c>
      <c r="DO225" s="5" t="s">
        <v>238</v>
      </c>
      <c r="DP225" s="5" t="s">
        <v>238</v>
      </c>
      <c r="DQ225" s="5" t="s">
        <v>238</v>
      </c>
      <c r="DT225" s="5" t="s">
        <v>756</v>
      </c>
      <c r="DU225" s="5" t="s">
        <v>271</v>
      </c>
      <c r="GL225" s="5" t="s">
        <v>761</v>
      </c>
      <c r="HM225" s="5" t="s">
        <v>379</v>
      </c>
      <c r="HP225" s="5" t="s">
        <v>272</v>
      </c>
      <c r="HQ225" s="5" t="s">
        <v>272</v>
      </c>
      <c r="HR225" s="5" t="s">
        <v>238</v>
      </c>
      <c r="HS225" s="5" t="s">
        <v>238</v>
      </c>
      <c r="HT225" s="5" t="s">
        <v>238</v>
      </c>
      <c r="HU225" s="5" t="s">
        <v>238</v>
      </c>
      <c r="HV225" s="5" t="s">
        <v>238</v>
      </c>
      <c r="HW225" s="5" t="s">
        <v>238</v>
      </c>
      <c r="HX225" s="5" t="s">
        <v>238</v>
      </c>
      <c r="HY225" s="5" t="s">
        <v>238</v>
      </c>
      <c r="HZ225" s="5" t="s">
        <v>238</v>
      </c>
      <c r="IA225" s="5" t="s">
        <v>238</v>
      </c>
      <c r="IB225" s="5" t="s">
        <v>238</v>
      </c>
      <c r="IC225" s="5" t="s">
        <v>238</v>
      </c>
      <c r="ID225" s="5" t="s">
        <v>238</v>
      </c>
    </row>
    <row r="226" spans="1:238" x14ac:dyDescent="0.4">
      <c r="A226" s="5">
        <v>244</v>
      </c>
      <c r="B226" s="5">
        <v>1</v>
      </c>
      <c r="C226" s="5">
        <v>4</v>
      </c>
      <c r="D226" s="5" t="s">
        <v>749</v>
      </c>
      <c r="E226" s="5" t="s">
        <v>751</v>
      </c>
      <c r="F226" s="5" t="s">
        <v>282</v>
      </c>
      <c r="G226" s="5" t="s">
        <v>752</v>
      </c>
      <c r="H226" s="6" t="s">
        <v>753</v>
      </c>
      <c r="I226" s="5" t="s">
        <v>748</v>
      </c>
      <c r="J226" s="7">
        <f>19.87</f>
        <v>19.87</v>
      </c>
      <c r="K226" s="5" t="s">
        <v>270</v>
      </c>
      <c r="L226" s="8">
        <f>422280</f>
        <v>422280</v>
      </c>
      <c r="M226" s="8">
        <f>496800</f>
        <v>496800</v>
      </c>
      <c r="N226" s="6" t="s">
        <v>358</v>
      </c>
      <c r="O226" s="5" t="s">
        <v>755</v>
      </c>
      <c r="P226" s="5" t="s">
        <v>356</v>
      </c>
      <c r="Q226" s="8">
        <f>14904</f>
        <v>14904</v>
      </c>
      <c r="R226" s="8">
        <f>74520</f>
        <v>74520</v>
      </c>
      <c r="S226" s="5" t="s">
        <v>240</v>
      </c>
      <c r="T226" s="5" t="s">
        <v>287</v>
      </c>
      <c r="U226" s="5" t="s">
        <v>238</v>
      </c>
      <c r="V226" s="5" t="s">
        <v>238</v>
      </c>
      <c r="W226" s="5" t="s">
        <v>241</v>
      </c>
      <c r="X226" s="5" t="s">
        <v>750</v>
      </c>
      <c r="Y226" s="5" t="s">
        <v>238</v>
      </c>
      <c r="AB226" s="5" t="s">
        <v>238</v>
      </c>
      <c r="AC226" s="6" t="s">
        <v>238</v>
      </c>
      <c r="AD226" s="6" t="s">
        <v>238</v>
      </c>
      <c r="AF226" s="6" t="s">
        <v>238</v>
      </c>
      <c r="AG226" s="6" t="s">
        <v>246</v>
      </c>
      <c r="AH226" s="5" t="s">
        <v>247</v>
      </c>
      <c r="AI226" s="5" t="s">
        <v>248</v>
      </c>
      <c r="AO226" s="5" t="s">
        <v>238</v>
      </c>
      <c r="AP226" s="5" t="s">
        <v>238</v>
      </c>
      <c r="AQ226" s="5" t="s">
        <v>238</v>
      </c>
      <c r="AR226" s="6" t="s">
        <v>238</v>
      </c>
      <c r="AS226" s="6" t="s">
        <v>238</v>
      </c>
      <c r="AT226" s="6" t="s">
        <v>238</v>
      </c>
      <c r="AW226" s="5" t="s">
        <v>304</v>
      </c>
      <c r="AX226" s="5" t="s">
        <v>304</v>
      </c>
      <c r="AY226" s="5" t="s">
        <v>250</v>
      </c>
      <c r="AZ226" s="5" t="s">
        <v>305</v>
      </c>
      <c r="BA226" s="5" t="s">
        <v>251</v>
      </c>
      <c r="BB226" s="5" t="s">
        <v>238</v>
      </c>
      <c r="BC226" s="5" t="s">
        <v>253</v>
      </c>
      <c r="BD226" s="5" t="s">
        <v>238</v>
      </c>
      <c r="BF226" s="5" t="s">
        <v>238</v>
      </c>
      <c r="BH226" s="5" t="s">
        <v>283</v>
      </c>
      <c r="BI226" s="6" t="s">
        <v>293</v>
      </c>
      <c r="BJ226" s="5" t="s">
        <v>294</v>
      </c>
      <c r="BK226" s="5" t="s">
        <v>294</v>
      </c>
      <c r="BL226" s="5" t="s">
        <v>238</v>
      </c>
      <c r="BM226" s="7">
        <f>0</f>
        <v>0</v>
      </c>
      <c r="BN226" s="8">
        <f>-14904</f>
        <v>-14904</v>
      </c>
      <c r="BO226" s="5" t="s">
        <v>257</v>
      </c>
      <c r="BP226" s="5" t="s">
        <v>258</v>
      </c>
      <c r="BQ226" s="5" t="s">
        <v>238</v>
      </c>
      <c r="BR226" s="5" t="s">
        <v>238</v>
      </c>
      <c r="BS226" s="5" t="s">
        <v>238</v>
      </c>
      <c r="BT226" s="5" t="s">
        <v>238</v>
      </c>
      <c r="CC226" s="5" t="s">
        <v>258</v>
      </c>
      <c r="CD226" s="5" t="s">
        <v>238</v>
      </c>
      <c r="CE226" s="5" t="s">
        <v>238</v>
      </c>
      <c r="CI226" s="5" t="s">
        <v>259</v>
      </c>
      <c r="CJ226" s="5" t="s">
        <v>260</v>
      </c>
      <c r="CK226" s="5" t="s">
        <v>238</v>
      </c>
      <c r="CM226" s="5" t="s">
        <v>376</v>
      </c>
      <c r="CN226" s="6" t="s">
        <v>262</v>
      </c>
      <c r="CO226" s="5" t="s">
        <v>263</v>
      </c>
      <c r="CP226" s="5" t="s">
        <v>264</v>
      </c>
      <c r="CQ226" s="5" t="s">
        <v>285</v>
      </c>
      <c r="CR226" s="5" t="s">
        <v>238</v>
      </c>
      <c r="CS226" s="5">
        <v>0.03</v>
      </c>
      <c r="CT226" s="5" t="s">
        <v>265</v>
      </c>
      <c r="CU226" s="5" t="s">
        <v>266</v>
      </c>
      <c r="CV226" s="5" t="s">
        <v>754</v>
      </c>
      <c r="CW226" s="7">
        <f>0</f>
        <v>0</v>
      </c>
      <c r="CX226" s="8">
        <f>496800</f>
        <v>496800</v>
      </c>
      <c r="CY226" s="8">
        <f>437184</f>
        <v>437184</v>
      </c>
      <c r="DA226" s="5" t="s">
        <v>238</v>
      </c>
      <c r="DB226" s="5" t="s">
        <v>238</v>
      </c>
      <c r="DD226" s="5" t="s">
        <v>238</v>
      </c>
      <c r="DE226" s="8">
        <f>0</f>
        <v>0</v>
      </c>
      <c r="DG226" s="5" t="s">
        <v>238</v>
      </c>
      <c r="DH226" s="5" t="s">
        <v>238</v>
      </c>
      <c r="DI226" s="5" t="s">
        <v>238</v>
      </c>
      <c r="DJ226" s="5" t="s">
        <v>238</v>
      </c>
      <c r="DK226" s="5" t="s">
        <v>272</v>
      </c>
      <c r="DL226" s="5" t="s">
        <v>272</v>
      </c>
      <c r="DM226" s="7">
        <f>19.87</f>
        <v>19.87</v>
      </c>
      <c r="DN226" s="5" t="s">
        <v>238</v>
      </c>
      <c r="DO226" s="5" t="s">
        <v>238</v>
      </c>
      <c r="DP226" s="5" t="s">
        <v>238</v>
      </c>
      <c r="DQ226" s="5" t="s">
        <v>238</v>
      </c>
      <c r="DT226" s="5" t="s">
        <v>756</v>
      </c>
      <c r="DU226" s="5" t="s">
        <v>274</v>
      </c>
      <c r="GL226" s="5" t="s">
        <v>757</v>
      </c>
      <c r="HM226" s="5" t="s">
        <v>379</v>
      </c>
      <c r="HP226" s="5" t="s">
        <v>272</v>
      </c>
      <c r="HQ226" s="5" t="s">
        <v>272</v>
      </c>
      <c r="HR226" s="5" t="s">
        <v>238</v>
      </c>
      <c r="HS226" s="5" t="s">
        <v>238</v>
      </c>
      <c r="HT226" s="5" t="s">
        <v>238</v>
      </c>
      <c r="HU226" s="5" t="s">
        <v>238</v>
      </c>
      <c r="HV226" s="5" t="s">
        <v>238</v>
      </c>
      <c r="HW226" s="5" t="s">
        <v>238</v>
      </c>
      <c r="HX226" s="5" t="s">
        <v>238</v>
      </c>
      <c r="HY226" s="5" t="s">
        <v>238</v>
      </c>
      <c r="HZ226" s="5" t="s">
        <v>238</v>
      </c>
      <c r="IA226" s="5" t="s">
        <v>238</v>
      </c>
      <c r="IB226" s="5" t="s">
        <v>238</v>
      </c>
      <c r="IC226" s="5" t="s">
        <v>238</v>
      </c>
      <c r="ID226" s="5" t="s">
        <v>238</v>
      </c>
    </row>
    <row r="227" spans="1:238" x14ac:dyDescent="0.4">
      <c r="A227" s="5">
        <v>245</v>
      </c>
      <c r="B227" s="5">
        <v>1</v>
      </c>
      <c r="C227" s="5">
        <v>5</v>
      </c>
      <c r="D227" s="5" t="s">
        <v>3633</v>
      </c>
      <c r="E227" s="5" t="s">
        <v>751</v>
      </c>
      <c r="F227" s="5" t="s">
        <v>282</v>
      </c>
      <c r="G227" s="5" t="s">
        <v>752</v>
      </c>
      <c r="H227" s="6" t="s">
        <v>3634</v>
      </c>
      <c r="I227" s="5" t="s">
        <v>3632</v>
      </c>
      <c r="J227" s="7">
        <f>26.08</f>
        <v>26.08</v>
      </c>
      <c r="K227" s="5" t="s">
        <v>270</v>
      </c>
      <c r="L227" s="8">
        <f>2857825</f>
        <v>2857825</v>
      </c>
      <c r="M227" s="8">
        <f>4297480</f>
        <v>4297480</v>
      </c>
      <c r="N227" s="6" t="s">
        <v>758</v>
      </c>
      <c r="O227" s="5" t="s">
        <v>268</v>
      </c>
      <c r="P227" s="5" t="s">
        <v>356</v>
      </c>
      <c r="Q227" s="8">
        <f>287931</f>
        <v>287931</v>
      </c>
      <c r="R227" s="8">
        <f>1439655</f>
        <v>1439655</v>
      </c>
      <c r="S227" s="5" t="s">
        <v>240</v>
      </c>
      <c r="T227" s="5" t="s">
        <v>237</v>
      </c>
      <c r="W227" s="5" t="s">
        <v>241</v>
      </c>
      <c r="X227" s="5" t="s">
        <v>750</v>
      </c>
      <c r="Y227" s="5" t="s">
        <v>238</v>
      </c>
      <c r="AB227" s="5" t="s">
        <v>238</v>
      </c>
      <c r="AC227" s="6" t="s">
        <v>238</v>
      </c>
      <c r="AD227" s="6" t="s">
        <v>238</v>
      </c>
      <c r="AF227" s="6" t="s">
        <v>238</v>
      </c>
      <c r="AG227" s="6" t="s">
        <v>246</v>
      </c>
      <c r="AH227" s="5" t="s">
        <v>247</v>
      </c>
      <c r="AI227" s="5" t="s">
        <v>248</v>
      </c>
      <c r="AO227" s="5" t="s">
        <v>238</v>
      </c>
      <c r="AP227" s="5" t="s">
        <v>238</v>
      </c>
      <c r="AQ227" s="5" t="s">
        <v>238</v>
      </c>
      <c r="AR227" s="6" t="s">
        <v>238</v>
      </c>
      <c r="AS227" s="6" t="s">
        <v>238</v>
      </c>
      <c r="AT227" s="6" t="s">
        <v>238</v>
      </c>
      <c r="AW227" s="5" t="s">
        <v>304</v>
      </c>
      <c r="AX227" s="5" t="s">
        <v>304</v>
      </c>
      <c r="AY227" s="5" t="s">
        <v>250</v>
      </c>
      <c r="AZ227" s="5" t="s">
        <v>305</v>
      </c>
      <c r="BA227" s="5" t="s">
        <v>251</v>
      </c>
      <c r="BB227" s="5" t="s">
        <v>238</v>
      </c>
      <c r="BC227" s="5" t="s">
        <v>253</v>
      </c>
      <c r="BD227" s="5" t="s">
        <v>238</v>
      </c>
      <c r="BF227" s="5" t="s">
        <v>238</v>
      </c>
      <c r="BH227" s="5" t="s">
        <v>283</v>
      </c>
      <c r="BI227" s="6" t="s">
        <v>293</v>
      </c>
      <c r="BJ227" s="5" t="s">
        <v>294</v>
      </c>
      <c r="BK227" s="5" t="s">
        <v>294</v>
      </c>
      <c r="BL227" s="5" t="s">
        <v>238</v>
      </c>
      <c r="BM227" s="7">
        <f>0</f>
        <v>0</v>
      </c>
      <c r="BN227" s="8">
        <f>-287931</f>
        <v>-287931</v>
      </c>
      <c r="BO227" s="5" t="s">
        <v>257</v>
      </c>
      <c r="BP227" s="5" t="s">
        <v>258</v>
      </c>
      <c r="BQ227" s="5" t="s">
        <v>238</v>
      </c>
      <c r="BR227" s="5" t="s">
        <v>238</v>
      </c>
      <c r="BS227" s="5" t="s">
        <v>238</v>
      </c>
      <c r="BT227" s="5" t="s">
        <v>238</v>
      </c>
      <c r="CC227" s="5" t="s">
        <v>258</v>
      </c>
      <c r="CD227" s="5" t="s">
        <v>238</v>
      </c>
      <c r="CE227" s="5" t="s">
        <v>238</v>
      </c>
      <c r="CI227" s="5" t="s">
        <v>259</v>
      </c>
      <c r="CJ227" s="5" t="s">
        <v>260</v>
      </c>
      <c r="CK227" s="5" t="s">
        <v>238</v>
      </c>
      <c r="CM227" s="5" t="s">
        <v>376</v>
      </c>
      <c r="CN227" s="6" t="s">
        <v>262</v>
      </c>
      <c r="CO227" s="5" t="s">
        <v>263</v>
      </c>
      <c r="CP227" s="5" t="s">
        <v>264</v>
      </c>
      <c r="CQ227" s="5" t="s">
        <v>285</v>
      </c>
      <c r="CR227" s="5" t="s">
        <v>238</v>
      </c>
      <c r="CS227" s="5">
        <v>6.7000000000000004E-2</v>
      </c>
      <c r="CT227" s="5" t="s">
        <v>265</v>
      </c>
      <c r="CU227" s="5" t="s">
        <v>266</v>
      </c>
      <c r="CV227" s="5" t="s">
        <v>267</v>
      </c>
      <c r="CW227" s="7">
        <f>0</f>
        <v>0</v>
      </c>
      <c r="CX227" s="8">
        <f>4297480</f>
        <v>4297480</v>
      </c>
      <c r="CY227" s="8">
        <f>2857825</f>
        <v>2857825</v>
      </c>
      <c r="DA227" s="5" t="s">
        <v>238</v>
      </c>
      <c r="DB227" s="5" t="s">
        <v>238</v>
      </c>
      <c r="DD227" s="5" t="s">
        <v>238</v>
      </c>
      <c r="DE227" s="8">
        <f>0</f>
        <v>0</v>
      </c>
      <c r="DG227" s="5" t="s">
        <v>238</v>
      </c>
      <c r="DH227" s="5" t="s">
        <v>238</v>
      </c>
      <c r="DI227" s="5" t="s">
        <v>238</v>
      </c>
      <c r="DJ227" s="5" t="s">
        <v>238</v>
      </c>
      <c r="DK227" s="5" t="s">
        <v>271</v>
      </c>
      <c r="DL227" s="5" t="s">
        <v>272</v>
      </c>
      <c r="DM227" s="7">
        <f>26.08</f>
        <v>26.08</v>
      </c>
      <c r="DN227" s="5" t="s">
        <v>238</v>
      </c>
      <c r="DO227" s="5" t="s">
        <v>238</v>
      </c>
      <c r="DP227" s="5" t="s">
        <v>238</v>
      </c>
      <c r="DQ227" s="5" t="s">
        <v>238</v>
      </c>
      <c r="DT227" s="5" t="s">
        <v>3635</v>
      </c>
      <c r="DU227" s="5" t="s">
        <v>271</v>
      </c>
      <c r="GL227" s="5" t="s">
        <v>3636</v>
      </c>
      <c r="HM227" s="5" t="s">
        <v>379</v>
      </c>
      <c r="HP227" s="5" t="s">
        <v>272</v>
      </c>
      <c r="HQ227" s="5" t="s">
        <v>272</v>
      </c>
      <c r="HR227" s="5" t="s">
        <v>238</v>
      </c>
      <c r="HS227" s="5" t="s">
        <v>238</v>
      </c>
      <c r="HT227" s="5" t="s">
        <v>238</v>
      </c>
      <c r="HU227" s="5" t="s">
        <v>238</v>
      </c>
      <c r="HV227" s="5" t="s">
        <v>238</v>
      </c>
      <c r="HW227" s="5" t="s">
        <v>238</v>
      </c>
      <c r="HX227" s="5" t="s">
        <v>238</v>
      </c>
      <c r="HY227" s="5" t="s">
        <v>238</v>
      </c>
      <c r="HZ227" s="5" t="s">
        <v>238</v>
      </c>
      <c r="IA227" s="5" t="s">
        <v>238</v>
      </c>
      <c r="IB227" s="5" t="s">
        <v>238</v>
      </c>
      <c r="IC227" s="5" t="s">
        <v>238</v>
      </c>
      <c r="ID227" s="5" t="s">
        <v>238</v>
      </c>
    </row>
    <row r="228" spans="1:238" x14ac:dyDescent="0.4">
      <c r="A228" s="5">
        <v>246</v>
      </c>
      <c r="B228" s="5">
        <v>1</v>
      </c>
      <c r="C228" s="5">
        <v>5</v>
      </c>
      <c r="D228" s="5" t="s">
        <v>3214</v>
      </c>
      <c r="E228" s="5" t="s">
        <v>751</v>
      </c>
      <c r="F228" s="5" t="s">
        <v>282</v>
      </c>
      <c r="G228" s="5" t="s">
        <v>349</v>
      </c>
      <c r="H228" s="6" t="s">
        <v>3215</v>
      </c>
      <c r="I228" s="5" t="s">
        <v>3213</v>
      </c>
      <c r="J228" s="7">
        <f>44.71</f>
        <v>44.71</v>
      </c>
      <c r="K228" s="5" t="s">
        <v>270</v>
      </c>
      <c r="L228" s="8">
        <f>5829828</f>
        <v>5829828</v>
      </c>
      <c r="M228" s="8">
        <f>7630664</f>
        <v>7630664</v>
      </c>
      <c r="N228" s="6" t="s">
        <v>1085</v>
      </c>
      <c r="O228" s="5" t="s">
        <v>631</v>
      </c>
      <c r="P228" s="5" t="s">
        <v>274</v>
      </c>
      <c r="Q228" s="8">
        <f>450209</f>
        <v>450209</v>
      </c>
      <c r="R228" s="8">
        <f>1800836</f>
        <v>1800836</v>
      </c>
      <c r="S228" s="5" t="s">
        <v>240</v>
      </c>
      <c r="T228" s="5" t="s">
        <v>237</v>
      </c>
      <c r="W228" s="5" t="s">
        <v>241</v>
      </c>
      <c r="X228" s="5" t="s">
        <v>750</v>
      </c>
      <c r="Y228" s="5" t="s">
        <v>238</v>
      </c>
      <c r="AB228" s="5" t="s">
        <v>238</v>
      </c>
      <c r="AC228" s="6" t="s">
        <v>238</v>
      </c>
      <c r="AD228" s="6" t="s">
        <v>238</v>
      </c>
      <c r="AF228" s="6" t="s">
        <v>238</v>
      </c>
      <c r="AG228" s="6" t="s">
        <v>246</v>
      </c>
      <c r="AH228" s="5" t="s">
        <v>247</v>
      </c>
      <c r="AI228" s="5" t="s">
        <v>248</v>
      </c>
      <c r="AO228" s="5" t="s">
        <v>238</v>
      </c>
      <c r="AP228" s="5" t="s">
        <v>238</v>
      </c>
      <c r="AQ228" s="5" t="s">
        <v>238</v>
      </c>
      <c r="AR228" s="6" t="s">
        <v>238</v>
      </c>
      <c r="AS228" s="6" t="s">
        <v>238</v>
      </c>
      <c r="AT228" s="6" t="s">
        <v>238</v>
      </c>
      <c r="AW228" s="5" t="s">
        <v>304</v>
      </c>
      <c r="AX228" s="5" t="s">
        <v>304</v>
      </c>
      <c r="AY228" s="5" t="s">
        <v>250</v>
      </c>
      <c r="AZ228" s="5" t="s">
        <v>305</v>
      </c>
      <c r="BA228" s="5" t="s">
        <v>251</v>
      </c>
      <c r="BB228" s="5" t="s">
        <v>238</v>
      </c>
      <c r="BC228" s="5" t="s">
        <v>253</v>
      </c>
      <c r="BD228" s="5" t="s">
        <v>238</v>
      </c>
      <c r="BF228" s="5" t="s">
        <v>238</v>
      </c>
      <c r="BH228" s="5" t="s">
        <v>283</v>
      </c>
      <c r="BI228" s="6" t="s">
        <v>293</v>
      </c>
      <c r="BJ228" s="5" t="s">
        <v>294</v>
      </c>
      <c r="BK228" s="5" t="s">
        <v>294</v>
      </c>
      <c r="BL228" s="5" t="s">
        <v>238</v>
      </c>
      <c r="BM228" s="7">
        <f>0</f>
        <v>0</v>
      </c>
      <c r="BN228" s="8">
        <f>-450209</f>
        <v>-450209</v>
      </c>
      <c r="BO228" s="5" t="s">
        <v>257</v>
      </c>
      <c r="BP228" s="5" t="s">
        <v>258</v>
      </c>
      <c r="BQ228" s="5" t="s">
        <v>238</v>
      </c>
      <c r="BR228" s="5" t="s">
        <v>238</v>
      </c>
      <c r="BS228" s="5" t="s">
        <v>238</v>
      </c>
      <c r="BT228" s="5" t="s">
        <v>238</v>
      </c>
      <c r="CC228" s="5" t="s">
        <v>258</v>
      </c>
      <c r="CD228" s="5" t="s">
        <v>238</v>
      </c>
      <c r="CE228" s="5" t="s">
        <v>238</v>
      </c>
      <c r="CI228" s="5" t="s">
        <v>259</v>
      </c>
      <c r="CJ228" s="5" t="s">
        <v>260</v>
      </c>
      <c r="CK228" s="5" t="s">
        <v>238</v>
      </c>
      <c r="CM228" s="5" t="s">
        <v>402</v>
      </c>
      <c r="CN228" s="6" t="s">
        <v>262</v>
      </c>
      <c r="CO228" s="5" t="s">
        <v>263</v>
      </c>
      <c r="CP228" s="5" t="s">
        <v>264</v>
      </c>
      <c r="CQ228" s="5" t="s">
        <v>285</v>
      </c>
      <c r="CR228" s="5" t="s">
        <v>238</v>
      </c>
      <c r="CS228" s="5">
        <v>5.8999999999999997E-2</v>
      </c>
      <c r="CT228" s="5" t="s">
        <v>265</v>
      </c>
      <c r="CU228" s="5" t="s">
        <v>1187</v>
      </c>
      <c r="CV228" s="5" t="s">
        <v>267</v>
      </c>
      <c r="CW228" s="7">
        <f>0</f>
        <v>0</v>
      </c>
      <c r="CX228" s="8">
        <f>7630664</f>
        <v>7630664</v>
      </c>
      <c r="CY228" s="8">
        <f>5829828</f>
        <v>5829828</v>
      </c>
      <c r="DA228" s="5" t="s">
        <v>238</v>
      </c>
      <c r="DB228" s="5" t="s">
        <v>238</v>
      </c>
      <c r="DD228" s="5" t="s">
        <v>238</v>
      </c>
      <c r="DE228" s="8">
        <f>0</f>
        <v>0</v>
      </c>
      <c r="DG228" s="5" t="s">
        <v>238</v>
      </c>
      <c r="DH228" s="5" t="s">
        <v>238</v>
      </c>
      <c r="DI228" s="5" t="s">
        <v>238</v>
      </c>
      <c r="DJ228" s="5" t="s">
        <v>238</v>
      </c>
      <c r="DK228" s="5" t="s">
        <v>271</v>
      </c>
      <c r="DL228" s="5" t="s">
        <v>272</v>
      </c>
      <c r="DM228" s="7">
        <f>44.71</f>
        <v>44.71</v>
      </c>
      <c r="DN228" s="5" t="s">
        <v>238</v>
      </c>
      <c r="DO228" s="5" t="s">
        <v>238</v>
      </c>
      <c r="DP228" s="5" t="s">
        <v>238</v>
      </c>
      <c r="DQ228" s="5" t="s">
        <v>238</v>
      </c>
      <c r="DT228" s="5" t="s">
        <v>3216</v>
      </c>
      <c r="DU228" s="5" t="s">
        <v>271</v>
      </c>
      <c r="GL228" s="5" t="s">
        <v>3217</v>
      </c>
      <c r="HM228" s="5" t="s">
        <v>310</v>
      </c>
      <c r="HP228" s="5" t="s">
        <v>272</v>
      </c>
      <c r="HQ228" s="5" t="s">
        <v>272</v>
      </c>
      <c r="HR228" s="5" t="s">
        <v>238</v>
      </c>
      <c r="HS228" s="5" t="s">
        <v>238</v>
      </c>
      <c r="HT228" s="5" t="s">
        <v>238</v>
      </c>
      <c r="HU228" s="5" t="s">
        <v>238</v>
      </c>
      <c r="HV228" s="5" t="s">
        <v>238</v>
      </c>
      <c r="HW228" s="5" t="s">
        <v>238</v>
      </c>
      <c r="HX228" s="5" t="s">
        <v>238</v>
      </c>
      <c r="HY228" s="5" t="s">
        <v>238</v>
      </c>
      <c r="HZ228" s="5" t="s">
        <v>238</v>
      </c>
      <c r="IA228" s="5" t="s">
        <v>238</v>
      </c>
      <c r="IB228" s="5" t="s">
        <v>238</v>
      </c>
      <c r="IC228" s="5" t="s">
        <v>238</v>
      </c>
      <c r="ID228" s="5" t="s">
        <v>238</v>
      </c>
    </row>
    <row r="229" spans="1:238" x14ac:dyDescent="0.4">
      <c r="A229" s="5">
        <v>247</v>
      </c>
      <c r="B229" s="5">
        <v>1</v>
      </c>
      <c r="C229" s="5">
        <v>5</v>
      </c>
      <c r="D229" s="5" t="s">
        <v>3627</v>
      </c>
      <c r="E229" s="5" t="s">
        <v>751</v>
      </c>
      <c r="F229" s="5" t="s">
        <v>282</v>
      </c>
      <c r="G229" s="5" t="s">
        <v>752</v>
      </c>
      <c r="H229" s="6" t="s">
        <v>3629</v>
      </c>
      <c r="I229" s="5" t="s">
        <v>3626</v>
      </c>
      <c r="J229" s="7">
        <f>44.71</f>
        <v>44.71</v>
      </c>
      <c r="K229" s="5" t="s">
        <v>270</v>
      </c>
      <c r="L229" s="8">
        <f>6430050</f>
        <v>6430050</v>
      </c>
      <c r="M229" s="8">
        <f>7425000</f>
        <v>7425000</v>
      </c>
      <c r="N229" s="6" t="s">
        <v>3628</v>
      </c>
      <c r="O229" s="5" t="s">
        <v>268</v>
      </c>
      <c r="P229" s="5" t="s">
        <v>272</v>
      </c>
      <c r="Q229" s="8">
        <f>7424999</f>
        <v>7424999</v>
      </c>
      <c r="R229" s="8">
        <f>994950</f>
        <v>994950</v>
      </c>
      <c r="S229" s="5" t="s">
        <v>240</v>
      </c>
      <c r="T229" s="5" t="s">
        <v>237</v>
      </c>
      <c r="W229" s="5" t="s">
        <v>241</v>
      </c>
      <c r="X229" s="5" t="s">
        <v>750</v>
      </c>
      <c r="Y229" s="5" t="s">
        <v>238</v>
      </c>
      <c r="AB229" s="5" t="s">
        <v>238</v>
      </c>
      <c r="AC229" s="6" t="s">
        <v>238</v>
      </c>
      <c r="AD229" s="6" t="s">
        <v>238</v>
      </c>
      <c r="AF229" s="6" t="s">
        <v>238</v>
      </c>
      <c r="AG229" s="6" t="s">
        <v>246</v>
      </c>
      <c r="AH229" s="5" t="s">
        <v>247</v>
      </c>
      <c r="AI229" s="5" t="s">
        <v>248</v>
      </c>
      <c r="AO229" s="5" t="s">
        <v>238</v>
      </c>
      <c r="AP229" s="5" t="s">
        <v>238</v>
      </c>
      <c r="AQ229" s="5" t="s">
        <v>238</v>
      </c>
      <c r="AR229" s="6" t="s">
        <v>238</v>
      </c>
      <c r="AS229" s="6" t="s">
        <v>238</v>
      </c>
      <c r="AT229" s="6" t="s">
        <v>238</v>
      </c>
      <c r="AW229" s="5" t="s">
        <v>304</v>
      </c>
      <c r="AX229" s="5" t="s">
        <v>304</v>
      </c>
      <c r="AY229" s="5" t="s">
        <v>250</v>
      </c>
      <c r="AZ229" s="5" t="s">
        <v>305</v>
      </c>
      <c r="BA229" s="5" t="s">
        <v>251</v>
      </c>
      <c r="BB229" s="5" t="s">
        <v>238</v>
      </c>
      <c r="BC229" s="5" t="s">
        <v>253</v>
      </c>
      <c r="BD229" s="5" t="s">
        <v>238</v>
      </c>
      <c r="BF229" s="5" t="s">
        <v>238</v>
      </c>
      <c r="BH229" s="5" t="s">
        <v>283</v>
      </c>
      <c r="BI229" s="6" t="s">
        <v>293</v>
      </c>
      <c r="BJ229" s="5" t="s">
        <v>294</v>
      </c>
      <c r="BK229" s="5" t="s">
        <v>294</v>
      </c>
      <c r="BL229" s="5" t="s">
        <v>238</v>
      </c>
      <c r="BM229" s="7">
        <f>0</f>
        <v>0</v>
      </c>
      <c r="BN229" s="8">
        <f>-497475</f>
        <v>-497475</v>
      </c>
      <c r="BO229" s="5" t="s">
        <v>257</v>
      </c>
      <c r="BP229" s="5" t="s">
        <v>258</v>
      </c>
      <c r="BQ229" s="5" t="s">
        <v>238</v>
      </c>
      <c r="BR229" s="5" t="s">
        <v>238</v>
      </c>
      <c r="BS229" s="5" t="s">
        <v>238</v>
      </c>
      <c r="BT229" s="5" t="s">
        <v>238</v>
      </c>
      <c r="CC229" s="5" t="s">
        <v>258</v>
      </c>
      <c r="CD229" s="5" t="s">
        <v>238</v>
      </c>
      <c r="CE229" s="5" t="s">
        <v>238</v>
      </c>
      <c r="CI229" s="5" t="s">
        <v>259</v>
      </c>
      <c r="CJ229" s="5" t="s">
        <v>260</v>
      </c>
      <c r="CK229" s="5" t="s">
        <v>238</v>
      </c>
      <c r="CM229" s="5" t="s">
        <v>408</v>
      </c>
      <c r="CN229" s="6" t="s">
        <v>262</v>
      </c>
      <c r="CO229" s="5" t="s">
        <v>263</v>
      </c>
      <c r="CP229" s="5" t="s">
        <v>264</v>
      </c>
      <c r="CQ229" s="5" t="s">
        <v>285</v>
      </c>
      <c r="CR229" s="5" t="s">
        <v>238</v>
      </c>
      <c r="CS229" s="5">
        <v>6.7000000000000004E-2</v>
      </c>
      <c r="CT229" s="5" t="s">
        <v>265</v>
      </c>
      <c r="CU229" s="5" t="s">
        <v>266</v>
      </c>
      <c r="CV229" s="5" t="s">
        <v>267</v>
      </c>
      <c r="CW229" s="7">
        <f>0</f>
        <v>0</v>
      </c>
      <c r="CX229" s="8">
        <f>7425000</f>
        <v>7425000</v>
      </c>
      <c r="CY229" s="8">
        <f>6430050</f>
        <v>6430050</v>
      </c>
      <c r="DA229" s="5" t="s">
        <v>238</v>
      </c>
      <c r="DB229" s="5" t="s">
        <v>238</v>
      </c>
      <c r="DD229" s="5" t="s">
        <v>238</v>
      </c>
      <c r="DE229" s="8">
        <f>0</f>
        <v>0</v>
      </c>
      <c r="DG229" s="5" t="s">
        <v>238</v>
      </c>
      <c r="DH229" s="5" t="s">
        <v>238</v>
      </c>
      <c r="DI229" s="5" t="s">
        <v>238</v>
      </c>
      <c r="DJ229" s="5" t="s">
        <v>238</v>
      </c>
      <c r="DK229" s="5" t="s">
        <v>272</v>
      </c>
      <c r="DL229" s="5" t="s">
        <v>272</v>
      </c>
      <c r="DM229" s="7">
        <f>44.71</f>
        <v>44.71</v>
      </c>
      <c r="DN229" s="5" t="s">
        <v>238</v>
      </c>
      <c r="DO229" s="5" t="s">
        <v>238</v>
      </c>
      <c r="DP229" s="5" t="s">
        <v>238</v>
      </c>
      <c r="DQ229" s="5" t="s">
        <v>238</v>
      </c>
      <c r="DT229" s="5" t="s">
        <v>3630</v>
      </c>
      <c r="DU229" s="5" t="s">
        <v>271</v>
      </c>
      <c r="GL229" s="5" t="s">
        <v>3631</v>
      </c>
      <c r="HM229" s="5" t="s">
        <v>274</v>
      </c>
      <c r="HP229" s="5" t="s">
        <v>272</v>
      </c>
      <c r="HQ229" s="5" t="s">
        <v>272</v>
      </c>
      <c r="HR229" s="5" t="s">
        <v>238</v>
      </c>
      <c r="HS229" s="5" t="s">
        <v>238</v>
      </c>
      <c r="HT229" s="5" t="s">
        <v>238</v>
      </c>
      <c r="HU229" s="5" t="s">
        <v>238</v>
      </c>
      <c r="HV229" s="5" t="s">
        <v>238</v>
      </c>
      <c r="HW229" s="5" t="s">
        <v>238</v>
      </c>
      <c r="HX229" s="5" t="s">
        <v>238</v>
      </c>
      <c r="HY229" s="5" t="s">
        <v>238</v>
      </c>
      <c r="HZ229" s="5" t="s">
        <v>238</v>
      </c>
      <c r="IA229" s="5" t="s">
        <v>238</v>
      </c>
      <c r="IB229" s="5" t="s">
        <v>238</v>
      </c>
      <c r="IC229" s="5" t="s">
        <v>238</v>
      </c>
      <c r="ID229" s="5" t="s">
        <v>238</v>
      </c>
    </row>
    <row r="230" spans="1:238" x14ac:dyDescent="0.4">
      <c r="A230" s="5">
        <v>248</v>
      </c>
      <c r="B230" s="5">
        <v>1</v>
      </c>
      <c r="C230" s="5">
        <v>6</v>
      </c>
      <c r="D230" s="5" t="s">
        <v>4047</v>
      </c>
      <c r="E230" s="5" t="s">
        <v>751</v>
      </c>
      <c r="F230" s="5" t="s">
        <v>282</v>
      </c>
      <c r="G230" s="5" t="s">
        <v>752</v>
      </c>
      <c r="H230" s="6" t="s">
        <v>4048</v>
      </c>
      <c r="I230" s="5" t="s">
        <v>4046</v>
      </c>
      <c r="J230" s="7">
        <f>33.12</f>
        <v>33.119999999999997</v>
      </c>
      <c r="K230" s="5" t="s">
        <v>270</v>
      </c>
      <c r="L230" s="8">
        <f>6041993</f>
        <v>6041993</v>
      </c>
      <c r="M230" s="8">
        <f>6976897</f>
        <v>6976897</v>
      </c>
      <c r="N230" s="6" t="s">
        <v>2976</v>
      </c>
      <c r="O230" s="5" t="s">
        <v>268</v>
      </c>
      <c r="P230" s="5" t="s">
        <v>272</v>
      </c>
      <c r="Q230" s="8">
        <f>6976896</f>
        <v>6976896</v>
      </c>
      <c r="R230" s="8">
        <f>934904</f>
        <v>934904</v>
      </c>
      <c r="S230" s="5" t="s">
        <v>240</v>
      </c>
      <c r="T230" s="5" t="s">
        <v>237</v>
      </c>
      <c r="W230" s="5" t="s">
        <v>241</v>
      </c>
      <c r="X230" s="5" t="s">
        <v>750</v>
      </c>
      <c r="Y230" s="5" t="s">
        <v>238</v>
      </c>
      <c r="AB230" s="5" t="s">
        <v>238</v>
      </c>
      <c r="AC230" s="6" t="s">
        <v>238</v>
      </c>
      <c r="AD230" s="6" t="s">
        <v>238</v>
      </c>
      <c r="AE230" s="5" t="s">
        <v>238</v>
      </c>
      <c r="AF230" s="6" t="s">
        <v>238</v>
      </c>
      <c r="AG230" s="6" t="s">
        <v>246</v>
      </c>
      <c r="AH230" s="5" t="s">
        <v>247</v>
      </c>
      <c r="AI230" s="5" t="s">
        <v>248</v>
      </c>
      <c r="AO230" s="5" t="s">
        <v>238</v>
      </c>
      <c r="AP230" s="5" t="s">
        <v>238</v>
      </c>
      <c r="AQ230" s="5" t="s">
        <v>238</v>
      </c>
      <c r="AR230" s="6" t="s">
        <v>238</v>
      </c>
      <c r="AS230" s="6" t="s">
        <v>238</v>
      </c>
      <c r="AT230" s="6" t="s">
        <v>238</v>
      </c>
      <c r="AW230" s="5" t="s">
        <v>304</v>
      </c>
      <c r="AX230" s="5" t="s">
        <v>304</v>
      </c>
      <c r="AY230" s="5" t="s">
        <v>250</v>
      </c>
      <c r="AZ230" s="5" t="s">
        <v>305</v>
      </c>
      <c r="BA230" s="5" t="s">
        <v>251</v>
      </c>
      <c r="BB230" s="5" t="s">
        <v>238</v>
      </c>
      <c r="BC230" s="5" t="s">
        <v>253</v>
      </c>
      <c r="BD230" s="5" t="s">
        <v>3170</v>
      </c>
      <c r="BF230" s="5" t="s">
        <v>238</v>
      </c>
      <c r="BH230" s="5" t="s">
        <v>283</v>
      </c>
      <c r="BI230" s="6" t="s">
        <v>293</v>
      </c>
      <c r="BJ230" s="5" t="s">
        <v>294</v>
      </c>
      <c r="BK230" s="5" t="s">
        <v>870</v>
      </c>
      <c r="BL230" s="5" t="s">
        <v>238</v>
      </c>
      <c r="BM230" s="7">
        <f>0</f>
        <v>0</v>
      </c>
      <c r="BN230" s="8">
        <f>-467452</f>
        <v>-467452</v>
      </c>
      <c r="BO230" s="5" t="s">
        <v>257</v>
      </c>
      <c r="BP230" s="5" t="s">
        <v>258</v>
      </c>
      <c r="BQ230" s="5" t="s">
        <v>238</v>
      </c>
      <c r="BR230" s="5" t="s">
        <v>238</v>
      </c>
      <c r="BS230" s="5" t="s">
        <v>238</v>
      </c>
      <c r="BT230" s="5" t="s">
        <v>238</v>
      </c>
      <c r="BY230" s="6" t="s">
        <v>238</v>
      </c>
      <c r="BZ230" s="5" t="s">
        <v>238</v>
      </c>
      <c r="CA230" s="5" t="s">
        <v>238</v>
      </c>
      <c r="CB230" s="5" t="s">
        <v>238</v>
      </c>
      <c r="CC230" s="5" t="s">
        <v>258</v>
      </c>
      <c r="CD230" s="5" t="s">
        <v>238</v>
      </c>
      <c r="CE230" s="5" t="s">
        <v>238</v>
      </c>
      <c r="CI230" s="5" t="s">
        <v>259</v>
      </c>
      <c r="CJ230" s="5" t="s">
        <v>260</v>
      </c>
      <c r="CK230" s="5" t="s">
        <v>272</v>
      </c>
      <c r="CM230" s="5" t="s">
        <v>408</v>
      </c>
      <c r="CN230" s="6" t="s">
        <v>262</v>
      </c>
      <c r="CO230" s="5" t="s">
        <v>263</v>
      </c>
      <c r="CP230" s="5" t="s">
        <v>264</v>
      </c>
      <c r="CQ230" s="5" t="s">
        <v>285</v>
      </c>
      <c r="CR230" s="5" t="s">
        <v>238</v>
      </c>
      <c r="CS230" s="5">
        <v>6.7000000000000004E-2</v>
      </c>
      <c r="CT230" s="5" t="s">
        <v>265</v>
      </c>
      <c r="CU230" s="5" t="s">
        <v>266</v>
      </c>
      <c r="CV230" s="5" t="s">
        <v>267</v>
      </c>
      <c r="CW230" s="7">
        <f>0</f>
        <v>0</v>
      </c>
      <c r="CX230" s="8">
        <f>6976897</f>
        <v>6976897</v>
      </c>
      <c r="CY230" s="8">
        <f>6041993</f>
        <v>6041993</v>
      </c>
      <c r="CZ230" s="8" t="s">
        <v>238</v>
      </c>
      <c r="DA230" s="5" t="s">
        <v>238</v>
      </c>
      <c r="DB230" s="5" t="s">
        <v>238</v>
      </c>
      <c r="DD230" s="5" t="s">
        <v>238</v>
      </c>
      <c r="DE230" s="8">
        <f>0</f>
        <v>0</v>
      </c>
      <c r="DF230" s="6" t="s">
        <v>238</v>
      </c>
      <c r="DG230" s="5" t="s">
        <v>238</v>
      </c>
      <c r="DH230" s="5" t="s">
        <v>238</v>
      </c>
      <c r="DI230" s="5" t="s">
        <v>238</v>
      </c>
      <c r="DJ230" s="5" t="s">
        <v>238</v>
      </c>
      <c r="DK230" s="5" t="s">
        <v>272</v>
      </c>
      <c r="DL230" s="5" t="s">
        <v>272</v>
      </c>
      <c r="DM230" s="7">
        <f>33.12</f>
        <v>33.119999999999997</v>
      </c>
      <c r="DN230" s="5" t="s">
        <v>238</v>
      </c>
      <c r="DO230" s="5" t="s">
        <v>247</v>
      </c>
      <c r="DP230" s="5" t="s">
        <v>3170</v>
      </c>
      <c r="DQ230" s="5" t="s">
        <v>3170</v>
      </c>
      <c r="DR230" s="5" t="s">
        <v>238</v>
      </c>
      <c r="DS230" s="5" t="s">
        <v>238</v>
      </c>
      <c r="DT230" s="5" t="s">
        <v>4049</v>
      </c>
      <c r="DU230" s="5" t="s">
        <v>271</v>
      </c>
      <c r="HP230" s="5" t="s">
        <v>272</v>
      </c>
      <c r="HQ230" s="5" t="s">
        <v>272</v>
      </c>
      <c r="HR230" s="5" t="s">
        <v>238</v>
      </c>
      <c r="HS230" s="5" t="s">
        <v>238</v>
      </c>
      <c r="HT230" s="5" t="s">
        <v>238</v>
      </c>
      <c r="HU230" s="5" t="s">
        <v>238</v>
      </c>
      <c r="HV230" s="5" t="s">
        <v>238</v>
      </c>
      <c r="HW230" s="5" t="s">
        <v>238</v>
      </c>
      <c r="HX230" s="5" t="s">
        <v>238</v>
      </c>
      <c r="HY230" s="5" t="s">
        <v>238</v>
      </c>
      <c r="HZ230" s="5" t="s">
        <v>238</v>
      </c>
      <c r="IA230" s="5" t="s">
        <v>238</v>
      </c>
      <c r="IB230" s="5" t="s">
        <v>238</v>
      </c>
      <c r="IC230" s="5" t="s">
        <v>238</v>
      </c>
      <c r="ID230" s="5" t="s">
        <v>238</v>
      </c>
    </row>
    <row r="231" spans="1:238" x14ac:dyDescent="0.4">
      <c r="A231" s="5">
        <v>249</v>
      </c>
      <c r="B231" s="5">
        <v>1</v>
      </c>
      <c r="C231" s="5">
        <v>2</v>
      </c>
      <c r="D231" s="5" t="s">
        <v>3293</v>
      </c>
      <c r="E231" s="5" t="s">
        <v>751</v>
      </c>
      <c r="F231" s="5" t="s">
        <v>282</v>
      </c>
      <c r="G231" s="5" t="s">
        <v>752</v>
      </c>
      <c r="H231" s="6" t="s">
        <v>3294</v>
      </c>
      <c r="I231" s="5" t="s">
        <v>3292</v>
      </c>
      <c r="J231" s="7">
        <f>59.09</f>
        <v>59.09</v>
      </c>
      <c r="K231" s="5" t="s">
        <v>270</v>
      </c>
      <c r="L231" s="8">
        <f>1</f>
        <v>1</v>
      </c>
      <c r="M231" s="8">
        <f>6204450</f>
        <v>6204450</v>
      </c>
      <c r="N231" s="6" t="s">
        <v>1350</v>
      </c>
      <c r="O231" s="5" t="s">
        <v>268</v>
      </c>
      <c r="P231" s="5" t="s">
        <v>712</v>
      </c>
      <c r="R231" s="8">
        <f>6204449</f>
        <v>6204449</v>
      </c>
      <c r="S231" s="5" t="s">
        <v>240</v>
      </c>
      <c r="T231" s="5" t="s">
        <v>237</v>
      </c>
      <c r="W231" s="5" t="s">
        <v>241</v>
      </c>
      <c r="X231" s="5" t="s">
        <v>750</v>
      </c>
      <c r="Y231" s="5" t="s">
        <v>238</v>
      </c>
      <c r="AB231" s="5" t="s">
        <v>238</v>
      </c>
      <c r="AC231" s="6" t="s">
        <v>238</v>
      </c>
      <c r="AD231" s="6" t="s">
        <v>238</v>
      </c>
      <c r="AF231" s="6" t="s">
        <v>238</v>
      </c>
      <c r="AG231" s="6" t="s">
        <v>246</v>
      </c>
      <c r="AH231" s="5" t="s">
        <v>247</v>
      </c>
      <c r="AI231" s="5" t="s">
        <v>248</v>
      </c>
      <c r="AT231" s="6" t="s">
        <v>238</v>
      </c>
      <c r="AW231" s="5" t="s">
        <v>304</v>
      </c>
      <c r="AX231" s="5" t="s">
        <v>304</v>
      </c>
      <c r="AY231" s="5" t="s">
        <v>250</v>
      </c>
      <c r="AZ231" s="5" t="s">
        <v>305</v>
      </c>
      <c r="BA231" s="5" t="s">
        <v>251</v>
      </c>
      <c r="BB231" s="5" t="s">
        <v>238</v>
      </c>
      <c r="BC231" s="5" t="s">
        <v>253</v>
      </c>
      <c r="BD231" s="5" t="s">
        <v>238</v>
      </c>
      <c r="BF231" s="5" t="s">
        <v>760</v>
      </c>
      <c r="BH231" s="5" t="s">
        <v>283</v>
      </c>
      <c r="BI231" s="6" t="s">
        <v>293</v>
      </c>
      <c r="BJ231" s="5" t="s">
        <v>255</v>
      </c>
      <c r="BK231" s="5" t="s">
        <v>256</v>
      </c>
      <c r="BL231" s="5" t="s">
        <v>238</v>
      </c>
      <c r="BM231" s="7">
        <f>0</f>
        <v>0</v>
      </c>
      <c r="BN231" s="8">
        <f>0</f>
        <v>0</v>
      </c>
      <c r="BO231" s="5" t="s">
        <v>257</v>
      </c>
      <c r="BP231" s="5" t="s">
        <v>258</v>
      </c>
      <c r="BQ231" s="5" t="s">
        <v>238</v>
      </c>
      <c r="BR231" s="5" t="s">
        <v>238</v>
      </c>
      <c r="BS231" s="5" t="s">
        <v>238</v>
      </c>
      <c r="BT231" s="5" t="s">
        <v>238</v>
      </c>
      <c r="CC231" s="5" t="s">
        <v>258</v>
      </c>
      <c r="CD231" s="5" t="s">
        <v>238</v>
      </c>
      <c r="CE231" s="5" t="s">
        <v>238</v>
      </c>
      <c r="CI231" s="5" t="s">
        <v>259</v>
      </c>
      <c r="CJ231" s="5" t="s">
        <v>260</v>
      </c>
      <c r="CK231" s="5" t="s">
        <v>238</v>
      </c>
      <c r="CM231" s="5" t="s">
        <v>638</v>
      </c>
      <c r="CN231" s="6" t="s">
        <v>262</v>
      </c>
      <c r="CO231" s="5" t="s">
        <v>263</v>
      </c>
      <c r="CP231" s="5" t="s">
        <v>264</v>
      </c>
      <c r="CQ231" s="5" t="s">
        <v>285</v>
      </c>
      <c r="CR231" s="5" t="s">
        <v>238</v>
      </c>
      <c r="CS231" s="5">
        <v>0</v>
      </c>
      <c r="CT231" s="5" t="s">
        <v>265</v>
      </c>
      <c r="CU231" s="5" t="s">
        <v>266</v>
      </c>
      <c r="CV231" s="5" t="s">
        <v>267</v>
      </c>
      <c r="CW231" s="7">
        <f>0</f>
        <v>0</v>
      </c>
      <c r="CX231" s="8">
        <f>6204450</f>
        <v>6204450</v>
      </c>
      <c r="CY231" s="8">
        <f>1</f>
        <v>1</v>
      </c>
      <c r="DA231" s="5" t="s">
        <v>238</v>
      </c>
      <c r="DB231" s="5" t="s">
        <v>238</v>
      </c>
      <c r="DD231" s="5" t="s">
        <v>238</v>
      </c>
      <c r="DE231" s="8">
        <f>0</f>
        <v>0</v>
      </c>
      <c r="DG231" s="5" t="s">
        <v>238</v>
      </c>
      <c r="DH231" s="5" t="s">
        <v>238</v>
      </c>
      <c r="DI231" s="5" t="s">
        <v>238</v>
      </c>
      <c r="DJ231" s="5" t="s">
        <v>238</v>
      </c>
      <c r="DK231" s="5" t="s">
        <v>271</v>
      </c>
      <c r="DL231" s="5" t="s">
        <v>272</v>
      </c>
      <c r="DM231" s="7">
        <f>59.09</f>
        <v>59.09</v>
      </c>
      <c r="DN231" s="5" t="s">
        <v>238</v>
      </c>
      <c r="DO231" s="5" t="s">
        <v>238</v>
      </c>
      <c r="DP231" s="5" t="s">
        <v>238</v>
      </c>
      <c r="DQ231" s="5" t="s">
        <v>238</v>
      </c>
      <c r="DT231" s="5" t="s">
        <v>3295</v>
      </c>
      <c r="DU231" s="5" t="s">
        <v>271</v>
      </c>
      <c r="HM231" s="5" t="s">
        <v>271</v>
      </c>
      <c r="HP231" s="5" t="s">
        <v>272</v>
      </c>
      <c r="HQ231" s="5" t="s">
        <v>272</v>
      </c>
      <c r="HR231" s="5" t="s">
        <v>238</v>
      </c>
      <c r="HS231" s="5" t="s">
        <v>238</v>
      </c>
      <c r="HT231" s="5" t="s">
        <v>238</v>
      </c>
      <c r="HU231" s="5" t="s">
        <v>238</v>
      </c>
      <c r="HV231" s="5" t="s">
        <v>238</v>
      </c>
      <c r="HW231" s="5" t="s">
        <v>238</v>
      </c>
      <c r="HX231" s="5" t="s">
        <v>238</v>
      </c>
      <c r="HY231" s="5" t="s">
        <v>238</v>
      </c>
      <c r="HZ231" s="5" t="s">
        <v>238</v>
      </c>
      <c r="IA231" s="5" t="s">
        <v>238</v>
      </c>
      <c r="IB231" s="5" t="s">
        <v>238</v>
      </c>
      <c r="IC231" s="5" t="s">
        <v>238</v>
      </c>
      <c r="ID231" s="5" t="s">
        <v>238</v>
      </c>
    </row>
    <row r="232" spans="1:238" x14ac:dyDescent="0.4">
      <c r="A232" s="5">
        <v>250</v>
      </c>
      <c r="B232" s="5">
        <v>1</v>
      </c>
      <c r="C232" s="5">
        <v>2</v>
      </c>
      <c r="D232" s="5" t="s">
        <v>3288</v>
      </c>
      <c r="E232" s="5" t="s">
        <v>751</v>
      </c>
      <c r="F232" s="5" t="s">
        <v>282</v>
      </c>
      <c r="G232" s="5" t="s">
        <v>3289</v>
      </c>
      <c r="H232" s="6" t="s">
        <v>3290</v>
      </c>
      <c r="I232" s="5" t="s">
        <v>3287</v>
      </c>
      <c r="J232" s="7">
        <f>24.3</f>
        <v>24.3</v>
      </c>
      <c r="K232" s="5" t="s">
        <v>270</v>
      </c>
      <c r="L232" s="8">
        <f>1</f>
        <v>1</v>
      </c>
      <c r="M232" s="8">
        <f>1458000</f>
        <v>1458000</v>
      </c>
      <c r="N232" s="6" t="s">
        <v>906</v>
      </c>
      <c r="O232" s="5" t="s">
        <v>268</v>
      </c>
      <c r="P232" s="5" t="s">
        <v>909</v>
      </c>
      <c r="R232" s="8">
        <f>1457999</f>
        <v>1457999</v>
      </c>
      <c r="S232" s="5" t="s">
        <v>240</v>
      </c>
      <c r="T232" s="5" t="s">
        <v>237</v>
      </c>
      <c r="W232" s="5" t="s">
        <v>241</v>
      </c>
      <c r="X232" s="5" t="s">
        <v>750</v>
      </c>
      <c r="Y232" s="5" t="s">
        <v>238</v>
      </c>
      <c r="AB232" s="5" t="s">
        <v>238</v>
      </c>
      <c r="AC232" s="6" t="s">
        <v>238</v>
      </c>
      <c r="AD232" s="6" t="s">
        <v>238</v>
      </c>
      <c r="AF232" s="6" t="s">
        <v>238</v>
      </c>
      <c r="AG232" s="6" t="s">
        <v>246</v>
      </c>
      <c r="AH232" s="5" t="s">
        <v>247</v>
      </c>
      <c r="AI232" s="5" t="s">
        <v>248</v>
      </c>
      <c r="AT232" s="6" t="s">
        <v>238</v>
      </c>
      <c r="AW232" s="5" t="s">
        <v>304</v>
      </c>
      <c r="AX232" s="5" t="s">
        <v>304</v>
      </c>
      <c r="AY232" s="5" t="s">
        <v>250</v>
      </c>
      <c r="AZ232" s="5" t="s">
        <v>305</v>
      </c>
      <c r="BA232" s="5" t="s">
        <v>251</v>
      </c>
      <c r="BB232" s="5" t="s">
        <v>238</v>
      </c>
      <c r="BC232" s="5" t="s">
        <v>253</v>
      </c>
      <c r="BD232" s="5" t="s">
        <v>238</v>
      </c>
      <c r="BF232" s="5" t="s">
        <v>760</v>
      </c>
      <c r="BH232" s="5" t="s">
        <v>283</v>
      </c>
      <c r="BI232" s="6" t="s">
        <v>293</v>
      </c>
      <c r="BJ232" s="5" t="s">
        <v>255</v>
      </c>
      <c r="BK232" s="5" t="s">
        <v>256</v>
      </c>
      <c r="BL232" s="5" t="s">
        <v>238</v>
      </c>
      <c r="BM232" s="7">
        <f>0</f>
        <v>0</v>
      </c>
      <c r="BN232" s="8">
        <f>0</f>
        <v>0</v>
      </c>
      <c r="BO232" s="5" t="s">
        <v>257</v>
      </c>
      <c r="BP232" s="5" t="s">
        <v>258</v>
      </c>
      <c r="BQ232" s="5" t="s">
        <v>238</v>
      </c>
      <c r="BR232" s="5" t="s">
        <v>238</v>
      </c>
      <c r="BS232" s="5" t="s">
        <v>238</v>
      </c>
      <c r="BT232" s="5" t="s">
        <v>238</v>
      </c>
      <c r="CC232" s="5" t="s">
        <v>258</v>
      </c>
      <c r="CD232" s="5" t="s">
        <v>238</v>
      </c>
      <c r="CE232" s="5" t="s">
        <v>238</v>
      </c>
      <c r="CI232" s="5" t="s">
        <v>527</v>
      </c>
      <c r="CJ232" s="5" t="s">
        <v>260</v>
      </c>
      <c r="CK232" s="5" t="s">
        <v>238</v>
      </c>
      <c r="CM232" s="5" t="s">
        <v>908</v>
      </c>
      <c r="CN232" s="6" t="s">
        <v>262</v>
      </c>
      <c r="CO232" s="5" t="s">
        <v>263</v>
      </c>
      <c r="CP232" s="5" t="s">
        <v>264</v>
      </c>
      <c r="CQ232" s="5" t="s">
        <v>285</v>
      </c>
      <c r="CR232" s="5" t="s">
        <v>238</v>
      </c>
      <c r="CS232" s="5">
        <v>0</v>
      </c>
      <c r="CT232" s="5" t="s">
        <v>265</v>
      </c>
      <c r="CU232" s="5" t="s">
        <v>266</v>
      </c>
      <c r="CV232" s="5" t="s">
        <v>267</v>
      </c>
      <c r="CW232" s="7">
        <f>0</f>
        <v>0</v>
      </c>
      <c r="CX232" s="8">
        <f>1458000</f>
        <v>1458000</v>
      </c>
      <c r="CY232" s="8">
        <f>1</f>
        <v>1</v>
      </c>
      <c r="DA232" s="5" t="s">
        <v>238</v>
      </c>
      <c r="DB232" s="5" t="s">
        <v>238</v>
      </c>
      <c r="DD232" s="5" t="s">
        <v>238</v>
      </c>
      <c r="DE232" s="8">
        <f>0</f>
        <v>0</v>
      </c>
      <c r="DG232" s="5" t="s">
        <v>238</v>
      </c>
      <c r="DH232" s="5" t="s">
        <v>238</v>
      </c>
      <c r="DI232" s="5" t="s">
        <v>238</v>
      </c>
      <c r="DJ232" s="5" t="s">
        <v>238</v>
      </c>
      <c r="DK232" s="5" t="s">
        <v>271</v>
      </c>
      <c r="DL232" s="5" t="s">
        <v>272</v>
      </c>
      <c r="DM232" s="7">
        <f>24.3</f>
        <v>24.3</v>
      </c>
      <c r="DN232" s="5" t="s">
        <v>238</v>
      </c>
      <c r="DO232" s="5" t="s">
        <v>238</v>
      </c>
      <c r="DP232" s="5" t="s">
        <v>238</v>
      </c>
      <c r="DQ232" s="5" t="s">
        <v>238</v>
      </c>
      <c r="DT232" s="5" t="s">
        <v>3291</v>
      </c>
      <c r="DU232" s="5" t="s">
        <v>271</v>
      </c>
      <c r="HM232" s="5" t="s">
        <v>271</v>
      </c>
      <c r="HP232" s="5" t="s">
        <v>272</v>
      </c>
      <c r="HQ232" s="5" t="s">
        <v>272</v>
      </c>
      <c r="HR232" s="5" t="s">
        <v>238</v>
      </c>
      <c r="HS232" s="5" t="s">
        <v>238</v>
      </c>
      <c r="HT232" s="5" t="s">
        <v>238</v>
      </c>
      <c r="HU232" s="5" t="s">
        <v>238</v>
      </c>
      <c r="HV232" s="5" t="s">
        <v>238</v>
      </c>
      <c r="HW232" s="5" t="s">
        <v>238</v>
      </c>
      <c r="HX232" s="5" t="s">
        <v>238</v>
      </c>
      <c r="HY232" s="5" t="s">
        <v>238</v>
      </c>
      <c r="HZ232" s="5" t="s">
        <v>238</v>
      </c>
      <c r="IA232" s="5" t="s">
        <v>238</v>
      </c>
      <c r="IB232" s="5" t="s">
        <v>238</v>
      </c>
      <c r="IC232" s="5" t="s">
        <v>238</v>
      </c>
      <c r="ID232" s="5" t="s">
        <v>238</v>
      </c>
    </row>
    <row r="233" spans="1:238" x14ac:dyDescent="0.4">
      <c r="A233" s="5">
        <v>257</v>
      </c>
      <c r="B233" s="5">
        <v>1</v>
      </c>
      <c r="C233" s="5">
        <v>4</v>
      </c>
      <c r="D233" s="5" t="s">
        <v>2370</v>
      </c>
      <c r="E233" s="5" t="s">
        <v>1209</v>
      </c>
      <c r="F233" s="5" t="s">
        <v>282</v>
      </c>
      <c r="G233" s="5" t="s">
        <v>2371</v>
      </c>
      <c r="H233" s="6" t="s">
        <v>2372</v>
      </c>
      <c r="I233" s="5" t="s">
        <v>2333</v>
      </c>
      <c r="J233" s="7">
        <f>277.79</f>
        <v>277.79000000000002</v>
      </c>
      <c r="K233" s="5" t="s">
        <v>270</v>
      </c>
      <c r="L233" s="8">
        <f>6605870</f>
        <v>6605870</v>
      </c>
      <c r="M233" s="8">
        <f>80559100</f>
        <v>80559100</v>
      </c>
      <c r="N233" s="6" t="s">
        <v>1063</v>
      </c>
      <c r="O233" s="5" t="s">
        <v>639</v>
      </c>
      <c r="P233" s="5" t="s">
        <v>991</v>
      </c>
      <c r="Q233" s="8">
        <f>2175095</f>
        <v>2175095</v>
      </c>
      <c r="R233" s="8">
        <f>73953230</f>
        <v>73953230</v>
      </c>
      <c r="S233" s="5" t="s">
        <v>240</v>
      </c>
      <c r="T233" s="5" t="s">
        <v>237</v>
      </c>
      <c r="U233" s="5" t="s">
        <v>238</v>
      </c>
      <c r="V233" s="5" t="s">
        <v>238</v>
      </c>
      <c r="W233" s="5" t="s">
        <v>241</v>
      </c>
      <c r="X233" s="5" t="s">
        <v>802</v>
      </c>
      <c r="Y233" s="5" t="s">
        <v>238</v>
      </c>
      <c r="AB233" s="5" t="s">
        <v>238</v>
      </c>
      <c r="AC233" s="6" t="s">
        <v>238</v>
      </c>
      <c r="AD233" s="6" t="s">
        <v>238</v>
      </c>
      <c r="AF233" s="6" t="s">
        <v>238</v>
      </c>
      <c r="AG233" s="6" t="s">
        <v>246</v>
      </c>
      <c r="AH233" s="5" t="s">
        <v>247</v>
      </c>
      <c r="AI233" s="5" t="s">
        <v>248</v>
      </c>
      <c r="AO233" s="5" t="s">
        <v>238</v>
      </c>
      <c r="AP233" s="5" t="s">
        <v>238</v>
      </c>
      <c r="AQ233" s="5" t="s">
        <v>238</v>
      </c>
      <c r="AR233" s="6" t="s">
        <v>238</v>
      </c>
      <c r="AS233" s="6" t="s">
        <v>238</v>
      </c>
      <c r="AT233" s="6" t="s">
        <v>238</v>
      </c>
      <c r="AW233" s="5" t="s">
        <v>304</v>
      </c>
      <c r="AX233" s="5" t="s">
        <v>304</v>
      </c>
      <c r="AY233" s="5" t="s">
        <v>250</v>
      </c>
      <c r="AZ233" s="5" t="s">
        <v>305</v>
      </c>
      <c r="BA233" s="5" t="s">
        <v>251</v>
      </c>
      <c r="BB233" s="5" t="s">
        <v>238</v>
      </c>
      <c r="BC233" s="5" t="s">
        <v>253</v>
      </c>
      <c r="BD233" s="5" t="s">
        <v>238</v>
      </c>
      <c r="BF233" s="5" t="s">
        <v>238</v>
      </c>
      <c r="BH233" s="5" t="s">
        <v>283</v>
      </c>
      <c r="BI233" s="6" t="s">
        <v>293</v>
      </c>
      <c r="BJ233" s="5" t="s">
        <v>294</v>
      </c>
      <c r="BK233" s="5" t="s">
        <v>294</v>
      </c>
      <c r="BL233" s="5" t="s">
        <v>238</v>
      </c>
      <c r="BM233" s="7">
        <f>0</f>
        <v>0</v>
      </c>
      <c r="BN233" s="8">
        <f>-2175095</f>
        <v>-2175095</v>
      </c>
      <c r="BO233" s="5" t="s">
        <v>257</v>
      </c>
      <c r="BP233" s="5" t="s">
        <v>258</v>
      </c>
      <c r="BQ233" s="5" t="s">
        <v>238</v>
      </c>
      <c r="BR233" s="5" t="s">
        <v>238</v>
      </c>
      <c r="BS233" s="5" t="s">
        <v>238</v>
      </c>
      <c r="BT233" s="5" t="s">
        <v>238</v>
      </c>
      <c r="CC233" s="5" t="s">
        <v>258</v>
      </c>
      <c r="CD233" s="5" t="s">
        <v>238</v>
      </c>
      <c r="CE233" s="5" t="s">
        <v>238</v>
      </c>
      <c r="CI233" s="5" t="s">
        <v>259</v>
      </c>
      <c r="CJ233" s="5" t="s">
        <v>260</v>
      </c>
      <c r="CK233" s="5" t="s">
        <v>238</v>
      </c>
      <c r="CM233" s="5" t="s">
        <v>1064</v>
      </c>
      <c r="CN233" s="6" t="s">
        <v>262</v>
      </c>
      <c r="CO233" s="5" t="s">
        <v>263</v>
      </c>
      <c r="CP233" s="5" t="s">
        <v>264</v>
      </c>
      <c r="CQ233" s="5" t="s">
        <v>285</v>
      </c>
      <c r="CR233" s="5" t="s">
        <v>238</v>
      </c>
      <c r="CS233" s="5">
        <v>2.7E-2</v>
      </c>
      <c r="CT233" s="5" t="s">
        <v>265</v>
      </c>
      <c r="CU233" s="5" t="s">
        <v>2321</v>
      </c>
      <c r="CV233" s="5" t="s">
        <v>308</v>
      </c>
      <c r="CW233" s="7">
        <f>0</f>
        <v>0</v>
      </c>
      <c r="CX233" s="8">
        <f>80559100</f>
        <v>80559100</v>
      </c>
      <c r="CY233" s="8">
        <f>8780965</f>
        <v>8780965</v>
      </c>
      <c r="DA233" s="5" t="s">
        <v>238</v>
      </c>
      <c r="DB233" s="5" t="s">
        <v>238</v>
      </c>
      <c r="DD233" s="5" t="s">
        <v>238</v>
      </c>
      <c r="DE233" s="8">
        <f>0</f>
        <v>0</v>
      </c>
      <c r="DG233" s="5" t="s">
        <v>238</v>
      </c>
      <c r="DH233" s="5" t="s">
        <v>238</v>
      </c>
      <c r="DI233" s="5" t="s">
        <v>238</v>
      </c>
      <c r="DJ233" s="5" t="s">
        <v>238</v>
      </c>
      <c r="DK233" s="5" t="s">
        <v>271</v>
      </c>
      <c r="DL233" s="5" t="s">
        <v>272</v>
      </c>
      <c r="DM233" s="7">
        <f>277.79</f>
        <v>277.79000000000002</v>
      </c>
      <c r="DN233" s="5" t="s">
        <v>238</v>
      </c>
      <c r="DO233" s="5" t="s">
        <v>238</v>
      </c>
      <c r="DP233" s="5" t="s">
        <v>238</v>
      </c>
      <c r="DQ233" s="5" t="s">
        <v>238</v>
      </c>
      <c r="DT233" s="5" t="s">
        <v>2373</v>
      </c>
      <c r="DU233" s="5" t="s">
        <v>271</v>
      </c>
      <c r="GL233" s="5" t="s">
        <v>2374</v>
      </c>
      <c r="HM233" s="5" t="s">
        <v>313</v>
      </c>
      <c r="HP233" s="5" t="s">
        <v>272</v>
      </c>
      <c r="HQ233" s="5" t="s">
        <v>272</v>
      </c>
      <c r="HR233" s="5" t="s">
        <v>238</v>
      </c>
      <c r="HS233" s="5" t="s">
        <v>238</v>
      </c>
      <c r="HT233" s="5" t="s">
        <v>238</v>
      </c>
      <c r="HU233" s="5" t="s">
        <v>238</v>
      </c>
      <c r="HV233" s="5" t="s">
        <v>238</v>
      </c>
      <c r="HW233" s="5" t="s">
        <v>238</v>
      </c>
      <c r="HX233" s="5" t="s">
        <v>238</v>
      </c>
      <c r="HY233" s="5" t="s">
        <v>238</v>
      </c>
      <c r="HZ233" s="5" t="s">
        <v>238</v>
      </c>
      <c r="IA233" s="5" t="s">
        <v>238</v>
      </c>
      <c r="IB233" s="5" t="s">
        <v>238</v>
      </c>
      <c r="IC233" s="5" t="s">
        <v>238</v>
      </c>
      <c r="ID233" s="5" t="s">
        <v>238</v>
      </c>
    </row>
    <row r="234" spans="1:238" x14ac:dyDescent="0.4">
      <c r="A234" s="5">
        <v>258</v>
      </c>
      <c r="B234" s="5">
        <v>1</v>
      </c>
      <c r="C234" s="5">
        <v>4</v>
      </c>
      <c r="D234" s="5" t="s">
        <v>2370</v>
      </c>
      <c r="E234" s="5" t="s">
        <v>1209</v>
      </c>
      <c r="F234" s="5" t="s">
        <v>282</v>
      </c>
      <c r="G234" s="5" t="s">
        <v>375</v>
      </c>
      <c r="H234" s="6" t="s">
        <v>2372</v>
      </c>
      <c r="I234" s="5" t="s">
        <v>2926</v>
      </c>
      <c r="J234" s="7">
        <f>0</f>
        <v>0</v>
      </c>
      <c r="K234" s="5" t="s">
        <v>270</v>
      </c>
      <c r="L234" s="8">
        <f>836705</f>
        <v>836705</v>
      </c>
      <c r="M234" s="8">
        <f>1258200</f>
        <v>1258200</v>
      </c>
      <c r="N234" s="6" t="s">
        <v>2927</v>
      </c>
      <c r="O234" s="5" t="s">
        <v>268</v>
      </c>
      <c r="P234" s="5" t="s">
        <v>356</v>
      </c>
      <c r="Q234" s="8">
        <f>84299</f>
        <v>84299</v>
      </c>
      <c r="R234" s="8">
        <f>421495</f>
        <v>421495</v>
      </c>
      <c r="S234" s="5" t="s">
        <v>240</v>
      </c>
      <c r="T234" s="5" t="s">
        <v>287</v>
      </c>
      <c r="U234" s="5" t="s">
        <v>238</v>
      </c>
      <c r="V234" s="5" t="s">
        <v>238</v>
      </c>
      <c r="W234" s="5" t="s">
        <v>241</v>
      </c>
      <c r="X234" s="5" t="s">
        <v>802</v>
      </c>
      <c r="Y234" s="5" t="s">
        <v>238</v>
      </c>
      <c r="AB234" s="5" t="s">
        <v>238</v>
      </c>
      <c r="AC234" s="6" t="s">
        <v>238</v>
      </c>
      <c r="AD234" s="6" t="s">
        <v>238</v>
      </c>
      <c r="AF234" s="6" t="s">
        <v>238</v>
      </c>
      <c r="AG234" s="6" t="s">
        <v>246</v>
      </c>
      <c r="AH234" s="5" t="s">
        <v>247</v>
      </c>
      <c r="AI234" s="5" t="s">
        <v>248</v>
      </c>
      <c r="AO234" s="5" t="s">
        <v>238</v>
      </c>
      <c r="AP234" s="5" t="s">
        <v>238</v>
      </c>
      <c r="AQ234" s="5" t="s">
        <v>238</v>
      </c>
      <c r="AR234" s="6" t="s">
        <v>238</v>
      </c>
      <c r="AS234" s="6" t="s">
        <v>238</v>
      </c>
      <c r="AT234" s="6" t="s">
        <v>238</v>
      </c>
      <c r="AW234" s="5" t="s">
        <v>304</v>
      </c>
      <c r="AX234" s="5" t="s">
        <v>304</v>
      </c>
      <c r="AY234" s="5" t="s">
        <v>250</v>
      </c>
      <c r="AZ234" s="5" t="s">
        <v>305</v>
      </c>
      <c r="BA234" s="5" t="s">
        <v>251</v>
      </c>
      <c r="BB234" s="5" t="s">
        <v>238</v>
      </c>
      <c r="BC234" s="5" t="s">
        <v>253</v>
      </c>
      <c r="BD234" s="5" t="s">
        <v>238</v>
      </c>
      <c r="BF234" s="5" t="s">
        <v>238</v>
      </c>
      <c r="BH234" s="5" t="s">
        <v>283</v>
      </c>
      <c r="BI234" s="6" t="s">
        <v>293</v>
      </c>
      <c r="BJ234" s="5" t="s">
        <v>294</v>
      </c>
      <c r="BK234" s="5" t="s">
        <v>294</v>
      </c>
      <c r="BL234" s="5" t="s">
        <v>238</v>
      </c>
      <c r="BM234" s="7">
        <f>0</f>
        <v>0</v>
      </c>
      <c r="BN234" s="8">
        <f>-84299</f>
        <v>-84299</v>
      </c>
      <c r="BO234" s="5" t="s">
        <v>257</v>
      </c>
      <c r="BP234" s="5" t="s">
        <v>258</v>
      </c>
      <c r="BQ234" s="5" t="s">
        <v>238</v>
      </c>
      <c r="BR234" s="5" t="s">
        <v>238</v>
      </c>
      <c r="BS234" s="5" t="s">
        <v>238</v>
      </c>
      <c r="BT234" s="5" t="s">
        <v>238</v>
      </c>
      <c r="CC234" s="5" t="s">
        <v>258</v>
      </c>
      <c r="CD234" s="5" t="s">
        <v>238</v>
      </c>
      <c r="CE234" s="5" t="s">
        <v>238</v>
      </c>
      <c r="CI234" s="5" t="s">
        <v>259</v>
      </c>
      <c r="CJ234" s="5" t="s">
        <v>260</v>
      </c>
      <c r="CK234" s="5" t="s">
        <v>238</v>
      </c>
      <c r="CM234" s="5" t="s">
        <v>376</v>
      </c>
      <c r="CN234" s="6" t="s">
        <v>262</v>
      </c>
      <c r="CO234" s="5" t="s">
        <v>263</v>
      </c>
      <c r="CP234" s="5" t="s">
        <v>264</v>
      </c>
      <c r="CQ234" s="5" t="s">
        <v>285</v>
      </c>
      <c r="CR234" s="5" t="s">
        <v>238</v>
      </c>
      <c r="CS234" s="5">
        <v>6.7000000000000004E-2</v>
      </c>
      <c r="CT234" s="5" t="s">
        <v>265</v>
      </c>
      <c r="CU234" s="5" t="s">
        <v>351</v>
      </c>
      <c r="CV234" s="5" t="s">
        <v>365</v>
      </c>
      <c r="CW234" s="7">
        <f>0</f>
        <v>0</v>
      </c>
      <c r="CX234" s="8">
        <f>1258200</f>
        <v>1258200</v>
      </c>
      <c r="CY234" s="8">
        <f>921004</f>
        <v>921004</v>
      </c>
      <c r="DA234" s="5" t="s">
        <v>238</v>
      </c>
      <c r="DB234" s="5" t="s">
        <v>238</v>
      </c>
      <c r="DD234" s="5" t="s">
        <v>238</v>
      </c>
      <c r="DE234" s="8">
        <f>0</f>
        <v>0</v>
      </c>
      <c r="DG234" s="5" t="s">
        <v>238</v>
      </c>
      <c r="DH234" s="5" t="s">
        <v>238</v>
      </c>
      <c r="DI234" s="5" t="s">
        <v>238</v>
      </c>
      <c r="DJ234" s="5" t="s">
        <v>238</v>
      </c>
      <c r="DK234" s="5" t="s">
        <v>272</v>
      </c>
      <c r="DL234" s="5" t="s">
        <v>272</v>
      </c>
      <c r="DM234" s="8" t="s">
        <v>238</v>
      </c>
      <c r="DN234" s="5" t="s">
        <v>238</v>
      </c>
      <c r="DO234" s="5" t="s">
        <v>238</v>
      </c>
      <c r="DP234" s="5" t="s">
        <v>238</v>
      </c>
      <c r="DQ234" s="5" t="s">
        <v>238</v>
      </c>
      <c r="DT234" s="5" t="s">
        <v>2373</v>
      </c>
      <c r="DU234" s="5" t="s">
        <v>274</v>
      </c>
      <c r="GL234" s="5" t="s">
        <v>2928</v>
      </c>
      <c r="HM234" s="5" t="s">
        <v>379</v>
      </c>
      <c r="HP234" s="5" t="s">
        <v>272</v>
      </c>
      <c r="HQ234" s="5" t="s">
        <v>272</v>
      </c>
      <c r="HR234" s="5" t="s">
        <v>238</v>
      </c>
      <c r="HS234" s="5" t="s">
        <v>238</v>
      </c>
      <c r="HT234" s="5" t="s">
        <v>238</v>
      </c>
      <c r="HU234" s="5" t="s">
        <v>238</v>
      </c>
      <c r="HV234" s="5" t="s">
        <v>238</v>
      </c>
      <c r="HW234" s="5" t="s">
        <v>238</v>
      </c>
      <c r="HX234" s="5" t="s">
        <v>238</v>
      </c>
      <c r="HY234" s="5" t="s">
        <v>238</v>
      </c>
      <c r="HZ234" s="5" t="s">
        <v>238</v>
      </c>
      <c r="IA234" s="5" t="s">
        <v>238</v>
      </c>
      <c r="IB234" s="5" t="s">
        <v>238</v>
      </c>
      <c r="IC234" s="5" t="s">
        <v>238</v>
      </c>
      <c r="ID234" s="5" t="s">
        <v>238</v>
      </c>
    </row>
    <row r="235" spans="1:238" x14ac:dyDescent="0.4">
      <c r="A235" s="5">
        <v>259</v>
      </c>
      <c r="B235" s="5">
        <v>1</v>
      </c>
      <c r="C235" s="5">
        <v>4</v>
      </c>
      <c r="D235" s="5" t="s">
        <v>2334</v>
      </c>
      <c r="E235" s="5" t="s">
        <v>1209</v>
      </c>
      <c r="F235" s="5" t="s">
        <v>282</v>
      </c>
      <c r="G235" s="5" t="s">
        <v>2336</v>
      </c>
      <c r="H235" s="6" t="s">
        <v>2337</v>
      </c>
      <c r="I235" s="5" t="s">
        <v>2333</v>
      </c>
      <c r="J235" s="7">
        <f>499.89</f>
        <v>499.89</v>
      </c>
      <c r="K235" s="5" t="s">
        <v>270</v>
      </c>
      <c r="L235" s="8">
        <f>615839760</f>
        <v>615839760</v>
      </c>
      <c r="M235" s="8">
        <f>767880000</f>
        <v>767880000</v>
      </c>
      <c r="N235" s="6" t="s">
        <v>2335</v>
      </c>
      <c r="O235" s="5" t="s">
        <v>650</v>
      </c>
      <c r="P235" s="5" t="s">
        <v>310</v>
      </c>
      <c r="Q235" s="8">
        <f>25340040</f>
        <v>25340040</v>
      </c>
      <c r="R235" s="8">
        <f>152040240</f>
        <v>152040240</v>
      </c>
      <c r="S235" s="5" t="s">
        <v>240</v>
      </c>
      <c r="T235" s="5" t="s">
        <v>237</v>
      </c>
      <c r="U235" s="5" t="s">
        <v>238</v>
      </c>
      <c r="V235" s="5" t="s">
        <v>238</v>
      </c>
      <c r="W235" s="5" t="s">
        <v>241</v>
      </c>
      <c r="X235" s="5" t="s">
        <v>802</v>
      </c>
      <c r="Y235" s="5" t="s">
        <v>238</v>
      </c>
      <c r="AB235" s="5" t="s">
        <v>238</v>
      </c>
      <c r="AC235" s="6" t="s">
        <v>238</v>
      </c>
      <c r="AD235" s="6" t="s">
        <v>238</v>
      </c>
      <c r="AF235" s="6" t="s">
        <v>238</v>
      </c>
      <c r="AG235" s="6" t="s">
        <v>246</v>
      </c>
      <c r="AH235" s="5" t="s">
        <v>247</v>
      </c>
      <c r="AI235" s="5" t="s">
        <v>248</v>
      </c>
      <c r="AO235" s="5" t="s">
        <v>238</v>
      </c>
      <c r="AP235" s="5" t="s">
        <v>238</v>
      </c>
      <c r="AQ235" s="5" t="s">
        <v>238</v>
      </c>
      <c r="AR235" s="6" t="s">
        <v>238</v>
      </c>
      <c r="AS235" s="6" t="s">
        <v>238</v>
      </c>
      <c r="AT235" s="6" t="s">
        <v>238</v>
      </c>
      <c r="AW235" s="5" t="s">
        <v>304</v>
      </c>
      <c r="AX235" s="5" t="s">
        <v>304</v>
      </c>
      <c r="AY235" s="5" t="s">
        <v>250</v>
      </c>
      <c r="AZ235" s="5" t="s">
        <v>305</v>
      </c>
      <c r="BA235" s="5" t="s">
        <v>251</v>
      </c>
      <c r="BB235" s="5" t="s">
        <v>238</v>
      </c>
      <c r="BC235" s="5" t="s">
        <v>253</v>
      </c>
      <c r="BD235" s="5" t="s">
        <v>238</v>
      </c>
      <c r="BF235" s="5" t="s">
        <v>329</v>
      </c>
      <c r="BH235" s="5" t="s">
        <v>283</v>
      </c>
      <c r="BI235" s="6" t="s">
        <v>293</v>
      </c>
      <c r="BJ235" s="5" t="s">
        <v>294</v>
      </c>
      <c r="BK235" s="5" t="s">
        <v>294</v>
      </c>
      <c r="BL235" s="5" t="s">
        <v>238</v>
      </c>
      <c r="BM235" s="7">
        <f>0</f>
        <v>0</v>
      </c>
      <c r="BN235" s="8">
        <f>-25340040</f>
        <v>-25340040</v>
      </c>
      <c r="BO235" s="5" t="s">
        <v>257</v>
      </c>
      <c r="BP235" s="5" t="s">
        <v>258</v>
      </c>
      <c r="BQ235" s="5" t="s">
        <v>238</v>
      </c>
      <c r="BR235" s="5" t="s">
        <v>238</v>
      </c>
      <c r="BS235" s="5" t="s">
        <v>238</v>
      </c>
      <c r="BT235" s="5" t="s">
        <v>238</v>
      </c>
      <c r="CC235" s="5" t="s">
        <v>258</v>
      </c>
      <c r="CD235" s="5" t="s">
        <v>238</v>
      </c>
      <c r="CE235" s="5" t="s">
        <v>238</v>
      </c>
      <c r="CI235" s="5" t="s">
        <v>259</v>
      </c>
      <c r="CJ235" s="5" t="s">
        <v>260</v>
      </c>
      <c r="CK235" s="5" t="s">
        <v>238</v>
      </c>
      <c r="CM235" s="5" t="s">
        <v>1202</v>
      </c>
      <c r="CN235" s="6" t="s">
        <v>262</v>
      </c>
      <c r="CO235" s="5" t="s">
        <v>263</v>
      </c>
      <c r="CP235" s="5" t="s">
        <v>264</v>
      </c>
      <c r="CQ235" s="5" t="s">
        <v>285</v>
      </c>
      <c r="CR235" s="5" t="s">
        <v>238</v>
      </c>
      <c r="CS235" s="5">
        <v>3.3000000000000002E-2</v>
      </c>
      <c r="CT235" s="5" t="s">
        <v>265</v>
      </c>
      <c r="CU235" s="5" t="s">
        <v>2321</v>
      </c>
      <c r="CV235" s="5" t="s">
        <v>649</v>
      </c>
      <c r="CW235" s="7">
        <f>0</f>
        <v>0</v>
      </c>
      <c r="CX235" s="8">
        <f>767880000</f>
        <v>767880000</v>
      </c>
      <c r="CY235" s="8">
        <f>641179800</f>
        <v>641179800</v>
      </c>
      <c r="DA235" s="5" t="s">
        <v>238</v>
      </c>
      <c r="DB235" s="5" t="s">
        <v>238</v>
      </c>
      <c r="DD235" s="5" t="s">
        <v>238</v>
      </c>
      <c r="DE235" s="8">
        <f>0</f>
        <v>0</v>
      </c>
      <c r="DG235" s="5" t="s">
        <v>238</v>
      </c>
      <c r="DH235" s="5" t="s">
        <v>238</v>
      </c>
      <c r="DI235" s="5" t="s">
        <v>238</v>
      </c>
      <c r="DJ235" s="5" t="s">
        <v>238</v>
      </c>
      <c r="DK235" s="5" t="s">
        <v>274</v>
      </c>
      <c r="DL235" s="5" t="s">
        <v>272</v>
      </c>
      <c r="DM235" s="7">
        <f>499.89</f>
        <v>499.89</v>
      </c>
      <c r="DN235" s="5" t="s">
        <v>238</v>
      </c>
      <c r="DO235" s="5" t="s">
        <v>238</v>
      </c>
      <c r="DP235" s="5" t="s">
        <v>238</v>
      </c>
      <c r="DQ235" s="5" t="s">
        <v>238</v>
      </c>
      <c r="DT235" s="5" t="s">
        <v>2338</v>
      </c>
      <c r="DU235" s="5" t="s">
        <v>271</v>
      </c>
      <c r="GL235" s="5" t="s">
        <v>2339</v>
      </c>
      <c r="HM235" s="5" t="s">
        <v>313</v>
      </c>
      <c r="HP235" s="5" t="s">
        <v>272</v>
      </c>
      <c r="HQ235" s="5" t="s">
        <v>272</v>
      </c>
      <c r="HR235" s="5" t="s">
        <v>238</v>
      </c>
      <c r="HS235" s="5" t="s">
        <v>238</v>
      </c>
      <c r="HT235" s="5" t="s">
        <v>238</v>
      </c>
      <c r="HU235" s="5" t="s">
        <v>238</v>
      </c>
      <c r="HV235" s="5" t="s">
        <v>238</v>
      </c>
      <c r="HW235" s="5" t="s">
        <v>238</v>
      </c>
      <c r="HX235" s="5" t="s">
        <v>238</v>
      </c>
      <c r="HY235" s="5" t="s">
        <v>238</v>
      </c>
      <c r="HZ235" s="5" t="s">
        <v>238</v>
      </c>
      <c r="IA235" s="5" t="s">
        <v>238</v>
      </c>
      <c r="IB235" s="5" t="s">
        <v>238</v>
      </c>
      <c r="IC235" s="5" t="s">
        <v>238</v>
      </c>
      <c r="ID235" s="5" t="s">
        <v>238</v>
      </c>
    </row>
    <row r="236" spans="1:238" x14ac:dyDescent="0.4">
      <c r="A236" s="5">
        <v>260</v>
      </c>
      <c r="B236" s="5">
        <v>1</v>
      </c>
      <c r="C236" s="5">
        <v>4</v>
      </c>
      <c r="D236" s="5" t="s">
        <v>1224</v>
      </c>
      <c r="E236" s="5" t="s">
        <v>1209</v>
      </c>
      <c r="F236" s="5" t="s">
        <v>282</v>
      </c>
      <c r="G236" s="5" t="s">
        <v>349</v>
      </c>
      <c r="H236" s="6" t="s">
        <v>1226</v>
      </c>
      <c r="I236" s="5" t="s">
        <v>2311</v>
      </c>
      <c r="J236" s="7">
        <f>6563.29</f>
        <v>6563.29</v>
      </c>
      <c r="K236" s="5" t="s">
        <v>270</v>
      </c>
      <c r="L236" s="8">
        <f>7683728532</f>
        <v>7683728532</v>
      </c>
      <c r="M236" s="8">
        <f>8528000589</f>
        <v>8528000589</v>
      </c>
      <c r="N236" s="6" t="s">
        <v>1225</v>
      </c>
      <c r="O236" s="5" t="s">
        <v>650</v>
      </c>
      <c r="P236" s="5" t="s">
        <v>271</v>
      </c>
      <c r="Q236" s="8">
        <f>281424019</f>
        <v>281424019</v>
      </c>
      <c r="R236" s="8">
        <f>844272057</f>
        <v>844272057</v>
      </c>
      <c r="S236" s="5" t="s">
        <v>240</v>
      </c>
      <c r="T236" s="5" t="s">
        <v>287</v>
      </c>
      <c r="U236" s="5" t="s">
        <v>238</v>
      </c>
      <c r="V236" s="5" t="s">
        <v>238</v>
      </c>
      <c r="W236" s="5" t="s">
        <v>241</v>
      </c>
      <c r="X236" s="5" t="s">
        <v>238</v>
      </c>
      <c r="Y236" s="5" t="s">
        <v>238</v>
      </c>
      <c r="AB236" s="5" t="s">
        <v>238</v>
      </c>
      <c r="AC236" s="6" t="s">
        <v>238</v>
      </c>
      <c r="AD236" s="6" t="s">
        <v>238</v>
      </c>
      <c r="AF236" s="6" t="s">
        <v>238</v>
      </c>
      <c r="AG236" s="6" t="s">
        <v>246</v>
      </c>
      <c r="AH236" s="5" t="s">
        <v>247</v>
      </c>
      <c r="AI236" s="5" t="s">
        <v>248</v>
      </c>
      <c r="AO236" s="5" t="s">
        <v>238</v>
      </c>
      <c r="AP236" s="5" t="s">
        <v>238</v>
      </c>
      <c r="AQ236" s="5" t="s">
        <v>238</v>
      </c>
      <c r="AR236" s="6" t="s">
        <v>238</v>
      </c>
      <c r="AS236" s="6" t="s">
        <v>238</v>
      </c>
      <c r="AT236" s="6" t="s">
        <v>238</v>
      </c>
      <c r="AW236" s="5" t="s">
        <v>304</v>
      </c>
      <c r="AX236" s="5" t="s">
        <v>304</v>
      </c>
      <c r="AY236" s="5" t="s">
        <v>250</v>
      </c>
      <c r="AZ236" s="5" t="s">
        <v>305</v>
      </c>
      <c r="BA236" s="5" t="s">
        <v>251</v>
      </c>
      <c r="BB236" s="5" t="s">
        <v>238</v>
      </c>
      <c r="BC236" s="5" t="s">
        <v>253</v>
      </c>
      <c r="BD236" s="5" t="s">
        <v>238</v>
      </c>
      <c r="BF236" s="5" t="s">
        <v>238</v>
      </c>
      <c r="BH236" s="5" t="s">
        <v>283</v>
      </c>
      <c r="BI236" s="6" t="s">
        <v>293</v>
      </c>
      <c r="BJ236" s="5" t="s">
        <v>294</v>
      </c>
      <c r="BK236" s="5" t="s">
        <v>294</v>
      </c>
      <c r="BL236" s="5" t="s">
        <v>238</v>
      </c>
      <c r="BM236" s="7">
        <f>0</f>
        <v>0</v>
      </c>
      <c r="BN236" s="8">
        <f>-281424019</f>
        <v>-281424019</v>
      </c>
      <c r="BO236" s="5" t="s">
        <v>257</v>
      </c>
      <c r="BP236" s="5" t="s">
        <v>258</v>
      </c>
      <c r="BQ236" s="5" t="s">
        <v>238</v>
      </c>
      <c r="BR236" s="5" t="s">
        <v>238</v>
      </c>
      <c r="BS236" s="5" t="s">
        <v>238</v>
      </c>
      <c r="BT236" s="5" t="s">
        <v>238</v>
      </c>
      <c r="CC236" s="5" t="s">
        <v>258</v>
      </c>
      <c r="CD236" s="5" t="s">
        <v>238</v>
      </c>
      <c r="CE236" s="5" t="s">
        <v>238</v>
      </c>
      <c r="CI236" s="5" t="s">
        <v>259</v>
      </c>
      <c r="CJ236" s="5" t="s">
        <v>260</v>
      </c>
      <c r="CK236" s="5" t="s">
        <v>238</v>
      </c>
      <c r="CM236" s="5" t="s">
        <v>291</v>
      </c>
      <c r="CN236" s="6" t="s">
        <v>262</v>
      </c>
      <c r="CO236" s="5" t="s">
        <v>263</v>
      </c>
      <c r="CP236" s="5" t="s">
        <v>264</v>
      </c>
      <c r="CQ236" s="5" t="s">
        <v>285</v>
      </c>
      <c r="CR236" s="5" t="s">
        <v>238</v>
      </c>
      <c r="CS236" s="5">
        <v>3.3000000000000002E-2</v>
      </c>
      <c r="CT236" s="5" t="s">
        <v>265</v>
      </c>
      <c r="CU236" s="5" t="s">
        <v>2309</v>
      </c>
      <c r="CV236" s="5" t="s">
        <v>649</v>
      </c>
      <c r="CW236" s="7">
        <f>0</f>
        <v>0</v>
      </c>
      <c r="CX236" s="8">
        <f>8528000589</f>
        <v>8528000589</v>
      </c>
      <c r="CY236" s="8">
        <f>7965152551</f>
        <v>7965152551</v>
      </c>
      <c r="DA236" s="5" t="s">
        <v>238</v>
      </c>
      <c r="DB236" s="5" t="s">
        <v>238</v>
      </c>
      <c r="DD236" s="5" t="s">
        <v>238</v>
      </c>
      <c r="DE236" s="8">
        <f>0</f>
        <v>0</v>
      </c>
      <c r="DG236" s="5" t="s">
        <v>238</v>
      </c>
      <c r="DH236" s="5" t="s">
        <v>238</v>
      </c>
      <c r="DI236" s="5" t="s">
        <v>238</v>
      </c>
      <c r="DJ236" s="5" t="s">
        <v>238</v>
      </c>
      <c r="DK236" s="5" t="s">
        <v>310</v>
      </c>
      <c r="DL236" s="5" t="s">
        <v>271</v>
      </c>
      <c r="DM236" s="7">
        <f>6563.29</f>
        <v>6563.29</v>
      </c>
      <c r="DN236" s="5" t="s">
        <v>238</v>
      </c>
      <c r="DO236" s="5" t="s">
        <v>238</v>
      </c>
      <c r="DP236" s="5" t="s">
        <v>238</v>
      </c>
      <c r="DQ236" s="5" t="s">
        <v>238</v>
      </c>
      <c r="DT236" s="5" t="s">
        <v>1227</v>
      </c>
      <c r="DU236" s="5" t="s">
        <v>271</v>
      </c>
      <c r="GL236" s="5" t="s">
        <v>2312</v>
      </c>
      <c r="HM236" s="5" t="s">
        <v>356</v>
      </c>
      <c r="HP236" s="5" t="s">
        <v>272</v>
      </c>
      <c r="HQ236" s="5" t="s">
        <v>272</v>
      </c>
      <c r="HR236" s="5" t="s">
        <v>238</v>
      </c>
      <c r="HS236" s="5" t="s">
        <v>238</v>
      </c>
      <c r="HT236" s="5" t="s">
        <v>238</v>
      </c>
      <c r="HU236" s="5" t="s">
        <v>238</v>
      </c>
      <c r="HV236" s="5" t="s">
        <v>238</v>
      </c>
      <c r="HW236" s="5" t="s">
        <v>238</v>
      </c>
      <c r="HX236" s="5" t="s">
        <v>238</v>
      </c>
      <c r="HY236" s="5" t="s">
        <v>238</v>
      </c>
      <c r="HZ236" s="5" t="s">
        <v>238</v>
      </c>
      <c r="IA236" s="5" t="s">
        <v>238</v>
      </c>
      <c r="IB236" s="5" t="s">
        <v>238</v>
      </c>
      <c r="IC236" s="5" t="s">
        <v>238</v>
      </c>
      <c r="ID236" s="5" t="s">
        <v>238</v>
      </c>
    </row>
    <row r="237" spans="1:238" x14ac:dyDescent="0.4">
      <c r="A237" s="5">
        <v>261</v>
      </c>
      <c r="B237" s="5">
        <v>1</v>
      </c>
      <c r="C237" s="5">
        <v>4</v>
      </c>
      <c r="D237" s="5" t="s">
        <v>1224</v>
      </c>
      <c r="E237" s="5" t="s">
        <v>1209</v>
      </c>
      <c r="F237" s="5" t="s">
        <v>282</v>
      </c>
      <c r="G237" s="5" t="s">
        <v>349</v>
      </c>
      <c r="H237" s="6" t="s">
        <v>1226</v>
      </c>
      <c r="I237" s="5" t="s">
        <v>1327</v>
      </c>
      <c r="J237" s="7">
        <f>1124.96</f>
        <v>1124.96</v>
      </c>
      <c r="K237" s="5" t="s">
        <v>270</v>
      </c>
      <c r="L237" s="8">
        <f>1343461794</f>
        <v>1343461794</v>
      </c>
      <c r="M237" s="8">
        <f>1461873549</f>
        <v>1461873549</v>
      </c>
      <c r="N237" s="6" t="s">
        <v>1225</v>
      </c>
      <c r="O237" s="5" t="s">
        <v>639</v>
      </c>
      <c r="P237" s="5" t="s">
        <v>271</v>
      </c>
      <c r="Q237" s="8">
        <f>39470585</f>
        <v>39470585</v>
      </c>
      <c r="R237" s="8">
        <f>118411755</f>
        <v>118411755</v>
      </c>
      <c r="S237" s="5" t="s">
        <v>240</v>
      </c>
      <c r="T237" s="5" t="s">
        <v>287</v>
      </c>
      <c r="U237" s="5" t="s">
        <v>238</v>
      </c>
      <c r="V237" s="5" t="s">
        <v>238</v>
      </c>
      <c r="W237" s="5" t="s">
        <v>241</v>
      </c>
      <c r="X237" s="5" t="s">
        <v>238</v>
      </c>
      <c r="Y237" s="5" t="s">
        <v>238</v>
      </c>
      <c r="AB237" s="5" t="s">
        <v>238</v>
      </c>
      <c r="AC237" s="6" t="s">
        <v>238</v>
      </c>
      <c r="AD237" s="6" t="s">
        <v>238</v>
      </c>
      <c r="AF237" s="6" t="s">
        <v>238</v>
      </c>
      <c r="AG237" s="6" t="s">
        <v>246</v>
      </c>
      <c r="AH237" s="5" t="s">
        <v>247</v>
      </c>
      <c r="AI237" s="5" t="s">
        <v>248</v>
      </c>
      <c r="AO237" s="5" t="s">
        <v>238</v>
      </c>
      <c r="AP237" s="5" t="s">
        <v>238</v>
      </c>
      <c r="AQ237" s="5" t="s">
        <v>238</v>
      </c>
      <c r="AR237" s="6" t="s">
        <v>238</v>
      </c>
      <c r="AS237" s="6" t="s">
        <v>238</v>
      </c>
      <c r="AT237" s="6" t="s">
        <v>238</v>
      </c>
      <c r="AW237" s="5" t="s">
        <v>304</v>
      </c>
      <c r="AX237" s="5" t="s">
        <v>304</v>
      </c>
      <c r="AY237" s="5" t="s">
        <v>250</v>
      </c>
      <c r="AZ237" s="5" t="s">
        <v>305</v>
      </c>
      <c r="BA237" s="5" t="s">
        <v>251</v>
      </c>
      <c r="BB237" s="5" t="s">
        <v>238</v>
      </c>
      <c r="BC237" s="5" t="s">
        <v>253</v>
      </c>
      <c r="BD237" s="5" t="s">
        <v>238</v>
      </c>
      <c r="BF237" s="5" t="s">
        <v>238</v>
      </c>
      <c r="BH237" s="5" t="s">
        <v>283</v>
      </c>
      <c r="BI237" s="6" t="s">
        <v>293</v>
      </c>
      <c r="BJ237" s="5" t="s">
        <v>294</v>
      </c>
      <c r="BK237" s="5" t="s">
        <v>294</v>
      </c>
      <c r="BL237" s="5" t="s">
        <v>238</v>
      </c>
      <c r="BM237" s="7">
        <f>0</f>
        <v>0</v>
      </c>
      <c r="BN237" s="8">
        <f>-39470585</f>
        <v>-39470585</v>
      </c>
      <c r="BO237" s="5" t="s">
        <v>257</v>
      </c>
      <c r="BP237" s="5" t="s">
        <v>258</v>
      </c>
      <c r="BQ237" s="5" t="s">
        <v>238</v>
      </c>
      <c r="BR237" s="5" t="s">
        <v>238</v>
      </c>
      <c r="BS237" s="5" t="s">
        <v>238</v>
      </c>
      <c r="BT237" s="5" t="s">
        <v>238</v>
      </c>
      <c r="CC237" s="5" t="s">
        <v>258</v>
      </c>
      <c r="CD237" s="5" t="s">
        <v>238</v>
      </c>
      <c r="CE237" s="5" t="s">
        <v>238</v>
      </c>
      <c r="CI237" s="5" t="s">
        <v>259</v>
      </c>
      <c r="CJ237" s="5" t="s">
        <v>260</v>
      </c>
      <c r="CK237" s="5" t="s">
        <v>238</v>
      </c>
      <c r="CM237" s="5" t="s">
        <v>291</v>
      </c>
      <c r="CN237" s="6" t="s">
        <v>262</v>
      </c>
      <c r="CO237" s="5" t="s">
        <v>263</v>
      </c>
      <c r="CP237" s="5" t="s">
        <v>264</v>
      </c>
      <c r="CQ237" s="5" t="s">
        <v>285</v>
      </c>
      <c r="CR237" s="5" t="s">
        <v>238</v>
      </c>
      <c r="CS237" s="5">
        <v>2.7E-2</v>
      </c>
      <c r="CT237" s="5" t="s">
        <v>265</v>
      </c>
      <c r="CU237" s="5" t="s">
        <v>2309</v>
      </c>
      <c r="CV237" s="5" t="s">
        <v>308</v>
      </c>
      <c r="CW237" s="7">
        <f>0</f>
        <v>0</v>
      </c>
      <c r="CX237" s="8">
        <f>1461873549</f>
        <v>1461873549</v>
      </c>
      <c r="CY237" s="8">
        <f>1382932379</f>
        <v>1382932379</v>
      </c>
      <c r="DA237" s="5" t="s">
        <v>238</v>
      </c>
      <c r="DB237" s="5" t="s">
        <v>238</v>
      </c>
      <c r="DD237" s="5" t="s">
        <v>238</v>
      </c>
      <c r="DE237" s="8">
        <f>0</f>
        <v>0</v>
      </c>
      <c r="DG237" s="5" t="s">
        <v>238</v>
      </c>
      <c r="DH237" s="5" t="s">
        <v>238</v>
      </c>
      <c r="DI237" s="5" t="s">
        <v>238</v>
      </c>
      <c r="DJ237" s="5" t="s">
        <v>238</v>
      </c>
      <c r="DK237" s="5" t="s">
        <v>274</v>
      </c>
      <c r="DL237" s="5" t="s">
        <v>272</v>
      </c>
      <c r="DM237" s="7">
        <f>1124.96</f>
        <v>1124.96</v>
      </c>
      <c r="DN237" s="5" t="s">
        <v>238</v>
      </c>
      <c r="DO237" s="5" t="s">
        <v>238</v>
      </c>
      <c r="DP237" s="5" t="s">
        <v>238</v>
      </c>
      <c r="DQ237" s="5" t="s">
        <v>238</v>
      </c>
      <c r="DT237" s="5" t="s">
        <v>1227</v>
      </c>
      <c r="DU237" s="5" t="s">
        <v>274</v>
      </c>
      <c r="GL237" s="5" t="s">
        <v>2313</v>
      </c>
      <c r="HM237" s="5" t="s">
        <v>356</v>
      </c>
      <c r="HP237" s="5" t="s">
        <v>272</v>
      </c>
      <c r="HQ237" s="5" t="s">
        <v>272</v>
      </c>
      <c r="HR237" s="5" t="s">
        <v>238</v>
      </c>
      <c r="HS237" s="5" t="s">
        <v>238</v>
      </c>
      <c r="HT237" s="5" t="s">
        <v>238</v>
      </c>
      <c r="HU237" s="5" t="s">
        <v>238</v>
      </c>
      <c r="HV237" s="5" t="s">
        <v>238</v>
      </c>
      <c r="HW237" s="5" t="s">
        <v>238</v>
      </c>
      <c r="HX237" s="5" t="s">
        <v>238</v>
      </c>
      <c r="HY237" s="5" t="s">
        <v>238</v>
      </c>
      <c r="HZ237" s="5" t="s">
        <v>238</v>
      </c>
      <c r="IA237" s="5" t="s">
        <v>238</v>
      </c>
      <c r="IB237" s="5" t="s">
        <v>238</v>
      </c>
      <c r="IC237" s="5" t="s">
        <v>238</v>
      </c>
      <c r="ID237" s="5" t="s">
        <v>238</v>
      </c>
    </row>
    <row r="238" spans="1:238" x14ac:dyDescent="0.4">
      <c r="A238" s="5">
        <v>262</v>
      </c>
      <c r="B238" s="5">
        <v>1</v>
      </c>
      <c r="C238" s="5">
        <v>4</v>
      </c>
      <c r="D238" s="5" t="s">
        <v>1224</v>
      </c>
      <c r="E238" s="5" t="s">
        <v>1209</v>
      </c>
      <c r="F238" s="5" t="s">
        <v>282</v>
      </c>
      <c r="G238" s="5" t="s">
        <v>349</v>
      </c>
      <c r="H238" s="6" t="s">
        <v>1226</v>
      </c>
      <c r="I238" s="5" t="s">
        <v>2308</v>
      </c>
      <c r="J238" s="7">
        <f>214.5</f>
        <v>214.5</v>
      </c>
      <c r="K238" s="5" t="s">
        <v>270</v>
      </c>
      <c r="L238" s="8">
        <f>256162491</f>
        <v>256162491</v>
      </c>
      <c r="M238" s="8">
        <f>278740467</f>
        <v>278740467</v>
      </c>
      <c r="N238" s="6" t="s">
        <v>1225</v>
      </c>
      <c r="O238" s="5" t="s">
        <v>639</v>
      </c>
      <c r="P238" s="5" t="s">
        <v>271</v>
      </c>
      <c r="Q238" s="8">
        <f>7525992</f>
        <v>7525992</v>
      </c>
      <c r="R238" s="8">
        <f>22577976</f>
        <v>22577976</v>
      </c>
      <c r="S238" s="5" t="s">
        <v>240</v>
      </c>
      <c r="T238" s="5" t="s">
        <v>287</v>
      </c>
      <c r="U238" s="5" t="s">
        <v>238</v>
      </c>
      <c r="V238" s="5" t="s">
        <v>238</v>
      </c>
      <c r="W238" s="5" t="s">
        <v>241</v>
      </c>
      <c r="X238" s="5" t="s">
        <v>238</v>
      </c>
      <c r="Y238" s="5" t="s">
        <v>238</v>
      </c>
      <c r="AB238" s="5" t="s">
        <v>238</v>
      </c>
      <c r="AC238" s="6" t="s">
        <v>238</v>
      </c>
      <c r="AD238" s="6" t="s">
        <v>238</v>
      </c>
      <c r="AF238" s="6" t="s">
        <v>238</v>
      </c>
      <c r="AG238" s="6" t="s">
        <v>246</v>
      </c>
      <c r="AH238" s="5" t="s">
        <v>247</v>
      </c>
      <c r="AI238" s="5" t="s">
        <v>248</v>
      </c>
      <c r="AO238" s="5" t="s">
        <v>238</v>
      </c>
      <c r="AP238" s="5" t="s">
        <v>238</v>
      </c>
      <c r="AQ238" s="5" t="s">
        <v>238</v>
      </c>
      <c r="AR238" s="6" t="s">
        <v>238</v>
      </c>
      <c r="AS238" s="6" t="s">
        <v>238</v>
      </c>
      <c r="AT238" s="6" t="s">
        <v>238</v>
      </c>
      <c r="AW238" s="5" t="s">
        <v>304</v>
      </c>
      <c r="AX238" s="5" t="s">
        <v>304</v>
      </c>
      <c r="AY238" s="5" t="s">
        <v>250</v>
      </c>
      <c r="AZ238" s="5" t="s">
        <v>305</v>
      </c>
      <c r="BA238" s="5" t="s">
        <v>251</v>
      </c>
      <c r="BB238" s="5" t="s">
        <v>238</v>
      </c>
      <c r="BC238" s="5" t="s">
        <v>253</v>
      </c>
      <c r="BD238" s="5" t="s">
        <v>238</v>
      </c>
      <c r="BF238" s="5" t="s">
        <v>238</v>
      </c>
      <c r="BH238" s="5" t="s">
        <v>283</v>
      </c>
      <c r="BI238" s="6" t="s">
        <v>293</v>
      </c>
      <c r="BJ238" s="5" t="s">
        <v>294</v>
      </c>
      <c r="BK238" s="5" t="s">
        <v>294</v>
      </c>
      <c r="BL238" s="5" t="s">
        <v>238</v>
      </c>
      <c r="BM238" s="7">
        <f>0</f>
        <v>0</v>
      </c>
      <c r="BN238" s="8">
        <f>-7525992</f>
        <v>-7525992</v>
      </c>
      <c r="BO238" s="5" t="s">
        <v>257</v>
      </c>
      <c r="BP238" s="5" t="s">
        <v>258</v>
      </c>
      <c r="BQ238" s="5" t="s">
        <v>238</v>
      </c>
      <c r="BR238" s="5" t="s">
        <v>238</v>
      </c>
      <c r="BS238" s="5" t="s">
        <v>238</v>
      </c>
      <c r="BT238" s="5" t="s">
        <v>238</v>
      </c>
      <c r="CC238" s="5" t="s">
        <v>258</v>
      </c>
      <c r="CD238" s="5" t="s">
        <v>238</v>
      </c>
      <c r="CE238" s="5" t="s">
        <v>238</v>
      </c>
      <c r="CI238" s="5" t="s">
        <v>259</v>
      </c>
      <c r="CJ238" s="5" t="s">
        <v>260</v>
      </c>
      <c r="CK238" s="5" t="s">
        <v>238</v>
      </c>
      <c r="CM238" s="5" t="s">
        <v>291</v>
      </c>
      <c r="CN238" s="6" t="s">
        <v>262</v>
      </c>
      <c r="CO238" s="5" t="s">
        <v>263</v>
      </c>
      <c r="CP238" s="5" t="s">
        <v>264</v>
      </c>
      <c r="CQ238" s="5" t="s">
        <v>285</v>
      </c>
      <c r="CR238" s="5" t="s">
        <v>238</v>
      </c>
      <c r="CS238" s="5">
        <v>2.7E-2</v>
      </c>
      <c r="CT238" s="5" t="s">
        <v>265</v>
      </c>
      <c r="CU238" s="5" t="s">
        <v>2309</v>
      </c>
      <c r="CV238" s="5" t="s">
        <v>308</v>
      </c>
      <c r="CW238" s="7">
        <f>0</f>
        <v>0</v>
      </c>
      <c r="CX238" s="8">
        <f>278740467</f>
        <v>278740467</v>
      </c>
      <c r="CY238" s="8">
        <f>263688483</f>
        <v>263688483</v>
      </c>
      <c r="DA238" s="5" t="s">
        <v>238</v>
      </c>
      <c r="DB238" s="5" t="s">
        <v>238</v>
      </c>
      <c r="DD238" s="5" t="s">
        <v>238</v>
      </c>
      <c r="DE238" s="8">
        <f>0</f>
        <v>0</v>
      </c>
      <c r="DG238" s="5" t="s">
        <v>238</v>
      </c>
      <c r="DH238" s="5" t="s">
        <v>238</v>
      </c>
      <c r="DI238" s="5" t="s">
        <v>238</v>
      </c>
      <c r="DJ238" s="5" t="s">
        <v>238</v>
      </c>
      <c r="DK238" s="5" t="s">
        <v>271</v>
      </c>
      <c r="DL238" s="5" t="s">
        <v>272</v>
      </c>
      <c r="DM238" s="7">
        <f>214.5</f>
        <v>214.5</v>
      </c>
      <c r="DN238" s="5" t="s">
        <v>238</v>
      </c>
      <c r="DO238" s="5" t="s">
        <v>238</v>
      </c>
      <c r="DP238" s="5" t="s">
        <v>238</v>
      </c>
      <c r="DQ238" s="5" t="s">
        <v>238</v>
      </c>
      <c r="DT238" s="5" t="s">
        <v>1227</v>
      </c>
      <c r="DU238" s="5" t="s">
        <v>356</v>
      </c>
      <c r="GL238" s="5" t="s">
        <v>2310</v>
      </c>
      <c r="HM238" s="5" t="s">
        <v>356</v>
      </c>
      <c r="HP238" s="5" t="s">
        <v>272</v>
      </c>
      <c r="HQ238" s="5" t="s">
        <v>272</v>
      </c>
      <c r="HR238" s="5" t="s">
        <v>238</v>
      </c>
      <c r="HS238" s="5" t="s">
        <v>238</v>
      </c>
      <c r="HT238" s="5" t="s">
        <v>238</v>
      </c>
      <c r="HU238" s="5" t="s">
        <v>238</v>
      </c>
      <c r="HV238" s="5" t="s">
        <v>238</v>
      </c>
      <c r="HW238" s="5" t="s">
        <v>238</v>
      </c>
      <c r="HX238" s="5" t="s">
        <v>238</v>
      </c>
      <c r="HY238" s="5" t="s">
        <v>238</v>
      </c>
      <c r="HZ238" s="5" t="s">
        <v>238</v>
      </c>
      <c r="IA238" s="5" t="s">
        <v>238</v>
      </c>
      <c r="IB238" s="5" t="s">
        <v>238</v>
      </c>
      <c r="IC238" s="5" t="s">
        <v>238</v>
      </c>
      <c r="ID238" s="5" t="s">
        <v>238</v>
      </c>
    </row>
    <row r="239" spans="1:238" x14ac:dyDescent="0.4">
      <c r="A239" s="5">
        <v>263</v>
      </c>
      <c r="B239" s="5">
        <v>1</v>
      </c>
      <c r="C239" s="5">
        <v>4</v>
      </c>
      <c r="D239" s="5" t="s">
        <v>1224</v>
      </c>
      <c r="E239" s="5" t="s">
        <v>1209</v>
      </c>
      <c r="F239" s="5" t="s">
        <v>282</v>
      </c>
      <c r="G239" s="5" t="s">
        <v>349</v>
      </c>
      <c r="H239" s="6" t="s">
        <v>1226</v>
      </c>
      <c r="I239" s="5" t="s">
        <v>1223</v>
      </c>
      <c r="J239" s="7">
        <f>106.77</f>
        <v>106.77</v>
      </c>
      <c r="K239" s="5" t="s">
        <v>270</v>
      </c>
      <c r="L239" s="8">
        <f>125010580</f>
        <v>125010580</v>
      </c>
      <c r="M239" s="8">
        <f>138746479</f>
        <v>138746479</v>
      </c>
      <c r="N239" s="6" t="s">
        <v>1225</v>
      </c>
      <c r="O239" s="5" t="s">
        <v>650</v>
      </c>
      <c r="P239" s="5" t="s">
        <v>271</v>
      </c>
      <c r="Q239" s="8">
        <f>4578633</f>
        <v>4578633</v>
      </c>
      <c r="R239" s="8">
        <f>13735899</f>
        <v>13735899</v>
      </c>
      <c r="S239" s="5" t="s">
        <v>240</v>
      </c>
      <c r="T239" s="5" t="s">
        <v>287</v>
      </c>
      <c r="U239" s="5" t="s">
        <v>238</v>
      </c>
      <c r="V239" s="5" t="s">
        <v>238</v>
      </c>
      <c r="W239" s="5" t="s">
        <v>241</v>
      </c>
      <c r="X239" s="5" t="s">
        <v>238</v>
      </c>
      <c r="Y239" s="5" t="s">
        <v>238</v>
      </c>
      <c r="AB239" s="5" t="s">
        <v>238</v>
      </c>
      <c r="AC239" s="6" t="s">
        <v>238</v>
      </c>
      <c r="AD239" s="6" t="s">
        <v>238</v>
      </c>
      <c r="AF239" s="6" t="s">
        <v>238</v>
      </c>
      <c r="AG239" s="6" t="s">
        <v>246</v>
      </c>
      <c r="AH239" s="5" t="s">
        <v>247</v>
      </c>
      <c r="AI239" s="5" t="s">
        <v>248</v>
      </c>
      <c r="AO239" s="5" t="s">
        <v>238</v>
      </c>
      <c r="AP239" s="5" t="s">
        <v>238</v>
      </c>
      <c r="AQ239" s="5" t="s">
        <v>238</v>
      </c>
      <c r="AR239" s="6" t="s">
        <v>238</v>
      </c>
      <c r="AS239" s="6" t="s">
        <v>238</v>
      </c>
      <c r="AT239" s="6" t="s">
        <v>238</v>
      </c>
      <c r="AW239" s="5" t="s">
        <v>304</v>
      </c>
      <c r="AX239" s="5" t="s">
        <v>304</v>
      </c>
      <c r="AY239" s="5" t="s">
        <v>250</v>
      </c>
      <c r="AZ239" s="5" t="s">
        <v>305</v>
      </c>
      <c r="BA239" s="5" t="s">
        <v>251</v>
      </c>
      <c r="BB239" s="5" t="s">
        <v>238</v>
      </c>
      <c r="BC239" s="5" t="s">
        <v>253</v>
      </c>
      <c r="BD239" s="5" t="s">
        <v>238</v>
      </c>
      <c r="BF239" s="5" t="s">
        <v>238</v>
      </c>
      <c r="BH239" s="5" t="s">
        <v>283</v>
      </c>
      <c r="BI239" s="6" t="s">
        <v>293</v>
      </c>
      <c r="BJ239" s="5" t="s">
        <v>294</v>
      </c>
      <c r="BK239" s="5" t="s">
        <v>294</v>
      </c>
      <c r="BL239" s="5" t="s">
        <v>238</v>
      </c>
      <c r="BM239" s="7">
        <f>0</f>
        <v>0</v>
      </c>
      <c r="BN239" s="8">
        <f>-4578633</f>
        <v>-4578633</v>
      </c>
      <c r="BO239" s="5" t="s">
        <v>257</v>
      </c>
      <c r="BP239" s="5" t="s">
        <v>258</v>
      </c>
      <c r="BQ239" s="5" t="s">
        <v>238</v>
      </c>
      <c r="BR239" s="5" t="s">
        <v>238</v>
      </c>
      <c r="BS239" s="5" t="s">
        <v>238</v>
      </c>
      <c r="BT239" s="5" t="s">
        <v>238</v>
      </c>
      <c r="CC239" s="5" t="s">
        <v>258</v>
      </c>
      <c r="CD239" s="5" t="s">
        <v>238</v>
      </c>
      <c r="CE239" s="5" t="s">
        <v>238</v>
      </c>
      <c r="CI239" s="5" t="s">
        <v>259</v>
      </c>
      <c r="CJ239" s="5" t="s">
        <v>260</v>
      </c>
      <c r="CK239" s="5" t="s">
        <v>238</v>
      </c>
      <c r="CM239" s="5" t="s">
        <v>291</v>
      </c>
      <c r="CN239" s="6" t="s">
        <v>262</v>
      </c>
      <c r="CO239" s="5" t="s">
        <v>263</v>
      </c>
      <c r="CP239" s="5" t="s">
        <v>264</v>
      </c>
      <c r="CQ239" s="5" t="s">
        <v>285</v>
      </c>
      <c r="CR239" s="5" t="s">
        <v>238</v>
      </c>
      <c r="CS239" s="5">
        <v>3.3000000000000002E-2</v>
      </c>
      <c r="CT239" s="5" t="s">
        <v>265</v>
      </c>
      <c r="CU239" s="5" t="s">
        <v>1187</v>
      </c>
      <c r="CV239" s="5" t="s">
        <v>649</v>
      </c>
      <c r="CW239" s="7">
        <f>0</f>
        <v>0</v>
      </c>
      <c r="CX239" s="8">
        <f>138746479</f>
        <v>138746479</v>
      </c>
      <c r="CY239" s="8">
        <f>129589213</f>
        <v>129589213</v>
      </c>
      <c r="DA239" s="5" t="s">
        <v>238</v>
      </c>
      <c r="DB239" s="5" t="s">
        <v>238</v>
      </c>
      <c r="DD239" s="5" t="s">
        <v>238</v>
      </c>
      <c r="DE239" s="8">
        <f>0</f>
        <v>0</v>
      </c>
      <c r="DG239" s="5" t="s">
        <v>238</v>
      </c>
      <c r="DH239" s="5" t="s">
        <v>238</v>
      </c>
      <c r="DI239" s="5" t="s">
        <v>238</v>
      </c>
      <c r="DJ239" s="5" t="s">
        <v>238</v>
      </c>
      <c r="DK239" s="5" t="s">
        <v>271</v>
      </c>
      <c r="DL239" s="5" t="s">
        <v>272</v>
      </c>
      <c r="DM239" s="7">
        <f>106.77</f>
        <v>106.77</v>
      </c>
      <c r="DN239" s="5" t="s">
        <v>238</v>
      </c>
      <c r="DO239" s="5" t="s">
        <v>238</v>
      </c>
      <c r="DP239" s="5" t="s">
        <v>238</v>
      </c>
      <c r="DQ239" s="5" t="s">
        <v>238</v>
      </c>
      <c r="DT239" s="5" t="s">
        <v>1227</v>
      </c>
      <c r="DU239" s="5" t="s">
        <v>310</v>
      </c>
      <c r="GL239" s="5" t="s">
        <v>1228</v>
      </c>
      <c r="HM239" s="5" t="s">
        <v>356</v>
      </c>
      <c r="HP239" s="5" t="s">
        <v>272</v>
      </c>
      <c r="HQ239" s="5" t="s">
        <v>272</v>
      </c>
      <c r="HR239" s="5" t="s">
        <v>238</v>
      </c>
      <c r="HS239" s="5" t="s">
        <v>238</v>
      </c>
      <c r="HT239" s="5" t="s">
        <v>238</v>
      </c>
      <c r="HU239" s="5" t="s">
        <v>238</v>
      </c>
      <c r="HV239" s="5" t="s">
        <v>238</v>
      </c>
      <c r="HW239" s="5" t="s">
        <v>238</v>
      </c>
      <c r="HX239" s="5" t="s">
        <v>238</v>
      </c>
      <c r="HY239" s="5" t="s">
        <v>238</v>
      </c>
      <c r="HZ239" s="5" t="s">
        <v>238</v>
      </c>
      <c r="IA239" s="5" t="s">
        <v>238</v>
      </c>
      <c r="IB239" s="5" t="s">
        <v>238</v>
      </c>
      <c r="IC239" s="5" t="s">
        <v>238</v>
      </c>
      <c r="ID239" s="5" t="s">
        <v>238</v>
      </c>
    </row>
    <row r="240" spans="1:238" x14ac:dyDescent="0.4">
      <c r="A240" s="5">
        <v>264</v>
      </c>
      <c r="B240" s="5">
        <v>1</v>
      </c>
      <c r="C240" s="5">
        <v>4</v>
      </c>
      <c r="D240" s="5" t="s">
        <v>2230</v>
      </c>
      <c r="E240" s="5" t="s">
        <v>2231</v>
      </c>
      <c r="F240" s="5" t="s">
        <v>282</v>
      </c>
      <c r="G240" s="5" t="s">
        <v>2331</v>
      </c>
      <c r="H240" s="6" t="s">
        <v>2233</v>
      </c>
      <c r="I240" s="5" t="s">
        <v>2330</v>
      </c>
      <c r="J240" s="7">
        <f>6072.24</f>
        <v>6072.24</v>
      </c>
      <c r="K240" s="5" t="s">
        <v>270</v>
      </c>
      <c r="L240" s="8">
        <f>1334677586</f>
        <v>1334677586</v>
      </c>
      <c r="M240" s="8">
        <f>2056514000</f>
        <v>2056514000</v>
      </c>
      <c r="N240" s="6" t="s">
        <v>2232</v>
      </c>
      <c r="O240" s="5" t="s">
        <v>639</v>
      </c>
      <c r="P240" s="5" t="s">
        <v>371</v>
      </c>
      <c r="Q240" s="8">
        <f>55525878</f>
        <v>55525878</v>
      </c>
      <c r="R240" s="8">
        <f>721836414</f>
        <v>721836414</v>
      </c>
      <c r="S240" s="5" t="s">
        <v>240</v>
      </c>
      <c r="T240" s="5" t="s">
        <v>237</v>
      </c>
      <c r="U240" s="5" t="s">
        <v>238</v>
      </c>
      <c r="V240" s="5" t="s">
        <v>238</v>
      </c>
      <c r="W240" s="5" t="s">
        <v>241</v>
      </c>
      <c r="X240" s="5" t="s">
        <v>802</v>
      </c>
      <c r="Y240" s="5" t="s">
        <v>238</v>
      </c>
      <c r="AB240" s="5" t="s">
        <v>238</v>
      </c>
      <c r="AC240" s="6" t="s">
        <v>238</v>
      </c>
      <c r="AD240" s="6" t="s">
        <v>238</v>
      </c>
      <c r="AF240" s="6" t="s">
        <v>238</v>
      </c>
      <c r="AG240" s="6" t="s">
        <v>246</v>
      </c>
      <c r="AH240" s="5" t="s">
        <v>247</v>
      </c>
      <c r="AI240" s="5" t="s">
        <v>248</v>
      </c>
      <c r="AO240" s="5" t="s">
        <v>238</v>
      </c>
      <c r="AP240" s="5" t="s">
        <v>238</v>
      </c>
      <c r="AQ240" s="5" t="s">
        <v>238</v>
      </c>
      <c r="AR240" s="6" t="s">
        <v>238</v>
      </c>
      <c r="AS240" s="6" t="s">
        <v>238</v>
      </c>
      <c r="AT240" s="6" t="s">
        <v>238</v>
      </c>
      <c r="AW240" s="5" t="s">
        <v>304</v>
      </c>
      <c r="AX240" s="5" t="s">
        <v>304</v>
      </c>
      <c r="AY240" s="5" t="s">
        <v>250</v>
      </c>
      <c r="AZ240" s="5" t="s">
        <v>305</v>
      </c>
      <c r="BA240" s="5" t="s">
        <v>251</v>
      </c>
      <c r="BB240" s="5" t="s">
        <v>238</v>
      </c>
      <c r="BC240" s="5" t="s">
        <v>253</v>
      </c>
      <c r="BD240" s="5" t="s">
        <v>238</v>
      </c>
      <c r="BF240" s="5" t="s">
        <v>329</v>
      </c>
      <c r="BH240" s="5" t="s">
        <v>283</v>
      </c>
      <c r="BI240" s="6" t="s">
        <v>293</v>
      </c>
      <c r="BJ240" s="5" t="s">
        <v>294</v>
      </c>
      <c r="BK240" s="5" t="s">
        <v>294</v>
      </c>
      <c r="BL240" s="5" t="s">
        <v>238</v>
      </c>
      <c r="BM240" s="7">
        <f>0</f>
        <v>0</v>
      </c>
      <c r="BN240" s="8">
        <f>-55525878</f>
        <v>-55525878</v>
      </c>
      <c r="BO240" s="5" t="s">
        <v>257</v>
      </c>
      <c r="BP240" s="5" t="s">
        <v>258</v>
      </c>
      <c r="BQ240" s="5" t="s">
        <v>238</v>
      </c>
      <c r="BR240" s="5" t="s">
        <v>238</v>
      </c>
      <c r="BS240" s="5" t="s">
        <v>238</v>
      </c>
      <c r="BT240" s="5" t="s">
        <v>238</v>
      </c>
      <c r="CC240" s="5" t="s">
        <v>258</v>
      </c>
      <c r="CD240" s="5" t="s">
        <v>238</v>
      </c>
      <c r="CE240" s="5" t="s">
        <v>238</v>
      </c>
      <c r="CI240" s="5" t="s">
        <v>259</v>
      </c>
      <c r="CJ240" s="5" t="s">
        <v>260</v>
      </c>
      <c r="CK240" s="5" t="s">
        <v>238</v>
      </c>
      <c r="CM240" s="5" t="s">
        <v>732</v>
      </c>
      <c r="CN240" s="6" t="s">
        <v>262</v>
      </c>
      <c r="CO240" s="5" t="s">
        <v>263</v>
      </c>
      <c r="CP240" s="5" t="s">
        <v>264</v>
      </c>
      <c r="CQ240" s="5" t="s">
        <v>285</v>
      </c>
      <c r="CR240" s="5" t="s">
        <v>238</v>
      </c>
      <c r="CS240" s="5">
        <v>2.7E-2</v>
      </c>
      <c r="CT240" s="5" t="s">
        <v>265</v>
      </c>
      <c r="CU240" s="5" t="s">
        <v>2321</v>
      </c>
      <c r="CV240" s="5" t="s">
        <v>308</v>
      </c>
      <c r="CW240" s="7">
        <f>0</f>
        <v>0</v>
      </c>
      <c r="CX240" s="8">
        <f>2056514000</f>
        <v>2056514000</v>
      </c>
      <c r="CY240" s="8">
        <f>1390203464</f>
        <v>1390203464</v>
      </c>
      <c r="DA240" s="5" t="s">
        <v>238</v>
      </c>
      <c r="DB240" s="5" t="s">
        <v>238</v>
      </c>
      <c r="DD240" s="5" t="s">
        <v>238</v>
      </c>
      <c r="DE240" s="8">
        <f>0</f>
        <v>0</v>
      </c>
      <c r="DG240" s="5" t="s">
        <v>238</v>
      </c>
      <c r="DH240" s="5" t="s">
        <v>238</v>
      </c>
      <c r="DI240" s="5" t="s">
        <v>238</v>
      </c>
      <c r="DJ240" s="5" t="s">
        <v>238</v>
      </c>
      <c r="DK240" s="5" t="s">
        <v>271</v>
      </c>
      <c r="DL240" s="5" t="s">
        <v>272</v>
      </c>
      <c r="DM240" s="7">
        <f>6072.24</f>
        <v>6072.24</v>
      </c>
      <c r="DN240" s="5" t="s">
        <v>238</v>
      </c>
      <c r="DO240" s="5" t="s">
        <v>238</v>
      </c>
      <c r="DP240" s="5" t="s">
        <v>238</v>
      </c>
      <c r="DQ240" s="5" t="s">
        <v>238</v>
      </c>
      <c r="DT240" s="5" t="s">
        <v>2234</v>
      </c>
      <c r="DU240" s="5" t="s">
        <v>271</v>
      </c>
      <c r="GL240" s="5" t="s">
        <v>2332</v>
      </c>
      <c r="HM240" s="5" t="s">
        <v>313</v>
      </c>
      <c r="HP240" s="5" t="s">
        <v>272</v>
      </c>
      <c r="HQ240" s="5" t="s">
        <v>272</v>
      </c>
      <c r="HR240" s="5" t="s">
        <v>238</v>
      </c>
      <c r="HS240" s="5" t="s">
        <v>238</v>
      </c>
      <c r="HT240" s="5" t="s">
        <v>238</v>
      </c>
      <c r="HU240" s="5" t="s">
        <v>238</v>
      </c>
      <c r="HV240" s="5" t="s">
        <v>238</v>
      </c>
      <c r="HW240" s="5" t="s">
        <v>238</v>
      </c>
      <c r="HX240" s="5" t="s">
        <v>238</v>
      </c>
      <c r="HY240" s="5" t="s">
        <v>238</v>
      </c>
      <c r="HZ240" s="5" t="s">
        <v>238</v>
      </c>
      <c r="IA240" s="5" t="s">
        <v>238</v>
      </c>
      <c r="IB240" s="5" t="s">
        <v>238</v>
      </c>
      <c r="IC240" s="5" t="s">
        <v>238</v>
      </c>
      <c r="ID240" s="5" t="s">
        <v>238</v>
      </c>
    </row>
    <row r="241" spans="1:238" x14ac:dyDescent="0.4">
      <c r="A241" s="5">
        <v>265</v>
      </c>
      <c r="B241" s="5">
        <v>1</v>
      </c>
      <c r="C241" s="5">
        <v>4</v>
      </c>
      <c r="D241" s="5" t="s">
        <v>2230</v>
      </c>
      <c r="E241" s="5" t="s">
        <v>2231</v>
      </c>
      <c r="F241" s="5" t="s">
        <v>282</v>
      </c>
      <c r="G241" s="5" t="s">
        <v>2314</v>
      </c>
      <c r="H241" s="6" t="s">
        <v>2233</v>
      </c>
      <c r="I241" s="5" t="s">
        <v>2308</v>
      </c>
      <c r="J241" s="7">
        <f>131.2</f>
        <v>131.19999999999999</v>
      </c>
      <c r="K241" s="5" t="s">
        <v>270</v>
      </c>
      <c r="L241" s="8">
        <f>5371968</f>
        <v>5371968</v>
      </c>
      <c r="M241" s="8">
        <f>9408000</f>
        <v>9408000</v>
      </c>
      <c r="N241" s="6" t="s">
        <v>2232</v>
      </c>
      <c r="O241" s="5" t="s">
        <v>650</v>
      </c>
      <c r="P241" s="5" t="s">
        <v>371</v>
      </c>
      <c r="Q241" s="8">
        <f>310464</f>
        <v>310464</v>
      </c>
      <c r="R241" s="8">
        <f>4036032</f>
        <v>4036032</v>
      </c>
      <c r="S241" s="5" t="s">
        <v>240</v>
      </c>
      <c r="T241" s="5" t="s">
        <v>237</v>
      </c>
      <c r="U241" s="5" t="s">
        <v>238</v>
      </c>
      <c r="V241" s="5" t="s">
        <v>238</v>
      </c>
      <c r="W241" s="5" t="s">
        <v>241</v>
      </c>
      <c r="X241" s="5" t="s">
        <v>802</v>
      </c>
      <c r="Y241" s="5" t="s">
        <v>238</v>
      </c>
      <c r="AB241" s="5" t="s">
        <v>238</v>
      </c>
      <c r="AC241" s="6" t="s">
        <v>238</v>
      </c>
      <c r="AD241" s="6" t="s">
        <v>238</v>
      </c>
      <c r="AF241" s="6" t="s">
        <v>238</v>
      </c>
      <c r="AG241" s="6" t="s">
        <v>246</v>
      </c>
      <c r="AH241" s="5" t="s">
        <v>247</v>
      </c>
      <c r="AI241" s="5" t="s">
        <v>248</v>
      </c>
      <c r="AO241" s="5" t="s">
        <v>238</v>
      </c>
      <c r="AP241" s="5" t="s">
        <v>238</v>
      </c>
      <c r="AQ241" s="5" t="s">
        <v>238</v>
      </c>
      <c r="AR241" s="6" t="s">
        <v>238</v>
      </c>
      <c r="AS241" s="6" t="s">
        <v>238</v>
      </c>
      <c r="AT241" s="6" t="s">
        <v>238</v>
      </c>
      <c r="AW241" s="5" t="s">
        <v>304</v>
      </c>
      <c r="AX241" s="5" t="s">
        <v>304</v>
      </c>
      <c r="AY241" s="5" t="s">
        <v>250</v>
      </c>
      <c r="AZ241" s="5" t="s">
        <v>305</v>
      </c>
      <c r="BA241" s="5" t="s">
        <v>251</v>
      </c>
      <c r="BB241" s="5" t="s">
        <v>238</v>
      </c>
      <c r="BC241" s="5" t="s">
        <v>253</v>
      </c>
      <c r="BD241" s="5" t="s">
        <v>238</v>
      </c>
      <c r="BF241" s="5" t="s">
        <v>238</v>
      </c>
      <c r="BH241" s="5" t="s">
        <v>283</v>
      </c>
      <c r="BI241" s="6" t="s">
        <v>293</v>
      </c>
      <c r="BJ241" s="5" t="s">
        <v>294</v>
      </c>
      <c r="BK241" s="5" t="s">
        <v>294</v>
      </c>
      <c r="BL241" s="5" t="s">
        <v>238</v>
      </c>
      <c r="BM241" s="7">
        <f>0</f>
        <v>0</v>
      </c>
      <c r="BN241" s="8">
        <f>-310464</f>
        <v>-310464</v>
      </c>
      <c r="BO241" s="5" t="s">
        <v>257</v>
      </c>
      <c r="BP241" s="5" t="s">
        <v>258</v>
      </c>
      <c r="BQ241" s="5" t="s">
        <v>238</v>
      </c>
      <c r="BR241" s="5" t="s">
        <v>238</v>
      </c>
      <c r="BS241" s="5" t="s">
        <v>238</v>
      </c>
      <c r="BT241" s="5" t="s">
        <v>238</v>
      </c>
      <c r="CC241" s="5" t="s">
        <v>258</v>
      </c>
      <c r="CD241" s="5" t="s">
        <v>238</v>
      </c>
      <c r="CE241" s="5" t="s">
        <v>238</v>
      </c>
      <c r="CI241" s="5" t="s">
        <v>259</v>
      </c>
      <c r="CJ241" s="5" t="s">
        <v>260</v>
      </c>
      <c r="CK241" s="5" t="s">
        <v>238</v>
      </c>
      <c r="CM241" s="5" t="s">
        <v>732</v>
      </c>
      <c r="CN241" s="6" t="s">
        <v>262</v>
      </c>
      <c r="CO241" s="5" t="s">
        <v>263</v>
      </c>
      <c r="CP241" s="5" t="s">
        <v>264</v>
      </c>
      <c r="CQ241" s="5" t="s">
        <v>285</v>
      </c>
      <c r="CR241" s="5" t="s">
        <v>238</v>
      </c>
      <c r="CS241" s="5">
        <v>3.3000000000000002E-2</v>
      </c>
      <c r="CT241" s="5" t="s">
        <v>265</v>
      </c>
      <c r="CU241" s="5" t="s">
        <v>2315</v>
      </c>
      <c r="CV241" s="5" t="s">
        <v>649</v>
      </c>
      <c r="CW241" s="7">
        <f>0</f>
        <v>0</v>
      </c>
      <c r="CX241" s="8">
        <f>9408000</f>
        <v>9408000</v>
      </c>
      <c r="CY241" s="8">
        <f>5682432</f>
        <v>5682432</v>
      </c>
      <c r="DA241" s="5" t="s">
        <v>238</v>
      </c>
      <c r="DB241" s="5" t="s">
        <v>238</v>
      </c>
      <c r="DD241" s="5" t="s">
        <v>238</v>
      </c>
      <c r="DE241" s="8">
        <f>0</f>
        <v>0</v>
      </c>
      <c r="DG241" s="5" t="s">
        <v>238</v>
      </c>
      <c r="DH241" s="5" t="s">
        <v>238</v>
      </c>
      <c r="DI241" s="5" t="s">
        <v>238</v>
      </c>
      <c r="DJ241" s="5" t="s">
        <v>238</v>
      </c>
      <c r="DK241" s="5" t="s">
        <v>271</v>
      </c>
      <c r="DL241" s="5" t="s">
        <v>272</v>
      </c>
      <c r="DM241" s="7">
        <f>131.2</f>
        <v>131.19999999999999</v>
      </c>
      <c r="DN241" s="5" t="s">
        <v>238</v>
      </c>
      <c r="DO241" s="5" t="s">
        <v>238</v>
      </c>
      <c r="DP241" s="5" t="s">
        <v>238</v>
      </c>
      <c r="DQ241" s="5" t="s">
        <v>238</v>
      </c>
      <c r="DT241" s="5" t="s">
        <v>2234</v>
      </c>
      <c r="DU241" s="5" t="s">
        <v>274</v>
      </c>
      <c r="GL241" s="5" t="s">
        <v>2316</v>
      </c>
      <c r="HM241" s="5" t="s">
        <v>313</v>
      </c>
      <c r="HP241" s="5" t="s">
        <v>272</v>
      </c>
      <c r="HQ241" s="5" t="s">
        <v>272</v>
      </c>
      <c r="HR241" s="5" t="s">
        <v>238</v>
      </c>
      <c r="HS241" s="5" t="s">
        <v>238</v>
      </c>
      <c r="HT241" s="5" t="s">
        <v>238</v>
      </c>
      <c r="HU241" s="5" t="s">
        <v>238</v>
      </c>
      <c r="HV241" s="5" t="s">
        <v>238</v>
      </c>
      <c r="HW241" s="5" t="s">
        <v>238</v>
      </c>
      <c r="HX241" s="5" t="s">
        <v>238</v>
      </c>
      <c r="HY241" s="5" t="s">
        <v>238</v>
      </c>
      <c r="HZ241" s="5" t="s">
        <v>238</v>
      </c>
      <c r="IA241" s="5" t="s">
        <v>238</v>
      </c>
      <c r="IB241" s="5" t="s">
        <v>238</v>
      </c>
      <c r="IC241" s="5" t="s">
        <v>238</v>
      </c>
      <c r="ID241" s="5" t="s">
        <v>238</v>
      </c>
    </row>
    <row r="242" spans="1:238" x14ac:dyDescent="0.4">
      <c r="A242" s="5">
        <v>266</v>
      </c>
      <c r="B242" s="5">
        <v>1</v>
      </c>
      <c r="C242" s="5">
        <v>4</v>
      </c>
      <c r="D242" s="5" t="s">
        <v>2230</v>
      </c>
      <c r="E242" s="5" t="s">
        <v>2231</v>
      </c>
      <c r="F242" s="5" t="s">
        <v>282</v>
      </c>
      <c r="G242" s="5" t="s">
        <v>1341</v>
      </c>
      <c r="H242" s="6" t="s">
        <v>2233</v>
      </c>
      <c r="I242" s="5" t="s">
        <v>1309</v>
      </c>
      <c r="J242" s="7">
        <f>23.04</f>
        <v>23.04</v>
      </c>
      <c r="K242" s="5" t="s">
        <v>270</v>
      </c>
      <c r="L242" s="8">
        <f>960750</f>
        <v>960750</v>
      </c>
      <c r="M242" s="8">
        <f>1575000</f>
        <v>1575000</v>
      </c>
      <c r="N242" s="6" t="s">
        <v>2232</v>
      </c>
      <c r="O242" s="5" t="s">
        <v>755</v>
      </c>
      <c r="P242" s="5" t="s">
        <v>371</v>
      </c>
      <c r="Q242" s="8">
        <f>47250</f>
        <v>47250</v>
      </c>
      <c r="R242" s="8">
        <f>614250</f>
        <v>614250</v>
      </c>
      <c r="S242" s="5" t="s">
        <v>240</v>
      </c>
      <c r="T242" s="5" t="s">
        <v>237</v>
      </c>
      <c r="U242" s="5" t="s">
        <v>238</v>
      </c>
      <c r="V242" s="5" t="s">
        <v>238</v>
      </c>
      <c r="W242" s="5" t="s">
        <v>241</v>
      </c>
      <c r="X242" s="5" t="s">
        <v>802</v>
      </c>
      <c r="Y242" s="5" t="s">
        <v>238</v>
      </c>
      <c r="AB242" s="5" t="s">
        <v>238</v>
      </c>
      <c r="AC242" s="6" t="s">
        <v>238</v>
      </c>
      <c r="AD242" s="6" t="s">
        <v>238</v>
      </c>
      <c r="AF242" s="6" t="s">
        <v>238</v>
      </c>
      <c r="AG242" s="6" t="s">
        <v>246</v>
      </c>
      <c r="AH242" s="5" t="s">
        <v>247</v>
      </c>
      <c r="AI242" s="5" t="s">
        <v>248</v>
      </c>
      <c r="AO242" s="5" t="s">
        <v>238</v>
      </c>
      <c r="AP242" s="5" t="s">
        <v>238</v>
      </c>
      <c r="AQ242" s="5" t="s">
        <v>238</v>
      </c>
      <c r="AR242" s="6" t="s">
        <v>238</v>
      </c>
      <c r="AS242" s="6" t="s">
        <v>238</v>
      </c>
      <c r="AT242" s="6" t="s">
        <v>238</v>
      </c>
      <c r="AW242" s="5" t="s">
        <v>304</v>
      </c>
      <c r="AX242" s="5" t="s">
        <v>304</v>
      </c>
      <c r="AY242" s="5" t="s">
        <v>250</v>
      </c>
      <c r="AZ242" s="5" t="s">
        <v>305</v>
      </c>
      <c r="BA242" s="5" t="s">
        <v>251</v>
      </c>
      <c r="BB242" s="5" t="s">
        <v>238</v>
      </c>
      <c r="BC242" s="5" t="s">
        <v>253</v>
      </c>
      <c r="BD242" s="5" t="s">
        <v>238</v>
      </c>
      <c r="BF242" s="5" t="s">
        <v>238</v>
      </c>
      <c r="BH242" s="5" t="s">
        <v>283</v>
      </c>
      <c r="BI242" s="6" t="s">
        <v>293</v>
      </c>
      <c r="BJ242" s="5" t="s">
        <v>294</v>
      </c>
      <c r="BK242" s="5" t="s">
        <v>294</v>
      </c>
      <c r="BL242" s="5" t="s">
        <v>238</v>
      </c>
      <c r="BM242" s="7">
        <f>0</f>
        <v>0</v>
      </c>
      <c r="BN242" s="8">
        <f>-47250</f>
        <v>-47250</v>
      </c>
      <c r="BO242" s="5" t="s">
        <v>257</v>
      </c>
      <c r="BP242" s="5" t="s">
        <v>258</v>
      </c>
      <c r="BQ242" s="5" t="s">
        <v>238</v>
      </c>
      <c r="BR242" s="5" t="s">
        <v>238</v>
      </c>
      <c r="BS242" s="5" t="s">
        <v>238</v>
      </c>
      <c r="BT242" s="5" t="s">
        <v>238</v>
      </c>
      <c r="CC242" s="5" t="s">
        <v>258</v>
      </c>
      <c r="CD242" s="5" t="s">
        <v>238</v>
      </c>
      <c r="CE242" s="5" t="s">
        <v>238</v>
      </c>
      <c r="CI242" s="5" t="s">
        <v>259</v>
      </c>
      <c r="CJ242" s="5" t="s">
        <v>260</v>
      </c>
      <c r="CK242" s="5" t="s">
        <v>238</v>
      </c>
      <c r="CM242" s="5" t="s">
        <v>732</v>
      </c>
      <c r="CN242" s="6" t="s">
        <v>262</v>
      </c>
      <c r="CO242" s="5" t="s">
        <v>263</v>
      </c>
      <c r="CP242" s="5" t="s">
        <v>264</v>
      </c>
      <c r="CQ242" s="5" t="s">
        <v>285</v>
      </c>
      <c r="CR242" s="5" t="s">
        <v>238</v>
      </c>
      <c r="CS242" s="5">
        <v>0.03</v>
      </c>
      <c r="CT242" s="5" t="s">
        <v>265</v>
      </c>
      <c r="CU242" s="5" t="s">
        <v>1342</v>
      </c>
      <c r="CV242" s="5" t="s">
        <v>754</v>
      </c>
      <c r="CW242" s="7">
        <f>0</f>
        <v>0</v>
      </c>
      <c r="CX242" s="8">
        <f>1575000</f>
        <v>1575000</v>
      </c>
      <c r="CY242" s="8">
        <f>1008000</f>
        <v>1008000</v>
      </c>
      <c r="DA242" s="5" t="s">
        <v>238</v>
      </c>
      <c r="DB242" s="5" t="s">
        <v>238</v>
      </c>
      <c r="DD242" s="5" t="s">
        <v>238</v>
      </c>
      <c r="DE242" s="8">
        <f>0</f>
        <v>0</v>
      </c>
      <c r="DG242" s="5" t="s">
        <v>238</v>
      </c>
      <c r="DH242" s="5" t="s">
        <v>238</v>
      </c>
      <c r="DI242" s="5" t="s">
        <v>238</v>
      </c>
      <c r="DJ242" s="5" t="s">
        <v>238</v>
      </c>
      <c r="DK242" s="5" t="s">
        <v>271</v>
      </c>
      <c r="DL242" s="5" t="s">
        <v>272</v>
      </c>
      <c r="DM242" s="7">
        <f>23.04</f>
        <v>23.04</v>
      </c>
      <c r="DN242" s="5" t="s">
        <v>238</v>
      </c>
      <c r="DO242" s="5" t="s">
        <v>238</v>
      </c>
      <c r="DP242" s="5" t="s">
        <v>238</v>
      </c>
      <c r="DQ242" s="5" t="s">
        <v>238</v>
      </c>
      <c r="DT242" s="5" t="s">
        <v>2234</v>
      </c>
      <c r="DU242" s="5" t="s">
        <v>356</v>
      </c>
      <c r="GL242" s="5" t="s">
        <v>2235</v>
      </c>
      <c r="HM242" s="5" t="s">
        <v>313</v>
      </c>
      <c r="HP242" s="5" t="s">
        <v>272</v>
      </c>
      <c r="HQ242" s="5" t="s">
        <v>272</v>
      </c>
      <c r="HR242" s="5" t="s">
        <v>238</v>
      </c>
      <c r="HS242" s="5" t="s">
        <v>238</v>
      </c>
      <c r="HT242" s="5" t="s">
        <v>238</v>
      </c>
      <c r="HU242" s="5" t="s">
        <v>238</v>
      </c>
      <c r="HV242" s="5" t="s">
        <v>238</v>
      </c>
      <c r="HW242" s="5" t="s">
        <v>238</v>
      </c>
      <c r="HX242" s="5" t="s">
        <v>238</v>
      </c>
      <c r="HY242" s="5" t="s">
        <v>238</v>
      </c>
      <c r="HZ242" s="5" t="s">
        <v>238</v>
      </c>
      <c r="IA242" s="5" t="s">
        <v>238</v>
      </c>
      <c r="IB242" s="5" t="s">
        <v>238</v>
      </c>
      <c r="IC242" s="5" t="s">
        <v>238</v>
      </c>
      <c r="ID242" s="5" t="s">
        <v>238</v>
      </c>
    </row>
    <row r="243" spans="1:238" x14ac:dyDescent="0.4">
      <c r="A243" s="5">
        <v>267</v>
      </c>
      <c r="B243" s="5">
        <v>1</v>
      </c>
      <c r="C243" s="5">
        <v>1</v>
      </c>
      <c r="D243" s="5" t="s">
        <v>905</v>
      </c>
      <c r="E243" s="5" t="s">
        <v>686</v>
      </c>
      <c r="F243" s="5" t="s">
        <v>282</v>
      </c>
      <c r="G243" s="5" t="s">
        <v>677</v>
      </c>
      <c r="H243" s="6" t="s">
        <v>907</v>
      </c>
      <c r="I243" s="5" t="s">
        <v>677</v>
      </c>
      <c r="J243" s="7">
        <f>39.6</f>
        <v>39.6</v>
      </c>
      <c r="K243" s="5" t="s">
        <v>270</v>
      </c>
      <c r="L243" s="8">
        <f>1</f>
        <v>1</v>
      </c>
      <c r="M243" s="8">
        <f>2376000</f>
        <v>2376000</v>
      </c>
      <c r="N243" s="6" t="s">
        <v>906</v>
      </c>
      <c r="O243" s="5" t="s">
        <v>268</v>
      </c>
      <c r="P243" s="5" t="s">
        <v>909</v>
      </c>
      <c r="R243" s="8">
        <f>2375999</f>
        <v>2375999</v>
      </c>
      <c r="S243" s="5" t="s">
        <v>240</v>
      </c>
      <c r="T243" s="5" t="s">
        <v>237</v>
      </c>
      <c r="U243" s="5" t="s">
        <v>238</v>
      </c>
      <c r="V243" s="5" t="s">
        <v>238</v>
      </c>
      <c r="W243" s="5" t="s">
        <v>241</v>
      </c>
      <c r="X243" s="5" t="s">
        <v>243</v>
      </c>
      <c r="Y243" s="5" t="s">
        <v>238</v>
      </c>
      <c r="AB243" s="5" t="s">
        <v>238</v>
      </c>
      <c r="AD243" s="6" t="s">
        <v>238</v>
      </c>
      <c r="AG243" s="6" t="s">
        <v>246</v>
      </c>
      <c r="AH243" s="5" t="s">
        <v>247</v>
      </c>
      <c r="AI243" s="5" t="s">
        <v>248</v>
      </c>
      <c r="AY243" s="5" t="s">
        <v>250</v>
      </c>
      <c r="AZ243" s="5" t="s">
        <v>238</v>
      </c>
      <c r="BA243" s="5" t="s">
        <v>251</v>
      </c>
      <c r="BB243" s="5" t="s">
        <v>238</v>
      </c>
      <c r="BC243" s="5" t="s">
        <v>253</v>
      </c>
      <c r="BD243" s="5" t="s">
        <v>238</v>
      </c>
      <c r="BF243" s="5" t="s">
        <v>329</v>
      </c>
      <c r="BH243" s="5" t="s">
        <v>254</v>
      </c>
      <c r="BI243" s="6" t="s">
        <v>246</v>
      </c>
      <c r="BJ243" s="5" t="s">
        <v>255</v>
      </c>
      <c r="BK243" s="5" t="s">
        <v>256</v>
      </c>
      <c r="BL243" s="5" t="s">
        <v>238</v>
      </c>
      <c r="BM243" s="7">
        <f>0</f>
        <v>0</v>
      </c>
      <c r="BN243" s="8">
        <f>0</f>
        <v>0</v>
      </c>
      <c r="BO243" s="5" t="s">
        <v>257</v>
      </c>
      <c r="BP243" s="5" t="s">
        <v>258</v>
      </c>
      <c r="CD243" s="5" t="s">
        <v>238</v>
      </c>
      <c r="CE243" s="5" t="s">
        <v>238</v>
      </c>
      <c r="CI243" s="5" t="s">
        <v>527</v>
      </c>
      <c r="CJ243" s="5" t="s">
        <v>260</v>
      </c>
      <c r="CK243" s="5" t="s">
        <v>238</v>
      </c>
      <c r="CM243" s="5" t="s">
        <v>908</v>
      </c>
      <c r="CN243" s="6" t="s">
        <v>262</v>
      </c>
      <c r="CO243" s="5" t="s">
        <v>263</v>
      </c>
      <c r="CP243" s="5" t="s">
        <v>264</v>
      </c>
      <c r="CQ243" s="5" t="s">
        <v>238</v>
      </c>
      <c r="CR243" s="5" t="s">
        <v>238</v>
      </c>
      <c r="CS243" s="5">
        <v>0</v>
      </c>
      <c r="CT243" s="5" t="s">
        <v>265</v>
      </c>
      <c r="CU243" s="5" t="s">
        <v>266</v>
      </c>
      <c r="CV243" s="5" t="s">
        <v>267</v>
      </c>
      <c r="CX243" s="8">
        <f>2376000</f>
        <v>2376000</v>
      </c>
      <c r="CY243" s="8">
        <f>0</f>
        <v>0</v>
      </c>
      <c r="DA243" s="5" t="s">
        <v>238</v>
      </c>
      <c r="DB243" s="5" t="s">
        <v>238</v>
      </c>
      <c r="DD243" s="5" t="s">
        <v>238</v>
      </c>
      <c r="DG243" s="5" t="s">
        <v>238</v>
      </c>
      <c r="DH243" s="5" t="s">
        <v>238</v>
      </c>
      <c r="DI243" s="5" t="s">
        <v>238</v>
      </c>
      <c r="DJ243" s="5" t="s">
        <v>238</v>
      </c>
      <c r="DK243" s="5" t="s">
        <v>271</v>
      </c>
      <c r="DL243" s="5" t="s">
        <v>272</v>
      </c>
      <c r="DM243" s="7">
        <f>39.6</f>
        <v>39.6</v>
      </c>
      <c r="DN243" s="5" t="s">
        <v>238</v>
      </c>
      <c r="DO243" s="5" t="s">
        <v>238</v>
      </c>
      <c r="DP243" s="5" t="s">
        <v>238</v>
      </c>
      <c r="DQ243" s="5" t="s">
        <v>238</v>
      </c>
      <c r="DT243" s="5" t="s">
        <v>910</v>
      </c>
      <c r="DU243" s="5" t="s">
        <v>271</v>
      </c>
      <c r="HM243" s="5" t="s">
        <v>271</v>
      </c>
      <c r="HP243" s="5" t="s">
        <v>272</v>
      </c>
      <c r="HQ243" s="5" t="s">
        <v>272</v>
      </c>
    </row>
    <row r="244" spans="1:238" x14ac:dyDescent="0.4">
      <c r="A244" s="5">
        <v>268</v>
      </c>
      <c r="B244" s="5">
        <v>1</v>
      </c>
      <c r="C244" s="5">
        <v>1</v>
      </c>
      <c r="D244" s="5" t="s">
        <v>927</v>
      </c>
      <c r="E244" s="5" t="s">
        <v>686</v>
      </c>
      <c r="F244" s="5" t="s">
        <v>282</v>
      </c>
      <c r="G244" s="5" t="s">
        <v>677</v>
      </c>
      <c r="H244" s="6" t="s">
        <v>928</v>
      </c>
      <c r="I244" s="5" t="s">
        <v>677</v>
      </c>
      <c r="J244" s="7">
        <f>165.62</f>
        <v>165.62</v>
      </c>
      <c r="K244" s="5" t="s">
        <v>270</v>
      </c>
      <c r="L244" s="8">
        <f>1</f>
        <v>1</v>
      </c>
      <c r="M244" s="8">
        <f>9937200</f>
        <v>9937200</v>
      </c>
      <c r="N244" s="6" t="s">
        <v>906</v>
      </c>
      <c r="O244" s="5" t="s">
        <v>268</v>
      </c>
      <c r="P244" s="5" t="s">
        <v>909</v>
      </c>
      <c r="R244" s="8">
        <f>9937199</f>
        <v>9937199</v>
      </c>
      <c r="S244" s="5" t="s">
        <v>240</v>
      </c>
      <c r="T244" s="5" t="s">
        <v>237</v>
      </c>
      <c r="U244" s="5" t="s">
        <v>238</v>
      </c>
      <c r="V244" s="5" t="s">
        <v>238</v>
      </c>
      <c r="W244" s="5" t="s">
        <v>241</v>
      </c>
      <c r="X244" s="5" t="s">
        <v>243</v>
      </c>
      <c r="Y244" s="5" t="s">
        <v>238</v>
      </c>
      <c r="AB244" s="5" t="s">
        <v>238</v>
      </c>
      <c r="AD244" s="6" t="s">
        <v>238</v>
      </c>
      <c r="AG244" s="6" t="s">
        <v>246</v>
      </c>
      <c r="AH244" s="5" t="s">
        <v>247</v>
      </c>
      <c r="AI244" s="5" t="s">
        <v>248</v>
      </c>
      <c r="AY244" s="5" t="s">
        <v>250</v>
      </c>
      <c r="AZ244" s="5" t="s">
        <v>238</v>
      </c>
      <c r="BA244" s="5" t="s">
        <v>251</v>
      </c>
      <c r="BB244" s="5" t="s">
        <v>238</v>
      </c>
      <c r="BC244" s="5" t="s">
        <v>253</v>
      </c>
      <c r="BD244" s="5" t="s">
        <v>238</v>
      </c>
      <c r="BF244" s="5" t="s">
        <v>329</v>
      </c>
      <c r="BH244" s="5" t="s">
        <v>254</v>
      </c>
      <c r="BI244" s="6" t="s">
        <v>246</v>
      </c>
      <c r="BJ244" s="5" t="s">
        <v>255</v>
      </c>
      <c r="BK244" s="5" t="s">
        <v>256</v>
      </c>
      <c r="BL244" s="5" t="s">
        <v>238</v>
      </c>
      <c r="BM244" s="7">
        <f>0</f>
        <v>0</v>
      </c>
      <c r="BN244" s="8">
        <f>0</f>
        <v>0</v>
      </c>
      <c r="BO244" s="5" t="s">
        <v>257</v>
      </c>
      <c r="BP244" s="5" t="s">
        <v>258</v>
      </c>
      <c r="CD244" s="5" t="s">
        <v>238</v>
      </c>
      <c r="CE244" s="5" t="s">
        <v>238</v>
      </c>
      <c r="CI244" s="5" t="s">
        <v>527</v>
      </c>
      <c r="CJ244" s="5" t="s">
        <v>260</v>
      </c>
      <c r="CK244" s="5" t="s">
        <v>238</v>
      </c>
      <c r="CM244" s="5" t="s">
        <v>908</v>
      </c>
      <c r="CN244" s="6" t="s">
        <v>262</v>
      </c>
      <c r="CO244" s="5" t="s">
        <v>263</v>
      </c>
      <c r="CP244" s="5" t="s">
        <v>264</v>
      </c>
      <c r="CQ244" s="5" t="s">
        <v>238</v>
      </c>
      <c r="CR244" s="5" t="s">
        <v>238</v>
      </c>
      <c r="CS244" s="5">
        <v>0</v>
      </c>
      <c r="CT244" s="5" t="s">
        <v>265</v>
      </c>
      <c r="CU244" s="5" t="s">
        <v>266</v>
      </c>
      <c r="CV244" s="5" t="s">
        <v>267</v>
      </c>
      <c r="CX244" s="8">
        <f>9937200</f>
        <v>9937200</v>
      </c>
      <c r="CY244" s="8">
        <f>0</f>
        <v>0</v>
      </c>
      <c r="DA244" s="5" t="s">
        <v>238</v>
      </c>
      <c r="DB244" s="5" t="s">
        <v>238</v>
      </c>
      <c r="DD244" s="5" t="s">
        <v>238</v>
      </c>
      <c r="DG244" s="5" t="s">
        <v>238</v>
      </c>
      <c r="DH244" s="5" t="s">
        <v>238</v>
      </c>
      <c r="DI244" s="5" t="s">
        <v>238</v>
      </c>
      <c r="DJ244" s="5" t="s">
        <v>238</v>
      </c>
      <c r="DK244" s="5" t="s">
        <v>271</v>
      </c>
      <c r="DL244" s="5" t="s">
        <v>272</v>
      </c>
      <c r="DM244" s="7">
        <f>165.62</f>
        <v>165.62</v>
      </c>
      <c r="DN244" s="5" t="s">
        <v>238</v>
      </c>
      <c r="DO244" s="5" t="s">
        <v>238</v>
      </c>
      <c r="DP244" s="5" t="s">
        <v>238</v>
      </c>
      <c r="DQ244" s="5" t="s">
        <v>238</v>
      </c>
      <c r="DT244" s="5" t="s">
        <v>929</v>
      </c>
      <c r="DU244" s="5" t="s">
        <v>271</v>
      </c>
      <c r="HM244" s="5" t="s">
        <v>271</v>
      </c>
      <c r="HP244" s="5" t="s">
        <v>272</v>
      </c>
      <c r="HQ244" s="5" t="s">
        <v>272</v>
      </c>
    </row>
    <row r="245" spans="1:238" x14ac:dyDescent="0.4">
      <c r="A245" s="5">
        <v>269</v>
      </c>
      <c r="B245" s="5">
        <v>1</v>
      </c>
      <c r="C245" s="5">
        <v>1</v>
      </c>
      <c r="D245" s="5" t="s">
        <v>930</v>
      </c>
      <c r="E245" s="5" t="s">
        <v>686</v>
      </c>
      <c r="F245" s="5" t="s">
        <v>282</v>
      </c>
      <c r="G245" s="5" t="s">
        <v>677</v>
      </c>
      <c r="H245" s="6" t="s">
        <v>931</v>
      </c>
      <c r="I245" s="5" t="s">
        <v>677</v>
      </c>
      <c r="J245" s="7">
        <f>33.58</f>
        <v>33.58</v>
      </c>
      <c r="K245" s="5" t="s">
        <v>270</v>
      </c>
      <c r="L245" s="8">
        <f>1</f>
        <v>1</v>
      </c>
      <c r="M245" s="8">
        <f>2014800</f>
        <v>2014800</v>
      </c>
      <c r="N245" s="6" t="s">
        <v>906</v>
      </c>
      <c r="O245" s="5" t="s">
        <v>268</v>
      </c>
      <c r="P245" s="5" t="s">
        <v>909</v>
      </c>
      <c r="R245" s="8">
        <f>2014799</f>
        <v>2014799</v>
      </c>
      <c r="S245" s="5" t="s">
        <v>240</v>
      </c>
      <c r="T245" s="5" t="s">
        <v>237</v>
      </c>
      <c r="U245" s="5" t="s">
        <v>238</v>
      </c>
      <c r="V245" s="5" t="s">
        <v>238</v>
      </c>
      <c r="W245" s="5" t="s">
        <v>241</v>
      </c>
      <c r="X245" s="5" t="s">
        <v>243</v>
      </c>
      <c r="Y245" s="5" t="s">
        <v>238</v>
      </c>
      <c r="AB245" s="5" t="s">
        <v>238</v>
      </c>
      <c r="AD245" s="6" t="s">
        <v>238</v>
      </c>
      <c r="AG245" s="6" t="s">
        <v>246</v>
      </c>
      <c r="AH245" s="5" t="s">
        <v>247</v>
      </c>
      <c r="AI245" s="5" t="s">
        <v>248</v>
      </c>
      <c r="AY245" s="5" t="s">
        <v>250</v>
      </c>
      <c r="AZ245" s="5" t="s">
        <v>238</v>
      </c>
      <c r="BA245" s="5" t="s">
        <v>251</v>
      </c>
      <c r="BB245" s="5" t="s">
        <v>238</v>
      </c>
      <c r="BC245" s="5" t="s">
        <v>253</v>
      </c>
      <c r="BD245" s="5" t="s">
        <v>238</v>
      </c>
      <c r="BF245" s="5" t="s">
        <v>329</v>
      </c>
      <c r="BH245" s="5" t="s">
        <v>697</v>
      </c>
      <c r="BI245" s="6" t="s">
        <v>601</v>
      </c>
      <c r="BJ245" s="5" t="s">
        <v>255</v>
      </c>
      <c r="BK245" s="5" t="s">
        <v>256</v>
      </c>
      <c r="BL245" s="5" t="s">
        <v>238</v>
      </c>
      <c r="BM245" s="7">
        <f>0</f>
        <v>0</v>
      </c>
      <c r="BN245" s="8">
        <f>0</f>
        <v>0</v>
      </c>
      <c r="BO245" s="5" t="s">
        <v>257</v>
      </c>
      <c r="BP245" s="5" t="s">
        <v>258</v>
      </c>
      <c r="CD245" s="5" t="s">
        <v>238</v>
      </c>
      <c r="CE245" s="5" t="s">
        <v>238</v>
      </c>
      <c r="CI245" s="5" t="s">
        <v>527</v>
      </c>
      <c r="CJ245" s="5" t="s">
        <v>260</v>
      </c>
      <c r="CK245" s="5" t="s">
        <v>238</v>
      </c>
      <c r="CM245" s="5" t="s">
        <v>908</v>
      </c>
      <c r="CN245" s="6" t="s">
        <v>262</v>
      </c>
      <c r="CO245" s="5" t="s">
        <v>263</v>
      </c>
      <c r="CP245" s="5" t="s">
        <v>264</v>
      </c>
      <c r="CQ245" s="5" t="s">
        <v>238</v>
      </c>
      <c r="CR245" s="5" t="s">
        <v>238</v>
      </c>
      <c r="CS245" s="5">
        <v>0</v>
      </c>
      <c r="CT245" s="5" t="s">
        <v>265</v>
      </c>
      <c r="CU245" s="5" t="s">
        <v>266</v>
      </c>
      <c r="CV245" s="5" t="s">
        <v>267</v>
      </c>
      <c r="CX245" s="8">
        <f>2014800</f>
        <v>2014800</v>
      </c>
      <c r="CY245" s="8">
        <f>0</f>
        <v>0</v>
      </c>
      <c r="DA245" s="5" t="s">
        <v>238</v>
      </c>
      <c r="DB245" s="5" t="s">
        <v>238</v>
      </c>
      <c r="DD245" s="5" t="s">
        <v>238</v>
      </c>
      <c r="DG245" s="5" t="s">
        <v>238</v>
      </c>
      <c r="DH245" s="5" t="s">
        <v>238</v>
      </c>
      <c r="DI245" s="5" t="s">
        <v>238</v>
      </c>
      <c r="DJ245" s="5" t="s">
        <v>238</v>
      </c>
      <c r="DK245" s="5" t="s">
        <v>271</v>
      </c>
      <c r="DL245" s="5" t="s">
        <v>272</v>
      </c>
      <c r="DM245" s="7">
        <f>33.58</f>
        <v>33.58</v>
      </c>
      <c r="DN245" s="5" t="s">
        <v>238</v>
      </c>
      <c r="DO245" s="5" t="s">
        <v>238</v>
      </c>
      <c r="DP245" s="5" t="s">
        <v>238</v>
      </c>
      <c r="DQ245" s="5" t="s">
        <v>238</v>
      </c>
      <c r="DT245" s="5" t="s">
        <v>932</v>
      </c>
      <c r="DU245" s="5" t="s">
        <v>271</v>
      </c>
      <c r="HM245" s="5" t="s">
        <v>271</v>
      </c>
      <c r="HP245" s="5" t="s">
        <v>272</v>
      </c>
      <c r="HQ245" s="5" t="s">
        <v>272</v>
      </c>
    </row>
    <row r="246" spans="1:238" x14ac:dyDescent="0.4">
      <c r="A246" s="5">
        <v>270</v>
      </c>
      <c r="B246" s="5">
        <v>1</v>
      </c>
      <c r="C246" s="5">
        <v>1</v>
      </c>
      <c r="D246" s="5" t="s">
        <v>942</v>
      </c>
      <c r="E246" s="5" t="s">
        <v>686</v>
      </c>
      <c r="F246" s="5" t="s">
        <v>282</v>
      </c>
      <c r="G246" s="5" t="s">
        <v>677</v>
      </c>
      <c r="H246" s="6" t="s">
        <v>943</v>
      </c>
      <c r="I246" s="5" t="s">
        <v>677</v>
      </c>
      <c r="J246" s="7">
        <f>29.1</f>
        <v>29.1</v>
      </c>
      <c r="K246" s="5" t="s">
        <v>270</v>
      </c>
      <c r="L246" s="8">
        <f>1</f>
        <v>1</v>
      </c>
      <c r="M246" s="8">
        <f>1746000</f>
        <v>1746000</v>
      </c>
      <c r="N246" s="6" t="s">
        <v>906</v>
      </c>
      <c r="O246" s="5" t="s">
        <v>651</v>
      </c>
      <c r="P246" s="5" t="s">
        <v>909</v>
      </c>
      <c r="R246" s="8">
        <f>1745999</f>
        <v>1745999</v>
      </c>
      <c r="S246" s="5" t="s">
        <v>240</v>
      </c>
      <c r="T246" s="5" t="s">
        <v>237</v>
      </c>
      <c r="U246" s="5" t="s">
        <v>238</v>
      </c>
      <c r="V246" s="5" t="s">
        <v>238</v>
      </c>
      <c r="W246" s="5" t="s">
        <v>241</v>
      </c>
      <c r="X246" s="5" t="s">
        <v>243</v>
      </c>
      <c r="Y246" s="5" t="s">
        <v>238</v>
      </c>
      <c r="AB246" s="5" t="s">
        <v>238</v>
      </c>
      <c r="AD246" s="6" t="s">
        <v>238</v>
      </c>
      <c r="AG246" s="6" t="s">
        <v>246</v>
      </c>
      <c r="AH246" s="5" t="s">
        <v>247</v>
      </c>
      <c r="AI246" s="5" t="s">
        <v>248</v>
      </c>
      <c r="AY246" s="5" t="s">
        <v>250</v>
      </c>
      <c r="AZ246" s="5" t="s">
        <v>238</v>
      </c>
      <c r="BA246" s="5" t="s">
        <v>251</v>
      </c>
      <c r="BB246" s="5" t="s">
        <v>238</v>
      </c>
      <c r="BC246" s="5" t="s">
        <v>253</v>
      </c>
      <c r="BD246" s="5" t="s">
        <v>238</v>
      </c>
      <c r="BF246" s="5" t="s">
        <v>329</v>
      </c>
      <c r="BH246" s="5" t="s">
        <v>254</v>
      </c>
      <c r="BI246" s="6" t="s">
        <v>246</v>
      </c>
      <c r="BJ246" s="5" t="s">
        <v>255</v>
      </c>
      <c r="BK246" s="5" t="s">
        <v>256</v>
      </c>
      <c r="BL246" s="5" t="s">
        <v>238</v>
      </c>
      <c r="BM246" s="7">
        <f>0</f>
        <v>0</v>
      </c>
      <c r="BN246" s="8">
        <f>0</f>
        <v>0</v>
      </c>
      <c r="BO246" s="5" t="s">
        <v>257</v>
      </c>
      <c r="BP246" s="5" t="s">
        <v>258</v>
      </c>
      <c r="CD246" s="5" t="s">
        <v>238</v>
      </c>
      <c r="CE246" s="5" t="s">
        <v>238</v>
      </c>
      <c r="CI246" s="5" t="s">
        <v>527</v>
      </c>
      <c r="CJ246" s="5" t="s">
        <v>260</v>
      </c>
      <c r="CK246" s="5" t="s">
        <v>238</v>
      </c>
      <c r="CM246" s="5" t="s">
        <v>908</v>
      </c>
      <c r="CN246" s="6" t="s">
        <v>262</v>
      </c>
      <c r="CO246" s="5" t="s">
        <v>263</v>
      </c>
      <c r="CP246" s="5" t="s">
        <v>264</v>
      </c>
      <c r="CQ246" s="5" t="s">
        <v>238</v>
      </c>
      <c r="CR246" s="5" t="s">
        <v>238</v>
      </c>
      <c r="CS246" s="5">
        <v>0</v>
      </c>
      <c r="CT246" s="5" t="s">
        <v>265</v>
      </c>
      <c r="CU246" s="5" t="s">
        <v>266</v>
      </c>
      <c r="CV246" s="5" t="s">
        <v>331</v>
      </c>
      <c r="CX246" s="8">
        <f>1746000</f>
        <v>1746000</v>
      </c>
      <c r="CY246" s="8">
        <f>0</f>
        <v>0</v>
      </c>
      <c r="DA246" s="5" t="s">
        <v>238</v>
      </c>
      <c r="DB246" s="5" t="s">
        <v>238</v>
      </c>
      <c r="DD246" s="5" t="s">
        <v>238</v>
      </c>
      <c r="DG246" s="5" t="s">
        <v>238</v>
      </c>
      <c r="DH246" s="5" t="s">
        <v>238</v>
      </c>
      <c r="DI246" s="5" t="s">
        <v>238</v>
      </c>
      <c r="DJ246" s="5" t="s">
        <v>238</v>
      </c>
      <c r="DK246" s="5" t="s">
        <v>274</v>
      </c>
      <c r="DL246" s="5" t="s">
        <v>272</v>
      </c>
      <c r="DM246" s="7">
        <f>29.1</f>
        <v>29.1</v>
      </c>
      <c r="DN246" s="5" t="s">
        <v>238</v>
      </c>
      <c r="DO246" s="5" t="s">
        <v>238</v>
      </c>
      <c r="DP246" s="5" t="s">
        <v>238</v>
      </c>
      <c r="DQ246" s="5" t="s">
        <v>238</v>
      </c>
      <c r="DT246" s="5" t="s">
        <v>944</v>
      </c>
      <c r="DU246" s="5" t="s">
        <v>271</v>
      </c>
      <c r="HM246" s="5" t="s">
        <v>271</v>
      </c>
      <c r="HP246" s="5" t="s">
        <v>272</v>
      </c>
      <c r="HQ246" s="5" t="s">
        <v>272</v>
      </c>
    </row>
    <row r="247" spans="1:238" x14ac:dyDescent="0.4">
      <c r="A247" s="5">
        <v>271</v>
      </c>
      <c r="B247" s="5">
        <v>1</v>
      </c>
      <c r="C247" s="5">
        <v>4</v>
      </c>
      <c r="D247" s="5" t="s">
        <v>726</v>
      </c>
      <c r="E247" s="5" t="s">
        <v>686</v>
      </c>
      <c r="F247" s="5" t="s">
        <v>282</v>
      </c>
      <c r="G247" s="5" t="s">
        <v>680</v>
      </c>
      <c r="H247" s="6" t="s">
        <v>728</v>
      </c>
      <c r="I247" s="5" t="s">
        <v>677</v>
      </c>
      <c r="J247" s="7">
        <f>49.69</f>
        <v>49.69</v>
      </c>
      <c r="K247" s="5" t="s">
        <v>270</v>
      </c>
      <c r="L247" s="8">
        <f>1108800</f>
        <v>1108800</v>
      </c>
      <c r="M247" s="8">
        <f>3360000</f>
        <v>3360000</v>
      </c>
      <c r="N247" s="6" t="s">
        <v>727</v>
      </c>
      <c r="O247" s="5" t="s">
        <v>268</v>
      </c>
      <c r="P247" s="5" t="s">
        <v>354</v>
      </c>
      <c r="Q247" s="8">
        <f>225120</f>
        <v>225120</v>
      </c>
      <c r="R247" s="8">
        <f>2251200</f>
        <v>2251200</v>
      </c>
      <c r="S247" s="5" t="s">
        <v>240</v>
      </c>
      <c r="T247" s="5" t="s">
        <v>237</v>
      </c>
      <c r="U247" s="5" t="s">
        <v>238</v>
      </c>
      <c r="V247" s="5" t="s">
        <v>238</v>
      </c>
      <c r="W247" s="5" t="s">
        <v>241</v>
      </c>
      <c r="X247" s="5" t="s">
        <v>243</v>
      </c>
      <c r="Y247" s="5" t="s">
        <v>238</v>
      </c>
      <c r="AB247" s="5" t="s">
        <v>238</v>
      </c>
      <c r="AC247" s="6" t="s">
        <v>238</v>
      </c>
      <c r="AD247" s="6" t="s">
        <v>238</v>
      </c>
      <c r="AF247" s="6" t="s">
        <v>238</v>
      </c>
      <c r="AG247" s="6" t="s">
        <v>246</v>
      </c>
      <c r="AH247" s="5" t="s">
        <v>247</v>
      </c>
      <c r="AI247" s="5" t="s">
        <v>248</v>
      </c>
      <c r="AO247" s="5" t="s">
        <v>238</v>
      </c>
      <c r="AP247" s="5" t="s">
        <v>238</v>
      </c>
      <c r="AQ247" s="5" t="s">
        <v>238</v>
      </c>
      <c r="AR247" s="6" t="s">
        <v>238</v>
      </c>
      <c r="AS247" s="6" t="s">
        <v>238</v>
      </c>
      <c r="AT247" s="6" t="s">
        <v>238</v>
      </c>
      <c r="AW247" s="5" t="s">
        <v>304</v>
      </c>
      <c r="AX247" s="5" t="s">
        <v>304</v>
      </c>
      <c r="AY247" s="5" t="s">
        <v>250</v>
      </c>
      <c r="AZ247" s="5" t="s">
        <v>305</v>
      </c>
      <c r="BA247" s="5" t="s">
        <v>251</v>
      </c>
      <c r="BB247" s="5" t="s">
        <v>238</v>
      </c>
      <c r="BC247" s="5" t="s">
        <v>253</v>
      </c>
      <c r="BD247" s="5" t="s">
        <v>238</v>
      </c>
      <c r="BF247" s="5" t="s">
        <v>329</v>
      </c>
      <c r="BH247" s="5" t="s">
        <v>283</v>
      </c>
      <c r="BI247" s="6" t="s">
        <v>293</v>
      </c>
      <c r="BJ247" s="5" t="s">
        <v>294</v>
      </c>
      <c r="BK247" s="5" t="s">
        <v>294</v>
      </c>
      <c r="BL247" s="5" t="s">
        <v>238</v>
      </c>
      <c r="BM247" s="7">
        <f>0</f>
        <v>0</v>
      </c>
      <c r="BN247" s="8">
        <f>-225120</f>
        <v>-225120</v>
      </c>
      <c r="BO247" s="5" t="s">
        <v>257</v>
      </c>
      <c r="BP247" s="5" t="s">
        <v>258</v>
      </c>
      <c r="BQ247" s="5" t="s">
        <v>238</v>
      </c>
      <c r="BR247" s="5" t="s">
        <v>238</v>
      </c>
      <c r="BS247" s="5" t="s">
        <v>238</v>
      </c>
      <c r="BT247" s="5" t="s">
        <v>238</v>
      </c>
      <c r="CC247" s="5" t="s">
        <v>258</v>
      </c>
      <c r="CD247" s="5" t="s">
        <v>238</v>
      </c>
      <c r="CE247" s="5" t="s">
        <v>238</v>
      </c>
      <c r="CI247" s="5" t="s">
        <v>259</v>
      </c>
      <c r="CJ247" s="5" t="s">
        <v>260</v>
      </c>
      <c r="CK247" s="5" t="s">
        <v>238</v>
      </c>
      <c r="CM247" s="5" t="s">
        <v>670</v>
      </c>
      <c r="CN247" s="6" t="s">
        <v>262</v>
      </c>
      <c r="CO247" s="5" t="s">
        <v>263</v>
      </c>
      <c r="CP247" s="5" t="s">
        <v>264</v>
      </c>
      <c r="CQ247" s="5" t="s">
        <v>285</v>
      </c>
      <c r="CR247" s="5" t="s">
        <v>238</v>
      </c>
      <c r="CS247" s="5">
        <v>6.7000000000000004E-2</v>
      </c>
      <c r="CT247" s="5" t="s">
        <v>265</v>
      </c>
      <c r="CU247" s="5" t="s">
        <v>266</v>
      </c>
      <c r="CV247" s="5" t="s">
        <v>267</v>
      </c>
      <c r="CW247" s="7">
        <f>0</f>
        <v>0</v>
      </c>
      <c r="CX247" s="8">
        <f>3360000</f>
        <v>3360000</v>
      </c>
      <c r="CY247" s="8">
        <f>1333920</f>
        <v>1333920</v>
      </c>
      <c r="DA247" s="5" t="s">
        <v>238</v>
      </c>
      <c r="DB247" s="5" t="s">
        <v>238</v>
      </c>
      <c r="DD247" s="5" t="s">
        <v>238</v>
      </c>
      <c r="DE247" s="8">
        <f>0</f>
        <v>0</v>
      </c>
      <c r="DG247" s="5" t="s">
        <v>238</v>
      </c>
      <c r="DH247" s="5" t="s">
        <v>238</v>
      </c>
      <c r="DI247" s="5" t="s">
        <v>238</v>
      </c>
      <c r="DJ247" s="5" t="s">
        <v>238</v>
      </c>
      <c r="DK247" s="5" t="s">
        <v>271</v>
      </c>
      <c r="DL247" s="5" t="s">
        <v>272</v>
      </c>
      <c r="DM247" s="7">
        <f>49.69</f>
        <v>49.69</v>
      </c>
      <c r="DN247" s="5" t="s">
        <v>238</v>
      </c>
      <c r="DO247" s="5" t="s">
        <v>238</v>
      </c>
      <c r="DP247" s="5" t="s">
        <v>238</v>
      </c>
      <c r="DQ247" s="5" t="s">
        <v>238</v>
      </c>
      <c r="DT247" s="5" t="s">
        <v>729</v>
      </c>
      <c r="DU247" s="5" t="s">
        <v>271</v>
      </c>
      <c r="GL247" s="5" t="s">
        <v>730</v>
      </c>
      <c r="HM247" s="5" t="s">
        <v>389</v>
      </c>
      <c r="HP247" s="5" t="s">
        <v>272</v>
      </c>
      <c r="HQ247" s="5" t="s">
        <v>272</v>
      </c>
      <c r="HR247" s="5" t="s">
        <v>238</v>
      </c>
      <c r="HS247" s="5" t="s">
        <v>238</v>
      </c>
      <c r="HT247" s="5" t="s">
        <v>238</v>
      </c>
      <c r="HU247" s="5" t="s">
        <v>238</v>
      </c>
      <c r="HV247" s="5" t="s">
        <v>238</v>
      </c>
      <c r="HW247" s="5" t="s">
        <v>238</v>
      </c>
      <c r="HX247" s="5" t="s">
        <v>238</v>
      </c>
      <c r="HY247" s="5" t="s">
        <v>238</v>
      </c>
      <c r="HZ247" s="5" t="s">
        <v>238</v>
      </c>
      <c r="IA247" s="5" t="s">
        <v>238</v>
      </c>
      <c r="IB247" s="5" t="s">
        <v>238</v>
      </c>
      <c r="IC247" s="5" t="s">
        <v>238</v>
      </c>
      <c r="ID247" s="5" t="s">
        <v>238</v>
      </c>
    </row>
    <row r="248" spans="1:238" x14ac:dyDescent="0.4">
      <c r="A248" s="5">
        <v>272</v>
      </c>
      <c r="B248" s="5">
        <v>1</v>
      </c>
      <c r="C248" s="5">
        <v>4</v>
      </c>
      <c r="D248" s="5" t="s">
        <v>720</v>
      </c>
      <c r="E248" s="5" t="s">
        <v>686</v>
      </c>
      <c r="F248" s="5" t="s">
        <v>282</v>
      </c>
      <c r="G248" s="5" t="s">
        <v>680</v>
      </c>
      <c r="H248" s="6" t="s">
        <v>722</v>
      </c>
      <c r="I248" s="5" t="s">
        <v>677</v>
      </c>
      <c r="J248" s="7">
        <f>320.76</f>
        <v>320.76</v>
      </c>
      <c r="K248" s="5" t="s">
        <v>270</v>
      </c>
      <c r="L248" s="8">
        <f>37290240</f>
        <v>37290240</v>
      </c>
      <c r="M248" s="8">
        <f>56160000</f>
        <v>56160000</v>
      </c>
      <c r="N248" s="6" t="s">
        <v>721</v>
      </c>
      <c r="O248" s="5" t="s">
        <v>651</v>
      </c>
      <c r="P248" s="5" t="s">
        <v>313</v>
      </c>
      <c r="Q248" s="8">
        <f>2358720</f>
        <v>2358720</v>
      </c>
      <c r="R248" s="8">
        <f>18869760</f>
        <v>18869760</v>
      </c>
      <c r="S248" s="5" t="s">
        <v>240</v>
      </c>
      <c r="T248" s="5" t="s">
        <v>237</v>
      </c>
      <c r="U248" s="5" t="s">
        <v>238</v>
      </c>
      <c r="V248" s="5" t="s">
        <v>238</v>
      </c>
      <c r="W248" s="5" t="s">
        <v>241</v>
      </c>
      <c r="X248" s="5" t="s">
        <v>243</v>
      </c>
      <c r="Y248" s="5" t="s">
        <v>238</v>
      </c>
      <c r="AB248" s="5" t="s">
        <v>238</v>
      </c>
      <c r="AC248" s="6" t="s">
        <v>238</v>
      </c>
      <c r="AD248" s="6" t="s">
        <v>238</v>
      </c>
      <c r="AF248" s="6" t="s">
        <v>238</v>
      </c>
      <c r="AG248" s="6" t="s">
        <v>246</v>
      </c>
      <c r="AH248" s="5" t="s">
        <v>247</v>
      </c>
      <c r="AI248" s="5" t="s">
        <v>248</v>
      </c>
      <c r="AO248" s="5" t="s">
        <v>238</v>
      </c>
      <c r="AP248" s="5" t="s">
        <v>238</v>
      </c>
      <c r="AQ248" s="5" t="s">
        <v>238</v>
      </c>
      <c r="AR248" s="6" t="s">
        <v>238</v>
      </c>
      <c r="AS248" s="6" t="s">
        <v>238</v>
      </c>
      <c r="AT248" s="6" t="s">
        <v>238</v>
      </c>
      <c r="AW248" s="5" t="s">
        <v>304</v>
      </c>
      <c r="AX248" s="5" t="s">
        <v>304</v>
      </c>
      <c r="AY248" s="5" t="s">
        <v>250</v>
      </c>
      <c r="AZ248" s="5" t="s">
        <v>305</v>
      </c>
      <c r="BA248" s="5" t="s">
        <v>251</v>
      </c>
      <c r="BB248" s="5" t="s">
        <v>238</v>
      </c>
      <c r="BC248" s="5" t="s">
        <v>253</v>
      </c>
      <c r="BD248" s="5" t="s">
        <v>238</v>
      </c>
      <c r="BF248" s="5" t="s">
        <v>329</v>
      </c>
      <c r="BH248" s="5" t="s">
        <v>283</v>
      </c>
      <c r="BI248" s="6" t="s">
        <v>293</v>
      </c>
      <c r="BJ248" s="5" t="s">
        <v>294</v>
      </c>
      <c r="BK248" s="5" t="s">
        <v>294</v>
      </c>
      <c r="BL248" s="5" t="s">
        <v>238</v>
      </c>
      <c r="BM248" s="7">
        <f>0</f>
        <v>0</v>
      </c>
      <c r="BN248" s="8">
        <f>-2358720</f>
        <v>-2358720</v>
      </c>
      <c r="BO248" s="5" t="s">
        <v>257</v>
      </c>
      <c r="BP248" s="5" t="s">
        <v>258</v>
      </c>
      <c r="BQ248" s="5" t="s">
        <v>238</v>
      </c>
      <c r="BR248" s="5" t="s">
        <v>238</v>
      </c>
      <c r="BS248" s="5" t="s">
        <v>238</v>
      </c>
      <c r="BT248" s="5" t="s">
        <v>238</v>
      </c>
      <c r="CC248" s="5" t="s">
        <v>258</v>
      </c>
      <c r="CD248" s="5" t="s">
        <v>238</v>
      </c>
      <c r="CE248" s="5" t="s">
        <v>238</v>
      </c>
      <c r="CI248" s="5" t="s">
        <v>259</v>
      </c>
      <c r="CJ248" s="5" t="s">
        <v>260</v>
      </c>
      <c r="CK248" s="5" t="s">
        <v>238</v>
      </c>
      <c r="CM248" s="5" t="s">
        <v>723</v>
      </c>
      <c r="CN248" s="6" t="s">
        <v>262</v>
      </c>
      <c r="CO248" s="5" t="s">
        <v>263</v>
      </c>
      <c r="CP248" s="5" t="s">
        <v>264</v>
      </c>
      <c r="CQ248" s="5" t="s">
        <v>285</v>
      </c>
      <c r="CR248" s="5" t="s">
        <v>238</v>
      </c>
      <c r="CS248" s="5">
        <v>4.2000000000000003E-2</v>
      </c>
      <c r="CT248" s="5" t="s">
        <v>265</v>
      </c>
      <c r="CU248" s="5" t="s">
        <v>266</v>
      </c>
      <c r="CV248" s="5" t="s">
        <v>331</v>
      </c>
      <c r="CW248" s="7">
        <f>0</f>
        <v>0</v>
      </c>
      <c r="CX248" s="8">
        <f>56160000</f>
        <v>56160000</v>
      </c>
      <c r="CY248" s="8">
        <f>39648960</f>
        <v>39648960</v>
      </c>
      <c r="DA248" s="5" t="s">
        <v>238</v>
      </c>
      <c r="DB248" s="5" t="s">
        <v>238</v>
      </c>
      <c r="DD248" s="5" t="s">
        <v>238</v>
      </c>
      <c r="DE248" s="8">
        <f>0</f>
        <v>0</v>
      </c>
      <c r="DG248" s="5" t="s">
        <v>238</v>
      </c>
      <c r="DH248" s="5" t="s">
        <v>238</v>
      </c>
      <c r="DI248" s="5" t="s">
        <v>238</v>
      </c>
      <c r="DJ248" s="5" t="s">
        <v>238</v>
      </c>
      <c r="DK248" s="5" t="s">
        <v>271</v>
      </c>
      <c r="DL248" s="5" t="s">
        <v>272</v>
      </c>
      <c r="DM248" s="7">
        <f>320.76</f>
        <v>320.76</v>
      </c>
      <c r="DN248" s="5" t="s">
        <v>238</v>
      </c>
      <c r="DO248" s="5" t="s">
        <v>238</v>
      </c>
      <c r="DP248" s="5" t="s">
        <v>238</v>
      </c>
      <c r="DQ248" s="5" t="s">
        <v>238</v>
      </c>
      <c r="DT248" s="5" t="s">
        <v>724</v>
      </c>
      <c r="DU248" s="5" t="s">
        <v>271</v>
      </c>
      <c r="GL248" s="5" t="s">
        <v>725</v>
      </c>
      <c r="HM248" s="5" t="s">
        <v>389</v>
      </c>
      <c r="HP248" s="5" t="s">
        <v>272</v>
      </c>
      <c r="HQ248" s="5" t="s">
        <v>272</v>
      </c>
      <c r="HR248" s="5" t="s">
        <v>238</v>
      </c>
      <c r="HS248" s="5" t="s">
        <v>238</v>
      </c>
      <c r="HT248" s="5" t="s">
        <v>238</v>
      </c>
      <c r="HU248" s="5" t="s">
        <v>238</v>
      </c>
      <c r="HV248" s="5" t="s">
        <v>238</v>
      </c>
      <c r="HW248" s="5" t="s">
        <v>238</v>
      </c>
      <c r="HX248" s="5" t="s">
        <v>238</v>
      </c>
      <c r="HY248" s="5" t="s">
        <v>238</v>
      </c>
      <c r="HZ248" s="5" t="s">
        <v>238</v>
      </c>
      <c r="IA248" s="5" t="s">
        <v>238</v>
      </c>
      <c r="IB248" s="5" t="s">
        <v>238</v>
      </c>
      <c r="IC248" s="5" t="s">
        <v>238</v>
      </c>
      <c r="ID248" s="5" t="s">
        <v>238</v>
      </c>
    </row>
    <row r="249" spans="1:238" x14ac:dyDescent="0.4">
      <c r="A249" s="5">
        <v>273</v>
      </c>
      <c r="B249" s="5">
        <v>1</v>
      </c>
      <c r="C249" s="5">
        <v>1</v>
      </c>
      <c r="D249" s="5" t="s">
        <v>976</v>
      </c>
      <c r="E249" s="5" t="s">
        <v>852</v>
      </c>
      <c r="F249" s="5" t="s">
        <v>282</v>
      </c>
      <c r="G249" s="5" t="s">
        <v>677</v>
      </c>
      <c r="H249" s="6" t="s">
        <v>978</v>
      </c>
      <c r="I249" s="5" t="s">
        <v>677</v>
      </c>
      <c r="J249" s="7">
        <f>35.34</f>
        <v>35.340000000000003</v>
      </c>
      <c r="K249" s="5" t="s">
        <v>270</v>
      </c>
      <c r="L249" s="8">
        <f>1</f>
        <v>1</v>
      </c>
      <c r="M249" s="8">
        <f>2120400</f>
        <v>2120400</v>
      </c>
      <c r="N249" s="6" t="s">
        <v>977</v>
      </c>
      <c r="O249" s="5" t="s">
        <v>268</v>
      </c>
      <c r="P249" s="5" t="s">
        <v>980</v>
      </c>
      <c r="R249" s="8">
        <f>2120399</f>
        <v>2120399</v>
      </c>
      <c r="S249" s="5" t="s">
        <v>240</v>
      </c>
      <c r="T249" s="5" t="s">
        <v>237</v>
      </c>
      <c r="U249" s="5" t="s">
        <v>238</v>
      </c>
      <c r="V249" s="5" t="s">
        <v>238</v>
      </c>
      <c r="W249" s="5" t="s">
        <v>241</v>
      </c>
      <c r="X249" s="5" t="s">
        <v>243</v>
      </c>
      <c r="Y249" s="5" t="s">
        <v>238</v>
      </c>
      <c r="AB249" s="5" t="s">
        <v>238</v>
      </c>
      <c r="AD249" s="6" t="s">
        <v>238</v>
      </c>
      <c r="AG249" s="6" t="s">
        <v>246</v>
      </c>
      <c r="AH249" s="5" t="s">
        <v>247</v>
      </c>
      <c r="AI249" s="5" t="s">
        <v>248</v>
      </c>
      <c r="AY249" s="5" t="s">
        <v>250</v>
      </c>
      <c r="AZ249" s="5" t="s">
        <v>238</v>
      </c>
      <c r="BA249" s="5" t="s">
        <v>251</v>
      </c>
      <c r="BB249" s="5" t="s">
        <v>238</v>
      </c>
      <c r="BC249" s="5" t="s">
        <v>253</v>
      </c>
      <c r="BD249" s="5" t="s">
        <v>238</v>
      </c>
      <c r="BF249" s="5" t="s">
        <v>329</v>
      </c>
      <c r="BH249" s="5" t="s">
        <v>254</v>
      </c>
      <c r="BI249" s="6" t="s">
        <v>246</v>
      </c>
      <c r="BJ249" s="5" t="s">
        <v>255</v>
      </c>
      <c r="BK249" s="5" t="s">
        <v>256</v>
      </c>
      <c r="BL249" s="5" t="s">
        <v>238</v>
      </c>
      <c r="BM249" s="7">
        <f>0</f>
        <v>0</v>
      </c>
      <c r="BN249" s="8">
        <f>0</f>
        <v>0</v>
      </c>
      <c r="BO249" s="5" t="s">
        <v>257</v>
      </c>
      <c r="BP249" s="5" t="s">
        <v>258</v>
      </c>
      <c r="CD249" s="5" t="s">
        <v>238</v>
      </c>
      <c r="CE249" s="5" t="s">
        <v>238</v>
      </c>
      <c r="CI249" s="5" t="s">
        <v>527</v>
      </c>
      <c r="CJ249" s="5" t="s">
        <v>260</v>
      </c>
      <c r="CK249" s="5" t="s">
        <v>238</v>
      </c>
      <c r="CM249" s="5" t="s">
        <v>979</v>
      </c>
      <c r="CN249" s="6" t="s">
        <v>262</v>
      </c>
      <c r="CO249" s="5" t="s">
        <v>263</v>
      </c>
      <c r="CP249" s="5" t="s">
        <v>264</v>
      </c>
      <c r="CQ249" s="5" t="s">
        <v>238</v>
      </c>
      <c r="CR249" s="5" t="s">
        <v>238</v>
      </c>
      <c r="CS249" s="5">
        <v>0</v>
      </c>
      <c r="CT249" s="5" t="s">
        <v>265</v>
      </c>
      <c r="CU249" s="5" t="s">
        <v>266</v>
      </c>
      <c r="CV249" s="5" t="s">
        <v>267</v>
      </c>
      <c r="CX249" s="8">
        <f>2120400</f>
        <v>2120400</v>
      </c>
      <c r="CY249" s="8">
        <f>0</f>
        <v>0</v>
      </c>
      <c r="DA249" s="5" t="s">
        <v>238</v>
      </c>
      <c r="DB249" s="5" t="s">
        <v>238</v>
      </c>
      <c r="DD249" s="5" t="s">
        <v>238</v>
      </c>
      <c r="DG249" s="5" t="s">
        <v>238</v>
      </c>
      <c r="DH249" s="5" t="s">
        <v>238</v>
      </c>
      <c r="DI249" s="5" t="s">
        <v>238</v>
      </c>
      <c r="DJ249" s="5" t="s">
        <v>238</v>
      </c>
      <c r="DK249" s="5" t="s">
        <v>271</v>
      </c>
      <c r="DL249" s="5" t="s">
        <v>272</v>
      </c>
      <c r="DM249" s="7">
        <f>35.34</f>
        <v>35.340000000000003</v>
      </c>
      <c r="DN249" s="5" t="s">
        <v>238</v>
      </c>
      <c r="DO249" s="5" t="s">
        <v>238</v>
      </c>
      <c r="DP249" s="5" t="s">
        <v>238</v>
      </c>
      <c r="DQ249" s="5" t="s">
        <v>238</v>
      </c>
      <c r="DT249" s="5" t="s">
        <v>981</v>
      </c>
      <c r="DU249" s="5" t="s">
        <v>271</v>
      </c>
      <c r="HM249" s="5" t="s">
        <v>271</v>
      </c>
      <c r="HP249" s="5" t="s">
        <v>272</v>
      </c>
      <c r="HQ249" s="5" t="s">
        <v>272</v>
      </c>
    </row>
    <row r="250" spans="1:238" x14ac:dyDescent="0.4">
      <c r="A250" s="5">
        <v>274</v>
      </c>
      <c r="B250" s="5">
        <v>1</v>
      </c>
      <c r="C250" s="5">
        <v>1</v>
      </c>
      <c r="D250" s="5" t="s">
        <v>976</v>
      </c>
      <c r="E250" s="5" t="s">
        <v>852</v>
      </c>
      <c r="F250" s="5" t="s">
        <v>282</v>
      </c>
      <c r="G250" s="5" t="s">
        <v>677</v>
      </c>
      <c r="H250" s="6" t="s">
        <v>978</v>
      </c>
      <c r="I250" s="5" t="s">
        <v>677</v>
      </c>
      <c r="J250" s="7">
        <f>34.78</f>
        <v>34.78</v>
      </c>
      <c r="K250" s="5" t="s">
        <v>270</v>
      </c>
      <c r="L250" s="8">
        <f>1</f>
        <v>1</v>
      </c>
      <c r="M250" s="8">
        <f>2086800</f>
        <v>2086800</v>
      </c>
      <c r="N250" s="6" t="s">
        <v>977</v>
      </c>
      <c r="O250" s="5" t="s">
        <v>268</v>
      </c>
      <c r="P250" s="5" t="s">
        <v>980</v>
      </c>
      <c r="R250" s="8">
        <f>2086799</f>
        <v>2086799</v>
      </c>
      <c r="S250" s="5" t="s">
        <v>240</v>
      </c>
      <c r="T250" s="5" t="s">
        <v>237</v>
      </c>
      <c r="U250" s="5" t="s">
        <v>238</v>
      </c>
      <c r="V250" s="5" t="s">
        <v>238</v>
      </c>
      <c r="W250" s="5" t="s">
        <v>241</v>
      </c>
      <c r="X250" s="5" t="s">
        <v>243</v>
      </c>
      <c r="Y250" s="5" t="s">
        <v>238</v>
      </c>
      <c r="AB250" s="5" t="s">
        <v>238</v>
      </c>
      <c r="AD250" s="6" t="s">
        <v>238</v>
      </c>
      <c r="AG250" s="6" t="s">
        <v>246</v>
      </c>
      <c r="AH250" s="5" t="s">
        <v>247</v>
      </c>
      <c r="AI250" s="5" t="s">
        <v>248</v>
      </c>
      <c r="AY250" s="5" t="s">
        <v>250</v>
      </c>
      <c r="AZ250" s="5" t="s">
        <v>238</v>
      </c>
      <c r="BA250" s="5" t="s">
        <v>251</v>
      </c>
      <c r="BB250" s="5" t="s">
        <v>238</v>
      </c>
      <c r="BC250" s="5" t="s">
        <v>253</v>
      </c>
      <c r="BD250" s="5" t="s">
        <v>238</v>
      </c>
      <c r="BF250" s="5" t="s">
        <v>238</v>
      </c>
      <c r="BH250" s="5" t="s">
        <v>254</v>
      </c>
      <c r="BI250" s="6" t="s">
        <v>246</v>
      </c>
      <c r="BJ250" s="5" t="s">
        <v>255</v>
      </c>
      <c r="BK250" s="5" t="s">
        <v>256</v>
      </c>
      <c r="BL250" s="5" t="s">
        <v>238</v>
      </c>
      <c r="BM250" s="7">
        <f>0</f>
        <v>0</v>
      </c>
      <c r="BN250" s="8">
        <f>0</f>
        <v>0</v>
      </c>
      <c r="BO250" s="5" t="s">
        <v>257</v>
      </c>
      <c r="BP250" s="5" t="s">
        <v>258</v>
      </c>
      <c r="CD250" s="5" t="s">
        <v>238</v>
      </c>
      <c r="CE250" s="5" t="s">
        <v>238</v>
      </c>
      <c r="CI250" s="5" t="s">
        <v>527</v>
      </c>
      <c r="CJ250" s="5" t="s">
        <v>260</v>
      </c>
      <c r="CK250" s="5" t="s">
        <v>238</v>
      </c>
      <c r="CM250" s="5" t="s">
        <v>979</v>
      </c>
      <c r="CN250" s="6" t="s">
        <v>262</v>
      </c>
      <c r="CO250" s="5" t="s">
        <v>263</v>
      </c>
      <c r="CP250" s="5" t="s">
        <v>264</v>
      </c>
      <c r="CQ250" s="5" t="s">
        <v>238</v>
      </c>
      <c r="CR250" s="5" t="s">
        <v>238</v>
      </c>
      <c r="CS250" s="5">
        <v>0</v>
      </c>
      <c r="CT250" s="5" t="s">
        <v>265</v>
      </c>
      <c r="CU250" s="5" t="s">
        <v>266</v>
      </c>
      <c r="CV250" s="5" t="s">
        <v>267</v>
      </c>
      <c r="CX250" s="8">
        <f>2086800</f>
        <v>2086800</v>
      </c>
      <c r="CY250" s="8">
        <f>0</f>
        <v>0</v>
      </c>
      <c r="DA250" s="5" t="s">
        <v>238</v>
      </c>
      <c r="DB250" s="5" t="s">
        <v>238</v>
      </c>
      <c r="DD250" s="5" t="s">
        <v>238</v>
      </c>
      <c r="DG250" s="5" t="s">
        <v>238</v>
      </c>
      <c r="DH250" s="5" t="s">
        <v>238</v>
      </c>
      <c r="DI250" s="5" t="s">
        <v>238</v>
      </c>
      <c r="DJ250" s="5" t="s">
        <v>238</v>
      </c>
      <c r="DK250" s="5" t="s">
        <v>271</v>
      </c>
      <c r="DL250" s="5" t="s">
        <v>272</v>
      </c>
      <c r="DM250" s="7">
        <f>34.78</f>
        <v>34.78</v>
      </c>
      <c r="DN250" s="5" t="s">
        <v>238</v>
      </c>
      <c r="DO250" s="5" t="s">
        <v>238</v>
      </c>
      <c r="DP250" s="5" t="s">
        <v>238</v>
      </c>
      <c r="DQ250" s="5" t="s">
        <v>238</v>
      </c>
      <c r="DT250" s="5" t="s">
        <v>981</v>
      </c>
      <c r="DU250" s="5" t="s">
        <v>274</v>
      </c>
      <c r="HM250" s="5" t="s">
        <v>271</v>
      </c>
      <c r="HP250" s="5" t="s">
        <v>272</v>
      </c>
      <c r="HQ250" s="5" t="s">
        <v>272</v>
      </c>
    </row>
    <row r="251" spans="1:238" x14ac:dyDescent="0.4">
      <c r="A251" s="5">
        <v>275</v>
      </c>
      <c r="B251" s="5">
        <v>1</v>
      </c>
      <c r="C251" s="5">
        <v>1</v>
      </c>
      <c r="D251" s="5" t="s">
        <v>976</v>
      </c>
      <c r="E251" s="5" t="s">
        <v>852</v>
      </c>
      <c r="F251" s="5" t="s">
        <v>282</v>
      </c>
      <c r="G251" s="5" t="s">
        <v>677</v>
      </c>
      <c r="H251" s="6" t="s">
        <v>978</v>
      </c>
      <c r="I251" s="5" t="s">
        <v>677</v>
      </c>
      <c r="J251" s="7">
        <f>21.28</f>
        <v>21.28</v>
      </c>
      <c r="K251" s="5" t="s">
        <v>270</v>
      </c>
      <c r="L251" s="8">
        <f>1</f>
        <v>1</v>
      </c>
      <c r="M251" s="8">
        <f>1276800</f>
        <v>1276800</v>
      </c>
      <c r="N251" s="6" t="s">
        <v>977</v>
      </c>
      <c r="O251" s="5" t="s">
        <v>268</v>
      </c>
      <c r="P251" s="5" t="s">
        <v>980</v>
      </c>
      <c r="R251" s="8">
        <f>1276799</f>
        <v>1276799</v>
      </c>
      <c r="S251" s="5" t="s">
        <v>240</v>
      </c>
      <c r="T251" s="5" t="s">
        <v>237</v>
      </c>
      <c r="U251" s="5" t="s">
        <v>238</v>
      </c>
      <c r="V251" s="5" t="s">
        <v>238</v>
      </c>
      <c r="W251" s="5" t="s">
        <v>241</v>
      </c>
      <c r="X251" s="5" t="s">
        <v>243</v>
      </c>
      <c r="Y251" s="5" t="s">
        <v>238</v>
      </c>
      <c r="AB251" s="5" t="s">
        <v>238</v>
      </c>
      <c r="AD251" s="6" t="s">
        <v>238</v>
      </c>
      <c r="AG251" s="6" t="s">
        <v>246</v>
      </c>
      <c r="AH251" s="5" t="s">
        <v>247</v>
      </c>
      <c r="AI251" s="5" t="s">
        <v>248</v>
      </c>
      <c r="AY251" s="5" t="s">
        <v>250</v>
      </c>
      <c r="AZ251" s="5" t="s">
        <v>238</v>
      </c>
      <c r="BA251" s="5" t="s">
        <v>251</v>
      </c>
      <c r="BB251" s="5" t="s">
        <v>238</v>
      </c>
      <c r="BC251" s="5" t="s">
        <v>253</v>
      </c>
      <c r="BD251" s="5" t="s">
        <v>238</v>
      </c>
      <c r="BF251" s="5" t="s">
        <v>238</v>
      </c>
      <c r="BH251" s="5" t="s">
        <v>254</v>
      </c>
      <c r="BI251" s="6" t="s">
        <v>246</v>
      </c>
      <c r="BJ251" s="5" t="s">
        <v>255</v>
      </c>
      <c r="BK251" s="5" t="s">
        <v>256</v>
      </c>
      <c r="BL251" s="5" t="s">
        <v>238</v>
      </c>
      <c r="BM251" s="7">
        <f>0</f>
        <v>0</v>
      </c>
      <c r="BN251" s="8">
        <f>0</f>
        <v>0</v>
      </c>
      <c r="BO251" s="5" t="s">
        <v>257</v>
      </c>
      <c r="BP251" s="5" t="s">
        <v>258</v>
      </c>
      <c r="CD251" s="5" t="s">
        <v>238</v>
      </c>
      <c r="CE251" s="5" t="s">
        <v>238</v>
      </c>
      <c r="CI251" s="5" t="s">
        <v>527</v>
      </c>
      <c r="CJ251" s="5" t="s">
        <v>260</v>
      </c>
      <c r="CK251" s="5" t="s">
        <v>238</v>
      </c>
      <c r="CM251" s="5" t="s">
        <v>979</v>
      </c>
      <c r="CN251" s="6" t="s">
        <v>262</v>
      </c>
      <c r="CO251" s="5" t="s">
        <v>263</v>
      </c>
      <c r="CP251" s="5" t="s">
        <v>264</v>
      </c>
      <c r="CQ251" s="5" t="s">
        <v>238</v>
      </c>
      <c r="CR251" s="5" t="s">
        <v>238</v>
      </c>
      <c r="CS251" s="5">
        <v>0</v>
      </c>
      <c r="CT251" s="5" t="s">
        <v>265</v>
      </c>
      <c r="CU251" s="5" t="s">
        <v>266</v>
      </c>
      <c r="CV251" s="5" t="s">
        <v>267</v>
      </c>
      <c r="CX251" s="8">
        <f>1276800</f>
        <v>1276800</v>
      </c>
      <c r="CY251" s="8">
        <f>0</f>
        <v>0</v>
      </c>
      <c r="DA251" s="5" t="s">
        <v>238</v>
      </c>
      <c r="DB251" s="5" t="s">
        <v>238</v>
      </c>
      <c r="DD251" s="5" t="s">
        <v>238</v>
      </c>
      <c r="DG251" s="5" t="s">
        <v>238</v>
      </c>
      <c r="DH251" s="5" t="s">
        <v>238</v>
      </c>
      <c r="DI251" s="5" t="s">
        <v>238</v>
      </c>
      <c r="DJ251" s="5" t="s">
        <v>238</v>
      </c>
      <c r="DK251" s="5" t="s">
        <v>271</v>
      </c>
      <c r="DL251" s="5" t="s">
        <v>272</v>
      </c>
      <c r="DM251" s="7">
        <f>21.28</f>
        <v>21.28</v>
      </c>
      <c r="DN251" s="5" t="s">
        <v>238</v>
      </c>
      <c r="DO251" s="5" t="s">
        <v>238</v>
      </c>
      <c r="DP251" s="5" t="s">
        <v>238</v>
      </c>
      <c r="DQ251" s="5" t="s">
        <v>238</v>
      </c>
      <c r="DT251" s="5" t="s">
        <v>981</v>
      </c>
      <c r="DU251" s="5" t="s">
        <v>356</v>
      </c>
      <c r="HM251" s="5" t="s">
        <v>271</v>
      </c>
      <c r="HP251" s="5" t="s">
        <v>272</v>
      </c>
      <c r="HQ251" s="5" t="s">
        <v>272</v>
      </c>
    </row>
    <row r="252" spans="1:238" x14ac:dyDescent="0.4">
      <c r="A252" s="5">
        <v>276</v>
      </c>
      <c r="B252" s="5">
        <v>1</v>
      </c>
      <c r="C252" s="5">
        <v>1</v>
      </c>
      <c r="D252" s="5" t="s">
        <v>976</v>
      </c>
      <c r="E252" s="5" t="s">
        <v>993</v>
      </c>
      <c r="F252" s="5" t="s">
        <v>282</v>
      </c>
      <c r="G252" s="5" t="s">
        <v>677</v>
      </c>
      <c r="H252" s="6" t="s">
        <v>994</v>
      </c>
      <c r="I252" s="5" t="s">
        <v>677</v>
      </c>
      <c r="J252" s="7">
        <f>33.2</f>
        <v>33.200000000000003</v>
      </c>
      <c r="K252" s="5" t="s">
        <v>270</v>
      </c>
      <c r="L252" s="8">
        <f>1</f>
        <v>1</v>
      </c>
      <c r="M252" s="8">
        <f>1992000</f>
        <v>1992000</v>
      </c>
      <c r="N252" s="6" t="s">
        <v>897</v>
      </c>
      <c r="O252" s="5" t="s">
        <v>650</v>
      </c>
      <c r="P252" s="5" t="s">
        <v>996</v>
      </c>
      <c r="R252" s="8">
        <f>1991999</f>
        <v>1991999</v>
      </c>
      <c r="S252" s="5" t="s">
        <v>240</v>
      </c>
      <c r="T252" s="5" t="s">
        <v>237</v>
      </c>
      <c r="U252" s="5" t="s">
        <v>238</v>
      </c>
      <c r="V252" s="5" t="s">
        <v>238</v>
      </c>
      <c r="W252" s="5" t="s">
        <v>241</v>
      </c>
      <c r="X252" s="5" t="s">
        <v>243</v>
      </c>
      <c r="Y252" s="5" t="s">
        <v>238</v>
      </c>
      <c r="AB252" s="5" t="s">
        <v>238</v>
      </c>
      <c r="AD252" s="6" t="s">
        <v>238</v>
      </c>
      <c r="AG252" s="6" t="s">
        <v>246</v>
      </c>
      <c r="AH252" s="5" t="s">
        <v>247</v>
      </c>
      <c r="AI252" s="5" t="s">
        <v>248</v>
      </c>
      <c r="AY252" s="5" t="s">
        <v>250</v>
      </c>
      <c r="AZ252" s="5" t="s">
        <v>238</v>
      </c>
      <c r="BA252" s="5" t="s">
        <v>251</v>
      </c>
      <c r="BB252" s="5" t="s">
        <v>238</v>
      </c>
      <c r="BC252" s="5" t="s">
        <v>253</v>
      </c>
      <c r="BD252" s="5" t="s">
        <v>238</v>
      </c>
      <c r="BF252" s="5" t="s">
        <v>238</v>
      </c>
      <c r="BH252" s="5" t="s">
        <v>859</v>
      </c>
      <c r="BI252" s="6" t="s">
        <v>368</v>
      </c>
      <c r="BJ252" s="5" t="s">
        <v>255</v>
      </c>
      <c r="BK252" s="5" t="s">
        <v>256</v>
      </c>
      <c r="BL252" s="5" t="s">
        <v>238</v>
      </c>
      <c r="BM252" s="7">
        <f>0</f>
        <v>0</v>
      </c>
      <c r="BN252" s="8">
        <f>0</f>
        <v>0</v>
      </c>
      <c r="BO252" s="5" t="s">
        <v>257</v>
      </c>
      <c r="BP252" s="5" t="s">
        <v>258</v>
      </c>
      <c r="CD252" s="5" t="s">
        <v>238</v>
      </c>
      <c r="CE252" s="5" t="s">
        <v>238</v>
      </c>
      <c r="CI252" s="5" t="s">
        <v>527</v>
      </c>
      <c r="CJ252" s="5" t="s">
        <v>260</v>
      </c>
      <c r="CK252" s="5" t="s">
        <v>238</v>
      </c>
      <c r="CM252" s="5" t="s">
        <v>995</v>
      </c>
      <c r="CN252" s="6" t="s">
        <v>262</v>
      </c>
      <c r="CO252" s="5" t="s">
        <v>263</v>
      </c>
      <c r="CP252" s="5" t="s">
        <v>264</v>
      </c>
      <c r="CQ252" s="5" t="s">
        <v>238</v>
      </c>
      <c r="CR252" s="5" t="s">
        <v>238</v>
      </c>
      <c r="CS252" s="5">
        <v>0</v>
      </c>
      <c r="CT252" s="5" t="s">
        <v>265</v>
      </c>
      <c r="CU252" s="5" t="s">
        <v>266</v>
      </c>
      <c r="CV252" s="5" t="s">
        <v>649</v>
      </c>
      <c r="CX252" s="8">
        <f>1992000</f>
        <v>1992000</v>
      </c>
      <c r="CY252" s="8">
        <f>0</f>
        <v>0</v>
      </c>
      <c r="DA252" s="5" t="s">
        <v>238</v>
      </c>
      <c r="DB252" s="5" t="s">
        <v>238</v>
      </c>
      <c r="DD252" s="5" t="s">
        <v>238</v>
      </c>
      <c r="DG252" s="5" t="s">
        <v>238</v>
      </c>
      <c r="DH252" s="5" t="s">
        <v>238</v>
      </c>
      <c r="DI252" s="5" t="s">
        <v>238</v>
      </c>
      <c r="DJ252" s="5" t="s">
        <v>238</v>
      </c>
      <c r="DK252" s="5" t="s">
        <v>271</v>
      </c>
      <c r="DL252" s="5" t="s">
        <v>272</v>
      </c>
      <c r="DM252" s="7">
        <f>33.2</f>
        <v>33.200000000000003</v>
      </c>
      <c r="DN252" s="5" t="s">
        <v>238</v>
      </c>
      <c r="DO252" s="5" t="s">
        <v>238</v>
      </c>
      <c r="DP252" s="5" t="s">
        <v>238</v>
      </c>
      <c r="DQ252" s="5" t="s">
        <v>238</v>
      </c>
      <c r="DT252" s="5" t="s">
        <v>997</v>
      </c>
      <c r="DU252" s="5" t="s">
        <v>271</v>
      </c>
      <c r="HM252" s="5" t="s">
        <v>271</v>
      </c>
      <c r="HP252" s="5" t="s">
        <v>272</v>
      </c>
      <c r="HQ252" s="5" t="s">
        <v>272</v>
      </c>
    </row>
    <row r="253" spans="1:238" x14ac:dyDescent="0.4">
      <c r="A253" s="5">
        <v>277</v>
      </c>
      <c r="B253" s="5">
        <v>1</v>
      </c>
      <c r="C253" s="5">
        <v>3</v>
      </c>
      <c r="D253" s="5" t="s">
        <v>238</v>
      </c>
      <c r="E253" s="5" t="s">
        <v>1218</v>
      </c>
      <c r="F253" s="5" t="s">
        <v>282</v>
      </c>
      <c r="G253" s="5" t="s">
        <v>302</v>
      </c>
      <c r="H253" s="6" t="s">
        <v>1220</v>
      </c>
      <c r="I253" s="5" t="s">
        <v>298</v>
      </c>
      <c r="J253" s="7">
        <f>2301.63</f>
        <v>2301.63</v>
      </c>
      <c r="K253" s="5" t="s">
        <v>270</v>
      </c>
      <c r="L253" s="8">
        <f>160414428</f>
        <v>160414428</v>
      </c>
      <c r="M253" s="8">
        <f>455722740</f>
        <v>455722740</v>
      </c>
      <c r="N253" s="6" t="s">
        <v>4371</v>
      </c>
      <c r="O253" s="5" t="s">
        <v>639</v>
      </c>
      <c r="P253" s="5" t="s">
        <v>286</v>
      </c>
      <c r="R253" s="8">
        <f>295308312</f>
        <v>295308312</v>
      </c>
      <c r="S253" s="5" t="s">
        <v>240</v>
      </c>
      <c r="T253" s="5" t="s">
        <v>237</v>
      </c>
      <c r="W253" s="5" t="s">
        <v>241</v>
      </c>
      <c r="X253" s="5" t="s">
        <v>243</v>
      </c>
      <c r="Y253" s="5" t="s">
        <v>238</v>
      </c>
      <c r="AB253" s="5" t="s">
        <v>238</v>
      </c>
      <c r="AC253" s="6" t="s">
        <v>238</v>
      </c>
      <c r="AD253" s="6" t="s">
        <v>238</v>
      </c>
      <c r="AF253" s="6" t="s">
        <v>238</v>
      </c>
      <c r="AG253" s="6" t="s">
        <v>246</v>
      </c>
      <c r="AH253" s="5" t="s">
        <v>247</v>
      </c>
      <c r="AI253" s="5" t="s">
        <v>248</v>
      </c>
      <c r="AO253" s="5" t="s">
        <v>238</v>
      </c>
      <c r="AP253" s="5" t="s">
        <v>238</v>
      </c>
      <c r="AQ253" s="5" t="s">
        <v>238</v>
      </c>
      <c r="AR253" s="6" t="s">
        <v>238</v>
      </c>
      <c r="AS253" s="6" t="s">
        <v>238</v>
      </c>
      <c r="AT253" s="6" t="s">
        <v>238</v>
      </c>
      <c r="AW253" s="5" t="s">
        <v>304</v>
      </c>
      <c r="AX253" s="5" t="s">
        <v>304</v>
      </c>
      <c r="AY253" s="5" t="s">
        <v>250</v>
      </c>
      <c r="AZ253" s="5" t="s">
        <v>305</v>
      </c>
      <c r="BA253" s="5" t="s">
        <v>251</v>
      </c>
      <c r="BB253" s="5" t="s">
        <v>238</v>
      </c>
      <c r="BC253" s="5" t="s">
        <v>253</v>
      </c>
      <c r="BD253" s="5" t="s">
        <v>238</v>
      </c>
      <c r="BF253" s="5" t="s">
        <v>238</v>
      </c>
      <c r="BH253" s="5" t="s">
        <v>283</v>
      </c>
      <c r="BI253" s="6" t="s">
        <v>293</v>
      </c>
      <c r="BJ253" s="5" t="s">
        <v>294</v>
      </c>
      <c r="BK253" s="5" t="s">
        <v>294</v>
      </c>
      <c r="BL253" s="5" t="s">
        <v>238</v>
      </c>
      <c r="BM253" s="7">
        <f>0</f>
        <v>0</v>
      </c>
      <c r="BN253" s="8">
        <f>-12304513</f>
        <v>-12304513</v>
      </c>
      <c r="BO253" s="5" t="s">
        <v>257</v>
      </c>
      <c r="BP253" s="5" t="s">
        <v>258</v>
      </c>
      <c r="BQ253" s="5" t="s">
        <v>238</v>
      </c>
      <c r="BR253" s="5" t="s">
        <v>238</v>
      </c>
      <c r="BS253" s="5" t="s">
        <v>238</v>
      </c>
      <c r="BT253" s="5" t="s">
        <v>238</v>
      </c>
      <c r="CC253" s="5" t="s">
        <v>258</v>
      </c>
      <c r="CD253" s="5" t="s">
        <v>238</v>
      </c>
      <c r="CE253" s="5" t="s">
        <v>238</v>
      </c>
      <c r="CI253" s="5" t="s">
        <v>259</v>
      </c>
      <c r="CJ253" s="5" t="s">
        <v>260</v>
      </c>
      <c r="CK253" s="5" t="s">
        <v>238</v>
      </c>
      <c r="CM253" s="5" t="s">
        <v>330</v>
      </c>
      <c r="CN253" s="6" t="s">
        <v>262</v>
      </c>
      <c r="CO253" s="5" t="s">
        <v>263</v>
      </c>
      <c r="CP253" s="5" t="s">
        <v>264</v>
      </c>
      <c r="CQ253" s="5" t="s">
        <v>285</v>
      </c>
      <c r="CR253" s="5" t="s">
        <v>238</v>
      </c>
      <c r="CS253" s="5">
        <v>0</v>
      </c>
      <c r="CT253" s="5" t="s">
        <v>265</v>
      </c>
      <c r="CU253" s="5" t="s">
        <v>307</v>
      </c>
      <c r="CV253" s="5" t="s">
        <v>649</v>
      </c>
      <c r="CW253" s="7">
        <f>0</f>
        <v>0</v>
      </c>
      <c r="CX253" s="8">
        <f>455722740</f>
        <v>455722740</v>
      </c>
      <c r="CY253" s="8">
        <f>172718941</f>
        <v>172718941</v>
      </c>
      <c r="DA253" s="5" t="s">
        <v>238</v>
      </c>
      <c r="DB253" s="5" t="s">
        <v>238</v>
      </c>
      <c r="DD253" s="5" t="s">
        <v>238</v>
      </c>
      <c r="DE253" s="8">
        <f>0</f>
        <v>0</v>
      </c>
      <c r="DG253" s="5" t="s">
        <v>238</v>
      </c>
      <c r="DH253" s="5" t="s">
        <v>238</v>
      </c>
      <c r="DI253" s="5" t="s">
        <v>238</v>
      </c>
      <c r="DJ253" s="5" t="s">
        <v>238</v>
      </c>
      <c r="DK253" s="5" t="s">
        <v>274</v>
      </c>
      <c r="DL253" s="5" t="s">
        <v>272</v>
      </c>
      <c r="DM253" s="7">
        <f>2301.63</f>
        <v>2301.63</v>
      </c>
      <c r="DN253" s="5" t="s">
        <v>238</v>
      </c>
      <c r="DO253" s="5" t="s">
        <v>238</v>
      </c>
      <c r="DP253" s="5" t="s">
        <v>238</v>
      </c>
      <c r="DQ253" s="5" t="s">
        <v>238</v>
      </c>
      <c r="DT253" s="5" t="s">
        <v>1221</v>
      </c>
      <c r="DU253" s="5" t="s">
        <v>271</v>
      </c>
      <c r="GL253" s="5" t="s">
        <v>4372</v>
      </c>
      <c r="HM253" s="5" t="s">
        <v>313</v>
      </c>
      <c r="HP253" s="5" t="s">
        <v>272</v>
      </c>
      <c r="HQ253" s="5" t="s">
        <v>272</v>
      </c>
      <c r="HR253" s="5" t="s">
        <v>238</v>
      </c>
      <c r="HS253" s="5" t="s">
        <v>238</v>
      </c>
      <c r="HT253" s="5" t="s">
        <v>238</v>
      </c>
      <c r="HU253" s="5" t="s">
        <v>238</v>
      </c>
      <c r="HV253" s="5" t="s">
        <v>238</v>
      </c>
      <c r="HW253" s="5" t="s">
        <v>238</v>
      </c>
      <c r="HX253" s="5" t="s">
        <v>238</v>
      </c>
      <c r="HY253" s="5" t="s">
        <v>238</v>
      </c>
      <c r="HZ253" s="5" t="s">
        <v>238</v>
      </c>
      <c r="IA253" s="5" t="s">
        <v>238</v>
      </c>
      <c r="IB253" s="5" t="s">
        <v>238</v>
      </c>
      <c r="IC253" s="5" t="s">
        <v>238</v>
      </c>
      <c r="ID253" s="5" t="s">
        <v>238</v>
      </c>
    </row>
    <row r="254" spans="1:238" x14ac:dyDescent="0.4">
      <c r="A254" s="5">
        <v>278</v>
      </c>
      <c r="B254" s="5">
        <v>1</v>
      </c>
      <c r="C254" s="5">
        <v>4</v>
      </c>
      <c r="D254" s="5" t="s">
        <v>1217</v>
      </c>
      <c r="E254" s="5" t="s">
        <v>1218</v>
      </c>
      <c r="F254" s="5" t="s">
        <v>282</v>
      </c>
      <c r="G254" s="5" t="s">
        <v>1185</v>
      </c>
      <c r="H254" s="6" t="s">
        <v>1220</v>
      </c>
      <c r="I254" s="5" t="s">
        <v>1181</v>
      </c>
      <c r="J254" s="7">
        <f>618.82</f>
        <v>618.82000000000005</v>
      </c>
      <c r="K254" s="5" t="s">
        <v>270</v>
      </c>
      <c r="L254" s="8">
        <f>12356616</f>
        <v>12356616</v>
      </c>
      <c r="M254" s="8">
        <f>59406720</f>
        <v>59406720</v>
      </c>
      <c r="N254" s="6" t="s">
        <v>1219</v>
      </c>
      <c r="O254" s="5" t="s">
        <v>650</v>
      </c>
      <c r="P254" s="5" t="s">
        <v>286</v>
      </c>
      <c r="Q254" s="8">
        <f>1960421</f>
        <v>1960421</v>
      </c>
      <c r="R254" s="8">
        <f>47050104</f>
        <v>47050104</v>
      </c>
      <c r="S254" s="5" t="s">
        <v>240</v>
      </c>
      <c r="T254" s="5" t="s">
        <v>237</v>
      </c>
      <c r="U254" s="5" t="s">
        <v>238</v>
      </c>
      <c r="V254" s="5" t="s">
        <v>238</v>
      </c>
      <c r="W254" s="5" t="s">
        <v>241</v>
      </c>
      <c r="X254" s="5" t="s">
        <v>243</v>
      </c>
      <c r="Y254" s="5" t="s">
        <v>238</v>
      </c>
      <c r="AB254" s="5" t="s">
        <v>238</v>
      </c>
      <c r="AC254" s="6" t="s">
        <v>238</v>
      </c>
      <c r="AD254" s="6" t="s">
        <v>238</v>
      </c>
      <c r="AF254" s="6" t="s">
        <v>238</v>
      </c>
      <c r="AG254" s="6" t="s">
        <v>246</v>
      </c>
      <c r="AH254" s="5" t="s">
        <v>247</v>
      </c>
      <c r="AI254" s="5" t="s">
        <v>248</v>
      </c>
      <c r="AO254" s="5" t="s">
        <v>238</v>
      </c>
      <c r="AP254" s="5" t="s">
        <v>238</v>
      </c>
      <c r="AQ254" s="5" t="s">
        <v>238</v>
      </c>
      <c r="AR254" s="6" t="s">
        <v>238</v>
      </c>
      <c r="AS254" s="6" t="s">
        <v>238</v>
      </c>
      <c r="AT254" s="6" t="s">
        <v>238</v>
      </c>
      <c r="AW254" s="5" t="s">
        <v>304</v>
      </c>
      <c r="AX254" s="5" t="s">
        <v>304</v>
      </c>
      <c r="AY254" s="5" t="s">
        <v>250</v>
      </c>
      <c r="AZ254" s="5" t="s">
        <v>305</v>
      </c>
      <c r="BA254" s="5" t="s">
        <v>251</v>
      </c>
      <c r="BB254" s="5" t="s">
        <v>238</v>
      </c>
      <c r="BC254" s="5" t="s">
        <v>253</v>
      </c>
      <c r="BD254" s="5" t="s">
        <v>238</v>
      </c>
      <c r="BF254" s="5" t="s">
        <v>238</v>
      </c>
      <c r="BH254" s="5" t="s">
        <v>283</v>
      </c>
      <c r="BI254" s="6" t="s">
        <v>293</v>
      </c>
      <c r="BJ254" s="5" t="s">
        <v>294</v>
      </c>
      <c r="BK254" s="5" t="s">
        <v>294</v>
      </c>
      <c r="BL254" s="5" t="s">
        <v>238</v>
      </c>
      <c r="BM254" s="7">
        <f>0</f>
        <v>0</v>
      </c>
      <c r="BN254" s="8">
        <f>-1960421</f>
        <v>-1960421</v>
      </c>
      <c r="BO254" s="5" t="s">
        <v>257</v>
      </c>
      <c r="BP254" s="5" t="s">
        <v>258</v>
      </c>
      <c r="BQ254" s="5" t="s">
        <v>238</v>
      </c>
      <c r="BR254" s="5" t="s">
        <v>238</v>
      </c>
      <c r="BS254" s="5" t="s">
        <v>238</v>
      </c>
      <c r="BT254" s="5" t="s">
        <v>238</v>
      </c>
      <c r="CC254" s="5" t="s">
        <v>258</v>
      </c>
      <c r="CD254" s="5" t="s">
        <v>238</v>
      </c>
      <c r="CE254" s="5" t="s">
        <v>238</v>
      </c>
      <c r="CI254" s="5" t="s">
        <v>259</v>
      </c>
      <c r="CJ254" s="5" t="s">
        <v>260</v>
      </c>
      <c r="CK254" s="5" t="s">
        <v>238</v>
      </c>
      <c r="CM254" s="5" t="s">
        <v>330</v>
      </c>
      <c r="CN254" s="6" t="s">
        <v>262</v>
      </c>
      <c r="CO254" s="5" t="s">
        <v>263</v>
      </c>
      <c r="CP254" s="5" t="s">
        <v>264</v>
      </c>
      <c r="CQ254" s="5" t="s">
        <v>285</v>
      </c>
      <c r="CR254" s="5" t="s">
        <v>238</v>
      </c>
      <c r="CS254" s="5">
        <v>3.3000000000000002E-2</v>
      </c>
      <c r="CT254" s="5" t="s">
        <v>265</v>
      </c>
      <c r="CU254" s="5" t="s">
        <v>1187</v>
      </c>
      <c r="CV254" s="5" t="s">
        <v>649</v>
      </c>
      <c r="CW254" s="7">
        <f>0</f>
        <v>0</v>
      </c>
      <c r="CX254" s="8">
        <f>59406720</f>
        <v>59406720</v>
      </c>
      <c r="CY254" s="8">
        <f>14317037</f>
        <v>14317037</v>
      </c>
      <c r="DA254" s="5" t="s">
        <v>238</v>
      </c>
      <c r="DB254" s="5" t="s">
        <v>238</v>
      </c>
      <c r="DD254" s="5" t="s">
        <v>238</v>
      </c>
      <c r="DE254" s="8">
        <f>0</f>
        <v>0</v>
      </c>
      <c r="DG254" s="5" t="s">
        <v>238</v>
      </c>
      <c r="DH254" s="5" t="s">
        <v>238</v>
      </c>
      <c r="DI254" s="5" t="s">
        <v>238</v>
      </c>
      <c r="DJ254" s="5" t="s">
        <v>238</v>
      </c>
      <c r="DK254" s="5" t="s">
        <v>274</v>
      </c>
      <c r="DL254" s="5" t="s">
        <v>272</v>
      </c>
      <c r="DM254" s="7">
        <f>618.82</f>
        <v>618.82000000000005</v>
      </c>
      <c r="DN254" s="5" t="s">
        <v>238</v>
      </c>
      <c r="DO254" s="5" t="s">
        <v>238</v>
      </c>
      <c r="DP254" s="5" t="s">
        <v>238</v>
      </c>
      <c r="DQ254" s="5" t="s">
        <v>238</v>
      </c>
      <c r="DT254" s="5" t="s">
        <v>1221</v>
      </c>
      <c r="DU254" s="5" t="s">
        <v>274</v>
      </c>
      <c r="GL254" s="5" t="s">
        <v>1222</v>
      </c>
      <c r="HM254" s="5" t="s">
        <v>313</v>
      </c>
      <c r="HP254" s="5" t="s">
        <v>272</v>
      </c>
      <c r="HQ254" s="5" t="s">
        <v>272</v>
      </c>
      <c r="HR254" s="5" t="s">
        <v>238</v>
      </c>
      <c r="HS254" s="5" t="s">
        <v>238</v>
      </c>
      <c r="HT254" s="5" t="s">
        <v>238</v>
      </c>
      <c r="HU254" s="5" t="s">
        <v>238</v>
      </c>
      <c r="HV254" s="5" t="s">
        <v>238</v>
      </c>
      <c r="HW254" s="5" t="s">
        <v>238</v>
      </c>
      <c r="HX254" s="5" t="s">
        <v>238</v>
      </c>
      <c r="HY254" s="5" t="s">
        <v>238</v>
      </c>
      <c r="HZ254" s="5" t="s">
        <v>238</v>
      </c>
      <c r="IA254" s="5" t="s">
        <v>238</v>
      </c>
      <c r="IB254" s="5" t="s">
        <v>238</v>
      </c>
      <c r="IC254" s="5" t="s">
        <v>238</v>
      </c>
      <c r="ID254" s="5" t="s">
        <v>238</v>
      </c>
    </row>
    <row r="255" spans="1:238" x14ac:dyDescent="0.4">
      <c r="A255" s="5">
        <v>279</v>
      </c>
      <c r="B255" s="5">
        <v>1</v>
      </c>
      <c r="C255" s="5">
        <v>1</v>
      </c>
      <c r="D255" s="5" t="s">
        <v>1060</v>
      </c>
      <c r="E255" s="5" t="s">
        <v>244</v>
      </c>
      <c r="F255" s="5" t="s">
        <v>282</v>
      </c>
      <c r="G255" s="5" t="s">
        <v>239</v>
      </c>
      <c r="H255" s="6" t="s">
        <v>506</v>
      </c>
      <c r="I255" s="5" t="s">
        <v>239</v>
      </c>
      <c r="J255" s="7">
        <f>119.24</f>
        <v>119.24</v>
      </c>
      <c r="K255" s="5" t="s">
        <v>270</v>
      </c>
      <c r="L255" s="8">
        <f>1</f>
        <v>1</v>
      </c>
      <c r="M255" s="8">
        <f>11447040</f>
        <v>11447040</v>
      </c>
      <c r="N255" s="6" t="s">
        <v>1061</v>
      </c>
      <c r="O255" s="5" t="s">
        <v>651</v>
      </c>
      <c r="P255" s="5" t="s">
        <v>651</v>
      </c>
      <c r="R255" s="8">
        <f>11447039</f>
        <v>11447039</v>
      </c>
      <c r="S255" s="5" t="s">
        <v>240</v>
      </c>
      <c r="T255" s="5" t="s">
        <v>237</v>
      </c>
      <c r="U255" s="5" t="s">
        <v>238</v>
      </c>
      <c r="V255" s="5" t="s">
        <v>238</v>
      </c>
      <c r="W255" s="5" t="s">
        <v>241</v>
      </c>
      <c r="X255" s="5" t="s">
        <v>243</v>
      </c>
      <c r="Y255" s="5" t="s">
        <v>238</v>
      </c>
      <c r="AB255" s="5" t="s">
        <v>238</v>
      </c>
      <c r="AD255" s="6" t="s">
        <v>238</v>
      </c>
      <c r="AG255" s="6" t="s">
        <v>246</v>
      </c>
      <c r="AH255" s="5" t="s">
        <v>247</v>
      </c>
      <c r="AI255" s="5" t="s">
        <v>248</v>
      </c>
      <c r="AY255" s="5" t="s">
        <v>250</v>
      </c>
      <c r="AZ255" s="5" t="s">
        <v>238</v>
      </c>
      <c r="BA255" s="5" t="s">
        <v>251</v>
      </c>
      <c r="BB255" s="5" t="s">
        <v>238</v>
      </c>
      <c r="BC255" s="5" t="s">
        <v>253</v>
      </c>
      <c r="BD255" s="5" t="s">
        <v>238</v>
      </c>
      <c r="BF255" s="5" t="s">
        <v>238</v>
      </c>
      <c r="BH255" s="5" t="s">
        <v>254</v>
      </c>
      <c r="BI255" s="6" t="s">
        <v>246</v>
      </c>
      <c r="BJ255" s="5" t="s">
        <v>255</v>
      </c>
      <c r="BK255" s="5" t="s">
        <v>256</v>
      </c>
      <c r="BL255" s="5" t="s">
        <v>238</v>
      </c>
      <c r="BM255" s="7">
        <f>0</f>
        <v>0</v>
      </c>
      <c r="BN255" s="8">
        <f>0</f>
        <v>0</v>
      </c>
      <c r="BO255" s="5" t="s">
        <v>257</v>
      </c>
      <c r="BP255" s="5" t="s">
        <v>258</v>
      </c>
      <c r="CD255" s="5" t="s">
        <v>238</v>
      </c>
      <c r="CE255" s="5" t="s">
        <v>238</v>
      </c>
      <c r="CI255" s="5" t="s">
        <v>259</v>
      </c>
      <c r="CJ255" s="5" t="s">
        <v>260</v>
      </c>
      <c r="CK255" s="5" t="s">
        <v>238</v>
      </c>
      <c r="CM255" s="5" t="s">
        <v>768</v>
      </c>
      <c r="CN255" s="6" t="s">
        <v>262</v>
      </c>
      <c r="CO255" s="5" t="s">
        <v>263</v>
      </c>
      <c r="CP255" s="5" t="s">
        <v>264</v>
      </c>
      <c r="CQ255" s="5" t="s">
        <v>238</v>
      </c>
      <c r="CR255" s="5" t="s">
        <v>238</v>
      </c>
      <c r="CS255" s="5">
        <v>0</v>
      </c>
      <c r="CT255" s="5" t="s">
        <v>265</v>
      </c>
      <c r="CU255" s="5" t="s">
        <v>266</v>
      </c>
      <c r="CV255" s="5" t="s">
        <v>331</v>
      </c>
      <c r="CX255" s="8">
        <f>11447040</f>
        <v>11447040</v>
      </c>
      <c r="CY255" s="8">
        <f>0</f>
        <v>0</v>
      </c>
      <c r="DA255" s="5" t="s">
        <v>238</v>
      </c>
      <c r="DB255" s="5" t="s">
        <v>238</v>
      </c>
      <c r="DD255" s="5" t="s">
        <v>238</v>
      </c>
      <c r="DG255" s="5" t="s">
        <v>238</v>
      </c>
      <c r="DH255" s="5" t="s">
        <v>238</v>
      </c>
      <c r="DI255" s="5" t="s">
        <v>238</v>
      </c>
      <c r="DJ255" s="5" t="s">
        <v>238</v>
      </c>
      <c r="DK255" s="5" t="s">
        <v>271</v>
      </c>
      <c r="DL255" s="5" t="s">
        <v>272</v>
      </c>
      <c r="DM255" s="7">
        <f>119.24</f>
        <v>119.24</v>
      </c>
      <c r="DN255" s="5" t="s">
        <v>238</v>
      </c>
      <c r="DO255" s="5" t="s">
        <v>238</v>
      </c>
      <c r="DP255" s="5" t="s">
        <v>238</v>
      </c>
      <c r="DQ255" s="5" t="s">
        <v>238</v>
      </c>
      <c r="DT255" s="5" t="s">
        <v>1062</v>
      </c>
      <c r="DU255" s="5" t="s">
        <v>271</v>
      </c>
      <c r="HM255" s="5" t="s">
        <v>271</v>
      </c>
      <c r="HP255" s="5" t="s">
        <v>272</v>
      </c>
      <c r="HQ255" s="5" t="s">
        <v>272</v>
      </c>
    </row>
    <row r="256" spans="1:238" x14ac:dyDescent="0.4">
      <c r="A256" s="5">
        <v>280</v>
      </c>
      <c r="B256" s="5">
        <v>1</v>
      </c>
      <c r="C256" s="5">
        <v>4</v>
      </c>
      <c r="D256" s="5" t="s">
        <v>1060</v>
      </c>
      <c r="E256" s="5" t="s">
        <v>244</v>
      </c>
      <c r="F256" s="5" t="s">
        <v>282</v>
      </c>
      <c r="G256" s="5" t="s">
        <v>1185</v>
      </c>
      <c r="H256" s="6" t="s">
        <v>506</v>
      </c>
      <c r="I256" s="5" t="s">
        <v>1181</v>
      </c>
      <c r="J256" s="7">
        <f>37.69</f>
        <v>37.69</v>
      </c>
      <c r="K256" s="5" t="s">
        <v>270</v>
      </c>
      <c r="L256" s="8">
        <f>1</f>
        <v>1</v>
      </c>
      <c r="M256" s="8">
        <f>2072950</f>
        <v>2072950</v>
      </c>
      <c r="N256" s="6" t="s">
        <v>1075</v>
      </c>
      <c r="O256" s="5" t="s">
        <v>640</v>
      </c>
      <c r="P256" s="5" t="s">
        <v>1040</v>
      </c>
      <c r="Q256" s="8">
        <f>82918</f>
        <v>82918</v>
      </c>
      <c r="R256" s="8">
        <f>2072949</f>
        <v>2072949</v>
      </c>
      <c r="S256" s="5" t="s">
        <v>240</v>
      </c>
      <c r="T256" s="5" t="s">
        <v>237</v>
      </c>
      <c r="U256" s="5" t="s">
        <v>238</v>
      </c>
      <c r="V256" s="5" t="s">
        <v>238</v>
      </c>
      <c r="W256" s="5" t="s">
        <v>241</v>
      </c>
      <c r="X256" s="5" t="s">
        <v>243</v>
      </c>
      <c r="Y256" s="5" t="s">
        <v>238</v>
      </c>
      <c r="AB256" s="5" t="s">
        <v>238</v>
      </c>
      <c r="AC256" s="6" t="s">
        <v>238</v>
      </c>
      <c r="AD256" s="6" t="s">
        <v>238</v>
      </c>
      <c r="AF256" s="6" t="s">
        <v>238</v>
      </c>
      <c r="AG256" s="6" t="s">
        <v>246</v>
      </c>
      <c r="AH256" s="5" t="s">
        <v>247</v>
      </c>
      <c r="AI256" s="5" t="s">
        <v>248</v>
      </c>
      <c r="AO256" s="5" t="s">
        <v>238</v>
      </c>
      <c r="AP256" s="5" t="s">
        <v>238</v>
      </c>
      <c r="AQ256" s="5" t="s">
        <v>238</v>
      </c>
      <c r="AR256" s="6" t="s">
        <v>238</v>
      </c>
      <c r="AS256" s="6" t="s">
        <v>238</v>
      </c>
      <c r="AT256" s="6" t="s">
        <v>238</v>
      </c>
      <c r="AW256" s="5" t="s">
        <v>304</v>
      </c>
      <c r="AX256" s="5" t="s">
        <v>304</v>
      </c>
      <c r="AY256" s="5" t="s">
        <v>250</v>
      </c>
      <c r="AZ256" s="5" t="s">
        <v>305</v>
      </c>
      <c r="BA256" s="5" t="s">
        <v>251</v>
      </c>
      <c r="BB256" s="5" t="s">
        <v>238</v>
      </c>
      <c r="BC256" s="5" t="s">
        <v>253</v>
      </c>
      <c r="BD256" s="5" t="s">
        <v>238</v>
      </c>
      <c r="BF256" s="5" t="s">
        <v>238</v>
      </c>
      <c r="BH256" s="5" t="s">
        <v>283</v>
      </c>
      <c r="BI256" s="6" t="s">
        <v>293</v>
      </c>
      <c r="BJ256" s="5" t="s">
        <v>294</v>
      </c>
      <c r="BK256" s="5" t="s">
        <v>294</v>
      </c>
      <c r="BL256" s="5" t="s">
        <v>238</v>
      </c>
      <c r="BM256" s="7">
        <f>0</f>
        <v>0</v>
      </c>
      <c r="BN256" s="8">
        <f>-82917</f>
        <v>-82917</v>
      </c>
      <c r="BO256" s="5" t="s">
        <v>257</v>
      </c>
      <c r="BP256" s="5" t="s">
        <v>258</v>
      </c>
      <c r="BQ256" s="5" t="s">
        <v>238</v>
      </c>
      <c r="BR256" s="5" t="s">
        <v>238</v>
      </c>
      <c r="BS256" s="5" t="s">
        <v>238</v>
      </c>
      <c r="BT256" s="5" t="s">
        <v>238</v>
      </c>
      <c r="CC256" s="5" t="s">
        <v>258</v>
      </c>
      <c r="CD256" s="5" t="s">
        <v>238</v>
      </c>
      <c r="CE256" s="5" t="s">
        <v>238</v>
      </c>
      <c r="CI256" s="5" t="s">
        <v>259</v>
      </c>
      <c r="CJ256" s="5" t="s">
        <v>260</v>
      </c>
      <c r="CK256" s="5" t="s">
        <v>238</v>
      </c>
      <c r="CM256" s="5" t="s">
        <v>1078</v>
      </c>
      <c r="CN256" s="6" t="s">
        <v>262</v>
      </c>
      <c r="CO256" s="5" t="s">
        <v>263</v>
      </c>
      <c r="CP256" s="5" t="s">
        <v>264</v>
      </c>
      <c r="CQ256" s="5" t="s">
        <v>285</v>
      </c>
      <c r="CR256" s="5" t="s">
        <v>238</v>
      </c>
      <c r="CS256" s="5">
        <v>0.04</v>
      </c>
      <c r="CT256" s="5" t="s">
        <v>265</v>
      </c>
      <c r="CU256" s="5" t="s">
        <v>1187</v>
      </c>
      <c r="CV256" s="5" t="s">
        <v>331</v>
      </c>
      <c r="CW256" s="7">
        <f>0</f>
        <v>0</v>
      </c>
      <c r="CX256" s="8">
        <f>2072950</f>
        <v>2072950</v>
      </c>
      <c r="CY256" s="8">
        <f>82918</f>
        <v>82918</v>
      </c>
      <c r="DA256" s="5" t="s">
        <v>238</v>
      </c>
      <c r="DB256" s="5" t="s">
        <v>238</v>
      </c>
      <c r="DD256" s="5" t="s">
        <v>238</v>
      </c>
      <c r="DE256" s="8">
        <f>0</f>
        <v>0</v>
      </c>
      <c r="DG256" s="5" t="s">
        <v>238</v>
      </c>
      <c r="DH256" s="5" t="s">
        <v>238</v>
      </c>
      <c r="DI256" s="5" t="s">
        <v>238</v>
      </c>
      <c r="DJ256" s="5" t="s">
        <v>238</v>
      </c>
      <c r="DK256" s="5" t="s">
        <v>271</v>
      </c>
      <c r="DL256" s="5" t="s">
        <v>272</v>
      </c>
      <c r="DM256" s="7">
        <f>37.69</f>
        <v>37.69</v>
      </c>
      <c r="DN256" s="5" t="s">
        <v>238</v>
      </c>
      <c r="DO256" s="5" t="s">
        <v>238</v>
      </c>
      <c r="DP256" s="5" t="s">
        <v>238</v>
      </c>
      <c r="DQ256" s="5" t="s">
        <v>238</v>
      </c>
      <c r="DT256" s="5" t="s">
        <v>1062</v>
      </c>
      <c r="DU256" s="5" t="s">
        <v>274</v>
      </c>
      <c r="GL256" s="5" t="s">
        <v>1192</v>
      </c>
      <c r="HM256" s="5" t="s">
        <v>313</v>
      </c>
      <c r="HP256" s="5" t="s">
        <v>272</v>
      </c>
      <c r="HQ256" s="5" t="s">
        <v>272</v>
      </c>
      <c r="HR256" s="5" t="s">
        <v>238</v>
      </c>
      <c r="HS256" s="5" t="s">
        <v>238</v>
      </c>
      <c r="HT256" s="5" t="s">
        <v>238</v>
      </c>
      <c r="HU256" s="5" t="s">
        <v>238</v>
      </c>
      <c r="HV256" s="5" t="s">
        <v>238</v>
      </c>
      <c r="HW256" s="5" t="s">
        <v>238</v>
      </c>
      <c r="HX256" s="5" t="s">
        <v>238</v>
      </c>
      <c r="HY256" s="5" t="s">
        <v>238</v>
      </c>
      <c r="HZ256" s="5" t="s">
        <v>238</v>
      </c>
      <c r="IA256" s="5" t="s">
        <v>238</v>
      </c>
      <c r="IB256" s="5" t="s">
        <v>238</v>
      </c>
      <c r="IC256" s="5" t="s">
        <v>238</v>
      </c>
      <c r="ID256" s="5" t="s">
        <v>238</v>
      </c>
    </row>
    <row r="257" spans="1:238" x14ac:dyDescent="0.4">
      <c r="A257" s="5">
        <v>281</v>
      </c>
      <c r="B257" s="5">
        <v>1</v>
      </c>
      <c r="C257" s="5">
        <v>4</v>
      </c>
      <c r="D257" s="5" t="s">
        <v>1060</v>
      </c>
      <c r="E257" s="5" t="s">
        <v>244</v>
      </c>
      <c r="F257" s="5" t="s">
        <v>282</v>
      </c>
      <c r="G257" s="5" t="s">
        <v>302</v>
      </c>
      <c r="H257" s="6" t="s">
        <v>506</v>
      </c>
      <c r="I257" s="5" t="s">
        <v>298</v>
      </c>
      <c r="J257" s="7">
        <f>4010.4</f>
        <v>4010.4</v>
      </c>
      <c r="K257" s="5" t="s">
        <v>270</v>
      </c>
      <c r="L257" s="8">
        <f>758446848</f>
        <v>758446848</v>
      </c>
      <c r="M257" s="8">
        <f>1580097600</f>
        <v>1580097600</v>
      </c>
      <c r="N257" s="6" t="s">
        <v>1366</v>
      </c>
      <c r="O257" s="5" t="s">
        <v>279</v>
      </c>
      <c r="P257" s="5" t="s">
        <v>651</v>
      </c>
      <c r="Q257" s="8">
        <f>31601952</f>
        <v>31601952</v>
      </c>
      <c r="R257" s="8">
        <f>821650752</f>
        <v>821650752</v>
      </c>
      <c r="S257" s="5" t="s">
        <v>240</v>
      </c>
      <c r="T257" s="5" t="s">
        <v>237</v>
      </c>
      <c r="U257" s="5" t="s">
        <v>238</v>
      </c>
      <c r="V257" s="5" t="s">
        <v>238</v>
      </c>
      <c r="W257" s="5" t="s">
        <v>241</v>
      </c>
      <c r="X257" s="5" t="s">
        <v>243</v>
      </c>
      <c r="Y257" s="5" t="s">
        <v>238</v>
      </c>
      <c r="AB257" s="5" t="s">
        <v>238</v>
      </c>
      <c r="AC257" s="6" t="s">
        <v>238</v>
      </c>
      <c r="AD257" s="6" t="s">
        <v>238</v>
      </c>
      <c r="AF257" s="6" t="s">
        <v>238</v>
      </c>
      <c r="AG257" s="6" t="s">
        <v>246</v>
      </c>
      <c r="AH257" s="5" t="s">
        <v>247</v>
      </c>
      <c r="AI257" s="5" t="s">
        <v>248</v>
      </c>
      <c r="AO257" s="5" t="s">
        <v>238</v>
      </c>
      <c r="AP257" s="5" t="s">
        <v>238</v>
      </c>
      <c r="AQ257" s="5" t="s">
        <v>238</v>
      </c>
      <c r="AR257" s="6" t="s">
        <v>238</v>
      </c>
      <c r="AS257" s="6" t="s">
        <v>238</v>
      </c>
      <c r="AT257" s="6" t="s">
        <v>238</v>
      </c>
      <c r="AW257" s="5" t="s">
        <v>304</v>
      </c>
      <c r="AX257" s="5" t="s">
        <v>304</v>
      </c>
      <c r="AY257" s="5" t="s">
        <v>250</v>
      </c>
      <c r="AZ257" s="5" t="s">
        <v>305</v>
      </c>
      <c r="BA257" s="5" t="s">
        <v>251</v>
      </c>
      <c r="BB257" s="5" t="s">
        <v>238</v>
      </c>
      <c r="BC257" s="5" t="s">
        <v>253</v>
      </c>
      <c r="BD257" s="5" t="s">
        <v>238</v>
      </c>
      <c r="BF257" s="5" t="s">
        <v>238</v>
      </c>
      <c r="BH257" s="5" t="s">
        <v>283</v>
      </c>
      <c r="BI257" s="6" t="s">
        <v>293</v>
      </c>
      <c r="BJ257" s="5" t="s">
        <v>294</v>
      </c>
      <c r="BK257" s="5" t="s">
        <v>294</v>
      </c>
      <c r="BL257" s="5" t="s">
        <v>238</v>
      </c>
      <c r="BM257" s="7">
        <f>0</f>
        <v>0</v>
      </c>
      <c r="BN257" s="8">
        <f>-31601952</f>
        <v>-31601952</v>
      </c>
      <c r="BO257" s="5" t="s">
        <v>257</v>
      </c>
      <c r="BP257" s="5" t="s">
        <v>258</v>
      </c>
      <c r="BQ257" s="5" t="s">
        <v>238</v>
      </c>
      <c r="BR257" s="5" t="s">
        <v>238</v>
      </c>
      <c r="BS257" s="5" t="s">
        <v>238</v>
      </c>
      <c r="BT257" s="5" t="s">
        <v>238</v>
      </c>
      <c r="CC257" s="5" t="s">
        <v>258</v>
      </c>
      <c r="CD257" s="5" t="s">
        <v>238</v>
      </c>
      <c r="CE257" s="5" t="s">
        <v>238</v>
      </c>
      <c r="CI257" s="5" t="s">
        <v>259</v>
      </c>
      <c r="CJ257" s="5" t="s">
        <v>260</v>
      </c>
      <c r="CK257" s="5" t="s">
        <v>238</v>
      </c>
      <c r="CM257" s="5" t="s">
        <v>648</v>
      </c>
      <c r="CN257" s="6" t="s">
        <v>262</v>
      </c>
      <c r="CO257" s="5" t="s">
        <v>263</v>
      </c>
      <c r="CP257" s="5" t="s">
        <v>264</v>
      </c>
      <c r="CQ257" s="5" t="s">
        <v>285</v>
      </c>
      <c r="CR257" s="5" t="s">
        <v>238</v>
      </c>
      <c r="CS257" s="5">
        <v>0.02</v>
      </c>
      <c r="CT257" s="5" t="s">
        <v>265</v>
      </c>
      <c r="CU257" s="5" t="s">
        <v>307</v>
      </c>
      <c r="CV257" s="5" t="s">
        <v>308</v>
      </c>
      <c r="CW257" s="7">
        <f>0</f>
        <v>0</v>
      </c>
      <c r="CX257" s="8">
        <f>1580097600</f>
        <v>1580097600</v>
      </c>
      <c r="CY257" s="8">
        <f>790048800</f>
        <v>790048800</v>
      </c>
      <c r="DA257" s="5" t="s">
        <v>238</v>
      </c>
      <c r="DB257" s="5" t="s">
        <v>238</v>
      </c>
      <c r="DD257" s="5" t="s">
        <v>238</v>
      </c>
      <c r="DE257" s="8">
        <f>0</f>
        <v>0</v>
      </c>
      <c r="DG257" s="5" t="s">
        <v>238</v>
      </c>
      <c r="DH257" s="5" t="s">
        <v>238</v>
      </c>
      <c r="DI257" s="5" t="s">
        <v>238</v>
      </c>
      <c r="DJ257" s="5" t="s">
        <v>238</v>
      </c>
      <c r="DK257" s="5" t="s">
        <v>356</v>
      </c>
      <c r="DL257" s="5" t="s">
        <v>272</v>
      </c>
      <c r="DM257" s="7">
        <f>4010.4</f>
        <v>4010.4</v>
      </c>
      <c r="DN257" s="5" t="s">
        <v>238</v>
      </c>
      <c r="DO257" s="5" t="s">
        <v>238</v>
      </c>
      <c r="DP257" s="5" t="s">
        <v>238</v>
      </c>
      <c r="DQ257" s="5" t="s">
        <v>238</v>
      </c>
      <c r="DT257" s="5" t="s">
        <v>1062</v>
      </c>
      <c r="DU257" s="5" t="s">
        <v>356</v>
      </c>
      <c r="GL257" s="5" t="s">
        <v>1367</v>
      </c>
      <c r="HM257" s="5" t="s">
        <v>313</v>
      </c>
      <c r="HP257" s="5" t="s">
        <v>272</v>
      </c>
      <c r="HQ257" s="5" t="s">
        <v>272</v>
      </c>
      <c r="HR257" s="5" t="s">
        <v>238</v>
      </c>
      <c r="HS257" s="5" t="s">
        <v>238</v>
      </c>
      <c r="HT257" s="5" t="s">
        <v>238</v>
      </c>
      <c r="HU257" s="5" t="s">
        <v>238</v>
      </c>
      <c r="HV257" s="5" t="s">
        <v>238</v>
      </c>
      <c r="HW257" s="5" t="s">
        <v>238</v>
      </c>
      <c r="HX257" s="5" t="s">
        <v>238</v>
      </c>
      <c r="HY257" s="5" t="s">
        <v>238</v>
      </c>
      <c r="HZ257" s="5" t="s">
        <v>238</v>
      </c>
      <c r="IA257" s="5" t="s">
        <v>238</v>
      </c>
      <c r="IB257" s="5" t="s">
        <v>238</v>
      </c>
      <c r="IC257" s="5" t="s">
        <v>238</v>
      </c>
      <c r="ID257" s="5" t="s">
        <v>238</v>
      </c>
    </row>
    <row r="258" spans="1:238" x14ac:dyDescent="0.4">
      <c r="A258" s="5">
        <v>282</v>
      </c>
      <c r="B258" s="5">
        <v>1</v>
      </c>
      <c r="C258" s="5">
        <v>1</v>
      </c>
      <c r="D258" s="5" t="s">
        <v>1060</v>
      </c>
      <c r="E258" s="5" t="s">
        <v>244</v>
      </c>
      <c r="F258" s="5" t="s">
        <v>282</v>
      </c>
      <c r="G258" s="5" t="s">
        <v>1181</v>
      </c>
      <c r="H258" s="6" t="s">
        <v>506</v>
      </c>
      <c r="I258" s="5" t="s">
        <v>1181</v>
      </c>
      <c r="J258" s="7">
        <f>103.68</f>
        <v>103.68</v>
      </c>
      <c r="K258" s="5" t="s">
        <v>270</v>
      </c>
      <c r="L258" s="8">
        <f>1</f>
        <v>1</v>
      </c>
      <c r="M258" s="8">
        <f>6220800</f>
        <v>6220800</v>
      </c>
      <c r="N258" s="6" t="s">
        <v>1191</v>
      </c>
      <c r="O258" s="5" t="s">
        <v>640</v>
      </c>
      <c r="P258" s="5" t="s">
        <v>898</v>
      </c>
      <c r="R258" s="8">
        <f>6220799</f>
        <v>6220799</v>
      </c>
      <c r="S258" s="5" t="s">
        <v>240</v>
      </c>
      <c r="T258" s="5" t="s">
        <v>237</v>
      </c>
      <c r="U258" s="5" t="s">
        <v>238</v>
      </c>
      <c r="V258" s="5" t="s">
        <v>238</v>
      </c>
      <c r="W258" s="5" t="s">
        <v>241</v>
      </c>
      <c r="X258" s="5" t="s">
        <v>243</v>
      </c>
      <c r="Y258" s="5" t="s">
        <v>238</v>
      </c>
      <c r="AB258" s="5" t="s">
        <v>238</v>
      </c>
      <c r="AD258" s="6" t="s">
        <v>238</v>
      </c>
      <c r="AG258" s="6" t="s">
        <v>246</v>
      </c>
      <c r="AH258" s="5" t="s">
        <v>247</v>
      </c>
      <c r="AI258" s="5" t="s">
        <v>248</v>
      </c>
      <c r="AY258" s="5" t="s">
        <v>250</v>
      </c>
      <c r="AZ258" s="5" t="s">
        <v>238</v>
      </c>
      <c r="BA258" s="5" t="s">
        <v>251</v>
      </c>
      <c r="BB258" s="5" t="s">
        <v>238</v>
      </c>
      <c r="BC258" s="5" t="s">
        <v>253</v>
      </c>
      <c r="BD258" s="5" t="s">
        <v>238</v>
      </c>
      <c r="BF258" s="5" t="s">
        <v>238</v>
      </c>
      <c r="BH258" s="5" t="s">
        <v>798</v>
      </c>
      <c r="BI258" s="6" t="s">
        <v>799</v>
      </c>
      <c r="BJ258" s="5" t="s">
        <v>255</v>
      </c>
      <c r="BK258" s="5" t="s">
        <v>256</v>
      </c>
      <c r="BL258" s="5" t="s">
        <v>238</v>
      </c>
      <c r="BM258" s="7">
        <f>0</f>
        <v>0</v>
      </c>
      <c r="BN258" s="8">
        <f>0</f>
        <v>0</v>
      </c>
      <c r="BO258" s="5" t="s">
        <v>257</v>
      </c>
      <c r="BP258" s="5" t="s">
        <v>258</v>
      </c>
      <c r="CD258" s="5" t="s">
        <v>238</v>
      </c>
      <c r="CE258" s="5" t="s">
        <v>238</v>
      </c>
      <c r="CI258" s="5" t="s">
        <v>527</v>
      </c>
      <c r="CJ258" s="5" t="s">
        <v>260</v>
      </c>
      <c r="CK258" s="5" t="s">
        <v>238</v>
      </c>
      <c r="CM258" s="5" t="s">
        <v>897</v>
      </c>
      <c r="CN258" s="6" t="s">
        <v>262</v>
      </c>
      <c r="CO258" s="5" t="s">
        <v>263</v>
      </c>
      <c r="CP258" s="5" t="s">
        <v>264</v>
      </c>
      <c r="CQ258" s="5" t="s">
        <v>238</v>
      </c>
      <c r="CR258" s="5" t="s">
        <v>238</v>
      </c>
      <c r="CS258" s="5">
        <v>0</v>
      </c>
      <c r="CT258" s="5" t="s">
        <v>265</v>
      </c>
      <c r="CU258" s="5" t="s">
        <v>1187</v>
      </c>
      <c r="CV258" s="5" t="s">
        <v>331</v>
      </c>
      <c r="CX258" s="8">
        <f>6220800</f>
        <v>6220800</v>
      </c>
      <c r="CY258" s="8">
        <f>0</f>
        <v>0</v>
      </c>
      <c r="DA258" s="5" t="s">
        <v>238</v>
      </c>
      <c r="DB258" s="5" t="s">
        <v>238</v>
      </c>
      <c r="DD258" s="5" t="s">
        <v>238</v>
      </c>
      <c r="DG258" s="5" t="s">
        <v>238</v>
      </c>
      <c r="DH258" s="5" t="s">
        <v>238</v>
      </c>
      <c r="DI258" s="5" t="s">
        <v>238</v>
      </c>
      <c r="DJ258" s="5" t="s">
        <v>238</v>
      </c>
      <c r="DK258" s="5" t="s">
        <v>271</v>
      </c>
      <c r="DL258" s="5" t="s">
        <v>272</v>
      </c>
      <c r="DM258" s="7">
        <f>103.68</f>
        <v>103.68</v>
      </c>
      <c r="DN258" s="5" t="s">
        <v>238</v>
      </c>
      <c r="DO258" s="5" t="s">
        <v>238</v>
      </c>
      <c r="DP258" s="5" t="s">
        <v>238</v>
      </c>
      <c r="DQ258" s="5" t="s">
        <v>238</v>
      </c>
      <c r="DT258" s="5" t="s">
        <v>1062</v>
      </c>
      <c r="DU258" s="5" t="s">
        <v>310</v>
      </c>
      <c r="HM258" s="5" t="s">
        <v>271</v>
      </c>
      <c r="HP258" s="5" t="s">
        <v>272</v>
      </c>
      <c r="HQ258" s="5" t="s">
        <v>272</v>
      </c>
    </row>
    <row r="259" spans="1:238" x14ac:dyDescent="0.4">
      <c r="A259" s="5">
        <v>283</v>
      </c>
      <c r="B259" s="5">
        <v>1</v>
      </c>
      <c r="C259" s="5">
        <v>1</v>
      </c>
      <c r="D259" s="5" t="s">
        <v>1060</v>
      </c>
      <c r="E259" s="5" t="s">
        <v>244</v>
      </c>
      <c r="F259" s="5" t="s">
        <v>282</v>
      </c>
      <c r="G259" s="5" t="s">
        <v>1181</v>
      </c>
      <c r="H259" s="6" t="s">
        <v>506</v>
      </c>
      <c r="I259" s="5" t="s">
        <v>1181</v>
      </c>
      <c r="J259" s="7">
        <f>51</f>
        <v>51</v>
      </c>
      <c r="K259" s="5" t="s">
        <v>270</v>
      </c>
      <c r="L259" s="8">
        <f>1</f>
        <v>1</v>
      </c>
      <c r="M259" s="8">
        <f>3060000</f>
        <v>3060000</v>
      </c>
      <c r="N259" s="6" t="s">
        <v>849</v>
      </c>
      <c r="O259" s="5" t="s">
        <v>640</v>
      </c>
      <c r="P259" s="5" t="s">
        <v>1173</v>
      </c>
      <c r="R259" s="8">
        <f>3059999</f>
        <v>3059999</v>
      </c>
      <c r="S259" s="5" t="s">
        <v>240</v>
      </c>
      <c r="T259" s="5" t="s">
        <v>237</v>
      </c>
      <c r="U259" s="5" t="s">
        <v>238</v>
      </c>
      <c r="V259" s="5" t="s">
        <v>238</v>
      </c>
      <c r="W259" s="5" t="s">
        <v>241</v>
      </c>
      <c r="X259" s="5" t="s">
        <v>243</v>
      </c>
      <c r="Y259" s="5" t="s">
        <v>238</v>
      </c>
      <c r="AB259" s="5" t="s">
        <v>238</v>
      </c>
      <c r="AD259" s="6" t="s">
        <v>238</v>
      </c>
      <c r="AG259" s="6" t="s">
        <v>246</v>
      </c>
      <c r="AH259" s="5" t="s">
        <v>247</v>
      </c>
      <c r="AI259" s="5" t="s">
        <v>248</v>
      </c>
      <c r="AY259" s="5" t="s">
        <v>250</v>
      </c>
      <c r="AZ259" s="5" t="s">
        <v>238</v>
      </c>
      <c r="BA259" s="5" t="s">
        <v>251</v>
      </c>
      <c r="BB259" s="5" t="s">
        <v>238</v>
      </c>
      <c r="BC259" s="5" t="s">
        <v>253</v>
      </c>
      <c r="BD259" s="5" t="s">
        <v>238</v>
      </c>
      <c r="BF259" s="5" t="s">
        <v>238</v>
      </c>
      <c r="BH259" s="5" t="s">
        <v>254</v>
      </c>
      <c r="BI259" s="6" t="s">
        <v>246</v>
      </c>
      <c r="BJ259" s="5" t="s">
        <v>255</v>
      </c>
      <c r="BK259" s="5" t="s">
        <v>256</v>
      </c>
      <c r="BL259" s="5" t="s">
        <v>238</v>
      </c>
      <c r="BM259" s="7">
        <f>0</f>
        <v>0</v>
      </c>
      <c r="BN259" s="8">
        <f>0</f>
        <v>0</v>
      </c>
      <c r="BO259" s="5" t="s">
        <v>257</v>
      </c>
      <c r="BP259" s="5" t="s">
        <v>258</v>
      </c>
      <c r="CD259" s="5" t="s">
        <v>238</v>
      </c>
      <c r="CE259" s="5" t="s">
        <v>238</v>
      </c>
      <c r="CI259" s="5" t="s">
        <v>527</v>
      </c>
      <c r="CJ259" s="5" t="s">
        <v>260</v>
      </c>
      <c r="CK259" s="5" t="s">
        <v>238</v>
      </c>
      <c r="CM259" s="5" t="s">
        <v>1171</v>
      </c>
      <c r="CN259" s="6" t="s">
        <v>262</v>
      </c>
      <c r="CO259" s="5" t="s">
        <v>263</v>
      </c>
      <c r="CP259" s="5" t="s">
        <v>264</v>
      </c>
      <c r="CQ259" s="5" t="s">
        <v>238</v>
      </c>
      <c r="CR259" s="5" t="s">
        <v>238</v>
      </c>
      <c r="CS259" s="5">
        <v>0</v>
      </c>
      <c r="CT259" s="5" t="s">
        <v>265</v>
      </c>
      <c r="CU259" s="5" t="s">
        <v>1187</v>
      </c>
      <c r="CV259" s="5" t="s">
        <v>331</v>
      </c>
      <c r="CX259" s="8">
        <f>3060000</f>
        <v>3060000</v>
      </c>
      <c r="CY259" s="8">
        <f>0</f>
        <v>0</v>
      </c>
      <c r="DA259" s="5" t="s">
        <v>238</v>
      </c>
      <c r="DB259" s="5" t="s">
        <v>238</v>
      </c>
      <c r="DD259" s="5" t="s">
        <v>238</v>
      </c>
      <c r="DG259" s="5" t="s">
        <v>238</v>
      </c>
      <c r="DH259" s="5" t="s">
        <v>238</v>
      </c>
      <c r="DI259" s="5" t="s">
        <v>238</v>
      </c>
      <c r="DJ259" s="5" t="s">
        <v>238</v>
      </c>
      <c r="DK259" s="5" t="s">
        <v>271</v>
      </c>
      <c r="DL259" s="5" t="s">
        <v>272</v>
      </c>
      <c r="DM259" s="7">
        <f>51</f>
        <v>51</v>
      </c>
      <c r="DN259" s="5" t="s">
        <v>238</v>
      </c>
      <c r="DO259" s="5" t="s">
        <v>238</v>
      </c>
      <c r="DP259" s="5" t="s">
        <v>238</v>
      </c>
      <c r="DQ259" s="5" t="s">
        <v>238</v>
      </c>
      <c r="DT259" s="5" t="s">
        <v>1062</v>
      </c>
      <c r="DU259" s="5" t="s">
        <v>379</v>
      </c>
      <c r="HM259" s="5" t="s">
        <v>271</v>
      </c>
      <c r="HP259" s="5" t="s">
        <v>272</v>
      </c>
      <c r="HQ259" s="5" t="s">
        <v>272</v>
      </c>
    </row>
    <row r="260" spans="1:238" x14ac:dyDescent="0.4">
      <c r="A260" s="5">
        <v>284</v>
      </c>
      <c r="B260" s="5">
        <v>1</v>
      </c>
      <c r="C260" s="5">
        <v>1</v>
      </c>
      <c r="D260" s="5" t="s">
        <v>1060</v>
      </c>
      <c r="E260" s="5" t="s">
        <v>244</v>
      </c>
      <c r="F260" s="5" t="s">
        <v>282</v>
      </c>
      <c r="G260" s="5" t="s">
        <v>1181</v>
      </c>
      <c r="H260" s="6" t="s">
        <v>506</v>
      </c>
      <c r="I260" s="5" t="s">
        <v>1181</v>
      </c>
      <c r="J260" s="7">
        <f>53.77</f>
        <v>53.77</v>
      </c>
      <c r="K260" s="5" t="s">
        <v>270</v>
      </c>
      <c r="L260" s="8">
        <f>1</f>
        <v>1</v>
      </c>
      <c r="M260" s="8">
        <f>3226200</f>
        <v>3226200</v>
      </c>
      <c r="N260" s="6" t="s">
        <v>995</v>
      </c>
      <c r="O260" s="5" t="s">
        <v>650</v>
      </c>
      <c r="P260" s="5" t="s">
        <v>922</v>
      </c>
      <c r="R260" s="8">
        <f>3226199</f>
        <v>3226199</v>
      </c>
      <c r="S260" s="5" t="s">
        <v>240</v>
      </c>
      <c r="T260" s="5" t="s">
        <v>237</v>
      </c>
      <c r="U260" s="5" t="s">
        <v>238</v>
      </c>
      <c r="V260" s="5" t="s">
        <v>238</v>
      </c>
      <c r="W260" s="5" t="s">
        <v>241</v>
      </c>
      <c r="X260" s="5" t="s">
        <v>243</v>
      </c>
      <c r="Y260" s="5" t="s">
        <v>238</v>
      </c>
      <c r="AB260" s="5" t="s">
        <v>238</v>
      </c>
      <c r="AD260" s="6" t="s">
        <v>238</v>
      </c>
      <c r="AG260" s="6" t="s">
        <v>246</v>
      </c>
      <c r="AH260" s="5" t="s">
        <v>247</v>
      </c>
      <c r="AI260" s="5" t="s">
        <v>248</v>
      </c>
      <c r="AY260" s="5" t="s">
        <v>250</v>
      </c>
      <c r="AZ260" s="5" t="s">
        <v>238</v>
      </c>
      <c r="BA260" s="5" t="s">
        <v>251</v>
      </c>
      <c r="BB260" s="5" t="s">
        <v>238</v>
      </c>
      <c r="BC260" s="5" t="s">
        <v>253</v>
      </c>
      <c r="BD260" s="5" t="s">
        <v>238</v>
      </c>
      <c r="BF260" s="5" t="s">
        <v>238</v>
      </c>
      <c r="BH260" s="5" t="s">
        <v>859</v>
      </c>
      <c r="BI260" s="6" t="s">
        <v>368</v>
      </c>
      <c r="BJ260" s="5" t="s">
        <v>255</v>
      </c>
      <c r="BK260" s="5" t="s">
        <v>256</v>
      </c>
      <c r="BL260" s="5" t="s">
        <v>238</v>
      </c>
      <c r="BM260" s="7">
        <f>0</f>
        <v>0</v>
      </c>
      <c r="BN260" s="8">
        <f>0</f>
        <v>0</v>
      </c>
      <c r="BO260" s="5" t="s">
        <v>257</v>
      </c>
      <c r="BP260" s="5" t="s">
        <v>258</v>
      </c>
      <c r="CD260" s="5" t="s">
        <v>238</v>
      </c>
      <c r="CE260" s="5" t="s">
        <v>238</v>
      </c>
      <c r="CI260" s="5" t="s">
        <v>527</v>
      </c>
      <c r="CJ260" s="5" t="s">
        <v>260</v>
      </c>
      <c r="CK260" s="5" t="s">
        <v>238</v>
      </c>
      <c r="CM260" s="5" t="s">
        <v>921</v>
      </c>
      <c r="CN260" s="6" t="s">
        <v>262</v>
      </c>
      <c r="CO260" s="5" t="s">
        <v>263</v>
      </c>
      <c r="CP260" s="5" t="s">
        <v>264</v>
      </c>
      <c r="CQ260" s="5" t="s">
        <v>238</v>
      </c>
      <c r="CR260" s="5" t="s">
        <v>238</v>
      </c>
      <c r="CS260" s="5">
        <v>0</v>
      </c>
      <c r="CT260" s="5" t="s">
        <v>265</v>
      </c>
      <c r="CU260" s="5" t="s">
        <v>1187</v>
      </c>
      <c r="CV260" s="5" t="s">
        <v>649</v>
      </c>
      <c r="CX260" s="8">
        <f>3226200</f>
        <v>3226200</v>
      </c>
      <c r="CY260" s="8">
        <f>0</f>
        <v>0</v>
      </c>
      <c r="DA260" s="5" t="s">
        <v>238</v>
      </c>
      <c r="DB260" s="5" t="s">
        <v>238</v>
      </c>
      <c r="DD260" s="5" t="s">
        <v>238</v>
      </c>
      <c r="DG260" s="5" t="s">
        <v>238</v>
      </c>
      <c r="DH260" s="5" t="s">
        <v>238</v>
      </c>
      <c r="DI260" s="5" t="s">
        <v>238</v>
      </c>
      <c r="DJ260" s="5" t="s">
        <v>238</v>
      </c>
      <c r="DK260" s="5" t="s">
        <v>271</v>
      </c>
      <c r="DL260" s="5" t="s">
        <v>272</v>
      </c>
      <c r="DM260" s="7">
        <f>53.77</f>
        <v>53.77</v>
      </c>
      <c r="DN260" s="5" t="s">
        <v>238</v>
      </c>
      <c r="DO260" s="5" t="s">
        <v>238</v>
      </c>
      <c r="DP260" s="5" t="s">
        <v>238</v>
      </c>
      <c r="DQ260" s="5" t="s">
        <v>238</v>
      </c>
      <c r="DT260" s="5" t="s">
        <v>1062</v>
      </c>
      <c r="DU260" s="5" t="s">
        <v>313</v>
      </c>
      <c r="HM260" s="5" t="s">
        <v>271</v>
      </c>
      <c r="HP260" s="5" t="s">
        <v>272</v>
      </c>
      <c r="HQ260" s="5" t="s">
        <v>272</v>
      </c>
    </row>
    <row r="261" spans="1:238" x14ac:dyDescent="0.4">
      <c r="A261" s="5">
        <v>285</v>
      </c>
      <c r="B261" s="5">
        <v>1</v>
      </c>
      <c r="C261" s="5">
        <v>1</v>
      </c>
      <c r="D261" s="5" t="s">
        <v>1060</v>
      </c>
      <c r="E261" s="5" t="s">
        <v>244</v>
      </c>
      <c r="F261" s="5" t="s">
        <v>282</v>
      </c>
      <c r="G261" s="5" t="s">
        <v>1170</v>
      </c>
      <c r="H261" s="6" t="s">
        <v>506</v>
      </c>
      <c r="I261" s="5" t="s">
        <v>1170</v>
      </c>
      <c r="J261" s="7">
        <f>53</f>
        <v>53</v>
      </c>
      <c r="K261" s="5" t="s">
        <v>270</v>
      </c>
      <c r="L261" s="8">
        <f>1</f>
        <v>1</v>
      </c>
      <c r="M261" s="8">
        <f>3180000</f>
        <v>3180000</v>
      </c>
      <c r="N261" s="6" t="s">
        <v>906</v>
      </c>
      <c r="O261" s="5" t="s">
        <v>651</v>
      </c>
      <c r="P261" s="5" t="s">
        <v>909</v>
      </c>
      <c r="R261" s="8">
        <f>3179999</f>
        <v>3179999</v>
      </c>
      <c r="S261" s="5" t="s">
        <v>240</v>
      </c>
      <c r="T261" s="5" t="s">
        <v>237</v>
      </c>
      <c r="U261" s="5" t="s">
        <v>238</v>
      </c>
      <c r="V261" s="5" t="s">
        <v>238</v>
      </c>
      <c r="W261" s="5" t="s">
        <v>241</v>
      </c>
      <c r="X261" s="5" t="s">
        <v>243</v>
      </c>
      <c r="Y261" s="5" t="s">
        <v>238</v>
      </c>
      <c r="AB261" s="5" t="s">
        <v>238</v>
      </c>
      <c r="AD261" s="6" t="s">
        <v>238</v>
      </c>
      <c r="AG261" s="6" t="s">
        <v>246</v>
      </c>
      <c r="AH261" s="5" t="s">
        <v>247</v>
      </c>
      <c r="AI261" s="5" t="s">
        <v>248</v>
      </c>
      <c r="AY261" s="5" t="s">
        <v>250</v>
      </c>
      <c r="AZ261" s="5" t="s">
        <v>238</v>
      </c>
      <c r="BA261" s="5" t="s">
        <v>251</v>
      </c>
      <c r="BB261" s="5" t="s">
        <v>238</v>
      </c>
      <c r="BC261" s="5" t="s">
        <v>253</v>
      </c>
      <c r="BD261" s="5" t="s">
        <v>238</v>
      </c>
      <c r="BF261" s="5" t="s">
        <v>238</v>
      </c>
      <c r="BH261" s="5" t="s">
        <v>697</v>
      </c>
      <c r="BI261" s="6" t="s">
        <v>698</v>
      </c>
      <c r="BJ261" s="5" t="s">
        <v>255</v>
      </c>
      <c r="BK261" s="5" t="s">
        <v>256</v>
      </c>
      <c r="BL261" s="5" t="s">
        <v>238</v>
      </c>
      <c r="BM261" s="7">
        <f>0</f>
        <v>0</v>
      </c>
      <c r="BN261" s="8">
        <f>0</f>
        <v>0</v>
      </c>
      <c r="BO261" s="5" t="s">
        <v>257</v>
      </c>
      <c r="BP261" s="5" t="s">
        <v>258</v>
      </c>
      <c r="CD261" s="5" t="s">
        <v>238</v>
      </c>
      <c r="CE261" s="5" t="s">
        <v>238</v>
      </c>
      <c r="CI261" s="5" t="s">
        <v>527</v>
      </c>
      <c r="CJ261" s="5" t="s">
        <v>260</v>
      </c>
      <c r="CK261" s="5" t="s">
        <v>238</v>
      </c>
      <c r="CM261" s="5" t="s">
        <v>908</v>
      </c>
      <c r="CN261" s="6" t="s">
        <v>262</v>
      </c>
      <c r="CO261" s="5" t="s">
        <v>263</v>
      </c>
      <c r="CP261" s="5" t="s">
        <v>264</v>
      </c>
      <c r="CQ261" s="5" t="s">
        <v>238</v>
      </c>
      <c r="CR261" s="5" t="s">
        <v>238</v>
      </c>
      <c r="CS261" s="5">
        <v>0</v>
      </c>
      <c r="CT261" s="5" t="s">
        <v>265</v>
      </c>
      <c r="CU261" s="5" t="s">
        <v>1172</v>
      </c>
      <c r="CV261" s="5" t="s">
        <v>267</v>
      </c>
      <c r="CX261" s="8">
        <f>3180000</f>
        <v>3180000</v>
      </c>
      <c r="CY261" s="8">
        <f>0</f>
        <v>0</v>
      </c>
      <c r="DA261" s="5" t="s">
        <v>238</v>
      </c>
      <c r="DB261" s="5" t="s">
        <v>238</v>
      </c>
      <c r="DD261" s="5" t="s">
        <v>238</v>
      </c>
      <c r="DG261" s="5" t="s">
        <v>238</v>
      </c>
      <c r="DH261" s="5" t="s">
        <v>238</v>
      </c>
      <c r="DI261" s="5" t="s">
        <v>238</v>
      </c>
      <c r="DJ261" s="5" t="s">
        <v>238</v>
      </c>
      <c r="DK261" s="5" t="s">
        <v>274</v>
      </c>
      <c r="DL261" s="5" t="s">
        <v>272</v>
      </c>
      <c r="DM261" s="7">
        <f>53</f>
        <v>53</v>
      </c>
      <c r="DN261" s="5" t="s">
        <v>238</v>
      </c>
      <c r="DO261" s="5" t="s">
        <v>238</v>
      </c>
      <c r="DP261" s="5" t="s">
        <v>238</v>
      </c>
      <c r="DQ261" s="5" t="s">
        <v>238</v>
      </c>
      <c r="DT261" s="5" t="s">
        <v>1062</v>
      </c>
      <c r="DU261" s="5" t="s">
        <v>389</v>
      </c>
      <c r="HM261" s="5" t="s">
        <v>271</v>
      </c>
      <c r="HP261" s="5" t="s">
        <v>272</v>
      </c>
      <c r="HQ261" s="5" t="s">
        <v>272</v>
      </c>
    </row>
    <row r="262" spans="1:238" x14ac:dyDescent="0.4">
      <c r="A262" s="5">
        <v>286</v>
      </c>
      <c r="B262" s="5">
        <v>1</v>
      </c>
      <c r="C262" s="5">
        <v>1</v>
      </c>
      <c r="D262" s="5" t="s">
        <v>1060</v>
      </c>
      <c r="E262" s="5" t="s">
        <v>244</v>
      </c>
      <c r="F262" s="5" t="s">
        <v>282</v>
      </c>
      <c r="G262" s="5" t="s">
        <v>1170</v>
      </c>
      <c r="H262" s="6" t="s">
        <v>506</v>
      </c>
      <c r="I262" s="5" t="s">
        <v>1170</v>
      </c>
      <c r="J262" s="7">
        <f>68</f>
        <v>68</v>
      </c>
      <c r="K262" s="5" t="s">
        <v>270</v>
      </c>
      <c r="L262" s="8">
        <f>1</f>
        <v>1</v>
      </c>
      <c r="M262" s="8">
        <f>4080000</f>
        <v>4080000</v>
      </c>
      <c r="N262" s="6" t="s">
        <v>849</v>
      </c>
      <c r="O262" s="5" t="s">
        <v>639</v>
      </c>
      <c r="P262" s="5" t="s">
        <v>1173</v>
      </c>
      <c r="R262" s="8">
        <f>4079999</f>
        <v>4079999</v>
      </c>
      <c r="S262" s="5" t="s">
        <v>240</v>
      </c>
      <c r="T262" s="5" t="s">
        <v>237</v>
      </c>
      <c r="U262" s="5" t="s">
        <v>238</v>
      </c>
      <c r="V262" s="5" t="s">
        <v>238</v>
      </c>
      <c r="W262" s="5" t="s">
        <v>241</v>
      </c>
      <c r="X262" s="5" t="s">
        <v>243</v>
      </c>
      <c r="Y262" s="5" t="s">
        <v>238</v>
      </c>
      <c r="AB262" s="5" t="s">
        <v>238</v>
      </c>
      <c r="AD262" s="6" t="s">
        <v>238</v>
      </c>
      <c r="AG262" s="6" t="s">
        <v>246</v>
      </c>
      <c r="AH262" s="5" t="s">
        <v>247</v>
      </c>
      <c r="AI262" s="5" t="s">
        <v>248</v>
      </c>
      <c r="AY262" s="5" t="s">
        <v>250</v>
      </c>
      <c r="AZ262" s="5" t="s">
        <v>238</v>
      </c>
      <c r="BA262" s="5" t="s">
        <v>251</v>
      </c>
      <c r="BB262" s="5" t="s">
        <v>238</v>
      </c>
      <c r="BC262" s="5" t="s">
        <v>253</v>
      </c>
      <c r="BD262" s="5" t="s">
        <v>238</v>
      </c>
      <c r="BF262" s="5" t="s">
        <v>238</v>
      </c>
      <c r="BH262" s="5" t="s">
        <v>798</v>
      </c>
      <c r="BI262" s="6" t="s">
        <v>799</v>
      </c>
      <c r="BJ262" s="5" t="s">
        <v>255</v>
      </c>
      <c r="BK262" s="5" t="s">
        <v>256</v>
      </c>
      <c r="BL262" s="5" t="s">
        <v>238</v>
      </c>
      <c r="BM262" s="7">
        <f>0</f>
        <v>0</v>
      </c>
      <c r="BN262" s="8">
        <f>0</f>
        <v>0</v>
      </c>
      <c r="BO262" s="5" t="s">
        <v>257</v>
      </c>
      <c r="BP262" s="5" t="s">
        <v>258</v>
      </c>
      <c r="CD262" s="5" t="s">
        <v>238</v>
      </c>
      <c r="CE262" s="5" t="s">
        <v>238</v>
      </c>
      <c r="CI262" s="5" t="s">
        <v>527</v>
      </c>
      <c r="CJ262" s="5" t="s">
        <v>260</v>
      </c>
      <c r="CK262" s="5" t="s">
        <v>238</v>
      </c>
      <c r="CM262" s="5" t="s">
        <v>1171</v>
      </c>
      <c r="CN262" s="6" t="s">
        <v>262</v>
      </c>
      <c r="CO262" s="5" t="s">
        <v>263</v>
      </c>
      <c r="CP262" s="5" t="s">
        <v>264</v>
      </c>
      <c r="CQ262" s="5" t="s">
        <v>238</v>
      </c>
      <c r="CR262" s="5" t="s">
        <v>238</v>
      </c>
      <c r="CS262" s="5">
        <v>0</v>
      </c>
      <c r="CT262" s="5" t="s">
        <v>265</v>
      </c>
      <c r="CU262" s="5" t="s">
        <v>1172</v>
      </c>
      <c r="CV262" s="5" t="s">
        <v>649</v>
      </c>
      <c r="CX262" s="8">
        <f>4080000</f>
        <v>4080000</v>
      </c>
      <c r="CY262" s="8">
        <f>0</f>
        <v>0</v>
      </c>
      <c r="DA262" s="5" t="s">
        <v>238</v>
      </c>
      <c r="DB262" s="5" t="s">
        <v>238</v>
      </c>
      <c r="DD262" s="5" t="s">
        <v>238</v>
      </c>
      <c r="DG262" s="5" t="s">
        <v>238</v>
      </c>
      <c r="DH262" s="5" t="s">
        <v>238</v>
      </c>
      <c r="DI262" s="5" t="s">
        <v>238</v>
      </c>
      <c r="DJ262" s="5" t="s">
        <v>238</v>
      </c>
      <c r="DK262" s="5" t="s">
        <v>271</v>
      </c>
      <c r="DL262" s="5" t="s">
        <v>272</v>
      </c>
      <c r="DM262" s="7">
        <f>68</f>
        <v>68</v>
      </c>
      <c r="DN262" s="5" t="s">
        <v>238</v>
      </c>
      <c r="DO262" s="5" t="s">
        <v>238</v>
      </c>
      <c r="DP262" s="5" t="s">
        <v>238</v>
      </c>
      <c r="DQ262" s="5" t="s">
        <v>238</v>
      </c>
      <c r="DT262" s="5" t="s">
        <v>1062</v>
      </c>
      <c r="DU262" s="5" t="s">
        <v>354</v>
      </c>
      <c r="HM262" s="5" t="s">
        <v>271</v>
      </c>
      <c r="HP262" s="5" t="s">
        <v>272</v>
      </c>
      <c r="HQ262" s="5" t="s">
        <v>272</v>
      </c>
    </row>
    <row r="263" spans="1:238" x14ac:dyDescent="0.4">
      <c r="A263" s="5">
        <v>287</v>
      </c>
      <c r="B263" s="5">
        <v>1</v>
      </c>
      <c r="C263" s="5">
        <v>4</v>
      </c>
      <c r="D263" s="5" t="s">
        <v>1060</v>
      </c>
      <c r="E263" s="5" t="s">
        <v>244</v>
      </c>
      <c r="F263" s="5" t="s">
        <v>282</v>
      </c>
      <c r="G263" s="5" t="s">
        <v>2921</v>
      </c>
      <c r="H263" s="6" t="s">
        <v>506</v>
      </c>
      <c r="I263" s="5" t="s">
        <v>2920</v>
      </c>
      <c r="J263" s="7">
        <f>0</f>
        <v>0</v>
      </c>
      <c r="K263" s="5" t="s">
        <v>270</v>
      </c>
      <c r="L263" s="8">
        <f>6642000</f>
        <v>6642000</v>
      </c>
      <c r="M263" s="8">
        <f>17712000</f>
        <v>17712000</v>
      </c>
      <c r="N263" s="6" t="s">
        <v>1574</v>
      </c>
      <c r="O263" s="5" t="s">
        <v>354</v>
      </c>
      <c r="P263" s="5" t="s">
        <v>356</v>
      </c>
      <c r="Q263" s="8">
        <f>2214000</f>
        <v>2214000</v>
      </c>
      <c r="R263" s="8">
        <f>11070000</f>
        <v>11070000</v>
      </c>
      <c r="S263" s="5" t="s">
        <v>240</v>
      </c>
      <c r="T263" s="5" t="s">
        <v>287</v>
      </c>
      <c r="U263" s="5" t="s">
        <v>238</v>
      </c>
      <c r="V263" s="5" t="s">
        <v>238</v>
      </c>
      <c r="W263" s="5" t="s">
        <v>241</v>
      </c>
      <c r="X263" s="5" t="s">
        <v>243</v>
      </c>
      <c r="Y263" s="5" t="s">
        <v>238</v>
      </c>
      <c r="AB263" s="5" t="s">
        <v>238</v>
      </c>
      <c r="AC263" s="6" t="s">
        <v>238</v>
      </c>
      <c r="AD263" s="6" t="s">
        <v>238</v>
      </c>
      <c r="AF263" s="6" t="s">
        <v>238</v>
      </c>
      <c r="AG263" s="6" t="s">
        <v>246</v>
      </c>
      <c r="AH263" s="5" t="s">
        <v>247</v>
      </c>
      <c r="AI263" s="5" t="s">
        <v>248</v>
      </c>
      <c r="AO263" s="5" t="s">
        <v>238</v>
      </c>
      <c r="AP263" s="5" t="s">
        <v>238</v>
      </c>
      <c r="AQ263" s="5" t="s">
        <v>238</v>
      </c>
      <c r="AR263" s="6" t="s">
        <v>238</v>
      </c>
      <c r="AS263" s="6" t="s">
        <v>238</v>
      </c>
      <c r="AT263" s="6" t="s">
        <v>238</v>
      </c>
      <c r="AW263" s="5" t="s">
        <v>304</v>
      </c>
      <c r="AX263" s="5" t="s">
        <v>304</v>
      </c>
      <c r="AY263" s="5" t="s">
        <v>250</v>
      </c>
      <c r="AZ263" s="5" t="s">
        <v>305</v>
      </c>
      <c r="BA263" s="5" t="s">
        <v>251</v>
      </c>
      <c r="BB263" s="5" t="s">
        <v>238</v>
      </c>
      <c r="BC263" s="5" t="s">
        <v>253</v>
      </c>
      <c r="BD263" s="5" t="s">
        <v>238</v>
      </c>
      <c r="BF263" s="5" t="s">
        <v>238</v>
      </c>
      <c r="BH263" s="5" t="s">
        <v>283</v>
      </c>
      <c r="BI263" s="6" t="s">
        <v>293</v>
      </c>
      <c r="BJ263" s="5" t="s">
        <v>294</v>
      </c>
      <c r="BK263" s="5" t="s">
        <v>294</v>
      </c>
      <c r="BL263" s="5" t="s">
        <v>238</v>
      </c>
      <c r="BM263" s="7">
        <f>0</f>
        <v>0</v>
      </c>
      <c r="BN263" s="8">
        <f>-2214000</f>
        <v>-2214000</v>
      </c>
      <c r="BO263" s="5" t="s">
        <v>257</v>
      </c>
      <c r="BP263" s="5" t="s">
        <v>258</v>
      </c>
      <c r="BQ263" s="5" t="s">
        <v>238</v>
      </c>
      <c r="BR263" s="5" t="s">
        <v>238</v>
      </c>
      <c r="BS263" s="5" t="s">
        <v>238</v>
      </c>
      <c r="BT263" s="5" t="s">
        <v>238</v>
      </c>
      <c r="CC263" s="5" t="s">
        <v>258</v>
      </c>
      <c r="CD263" s="5" t="s">
        <v>238</v>
      </c>
      <c r="CE263" s="5" t="s">
        <v>238</v>
      </c>
      <c r="CI263" s="5" t="s">
        <v>259</v>
      </c>
      <c r="CJ263" s="5" t="s">
        <v>260</v>
      </c>
      <c r="CK263" s="5" t="s">
        <v>238</v>
      </c>
      <c r="CM263" s="5" t="s">
        <v>376</v>
      </c>
      <c r="CN263" s="6" t="s">
        <v>262</v>
      </c>
      <c r="CO263" s="5" t="s">
        <v>263</v>
      </c>
      <c r="CP263" s="5" t="s">
        <v>264</v>
      </c>
      <c r="CQ263" s="5" t="s">
        <v>285</v>
      </c>
      <c r="CR263" s="5" t="s">
        <v>238</v>
      </c>
      <c r="CS263" s="5">
        <v>0.125</v>
      </c>
      <c r="CT263" s="5" t="s">
        <v>265</v>
      </c>
      <c r="CU263" s="5" t="s">
        <v>351</v>
      </c>
      <c r="CV263" s="5" t="s">
        <v>494</v>
      </c>
      <c r="CW263" s="7">
        <f>0</f>
        <v>0</v>
      </c>
      <c r="CX263" s="8">
        <f>17712000</f>
        <v>17712000</v>
      </c>
      <c r="CY263" s="8">
        <f>8856000</f>
        <v>8856000</v>
      </c>
      <c r="DA263" s="5" t="s">
        <v>238</v>
      </c>
      <c r="DB263" s="5" t="s">
        <v>238</v>
      </c>
      <c r="DD263" s="5" t="s">
        <v>238</v>
      </c>
      <c r="DE263" s="8">
        <f>0</f>
        <v>0</v>
      </c>
      <c r="DG263" s="5" t="s">
        <v>238</v>
      </c>
      <c r="DH263" s="5" t="s">
        <v>238</v>
      </c>
      <c r="DI263" s="5" t="s">
        <v>238</v>
      </c>
      <c r="DJ263" s="5" t="s">
        <v>238</v>
      </c>
      <c r="DK263" s="5" t="s">
        <v>272</v>
      </c>
      <c r="DL263" s="5" t="s">
        <v>272</v>
      </c>
      <c r="DM263" s="8" t="s">
        <v>238</v>
      </c>
      <c r="DN263" s="5" t="s">
        <v>238</v>
      </c>
      <c r="DO263" s="5" t="s">
        <v>238</v>
      </c>
      <c r="DP263" s="5" t="s">
        <v>238</v>
      </c>
      <c r="DQ263" s="5" t="s">
        <v>238</v>
      </c>
      <c r="DT263" s="5" t="s">
        <v>1062</v>
      </c>
      <c r="DU263" s="5" t="s">
        <v>361</v>
      </c>
      <c r="GL263" s="5" t="s">
        <v>2922</v>
      </c>
      <c r="HM263" s="5" t="s">
        <v>379</v>
      </c>
      <c r="HP263" s="5" t="s">
        <v>272</v>
      </c>
      <c r="HQ263" s="5" t="s">
        <v>272</v>
      </c>
      <c r="HR263" s="5" t="s">
        <v>238</v>
      </c>
      <c r="HS263" s="5" t="s">
        <v>238</v>
      </c>
      <c r="HT263" s="5" t="s">
        <v>238</v>
      </c>
      <c r="HU263" s="5" t="s">
        <v>238</v>
      </c>
      <c r="HV263" s="5" t="s">
        <v>238</v>
      </c>
      <c r="HW263" s="5" t="s">
        <v>238</v>
      </c>
      <c r="HX263" s="5" t="s">
        <v>238</v>
      </c>
      <c r="HY263" s="5" t="s">
        <v>238</v>
      </c>
      <c r="HZ263" s="5" t="s">
        <v>238</v>
      </c>
      <c r="IA263" s="5" t="s">
        <v>238</v>
      </c>
      <c r="IB263" s="5" t="s">
        <v>238</v>
      </c>
      <c r="IC263" s="5" t="s">
        <v>238</v>
      </c>
      <c r="ID263" s="5" t="s">
        <v>238</v>
      </c>
    </row>
    <row r="264" spans="1:238" x14ac:dyDescent="0.4">
      <c r="A264" s="5">
        <v>288</v>
      </c>
      <c r="B264" s="5">
        <v>1</v>
      </c>
      <c r="C264" s="5">
        <v>4</v>
      </c>
      <c r="D264" s="5" t="s">
        <v>1060</v>
      </c>
      <c r="E264" s="5" t="s">
        <v>244</v>
      </c>
      <c r="F264" s="5" t="s">
        <v>282</v>
      </c>
      <c r="G264" s="5" t="s">
        <v>2918</v>
      </c>
      <c r="H264" s="6" t="s">
        <v>506</v>
      </c>
      <c r="I264" s="5" t="s">
        <v>2917</v>
      </c>
      <c r="J264" s="7">
        <f>0</f>
        <v>0</v>
      </c>
      <c r="K264" s="5" t="s">
        <v>270</v>
      </c>
      <c r="L264" s="8">
        <f>4664304</f>
        <v>4664304</v>
      </c>
      <c r="M264" s="8">
        <f>6372000</f>
        <v>6372000</v>
      </c>
      <c r="N264" s="6" t="s">
        <v>1732</v>
      </c>
      <c r="O264" s="5" t="s">
        <v>268</v>
      </c>
      <c r="P264" s="5" t="s">
        <v>274</v>
      </c>
      <c r="Q264" s="8">
        <f>426924</f>
        <v>426924</v>
      </c>
      <c r="R264" s="8">
        <f>1707696</f>
        <v>1707696</v>
      </c>
      <c r="S264" s="5" t="s">
        <v>240</v>
      </c>
      <c r="T264" s="5" t="s">
        <v>287</v>
      </c>
      <c r="U264" s="5" t="s">
        <v>238</v>
      </c>
      <c r="V264" s="5" t="s">
        <v>238</v>
      </c>
      <c r="W264" s="5" t="s">
        <v>241</v>
      </c>
      <c r="X264" s="5" t="s">
        <v>238</v>
      </c>
      <c r="Y264" s="5" t="s">
        <v>238</v>
      </c>
      <c r="AB264" s="5" t="s">
        <v>238</v>
      </c>
      <c r="AC264" s="6" t="s">
        <v>238</v>
      </c>
      <c r="AD264" s="6" t="s">
        <v>238</v>
      </c>
      <c r="AF264" s="6" t="s">
        <v>238</v>
      </c>
      <c r="AG264" s="6" t="s">
        <v>246</v>
      </c>
      <c r="AH264" s="5" t="s">
        <v>247</v>
      </c>
      <c r="AI264" s="5" t="s">
        <v>248</v>
      </c>
      <c r="AO264" s="5" t="s">
        <v>238</v>
      </c>
      <c r="AP264" s="5" t="s">
        <v>238</v>
      </c>
      <c r="AQ264" s="5" t="s">
        <v>238</v>
      </c>
      <c r="AR264" s="6" t="s">
        <v>238</v>
      </c>
      <c r="AS264" s="6" t="s">
        <v>238</v>
      </c>
      <c r="AT264" s="6" t="s">
        <v>238</v>
      </c>
      <c r="AW264" s="5" t="s">
        <v>304</v>
      </c>
      <c r="AX264" s="5" t="s">
        <v>304</v>
      </c>
      <c r="AY264" s="5" t="s">
        <v>250</v>
      </c>
      <c r="AZ264" s="5" t="s">
        <v>305</v>
      </c>
      <c r="BA264" s="5" t="s">
        <v>251</v>
      </c>
      <c r="BB264" s="5" t="s">
        <v>238</v>
      </c>
      <c r="BC264" s="5" t="s">
        <v>253</v>
      </c>
      <c r="BD264" s="5" t="s">
        <v>238</v>
      </c>
      <c r="BF264" s="5" t="s">
        <v>238</v>
      </c>
      <c r="BH264" s="5" t="s">
        <v>283</v>
      </c>
      <c r="BI264" s="6" t="s">
        <v>293</v>
      </c>
      <c r="BJ264" s="5" t="s">
        <v>294</v>
      </c>
      <c r="BK264" s="5" t="s">
        <v>294</v>
      </c>
      <c r="BL264" s="5" t="s">
        <v>238</v>
      </c>
      <c r="BM264" s="7">
        <f>0</f>
        <v>0</v>
      </c>
      <c r="BN264" s="8">
        <f>-426924</f>
        <v>-426924</v>
      </c>
      <c r="BO264" s="5" t="s">
        <v>257</v>
      </c>
      <c r="BP264" s="5" t="s">
        <v>258</v>
      </c>
      <c r="BQ264" s="5" t="s">
        <v>238</v>
      </c>
      <c r="BR264" s="5" t="s">
        <v>238</v>
      </c>
      <c r="BS264" s="5" t="s">
        <v>238</v>
      </c>
      <c r="BT264" s="5" t="s">
        <v>238</v>
      </c>
      <c r="CC264" s="5" t="s">
        <v>258</v>
      </c>
      <c r="CD264" s="5" t="s">
        <v>238</v>
      </c>
      <c r="CE264" s="5" t="s">
        <v>238</v>
      </c>
      <c r="CI264" s="5" t="s">
        <v>259</v>
      </c>
      <c r="CJ264" s="5" t="s">
        <v>260</v>
      </c>
      <c r="CK264" s="5" t="s">
        <v>238</v>
      </c>
      <c r="CM264" s="5" t="s">
        <v>402</v>
      </c>
      <c r="CN264" s="6" t="s">
        <v>262</v>
      </c>
      <c r="CO264" s="5" t="s">
        <v>263</v>
      </c>
      <c r="CP264" s="5" t="s">
        <v>264</v>
      </c>
      <c r="CQ264" s="5" t="s">
        <v>285</v>
      </c>
      <c r="CR264" s="5" t="s">
        <v>238</v>
      </c>
      <c r="CS264" s="5">
        <v>6.7000000000000004E-2</v>
      </c>
      <c r="CT264" s="5" t="s">
        <v>265</v>
      </c>
      <c r="CU264" s="5" t="s">
        <v>351</v>
      </c>
      <c r="CV264" s="5" t="s">
        <v>365</v>
      </c>
      <c r="CW264" s="7">
        <f>0</f>
        <v>0</v>
      </c>
      <c r="CX264" s="8">
        <f>6372000</f>
        <v>6372000</v>
      </c>
      <c r="CY264" s="8">
        <f>5091228</f>
        <v>5091228</v>
      </c>
      <c r="DA264" s="5" t="s">
        <v>238</v>
      </c>
      <c r="DB264" s="5" t="s">
        <v>238</v>
      </c>
      <c r="DD264" s="5" t="s">
        <v>238</v>
      </c>
      <c r="DE264" s="8">
        <f>0</f>
        <v>0</v>
      </c>
      <c r="DG264" s="5" t="s">
        <v>238</v>
      </c>
      <c r="DH264" s="5" t="s">
        <v>238</v>
      </c>
      <c r="DI264" s="5" t="s">
        <v>238</v>
      </c>
      <c r="DJ264" s="5" t="s">
        <v>238</v>
      </c>
      <c r="DK264" s="5" t="s">
        <v>272</v>
      </c>
      <c r="DL264" s="5" t="s">
        <v>272</v>
      </c>
      <c r="DM264" s="8" t="s">
        <v>238</v>
      </c>
      <c r="DN264" s="5" t="s">
        <v>238</v>
      </c>
      <c r="DO264" s="5" t="s">
        <v>238</v>
      </c>
      <c r="DP264" s="5" t="s">
        <v>238</v>
      </c>
      <c r="DQ264" s="5" t="s">
        <v>238</v>
      </c>
      <c r="DT264" s="5" t="s">
        <v>1062</v>
      </c>
      <c r="DU264" s="5" t="s">
        <v>377</v>
      </c>
      <c r="GL264" s="5" t="s">
        <v>2919</v>
      </c>
      <c r="HM264" s="5" t="s">
        <v>310</v>
      </c>
      <c r="HP264" s="5" t="s">
        <v>272</v>
      </c>
      <c r="HQ264" s="5" t="s">
        <v>272</v>
      </c>
      <c r="HR264" s="5" t="s">
        <v>238</v>
      </c>
      <c r="HS264" s="5" t="s">
        <v>238</v>
      </c>
      <c r="HT264" s="5" t="s">
        <v>238</v>
      </c>
      <c r="HU264" s="5" t="s">
        <v>238</v>
      </c>
      <c r="HV264" s="5" t="s">
        <v>238</v>
      </c>
      <c r="HW264" s="5" t="s">
        <v>238</v>
      </c>
      <c r="HX264" s="5" t="s">
        <v>238</v>
      </c>
      <c r="HY264" s="5" t="s">
        <v>238</v>
      </c>
      <c r="HZ264" s="5" t="s">
        <v>238</v>
      </c>
      <c r="IA264" s="5" t="s">
        <v>238</v>
      </c>
      <c r="IB264" s="5" t="s">
        <v>238</v>
      </c>
      <c r="IC264" s="5" t="s">
        <v>238</v>
      </c>
      <c r="ID264" s="5" t="s">
        <v>238</v>
      </c>
    </row>
    <row r="265" spans="1:238" x14ac:dyDescent="0.4">
      <c r="A265" s="5">
        <v>289</v>
      </c>
      <c r="B265" s="5">
        <v>1</v>
      </c>
      <c r="C265" s="5">
        <v>1</v>
      </c>
      <c r="D265" s="5" t="s">
        <v>1198</v>
      </c>
      <c r="E265" s="5" t="s">
        <v>1139</v>
      </c>
      <c r="F265" s="5" t="s">
        <v>282</v>
      </c>
      <c r="G265" s="5" t="s">
        <v>1181</v>
      </c>
      <c r="H265" s="6" t="s">
        <v>1199</v>
      </c>
      <c r="I265" s="5" t="s">
        <v>1181</v>
      </c>
      <c r="J265" s="7">
        <f>165.62</f>
        <v>165.62</v>
      </c>
      <c r="K265" s="5" t="s">
        <v>270</v>
      </c>
      <c r="L265" s="8">
        <f>1</f>
        <v>1</v>
      </c>
      <c r="M265" s="8">
        <f>10930920</f>
        <v>10930920</v>
      </c>
      <c r="N265" s="6" t="s">
        <v>1201</v>
      </c>
      <c r="O265" s="5" t="s">
        <v>631</v>
      </c>
      <c r="P265" s="5" t="s">
        <v>611</v>
      </c>
      <c r="R265" s="8">
        <f>10930919</f>
        <v>10930919</v>
      </c>
      <c r="S265" s="5" t="s">
        <v>240</v>
      </c>
      <c r="T265" s="5" t="s">
        <v>237</v>
      </c>
      <c r="U265" s="5" t="s">
        <v>238</v>
      </c>
      <c r="V265" s="5" t="s">
        <v>238</v>
      </c>
      <c r="W265" s="5" t="s">
        <v>241</v>
      </c>
      <c r="X265" s="5" t="s">
        <v>243</v>
      </c>
      <c r="Y265" s="5" t="s">
        <v>238</v>
      </c>
      <c r="AB265" s="5" t="s">
        <v>238</v>
      </c>
      <c r="AD265" s="6" t="s">
        <v>238</v>
      </c>
      <c r="AG265" s="6" t="s">
        <v>246</v>
      </c>
      <c r="AH265" s="5" t="s">
        <v>247</v>
      </c>
      <c r="AI265" s="5" t="s">
        <v>248</v>
      </c>
      <c r="AY265" s="5" t="s">
        <v>250</v>
      </c>
      <c r="AZ265" s="5" t="s">
        <v>238</v>
      </c>
      <c r="BA265" s="5" t="s">
        <v>251</v>
      </c>
      <c r="BB265" s="5" t="s">
        <v>238</v>
      </c>
      <c r="BC265" s="5" t="s">
        <v>253</v>
      </c>
      <c r="BD265" s="5" t="s">
        <v>238</v>
      </c>
      <c r="BF265" s="5" t="s">
        <v>238</v>
      </c>
      <c r="BH265" s="5" t="s">
        <v>697</v>
      </c>
      <c r="BI265" s="6" t="s">
        <v>698</v>
      </c>
      <c r="BJ265" s="5" t="s">
        <v>255</v>
      </c>
      <c r="BK265" s="5" t="s">
        <v>256</v>
      </c>
      <c r="BL265" s="5" t="s">
        <v>238</v>
      </c>
      <c r="BM265" s="7">
        <f>0</f>
        <v>0</v>
      </c>
      <c r="BN265" s="8">
        <f>0</f>
        <v>0</v>
      </c>
      <c r="BO265" s="5" t="s">
        <v>257</v>
      </c>
      <c r="BP265" s="5" t="s">
        <v>258</v>
      </c>
      <c r="CD265" s="5" t="s">
        <v>238</v>
      </c>
      <c r="CE265" s="5" t="s">
        <v>238</v>
      </c>
      <c r="CI265" s="5" t="s">
        <v>259</v>
      </c>
      <c r="CJ265" s="5" t="s">
        <v>260</v>
      </c>
      <c r="CK265" s="5" t="s">
        <v>238</v>
      </c>
      <c r="CM265" s="5" t="s">
        <v>1078</v>
      </c>
      <c r="CN265" s="6" t="s">
        <v>262</v>
      </c>
      <c r="CO265" s="5" t="s">
        <v>263</v>
      </c>
      <c r="CP265" s="5" t="s">
        <v>264</v>
      </c>
      <c r="CQ265" s="5" t="s">
        <v>238</v>
      </c>
      <c r="CR265" s="5" t="s">
        <v>238</v>
      </c>
      <c r="CS265" s="5">
        <v>0</v>
      </c>
      <c r="CT265" s="5" t="s">
        <v>265</v>
      </c>
      <c r="CU265" s="5" t="s">
        <v>1187</v>
      </c>
      <c r="CV265" s="5" t="s">
        <v>267</v>
      </c>
      <c r="CX265" s="8">
        <f>10930920</f>
        <v>10930920</v>
      </c>
      <c r="CY265" s="8">
        <f>0</f>
        <v>0</v>
      </c>
      <c r="DA265" s="5" t="s">
        <v>238</v>
      </c>
      <c r="DB265" s="5" t="s">
        <v>238</v>
      </c>
      <c r="DD265" s="5" t="s">
        <v>238</v>
      </c>
      <c r="DG265" s="5" t="s">
        <v>238</v>
      </c>
      <c r="DH265" s="5" t="s">
        <v>238</v>
      </c>
      <c r="DI265" s="5" t="s">
        <v>238</v>
      </c>
      <c r="DJ265" s="5" t="s">
        <v>238</v>
      </c>
      <c r="DK265" s="5" t="s">
        <v>271</v>
      </c>
      <c r="DL265" s="5" t="s">
        <v>272</v>
      </c>
      <c r="DM265" s="7">
        <f>165.62</f>
        <v>165.62</v>
      </c>
      <c r="DN265" s="5" t="s">
        <v>238</v>
      </c>
      <c r="DO265" s="5" t="s">
        <v>238</v>
      </c>
      <c r="DP265" s="5" t="s">
        <v>238</v>
      </c>
      <c r="DQ265" s="5" t="s">
        <v>238</v>
      </c>
      <c r="DT265" s="5" t="s">
        <v>1200</v>
      </c>
      <c r="DU265" s="5" t="s">
        <v>271</v>
      </c>
      <c r="HM265" s="5" t="s">
        <v>271</v>
      </c>
      <c r="HP265" s="5" t="s">
        <v>272</v>
      </c>
      <c r="HQ265" s="5" t="s">
        <v>272</v>
      </c>
    </row>
    <row r="266" spans="1:238" x14ac:dyDescent="0.4">
      <c r="A266" s="5">
        <v>290</v>
      </c>
      <c r="B266" s="5">
        <v>1</v>
      </c>
      <c r="C266" s="5">
        <v>1</v>
      </c>
      <c r="D266" s="5" t="s">
        <v>1198</v>
      </c>
      <c r="E266" s="5" t="s">
        <v>1139</v>
      </c>
      <c r="F266" s="5" t="s">
        <v>282</v>
      </c>
      <c r="G266" s="5" t="s">
        <v>1181</v>
      </c>
      <c r="H266" s="6" t="s">
        <v>1199</v>
      </c>
      <c r="I266" s="5" t="s">
        <v>1181</v>
      </c>
      <c r="J266" s="7">
        <f>572.95</f>
        <v>572.95000000000005</v>
      </c>
      <c r="K266" s="5" t="s">
        <v>270</v>
      </c>
      <c r="L266" s="8">
        <f>1</f>
        <v>1</v>
      </c>
      <c r="M266" s="8">
        <f>34377000</f>
        <v>34377000</v>
      </c>
      <c r="N266" s="6" t="s">
        <v>912</v>
      </c>
      <c r="O266" s="5" t="s">
        <v>650</v>
      </c>
      <c r="P266" s="5" t="s">
        <v>915</v>
      </c>
      <c r="R266" s="8">
        <f>34376999</f>
        <v>34376999</v>
      </c>
      <c r="S266" s="5" t="s">
        <v>240</v>
      </c>
      <c r="T266" s="5" t="s">
        <v>237</v>
      </c>
      <c r="U266" s="5" t="s">
        <v>238</v>
      </c>
      <c r="V266" s="5" t="s">
        <v>238</v>
      </c>
      <c r="W266" s="5" t="s">
        <v>241</v>
      </c>
      <c r="X266" s="5" t="s">
        <v>243</v>
      </c>
      <c r="Y266" s="5" t="s">
        <v>238</v>
      </c>
      <c r="AB266" s="5" t="s">
        <v>238</v>
      </c>
      <c r="AD266" s="6" t="s">
        <v>238</v>
      </c>
      <c r="AG266" s="6" t="s">
        <v>246</v>
      </c>
      <c r="AH266" s="5" t="s">
        <v>247</v>
      </c>
      <c r="AI266" s="5" t="s">
        <v>248</v>
      </c>
      <c r="AY266" s="5" t="s">
        <v>250</v>
      </c>
      <c r="AZ266" s="5" t="s">
        <v>238</v>
      </c>
      <c r="BA266" s="5" t="s">
        <v>251</v>
      </c>
      <c r="BB266" s="5" t="s">
        <v>238</v>
      </c>
      <c r="BC266" s="5" t="s">
        <v>253</v>
      </c>
      <c r="BD266" s="5" t="s">
        <v>238</v>
      </c>
      <c r="BF266" s="5" t="s">
        <v>238</v>
      </c>
      <c r="BH266" s="5" t="s">
        <v>798</v>
      </c>
      <c r="BI266" s="6" t="s">
        <v>799</v>
      </c>
      <c r="BJ266" s="5" t="s">
        <v>255</v>
      </c>
      <c r="BK266" s="5" t="s">
        <v>256</v>
      </c>
      <c r="BL266" s="5" t="s">
        <v>238</v>
      </c>
      <c r="BM266" s="7">
        <f>0</f>
        <v>0</v>
      </c>
      <c r="BN266" s="8">
        <f>0</f>
        <v>0</v>
      </c>
      <c r="BO266" s="5" t="s">
        <v>257</v>
      </c>
      <c r="BP266" s="5" t="s">
        <v>258</v>
      </c>
      <c r="CD266" s="5" t="s">
        <v>238</v>
      </c>
      <c r="CE266" s="5" t="s">
        <v>238</v>
      </c>
      <c r="CI266" s="5" t="s">
        <v>527</v>
      </c>
      <c r="CJ266" s="5" t="s">
        <v>260</v>
      </c>
      <c r="CK266" s="5" t="s">
        <v>238</v>
      </c>
      <c r="CM266" s="5" t="s">
        <v>914</v>
      </c>
      <c r="CN266" s="6" t="s">
        <v>262</v>
      </c>
      <c r="CO266" s="5" t="s">
        <v>263</v>
      </c>
      <c r="CP266" s="5" t="s">
        <v>264</v>
      </c>
      <c r="CQ266" s="5" t="s">
        <v>238</v>
      </c>
      <c r="CR266" s="5" t="s">
        <v>238</v>
      </c>
      <c r="CS266" s="5">
        <v>0</v>
      </c>
      <c r="CT266" s="5" t="s">
        <v>265</v>
      </c>
      <c r="CU266" s="5" t="s">
        <v>1187</v>
      </c>
      <c r="CV266" s="5" t="s">
        <v>649</v>
      </c>
      <c r="CX266" s="8">
        <f>34377000</f>
        <v>34377000</v>
      </c>
      <c r="CY266" s="8">
        <f>0</f>
        <v>0</v>
      </c>
      <c r="DA266" s="5" t="s">
        <v>238</v>
      </c>
      <c r="DB266" s="5" t="s">
        <v>238</v>
      </c>
      <c r="DD266" s="5" t="s">
        <v>238</v>
      </c>
      <c r="DG266" s="5" t="s">
        <v>238</v>
      </c>
      <c r="DH266" s="5" t="s">
        <v>238</v>
      </c>
      <c r="DI266" s="5" t="s">
        <v>238</v>
      </c>
      <c r="DJ266" s="5" t="s">
        <v>238</v>
      </c>
      <c r="DK266" s="5" t="s">
        <v>271</v>
      </c>
      <c r="DL266" s="5" t="s">
        <v>272</v>
      </c>
      <c r="DM266" s="7">
        <f>572.95</f>
        <v>572.95000000000005</v>
      </c>
      <c r="DN266" s="5" t="s">
        <v>238</v>
      </c>
      <c r="DO266" s="5" t="s">
        <v>238</v>
      </c>
      <c r="DP266" s="5" t="s">
        <v>238</v>
      </c>
      <c r="DQ266" s="5" t="s">
        <v>238</v>
      </c>
      <c r="DT266" s="5" t="s">
        <v>1200</v>
      </c>
      <c r="DU266" s="5" t="s">
        <v>274</v>
      </c>
      <c r="HM266" s="5" t="s">
        <v>271</v>
      </c>
      <c r="HP266" s="5" t="s">
        <v>272</v>
      </c>
      <c r="HQ266" s="5" t="s">
        <v>272</v>
      </c>
    </row>
    <row r="267" spans="1:238" x14ac:dyDescent="0.4">
      <c r="A267" s="5">
        <v>291</v>
      </c>
      <c r="B267" s="5">
        <v>1</v>
      </c>
      <c r="C267" s="5">
        <v>4</v>
      </c>
      <c r="D267" s="5" t="s">
        <v>1198</v>
      </c>
      <c r="E267" s="5" t="s">
        <v>1139</v>
      </c>
      <c r="F267" s="5" t="s">
        <v>282</v>
      </c>
      <c r="G267" s="5" t="s">
        <v>302</v>
      </c>
      <c r="H267" s="6" t="s">
        <v>1199</v>
      </c>
      <c r="I267" s="5" t="s">
        <v>298</v>
      </c>
      <c r="J267" s="7">
        <f>3185.13</f>
        <v>3185.13</v>
      </c>
      <c r="K267" s="5" t="s">
        <v>270</v>
      </c>
      <c r="L267" s="8">
        <f>22932936</f>
        <v>22932936</v>
      </c>
      <c r="M267" s="8">
        <f>573323400</f>
        <v>573323400</v>
      </c>
      <c r="N267" s="6" t="s">
        <v>1368</v>
      </c>
      <c r="O267" s="5" t="s">
        <v>279</v>
      </c>
      <c r="P267" s="5" t="s">
        <v>996</v>
      </c>
      <c r="Q267" s="8">
        <f>11466468</f>
        <v>11466468</v>
      </c>
      <c r="R267" s="8">
        <f>550390464</f>
        <v>550390464</v>
      </c>
      <c r="S267" s="5" t="s">
        <v>240</v>
      </c>
      <c r="T267" s="5" t="s">
        <v>237</v>
      </c>
      <c r="U267" s="5" t="s">
        <v>238</v>
      </c>
      <c r="V267" s="5" t="s">
        <v>238</v>
      </c>
      <c r="W267" s="5" t="s">
        <v>241</v>
      </c>
      <c r="X267" s="5" t="s">
        <v>243</v>
      </c>
      <c r="Y267" s="5" t="s">
        <v>238</v>
      </c>
      <c r="AB267" s="5" t="s">
        <v>238</v>
      </c>
      <c r="AC267" s="6" t="s">
        <v>238</v>
      </c>
      <c r="AD267" s="6" t="s">
        <v>238</v>
      </c>
      <c r="AF267" s="6" t="s">
        <v>238</v>
      </c>
      <c r="AG267" s="6" t="s">
        <v>246</v>
      </c>
      <c r="AH267" s="5" t="s">
        <v>247</v>
      </c>
      <c r="AI267" s="5" t="s">
        <v>248</v>
      </c>
      <c r="AO267" s="5" t="s">
        <v>238</v>
      </c>
      <c r="AP267" s="5" t="s">
        <v>238</v>
      </c>
      <c r="AQ267" s="5" t="s">
        <v>238</v>
      </c>
      <c r="AR267" s="6" t="s">
        <v>238</v>
      </c>
      <c r="AS267" s="6" t="s">
        <v>238</v>
      </c>
      <c r="AT267" s="6" t="s">
        <v>238</v>
      </c>
      <c r="AW267" s="5" t="s">
        <v>304</v>
      </c>
      <c r="AX267" s="5" t="s">
        <v>304</v>
      </c>
      <c r="AY267" s="5" t="s">
        <v>250</v>
      </c>
      <c r="AZ267" s="5" t="s">
        <v>305</v>
      </c>
      <c r="BA267" s="5" t="s">
        <v>251</v>
      </c>
      <c r="BB267" s="5" t="s">
        <v>238</v>
      </c>
      <c r="BC267" s="5" t="s">
        <v>253</v>
      </c>
      <c r="BD267" s="5" t="s">
        <v>238</v>
      </c>
      <c r="BF267" s="5" t="s">
        <v>238</v>
      </c>
      <c r="BH267" s="5" t="s">
        <v>283</v>
      </c>
      <c r="BI267" s="6" t="s">
        <v>293</v>
      </c>
      <c r="BJ267" s="5" t="s">
        <v>294</v>
      </c>
      <c r="BK267" s="5" t="s">
        <v>294</v>
      </c>
      <c r="BL267" s="5" t="s">
        <v>238</v>
      </c>
      <c r="BM267" s="7">
        <f>0</f>
        <v>0</v>
      </c>
      <c r="BN267" s="8">
        <f>-11466468</f>
        <v>-11466468</v>
      </c>
      <c r="BO267" s="5" t="s">
        <v>257</v>
      </c>
      <c r="BP267" s="5" t="s">
        <v>258</v>
      </c>
      <c r="BQ267" s="5" t="s">
        <v>238</v>
      </c>
      <c r="BR267" s="5" t="s">
        <v>238</v>
      </c>
      <c r="BS267" s="5" t="s">
        <v>238</v>
      </c>
      <c r="BT267" s="5" t="s">
        <v>238</v>
      </c>
      <c r="CC267" s="5" t="s">
        <v>258</v>
      </c>
      <c r="CD267" s="5" t="s">
        <v>238</v>
      </c>
      <c r="CE267" s="5" t="s">
        <v>238</v>
      </c>
      <c r="CI267" s="5" t="s">
        <v>527</v>
      </c>
      <c r="CJ267" s="5" t="s">
        <v>260</v>
      </c>
      <c r="CK267" s="5" t="s">
        <v>238</v>
      </c>
      <c r="CM267" s="5" t="s">
        <v>964</v>
      </c>
      <c r="CN267" s="6" t="s">
        <v>262</v>
      </c>
      <c r="CO267" s="5" t="s">
        <v>263</v>
      </c>
      <c r="CP267" s="5" t="s">
        <v>264</v>
      </c>
      <c r="CQ267" s="5" t="s">
        <v>285</v>
      </c>
      <c r="CR267" s="5" t="s">
        <v>238</v>
      </c>
      <c r="CS267" s="5">
        <v>0.02</v>
      </c>
      <c r="CT267" s="5" t="s">
        <v>265</v>
      </c>
      <c r="CU267" s="5" t="s">
        <v>307</v>
      </c>
      <c r="CV267" s="5" t="s">
        <v>308</v>
      </c>
      <c r="CW267" s="7">
        <f>0</f>
        <v>0</v>
      </c>
      <c r="CX267" s="8">
        <f>573323400</f>
        <v>573323400</v>
      </c>
      <c r="CY267" s="8">
        <f>34399404</f>
        <v>34399404</v>
      </c>
      <c r="DA267" s="5" t="s">
        <v>238</v>
      </c>
      <c r="DB267" s="5" t="s">
        <v>238</v>
      </c>
      <c r="DD267" s="5" t="s">
        <v>238</v>
      </c>
      <c r="DE267" s="8">
        <f>0</f>
        <v>0</v>
      </c>
      <c r="DG267" s="5" t="s">
        <v>238</v>
      </c>
      <c r="DH267" s="5" t="s">
        <v>238</v>
      </c>
      <c r="DI267" s="5" t="s">
        <v>238</v>
      </c>
      <c r="DJ267" s="5" t="s">
        <v>238</v>
      </c>
      <c r="DK267" s="5" t="s">
        <v>356</v>
      </c>
      <c r="DL267" s="5" t="s">
        <v>272</v>
      </c>
      <c r="DM267" s="7">
        <f>3185.13</f>
        <v>3185.13</v>
      </c>
      <c r="DN267" s="5" t="s">
        <v>238</v>
      </c>
      <c r="DO267" s="5" t="s">
        <v>238</v>
      </c>
      <c r="DP267" s="5" t="s">
        <v>238</v>
      </c>
      <c r="DQ267" s="5" t="s">
        <v>238</v>
      </c>
      <c r="DT267" s="5" t="s">
        <v>1200</v>
      </c>
      <c r="DU267" s="5" t="s">
        <v>356</v>
      </c>
      <c r="GL267" s="5" t="s">
        <v>1369</v>
      </c>
      <c r="HM267" s="5" t="s">
        <v>313</v>
      </c>
      <c r="HP267" s="5" t="s">
        <v>272</v>
      </c>
      <c r="HQ267" s="5" t="s">
        <v>272</v>
      </c>
      <c r="HR267" s="5" t="s">
        <v>238</v>
      </c>
      <c r="HS267" s="5" t="s">
        <v>238</v>
      </c>
      <c r="HT267" s="5" t="s">
        <v>238</v>
      </c>
      <c r="HU267" s="5" t="s">
        <v>238</v>
      </c>
      <c r="HV267" s="5" t="s">
        <v>238</v>
      </c>
      <c r="HW267" s="5" t="s">
        <v>238</v>
      </c>
      <c r="HX267" s="5" t="s">
        <v>238</v>
      </c>
      <c r="HY267" s="5" t="s">
        <v>238</v>
      </c>
      <c r="HZ267" s="5" t="s">
        <v>238</v>
      </c>
      <c r="IA267" s="5" t="s">
        <v>238</v>
      </c>
      <c r="IB267" s="5" t="s">
        <v>238</v>
      </c>
      <c r="IC267" s="5" t="s">
        <v>238</v>
      </c>
      <c r="ID267" s="5" t="s">
        <v>238</v>
      </c>
    </row>
    <row r="268" spans="1:238" x14ac:dyDescent="0.4">
      <c r="A268" s="5">
        <v>292</v>
      </c>
      <c r="B268" s="5">
        <v>1</v>
      </c>
      <c r="C268" s="5">
        <v>4</v>
      </c>
      <c r="D268" s="5" t="s">
        <v>1230</v>
      </c>
      <c r="E268" s="5" t="s">
        <v>324</v>
      </c>
      <c r="F268" s="5" t="s">
        <v>282</v>
      </c>
      <c r="G268" s="5" t="s">
        <v>302</v>
      </c>
      <c r="H268" s="6" t="s">
        <v>1232</v>
      </c>
      <c r="I268" s="5" t="s">
        <v>298</v>
      </c>
      <c r="J268" s="7">
        <f>2904</f>
        <v>2904</v>
      </c>
      <c r="K268" s="5" t="s">
        <v>270</v>
      </c>
      <c r="L268" s="8">
        <f>410741760</f>
        <v>410741760</v>
      </c>
      <c r="M268" s="8">
        <f>789888000</f>
        <v>789888000</v>
      </c>
      <c r="N268" s="6" t="s">
        <v>325</v>
      </c>
      <c r="O268" s="5" t="s">
        <v>279</v>
      </c>
      <c r="P268" s="5" t="s">
        <v>286</v>
      </c>
      <c r="Q268" s="8">
        <f>15797760</f>
        <v>15797760</v>
      </c>
      <c r="R268" s="8">
        <f>379146240</f>
        <v>379146240</v>
      </c>
      <c r="S268" s="5" t="s">
        <v>240</v>
      </c>
      <c r="T268" s="5" t="s">
        <v>237</v>
      </c>
      <c r="U268" s="5" t="s">
        <v>238</v>
      </c>
      <c r="V268" s="5" t="s">
        <v>238</v>
      </c>
      <c r="W268" s="5" t="s">
        <v>241</v>
      </c>
      <c r="X268" s="5" t="s">
        <v>243</v>
      </c>
      <c r="Y268" s="5" t="s">
        <v>238</v>
      </c>
      <c r="AB268" s="5" t="s">
        <v>238</v>
      </c>
      <c r="AC268" s="6" t="s">
        <v>238</v>
      </c>
      <c r="AD268" s="6" t="s">
        <v>238</v>
      </c>
      <c r="AF268" s="6" t="s">
        <v>238</v>
      </c>
      <c r="AG268" s="6" t="s">
        <v>246</v>
      </c>
      <c r="AH268" s="5" t="s">
        <v>247</v>
      </c>
      <c r="AI268" s="5" t="s">
        <v>248</v>
      </c>
      <c r="AO268" s="5" t="s">
        <v>238</v>
      </c>
      <c r="AP268" s="5" t="s">
        <v>238</v>
      </c>
      <c r="AQ268" s="5" t="s">
        <v>238</v>
      </c>
      <c r="AR268" s="6" t="s">
        <v>238</v>
      </c>
      <c r="AS268" s="6" t="s">
        <v>238</v>
      </c>
      <c r="AT268" s="6" t="s">
        <v>238</v>
      </c>
      <c r="AW268" s="5" t="s">
        <v>304</v>
      </c>
      <c r="AX268" s="5" t="s">
        <v>304</v>
      </c>
      <c r="AY268" s="5" t="s">
        <v>250</v>
      </c>
      <c r="AZ268" s="5" t="s">
        <v>305</v>
      </c>
      <c r="BA268" s="5" t="s">
        <v>251</v>
      </c>
      <c r="BB268" s="5" t="s">
        <v>238</v>
      </c>
      <c r="BC268" s="5" t="s">
        <v>253</v>
      </c>
      <c r="BD268" s="5" t="s">
        <v>238</v>
      </c>
      <c r="BF268" s="5" t="s">
        <v>238</v>
      </c>
      <c r="BH268" s="5" t="s">
        <v>283</v>
      </c>
      <c r="BI268" s="6" t="s">
        <v>293</v>
      </c>
      <c r="BJ268" s="5" t="s">
        <v>294</v>
      </c>
      <c r="BK268" s="5" t="s">
        <v>294</v>
      </c>
      <c r="BL268" s="5" t="s">
        <v>238</v>
      </c>
      <c r="BM268" s="7">
        <f>0</f>
        <v>0</v>
      </c>
      <c r="BN268" s="8">
        <f>-15797760</f>
        <v>-15797760</v>
      </c>
      <c r="BO268" s="5" t="s">
        <v>257</v>
      </c>
      <c r="BP268" s="5" t="s">
        <v>258</v>
      </c>
      <c r="BQ268" s="5" t="s">
        <v>238</v>
      </c>
      <c r="BR268" s="5" t="s">
        <v>238</v>
      </c>
      <c r="BS268" s="5" t="s">
        <v>238</v>
      </c>
      <c r="BT268" s="5" t="s">
        <v>238</v>
      </c>
      <c r="CC268" s="5" t="s">
        <v>258</v>
      </c>
      <c r="CD268" s="5" t="s">
        <v>238</v>
      </c>
      <c r="CE268" s="5" t="s">
        <v>238</v>
      </c>
      <c r="CI268" s="5" t="s">
        <v>259</v>
      </c>
      <c r="CJ268" s="5" t="s">
        <v>260</v>
      </c>
      <c r="CK268" s="5" t="s">
        <v>238</v>
      </c>
      <c r="CM268" s="5" t="s">
        <v>330</v>
      </c>
      <c r="CN268" s="6" t="s">
        <v>262</v>
      </c>
      <c r="CO268" s="5" t="s">
        <v>263</v>
      </c>
      <c r="CP268" s="5" t="s">
        <v>264</v>
      </c>
      <c r="CQ268" s="5" t="s">
        <v>285</v>
      </c>
      <c r="CR268" s="5" t="s">
        <v>238</v>
      </c>
      <c r="CS268" s="5">
        <v>0.02</v>
      </c>
      <c r="CT268" s="5" t="s">
        <v>265</v>
      </c>
      <c r="CU268" s="5" t="s">
        <v>307</v>
      </c>
      <c r="CV268" s="5" t="s">
        <v>308</v>
      </c>
      <c r="CW268" s="7">
        <f>0</f>
        <v>0</v>
      </c>
      <c r="CX268" s="8">
        <f>789888000</f>
        <v>789888000</v>
      </c>
      <c r="CY268" s="8">
        <f>426539520</f>
        <v>426539520</v>
      </c>
      <c r="DA268" s="5" t="s">
        <v>238</v>
      </c>
      <c r="DB268" s="5" t="s">
        <v>238</v>
      </c>
      <c r="DD268" s="5" t="s">
        <v>238</v>
      </c>
      <c r="DE268" s="8">
        <f>0</f>
        <v>0</v>
      </c>
      <c r="DG268" s="5" t="s">
        <v>238</v>
      </c>
      <c r="DH268" s="5" t="s">
        <v>238</v>
      </c>
      <c r="DI268" s="5" t="s">
        <v>238</v>
      </c>
      <c r="DJ268" s="5" t="s">
        <v>238</v>
      </c>
      <c r="DK268" s="5" t="s">
        <v>356</v>
      </c>
      <c r="DL268" s="5" t="s">
        <v>272</v>
      </c>
      <c r="DM268" s="7">
        <f>2904</f>
        <v>2904</v>
      </c>
      <c r="DN268" s="5" t="s">
        <v>238</v>
      </c>
      <c r="DO268" s="5" t="s">
        <v>238</v>
      </c>
      <c r="DP268" s="5" t="s">
        <v>238</v>
      </c>
      <c r="DQ268" s="5" t="s">
        <v>238</v>
      </c>
      <c r="DT268" s="5" t="s">
        <v>1364</v>
      </c>
      <c r="DU268" s="5" t="s">
        <v>271</v>
      </c>
      <c r="GL268" s="5" t="s">
        <v>1365</v>
      </c>
      <c r="HM268" s="5" t="s">
        <v>313</v>
      </c>
      <c r="HP268" s="5" t="s">
        <v>272</v>
      </c>
      <c r="HQ268" s="5" t="s">
        <v>272</v>
      </c>
      <c r="HR268" s="5" t="s">
        <v>238</v>
      </c>
      <c r="HS268" s="5" t="s">
        <v>238</v>
      </c>
      <c r="HT268" s="5" t="s">
        <v>238</v>
      </c>
      <c r="HU268" s="5" t="s">
        <v>238</v>
      </c>
      <c r="HV268" s="5" t="s">
        <v>238</v>
      </c>
      <c r="HW268" s="5" t="s">
        <v>238</v>
      </c>
      <c r="HX268" s="5" t="s">
        <v>238</v>
      </c>
      <c r="HY268" s="5" t="s">
        <v>238</v>
      </c>
      <c r="HZ268" s="5" t="s">
        <v>238</v>
      </c>
      <c r="IA268" s="5" t="s">
        <v>238</v>
      </c>
      <c r="IB268" s="5" t="s">
        <v>238</v>
      </c>
      <c r="IC268" s="5" t="s">
        <v>238</v>
      </c>
      <c r="ID268" s="5" t="s">
        <v>238</v>
      </c>
    </row>
    <row r="269" spans="1:238" x14ac:dyDescent="0.4">
      <c r="A269" s="5">
        <v>293</v>
      </c>
      <c r="B269" s="5">
        <v>1</v>
      </c>
      <c r="C269" s="5">
        <v>2</v>
      </c>
      <c r="D269" s="5" t="s">
        <v>1230</v>
      </c>
      <c r="E269" s="5" t="s">
        <v>324</v>
      </c>
      <c r="F269" s="5" t="s">
        <v>282</v>
      </c>
      <c r="G269" s="5" t="s">
        <v>695</v>
      </c>
      <c r="H269" s="6" t="s">
        <v>1232</v>
      </c>
      <c r="I269" s="5" t="s">
        <v>695</v>
      </c>
      <c r="J269" s="7">
        <f>21</f>
        <v>21</v>
      </c>
      <c r="K269" s="5" t="s">
        <v>3191</v>
      </c>
      <c r="L269" s="8">
        <f>1</f>
        <v>1</v>
      </c>
      <c r="M269" s="8">
        <f>5040000</f>
        <v>5040000</v>
      </c>
      <c r="N269" s="6" t="s">
        <v>325</v>
      </c>
      <c r="O269" s="5" t="s">
        <v>268</v>
      </c>
      <c r="P269" s="5" t="s">
        <v>631</v>
      </c>
      <c r="Q269" s="8" t="s">
        <v>238</v>
      </c>
      <c r="R269" s="8">
        <f>5039999</f>
        <v>5039999</v>
      </c>
      <c r="S269" s="5" t="s">
        <v>240</v>
      </c>
      <c r="T269" s="5" t="s">
        <v>237</v>
      </c>
      <c r="W269" s="5" t="s">
        <v>241</v>
      </c>
      <c r="X269" s="5" t="s">
        <v>243</v>
      </c>
      <c r="Y269" s="5" t="s">
        <v>238</v>
      </c>
      <c r="AB269" s="5" t="s">
        <v>238</v>
      </c>
      <c r="AC269" s="6" t="s">
        <v>238</v>
      </c>
      <c r="AD269" s="6" t="s">
        <v>238</v>
      </c>
      <c r="AE269" s="5" t="s">
        <v>238</v>
      </c>
      <c r="AF269" s="6" t="s">
        <v>238</v>
      </c>
      <c r="AG269" s="6" t="s">
        <v>246</v>
      </c>
      <c r="AH269" s="5" t="s">
        <v>247</v>
      </c>
      <c r="AI269" s="5" t="s">
        <v>248</v>
      </c>
      <c r="AO269" s="5" t="s">
        <v>238</v>
      </c>
      <c r="AP269" s="5" t="s">
        <v>238</v>
      </c>
      <c r="AQ269" s="5" t="s">
        <v>238</v>
      </c>
      <c r="AR269" s="6" t="s">
        <v>238</v>
      </c>
      <c r="AS269" s="6" t="s">
        <v>238</v>
      </c>
      <c r="AY269" s="5" t="s">
        <v>250</v>
      </c>
      <c r="AZ269" s="5" t="s">
        <v>238</v>
      </c>
      <c r="BA269" s="5" t="s">
        <v>251</v>
      </c>
      <c r="BB269" s="5" t="s">
        <v>238</v>
      </c>
      <c r="BC269" s="5" t="s">
        <v>253</v>
      </c>
      <c r="BD269" s="5" t="s">
        <v>3170</v>
      </c>
      <c r="BF269" s="5" t="s">
        <v>238</v>
      </c>
      <c r="BH269" s="5" t="s">
        <v>3219</v>
      </c>
      <c r="BI269" s="6" t="s">
        <v>3867</v>
      </c>
      <c r="BJ269" s="5" t="s">
        <v>255</v>
      </c>
      <c r="BK269" s="5" t="s">
        <v>870</v>
      </c>
      <c r="BL269" s="5" t="s">
        <v>238</v>
      </c>
      <c r="BM269" s="7">
        <f>0</f>
        <v>0</v>
      </c>
      <c r="BN269" s="8">
        <f>0</f>
        <v>0</v>
      </c>
      <c r="BO269" s="5" t="s">
        <v>257</v>
      </c>
      <c r="BP269" s="5" t="s">
        <v>258</v>
      </c>
      <c r="BY269" s="6" t="s">
        <v>238</v>
      </c>
      <c r="BZ269" s="5" t="s">
        <v>238</v>
      </c>
      <c r="CA269" s="5" t="s">
        <v>238</v>
      </c>
      <c r="CB269" s="5" t="s">
        <v>238</v>
      </c>
      <c r="CD269" s="5" t="s">
        <v>238</v>
      </c>
      <c r="CE269" s="5" t="s">
        <v>238</v>
      </c>
      <c r="CI269" s="5" t="s">
        <v>259</v>
      </c>
      <c r="CJ269" s="5" t="s">
        <v>260</v>
      </c>
      <c r="CK269" s="5" t="s">
        <v>272</v>
      </c>
      <c r="CM269" s="5" t="s">
        <v>330</v>
      </c>
      <c r="CN269" s="6" t="s">
        <v>262</v>
      </c>
      <c r="CO269" s="5" t="s">
        <v>263</v>
      </c>
      <c r="CP269" s="5" t="s">
        <v>264</v>
      </c>
      <c r="CQ269" s="5" t="s">
        <v>238</v>
      </c>
      <c r="CR269" s="5" t="s">
        <v>238</v>
      </c>
      <c r="CS269" s="5">
        <v>0</v>
      </c>
      <c r="CT269" s="5" t="s">
        <v>265</v>
      </c>
      <c r="CU269" s="5" t="s">
        <v>351</v>
      </c>
      <c r="CV269" s="5" t="s">
        <v>394</v>
      </c>
      <c r="CW269" s="7" t="s">
        <v>238</v>
      </c>
      <c r="CX269" s="8">
        <f>5040000</f>
        <v>5040000</v>
      </c>
      <c r="CY269" s="8">
        <f>1</f>
        <v>1</v>
      </c>
      <c r="CZ269" s="8" t="s">
        <v>238</v>
      </c>
      <c r="DA269" s="5" t="s">
        <v>238</v>
      </c>
      <c r="DB269" s="5" t="s">
        <v>238</v>
      </c>
      <c r="DD269" s="5" t="s">
        <v>238</v>
      </c>
      <c r="DE269" s="8" t="s">
        <v>238</v>
      </c>
      <c r="DF269" s="6" t="s">
        <v>238</v>
      </c>
      <c r="DG269" s="5" t="s">
        <v>238</v>
      </c>
      <c r="DH269" s="5" t="s">
        <v>238</v>
      </c>
      <c r="DI269" s="5" t="s">
        <v>238</v>
      </c>
      <c r="DJ269" s="5" t="s">
        <v>238</v>
      </c>
      <c r="DK269" s="5" t="s">
        <v>271</v>
      </c>
      <c r="DL269" s="5" t="s">
        <v>272</v>
      </c>
      <c r="DM269" s="7">
        <f>21.08</f>
        <v>21.08</v>
      </c>
      <c r="DN269" s="5" t="s">
        <v>238</v>
      </c>
      <c r="DO269" s="5" t="s">
        <v>247</v>
      </c>
      <c r="DP269" s="5" t="s">
        <v>3170</v>
      </c>
      <c r="DQ269" s="5" t="s">
        <v>3170</v>
      </c>
      <c r="DR269" s="5" t="s">
        <v>238</v>
      </c>
      <c r="DS269" s="5" t="s">
        <v>238</v>
      </c>
      <c r="DT269" s="5" t="s">
        <v>1364</v>
      </c>
      <c r="DU269" s="5" t="s">
        <v>274</v>
      </c>
      <c r="HP269" s="5" t="s">
        <v>272</v>
      </c>
      <c r="HQ269" s="5" t="s">
        <v>272</v>
      </c>
    </row>
    <row r="270" spans="1:238" x14ac:dyDescent="0.4">
      <c r="A270" s="5">
        <v>294</v>
      </c>
      <c r="B270" s="5">
        <v>1</v>
      </c>
      <c r="C270" s="5">
        <v>4</v>
      </c>
      <c r="D270" s="5" t="s">
        <v>1230</v>
      </c>
      <c r="E270" s="5" t="s">
        <v>324</v>
      </c>
      <c r="F270" s="5" t="s">
        <v>282</v>
      </c>
      <c r="G270" s="5" t="s">
        <v>505</v>
      </c>
      <c r="H270" s="6" t="s">
        <v>1232</v>
      </c>
      <c r="I270" s="5" t="s">
        <v>2909</v>
      </c>
      <c r="J270" s="7">
        <f>0</f>
        <v>0</v>
      </c>
      <c r="K270" s="5" t="s">
        <v>270</v>
      </c>
      <c r="L270" s="8">
        <f>1086640</f>
        <v>1086640</v>
      </c>
      <c r="M270" s="8">
        <f>1634040</f>
        <v>1634040</v>
      </c>
      <c r="N270" s="6" t="s">
        <v>1498</v>
      </c>
      <c r="O270" s="5" t="s">
        <v>268</v>
      </c>
      <c r="P270" s="5" t="s">
        <v>356</v>
      </c>
      <c r="Q270" s="8">
        <f>109480</f>
        <v>109480</v>
      </c>
      <c r="R270" s="8">
        <f>547400</f>
        <v>547400</v>
      </c>
      <c r="S270" s="5" t="s">
        <v>240</v>
      </c>
      <c r="T270" s="5" t="s">
        <v>287</v>
      </c>
      <c r="U270" s="5" t="s">
        <v>238</v>
      </c>
      <c r="V270" s="5" t="s">
        <v>238</v>
      </c>
      <c r="W270" s="5" t="s">
        <v>241</v>
      </c>
      <c r="X270" s="5" t="s">
        <v>243</v>
      </c>
      <c r="Y270" s="5" t="s">
        <v>238</v>
      </c>
      <c r="AB270" s="5" t="s">
        <v>238</v>
      </c>
      <c r="AC270" s="6" t="s">
        <v>238</v>
      </c>
      <c r="AD270" s="6" t="s">
        <v>238</v>
      </c>
      <c r="AF270" s="6" t="s">
        <v>238</v>
      </c>
      <c r="AG270" s="6" t="s">
        <v>246</v>
      </c>
      <c r="AH270" s="5" t="s">
        <v>247</v>
      </c>
      <c r="AI270" s="5" t="s">
        <v>248</v>
      </c>
      <c r="AO270" s="5" t="s">
        <v>238</v>
      </c>
      <c r="AP270" s="5" t="s">
        <v>238</v>
      </c>
      <c r="AQ270" s="5" t="s">
        <v>238</v>
      </c>
      <c r="AR270" s="6" t="s">
        <v>238</v>
      </c>
      <c r="AS270" s="6" t="s">
        <v>238</v>
      </c>
      <c r="AT270" s="6" t="s">
        <v>238</v>
      </c>
      <c r="AW270" s="5" t="s">
        <v>304</v>
      </c>
      <c r="AX270" s="5" t="s">
        <v>304</v>
      </c>
      <c r="AY270" s="5" t="s">
        <v>250</v>
      </c>
      <c r="AZ270" s="5" t="s">
        <v>305</v>
      </c>
      <c r="BA270" s="5" t="s">
        <v>251</v>
      </c>
      <c r="BB270" s="5" t="s">
        <v>238</v>
      </c>
      <c r="BC270" s="5" t="s">
        <v>253</v>
      </c>
      <c r="BD270" s="5" t="s">
        <v>238</v>
      </c>
      <c r="BF270" s="5" t="s">
        <v>238</v>
      </c>
      <c r="BH270" s="5" t="s">
        <v>283</v>
      </c>
      <c r="BI270" s="6" t="s">
        <v>293</v>
      </c>
      <c r="BJ270" s="5" t="s">
        <v>294</v>
      </c>
      <c r="BK270" s="5" t="s">
        <v>294</v>
      </c>
      <c r="BL270" s="5" t="s">
        <v>238</v>
      </c>
      <c r="BM270" s="7">
        <f>0</f>
        <v>0</v>
      </c>
      <c r="BN270" s="8">
        <f>-109480</f>
        <v>-109480</v>
      </c>
      <c r="BO270" s="5" t="s">
        <v>257</v>
      </c>
      <c r="BP270" s="5" t="s">
        <v>258</v>
      </c>
      <c r="BQ270" s="5" t="s">
        <v>238</v>
      </c>
      <c r="BR270" s="5" t="s">
        <v>238</v>
      </c>
      <c r="BS270" s="5" t="s">
        <v>238</v>
      </c>
      <c r="BT270" s="5" t="s">
        <v>238</v>
      </c>
      <c r="CC270" s="5" t="s">
        <v>258</v>
      </c>
      <c r="CD270" s="5" t="s">
        <v>238</v>
      </c>
      <c r="CE270" s="5" t="s">
        <v>238</v>
      </c>
      <c r="CI270" s="5" t="s">
        <v>259</v>
      </c>
      <c r="CJ270" s="5" t="s">
        <v>260</v>
      </c>
      <c r="CK270" s="5" t="s">
        <v>238</v>
      </c>
      <c r="CM270" s="5" t="s">
        <v>376</v>
      </c>
      <c r="CN270" s="6" t="s">
        <v>262</v>
      </c>
      <c r="CO270" s="5" t="s">
        <v>263</v>
      </c>
      <c r="CP270" s="5" t="s">
        <v>264</v>
      </c>
      <c r="CQ270" s="5" t="s">
        <v>285</v>
      </c>
      <c r="CR270" s="5" t="s">
        <v>238</v>
      </c>
      <c r="CS270" s="5">
        <v>6.7000000000000004E-2</v>
      </c>
      <c r="CT270" s="5" t="s">
        <v>265</v>
      </c>
      <c r="CU270" s="5" t="s">
        <v>351</v>
      </c>
      <c r="CV270" s="5" t="s">
        <v>365</v>
      </c>
      <c r="CW270" s="7">
        <f>0</f>
        <v>0</v>
      </c>
      <c r="CX270" s="8">
        <f>1634040</f>
        <v>1634040</v>
      </c>
      <c r="CY270" s="8">
        <f>1196120</f>
        <v>1196120</v>
      </c>
      <c r="DA270" s="5" t="s">
        <v>238</v>
      </c>
      <c r="DB270" s="5" t="s">
        <v>238</v>
      </c>
      <c r="DD270" s="5" t="s">
        <v>238</v>
      </c>
      <c r="DE270" s="8">
        <f>0</f>
        <v>0</v>
      </c>
      <c r="DG270" s="5" t="s">
        <v>238</v>
      </c>
      <c r="DH270" s="5" t="s">
        <v>238</v>
      </c>
      <c r="DI270" s="5" t="s">
        <v>238</v>
      </c>
      <c r="DJ270" s="5" t="s">
        <v>238</v>
      </c>
      <c r="DK270" s="5" t="s">
        <v>272</v>
      </c>
      <c r="DL270" s="5" t="s">
        <v>272</v>
      </c>
      <c r="DM270" s="8" t="s">
        <v>238</v>
      </c>
      <c r="DN270" s="5" t="s">
        <v>238</v>
      </c>
      <c r="DO270" s="5" t="s">
        <v>238</v>
      </c>
      <c r="DP270" s="5" t="s">
        <v>238</v>
      </c>
      <c r="DQ270" s="5" t="s">
        <v>238</v>
      </c>
      <c r="DT270" s="5" t="s">
        <v>1364</v>
      </c>
      <c r="DU270" s="5" t="s">
        <v>356</v>
      </c>
      <c r="GL270" s="5" t="s">
        <v>2910</v>
      </c>
      <c r="HM270" s="5" t="s">
        <v>379</v>
      </c>
      <c r="HP270" s="5" t="s">
        <v>272</v>
      </c>
      <c r="HQ270" s="5" t="s">
        <v>272</v>
      </c>
      <c r="HR270" s="5" t="s">
        <v>238</v>
      </c>
      <c r="HS270" s="5" t="s">
        <v>238</v>
      </c>
      <c r="HT270" s="5" t="s">
        <v>238</v>
      </c>
      <c r="HU270" s="5" t="s">
        <v>238</v>
      </c>
      <c r="HV270" s="5" t="s">
        <v>238</v>
      </c>
      <c r="HW270" s="5" t="s">
        <v>238</v>
      </c>
      <c r="HX270" s="5" t="s">
        <v>238</v>
      </c>
      <c r="HY270" s="5" t="s">
        <v>238</v>
      </c>
      <c r="HZ270" s="5" t="s">
        <v>238</v>
      </c>
      <c r="IA270" s="5" t="s">
        <v>238</v>
      </c>
      <c r="IB270" s="5" t="s">
        <v>238</v>
      </c>
      <c r="IC270" s="5" t="s">
        <v>238</v>
      </c>
      <c r="ID270" s="5" t="s">
        <v>238</v>
      </c>
    </row>
    <row r="271" spans="1:238" x14ac:dyDescent="0.4">
      <c r="A271" s="5">
        <v>295</v>
      </c>
      <c r="B271" s="5">
        <v>1</v>
      </c>
      <c r="C271" s="5">
        <v>4</v>
      </c>
      <c r="D271" s="5" t="s">
        <v>1230</v>
      </c>
      <c r="E271" s="5" t="s">
        <v>324</v>
      </c>
      <c r="F271" s="5" t="s">
        <v>282</v>
      </c>
      <c r="G271" s="5" t="s">
        <v>1231</v>
      </c>
      <c r="H271" s="6" t="s">
        <v>1232</v>
      </c>
      <c r="I271" s="5" t="s">
        <v>1181</v>
      </c>
      <c r="J271" s="7">
        <f>450</f>
        <v>450</v>
      </c>
      <c r="K271" s="5" t="s">
        <v>270</v>
      </c>
      <c r="L271" s="8">
        <f>11887200</f>
        <v>11887200</v>
      </c>
      <c r="M271" s="8">
        <f>57150000</f>
        <v>57150000</v>
      </c>
      <c r="N271" s="6" t="s">
        <v>325</v>
      </c>
      <c r="O271" s="5" t="s">
        <v>650</v>
      </c>
      <c r="P271" s="5" t="s">
        <v>286</v>
      </c>
      <c r="Q271" s="8">
        <f>1885950</f>
        <v>1885950</v>
      </c>
      <c r="R271" s="8">
        <f>45262800</f>
        <v>45262800</v>
      </c>
      <c r="S271" s="5" t="s">
        <v>240</v>
      </c>
      <c r="T271" s="5" t="s">
        <v>237</v>
      </c>
      <c r="U271" s="5" t="s">
        <v>238</v>
      </c>
      <c r="V271" s="5" t="s">
        <v>238</v>
      </c>
      <c r="W271" s="5" t="s">
        <v>241</v>
      </c>
      <c r="X271" s="5" t="s">
        <v>243</v>
      </c>
      <c r="Y271" s="5" t="s">
        <v>238</v>
      </c>
      <c r="AB271" s="5" t="s">
        <v>238</v>
      </c>
      <c r="AC271" s="6" t="s">
        <v>238</v>
      </c>
      <c r="AD271" s="6" t="s">
        <v>238</v>
      </c>
      <c r="AF271" s="6" t="s">
        <v>238</v>
      </c>
      <c r="AG271" s="6" t="s">
        <v>246</v>
      </c>
      <c r="AH271" s="5" t="s">
        <v>247</v>
      </c>
      <c r="AI271" s="5" t="s">
        <v>248</v>
      </c>
      <c r="AO271" s="5" t="s">
        <v>238</v>
      </c>
      <c r="AP271" s="5" t="s">
        <v>238</v>
      </c>
      <c r="AQ271" s="5" t="s">
        <v>238</v>
      </c>
      <c r="AR271" s="6" t="s">
        <v>238</v>
      </c>
      <c r="AS271" s="6" t="s">
        <v>238</v>
      </c>
      <c r="AT271" s="6" t="s">
        <v>238</v>
      </c>
      <c r="AW271" s="5" t="s">
        <v>304</v>
      </c>
      <c r="AX271" s="5" t="s">
        <v>304</v>
      </c>
      <c r="AY271" s="5" t="s">
        <v>250</v>
      </c>
      <c r="AZ271" s="5" t="s">
        <v>305</v>
      </c>
      <c r="BA271" s="5" t="s">
        <v>251</v>
      </c>
      <c r="BB271" s="5" t="s">
        <v>238</v>
      </c>
      <c r="BC271" s="5" t="s">
        <v>253</v>
      </c>
      <c r="BD271" s="5" t="s">
        <v>238</v>
      </c>
      <c r="BF271" s="5" t="s">
        <v>329</v>
      </c>
      <c r="BH271" s="5" t="s">
        <v>283</v>
      </c>
      <c r="BI271" s="6" t="s">
        <v>293</v>
      </c>
      <c r="BJ271" s="5" t="s">
        <v>294</v>
      </c>
      <c r="BK271" s="5" t="s">
        <v>294</v>
      </c>
      <c r="BL271" s="5" t="s">
        <v>238</v>
      </c>
      <c r="BM271" s="7">
        <f>0</f>
        <v>0</v>
      </c>
      <c r="BN271" s="8">
        <f>-1885950</f>
        <v>-1885950</v>
      </c>
      <c r="BO271" s="5" t="s">
        <v>257</v>
      </c>
      <c r="BP271" s="5" t="s">
        <v>258</v>
      </c>
      <c r="BQ271" s="5" t="s">
        <v>238</v>
      </c>
      <c r="BR271" s="5" t="s">
        <v>238</v>
      </c>
      <c r="BS271" s="5" t="s">
        <v>238</v>
      </c>
      <c r="BT271" s="5" t="s">
        <v>238</v>
      </c>
      <c r="CC271" s="5" t="s">
        <v>258</v>
      </c>
      <c r="CD271" s="5" t="s">
        <v>238</v>
      </c>
      <c r="CE271" s="5" t="s">
        <v>238</v>
      </c>
      <c r="CI271" s="5" t="s">
        <v>259</v>
      </c>
      <c r="CJ271" s="5" t="s">
        <v>260</v>
      </c>
      <c r="CK271" s="5" t="s">
        <v>238</v>
      </c>
      <c r="CM271" s="5" t="s">
        <v>330</v>
      </c>
      <c r="CN271" s="6" t="s">
        <v>262</v>
      </c>
      <c r="CO271" s="5" t="s">
        <v>263</v>
      </c>
      <c r="CP271" s="5" t="s">
        <v>264</v>
      </c>
      <c r="CQ271" s="5" t="s">
        <v>285</v>
      </c>
      <c r="CR271" s="5" t="s">
        <v>238</v>
      </c>
      <c r="CS271" s="5">
        <v>3.3000000000000002E-2</v>
      </c>
      <c r="CT271" s="5" t="s">
        <v>265</v>
      </c>
      <c r="CU271" s="5" t="s">
        <v>1187</v>
      </c>
      <c r="CV271" s="5" t="s">
        <v>649</v>
      </c>
      <c r="CW271" s="7">
        <f>0</f>
        <v>0</v>
      </c>
      <c r="CX271" s="8">
        <f>57150000</f>
        <v>57150000</v>
      </c>
      <c r="CY271" s="8">
        <f>13773150</f>
        <v>13773150</v>
      </c>
      <c r="DA271" s="5" t="s">
        <v>238</v>
      </c>
      <c r="DB271" s="5" t="s">
        <v>238</v>
      </c>
      <c r="DD271" s="5" t="s">
        <v>238</v>
      </c>
      <c r="DE271" s="8">
        <f>0</f>
        <v>0</v>
      </c>
      <c r="DG271" s="5" t="s">
        <v>238</v>
      </c>
      <c r="DH271" s="5" t="s">
        <v>238</v>
      </c>
      <c r="DI271" s="5" t="s">
        <v>238</v>
      </c>
      <c r="DJ271" s="5" t="s">
        <v>238</v>
      </c>
      <c r="DK271" s="5" t="s">
        <v>271</v>
      </c>
      <c r="DL271" s="5" t="s">
        <v>272</v>
      </c>
      <c r="DM271" s="7">
        <f>450</f>
        <v>450</v>
      </c>
      <c r="DN271" s="5" t="s">
        <v>238</v>
      </c>
      <c r="DO271" s="5" t="s">
        <v>238</v>
      </c>
      <c r="DP271" s="5" t="s">
        <v>238</v>
      </c>
      <c r="DQ271" s="5" t="s">
        <v>238</v>
      </c>
      <c r="DT271" s="5" t="s">
        <v>1233</v>
      </c>
      <c r="DU271" s="5" t="s">
        <v>271</v>
      </c>
      <c r="GL271" s="5" t="s">
        <v>1234</v>
      </c>
      <c r="HM271" s="5" t="s">
        <v>313</v>
      </c>
      <c r="HP271" s="5" t="s">
        <v>272</v>
      </c>
      <c r="HQ271" s="5" t="s">
        <v>272</v>
      </c>
      <c r="HR271" s="5" t="s">
        <v>238</v>
      </c>
      <c r="HS271" s="5" t="s">
        <v>238</v>
      </c>
      <c r="HT271" s="5" t="s">
        <v>238</v>
      </c>
      <c r="HU271" s="5" t="s">
        <v>238</v>
      </c>
      <c r="HV271" s="5" t="s">
        <v>238</v>
      </c>
      <c r="HW271" s="5" t="s">
        <v>238</v>
      </c>
      <c r="HX271" s="5" t="s">
        <v>238</v>
      </c>
      <c r="HY271" s="5" t="s">
        <v>238</v>
      </c>
      <c r="HZ271" s="5" t="s">
        <v>238</v>
      </c>
      <c r="IA271" s="5" t="s">
        <v>238</v>
      </c>
      <c r="IB271" s="5" t="s">
        <v>238</v>
      </c>
      <c r="IC271" s="5" t="s">
        <v>238</v>
      </c>
      <c r="ID271" s="5" t="s">
        <v>238</v>
      </c>
    </row>
    <row r="272" spans="1:238" x14ac:dyDescent="0.4">
      <c r="A272" s="5">
        <v>296</v>
      </c>
      <c r="B272" s="5">
        <v>1</v>
      </c>
      <c r="C272" s="5">
        <v>4</v>
      </c>
      <c r="D272" s="5" t="s">
        <v>314</v>
      </c>
      <c r="E272" s="5" t="s">
        <v>315</v>
      </c>
      <c r="F272" s="5" t="s">
        <v>282</v>
      </c>
      <c r="G272" s="5" t="s">
        <v>302</v>
      </c>
      <c r="H272" s="6" t="s">
        <v>317</v>
      </c>
      <c r="I272" s="5" t="s">
        <v>298</v>
      </c>
      <c r="J272" s="7">
        <f>576.68</f>
        <v>576.67999999999995</v>
      </c>
      <c r="K272" s="5" t="s">
        <v>270</v>
      </c>
      <c r="L272" s="8">
        <f>111010900</f>
        <v>111010900</v>
      </c>
      <c r="M272" s="8">
        <f>158587000</f>
        <v>158587000</v>
      </c>
      <c r="N272" s="6" t="s">
        <v>316</v>
      </c>
      <c r="O272" s="5" t="s">
        <v>279</v>
      </c>
      <c r="P272" s="5" t="s">
        <v>319</v>
      </c>
      <c r="Q272" s="8">
        <f>3171740</f>
        <v>3171740</v>
      </c>
      <c r="R272" s="8">
        <f>47576100</f>
        <v>47576100</v>
      </c>
      <c r="S272" s="5" t="s">
        <v>240</v>
      </c>
      <c r="T272" s="5" t="s">
        <v>237</v>
      </c>
      <c r="U272" s="5" t="s">
        <v>238</v>
      </c>
      <c r="V272" s="5" t="s">
        <v>238</v>
      </c>
      <c r="W272" s="5" t="s">
        <v>241</v>
      </c>
      <c r="X272" s="5" t="s">
        <v>243</v>
      </c>
      <c r="Y272" s="5" t="s">
        <v>238</v>
      </c>
      <c r="AB272" s="5" t="s">
        <v>238</v>
      </c>
      <c r="AC272" s="6" t="s">
        <v>238</v>
      </c>
      <c r="AD272" s="6" t="s">
        <v>238</v>
      </c>
      <c r="AF272" s="6" t="s">
        <v>238</v>
      </c>
      <c r="AG272" s="6" t="s">
        <v>246</v>
      </c>
      <c r="AH272" s="5" t="s">
        <v>247</v>
      </c>
      <c r="AI272" s="5" t="s">
        <v>248</v>
      </c>
      <c r="AO272" s="5" t="s">
        <v>238</v>
      </c>
      <c r="AP272" s="5" t="s">
        <v>238</v>
      </c>
      <c r="AQ272" s="5" t="s">
        <v>238</v>
      </c>
      <c r="AR272" s="6" t="s">
        <v>238</v>
      </c>
      <c r="AS272" s="6" t="s">
        <v>238</v>
      </c>
      <c r="AT272" s="6" t="s">
        <v>238</v>
      </c>
      <c r="AW272" s="5" t="s">
        <v>304</v>
      </c>
      <c r="AX272" s="5" t="s">
        <v>304</v>
      </c>
      <c r="AY272" s="5" t="s">
        <v>250</v>
      </c>
      <c r="AZ272" s="5" t="s">
        <v>305</v>
      </c>
      <c r="BA272" s="5" t="s">
        <v>251</v>
      </c>
      <c r="BB272" s="5" t="s">
        <v>238</v>
      </c>
      <c r="BC272" s="5" t="s">
        <v>253</v>
      </c>
      <c r="BD272" s="5" t="s">
        <v>238</v>
      </c>
      <c r="BF272" s="5" t="s">
        <v>238</v>
      </c>
      <c r="BH272" s="5" t="s">
        <v>283</v>
      </c>
      <c r="BI272" s="6" t="s">
        <v>293</v>
      </c>
      <c r="BJ272" s="5" t="s">
        <v>294</v>
      </c>
      <c r="BK272" s="5" t="s">
        <v>294</v>
      </c>
      <c r="BL272" s="5" t="s">
        <v>238</v>
      </c>
      <c r="BM272" s="7">
        <f>0</f>
        <v>0</v>
      </c>
      <c r="BN272" s="8">
        <f>-3171740</f>
        <v>-3171740</v>
      </c>
      <c r="BO272" s="5" t="s">
        <v>257</v>
      </c>
      <c r="BP272" s="5" t="s">
        <v>258</v>
      </c>
      <c r="BQ272" s="5" t="s">
        <v>238</v>
      </c>
      <c r="BR272" s="5" t="s">
        <v>238</v>
      </c>
      <c r="BS272" s="5" t="s">
        <v>238</v>
      </c>
      <c r="BT272" s="5" t="s">
        <v>238</v>
      </c>
      <c r="CC272" s="5" t="s">
        <v>258</v>
      </c>
      <c r="CD272" s="5" t="s">
        <v>238</v>
      </c>
      <c r="CE272" s="5" t="s">
        <v>238</v>
      </c>
      <c r="CI272" s="5" t="s">
        <v>259</v>
      </c>
      <c r="CJ272" s="5" t="s">
        <v>260</v>
      </c>
      <c r="CK272" s="5" t="s">
        <v>238</v>
      </c>
      <c r="CM272" s="5" t="s">
        <v>318</v>
      </c>
      <c r="CN272" s="6" t="s">
        <v>262</v>
      </c>
      <c r="CO272" s="5" t="s">
        <v>263</v>
      </c>
      <c r="CP272" s="5" t="s">
        <v>264</v>
      </c>
      <c r="CQ272" s="5" t="s">
        <v>285</v>
      </c>
      <c r="CR272" s="5" t="s">
        <v>238</v>
      </c>
      <c r="CS272" s="5">
        <v>0.02</v>
      </c>
      <c r="CT272" s="5" t="s">
        <v>265</v>
      </c>
      <c r="CU272" s="5" t="s">
        <v>307</v>
      </c>
      <c r="CV272" s="5" t="s">
        <v>308</v>
      </c>
      <c r="CW272" s="7">
        <f>0</f>
        <v>0</v>
      </c>
      <c r="CX272" s="8">
        <f>158587000</f>
        <v>158587000</v>
      </c>
      <c r="CY272" s="8">
        <f>114182640</f>
        <v>114182640</v>
      </c>
      <c r="DA272" s="5" t="s">
        <v>238</v>
      </c>
      <c r="DB272" s="5" t="s">
        <v>238</v>
      </c>
      <c r="DD272" s="5" t="s">
        <v>238</v>
      </c>
      <c r="DE272" s="8">
        <f>0</f>
        <v>0</v>
      </c>
      <c r="DG272" s="5" t="s">
        <v>238</v>
      </c>
      <c r="DH272" s="5" t="s">
        <v>238</v>
      </c>
      <c r="DI272" s="5" t="s">
        <v>238</v>
      </c>
      <c r="DJ272" s="5" t="s">
        <v>238</v>
      </c>
      <c r="DK272" s="5" t="s">
        <v>274</v>
      </c>
      <c r="DL272" s="5" t="s">
        <v>272</v>
      </c>
      <c r="DM272" s="7">
        <f>576.68</f>
        <v>576.67999999999995</v>
      </c>
      <c r="DN272" s="5" t="s">
        <v>238</v>
      </c>
      <c r="DO272" s="5" t="s">
        <v>238</v>
      </c>
      <c r="DP272" s="5" t="s">
        <v>238</v>
      </c>
      <c r="DQ272" s="5" t="s">
        <v>238</v>
      </c>
      <c r="DT272" s="5" t="s">
        <v>320</v>
      </c>
      <c r="DU272" s="5" t="s">
        <v>271</v>
      </c>
      <c r="GL272" s="5" t="s">
        <v>321</v>
      </c>
      <c r="HM272" s="5" t="s">
        <v>313</v>
      </c>
      <c r="HP272" s="5" t="s">
        <v>272</v>
      </c>
      <c r="HQ272" s="5" t="s">
        <v>272</v>
      </c>
      <c r="HR272" s="5" t="s">
        <v>238</v>
      </c>
      <c r="HS272" s="5" t="s">
        <v>238</v>
      </c>
      <c r="HT272" s="5" t="s">
        <v>238</v>
      </c>
      <c r="HU272" s="5" t="s">
        <v>238</v>
      </c>
      <c r="HV272" s="5" t="s">
        <v>238</v>
      </c>
      <c r="HW272" s="5" t="s">
        <v>238</v>
      </c>
      <c r="HX272" s="5" t="s">
        <v>238</v>
      </c>
      <c r="HY272" s="5" t="s">
        <v>238</v>
      </c>
      <c r="HZ272" s="5" t="s">
        <v>238</v>
      </c>
      <c r="IA272" s="5" t="s">
        <v>238</v>
      </c>
      <c r="IB272" s="5" t="s">
        <v>238</v>
      </c>
      <c r="IC272" s="5" t="s">
        <v>238</v>
      </c>
      <c r="ID272" s="5" t="s">
        <v>238</v>
      </c>
    </row>
    <row r="273" spans="1:238" x14ac:dyDescent="0.4">
      <c r="A273" s="5">
        <v>297</v>
      </c>
      <c r="B273" s="5">
        <v>1</v>
      </c>
      <c r="C273" s="5">
        <v>1</v>
      </c>
      <c r="D273" s="5" t="s">
        <v>314</v>
      </c>
      <c r="E273" s="5" t="s">
        <v>315</v>
      </c>
      <c r="F273" s="5" t="s">
        <v>282</v>
      </c>
      <c r="G273" s="5" t="s">
        <v>863</v>
      </c>
      <c r="H273" s="6" t="s">
        <v>317</v>
      </c>
      <c r="I273" s="5" t="s">
        <v>863</v>
      </c>
      <c r="J273" s="7">
        <f>66.74</f>
        <v>66.739999999999995</v>
      </c>
      <c r="K273" s="5" t="s">
        <v>270</v>
      </c>
      <c r="L273" s="8">
        <f>1</f>
        <v>1</v>
      </c>
      <c r="M273" s="8">
        <f>4004400</f>
        <v>4004400</v>
      </c>
      <c r="N273" s="6" t="s">
        <v>864</v>
      </c>
      <c r="O273" s="5" t="s">
        <v>268</v>
      </c>
      <c r="P273" s="5" t="s">
        <v>866</v>
      </c>
      <c r="R273" s="8">
        <f>4004399</f>
        <v>4004399</v>
      </c>
      <c r="S273" s="5" t="s">
        <v>240</v>
      </c>
      <c r="T273" s="5" t="s">
        <v>237</v>
      </c>
      <c r="U273" s="5" t="s">
        <v>238</v>
      </c>
      <c r="V273" s="5" t="s">
        <v>238</v>
      </c>
      <c r="W273" s="5" t="s">
        <v>241</v>
      </c>
      <c r="X273" s="5" t="s">
        <v>243</v>
      </c>
      <c r="Y273" s="5" t="s">
        <v>238</v>
      </c>
      <c r="AB273" s="5" t="s">
        <v>238</v>
      </c>
      <c r="AD273" s="6" t="s">
        <v>238</v>
      </c>
      <c r="AG273" s="6" t="s">
        <v>246</v>
      </c>
      <c r="AH273" s="5" t="s">
        <v>247</v>
      </c>
      <c r="AI273" s="5" t="s">
        <v>248</v>
      </c>
      <c r="AY273" s="5" t="s">
        <v>250</v>
      </c>
      <c r="AZ273" s="5" t="s">
        <v>238</v>
      </c>
      <c r="BA273" s="5" t="s">
        <v>251</v>
      </c>
      <c r="BB273" s="5" t="s">
        <v>238</v>
      </c>
      <c r="BC273" s="5" t="s">
        <v>253</v>
      </c>
      <c r="BD273" s="5" t="s">
        <v>238</v>
      </c>
      <c r="BF273" s="5" t="s">
        <v>238</v>
      </c>
      <c r="BH273" s="5" t="s">
        <v>697</v>
      </c>
      <c r="BI273" s="6" t="s">
        <v>698</v>
      </c>
      <c r="BJ273" s="5" t="s">
        <v>255</v>
      </c>
      <c r="BK273" s="5" t="s">
        <v>256</v>
      </c>
      <c r="BL273" s="5" t="s">
        <v>238</v>
      </c>
      <c r="BM273" s="7">
        <f>0</f>
        <v>0</v>
      </c>
      <c r="BN273" s="8">
        <f>0</f>
        <v>0</v>
      </c>
      <c r="BO273" s="5" t="s">
        <v>257</v>
      </c>
      <c r="BP273" s="5" t="s">
        <v>258</v>
      </c>
      <c r="CD273" s="5" t="s">
        <v>238</v>
      </c>
      <c r="CE273" s="5" t="s">
        <v>238</v>
      </c>
      <c r="CI273" s="5" t="s">
        <v>527</v>
      </c>
      <c r="CJ273" s="5" t="s">
        <v>260</v>
      </c>
      <c r="CK273" s="5" t="s">
        <v>238</v>
      </c>
      <c r="CM273" s="5" t="s">
        <v>865</v>
      </c>
      <c r="CN273" s="6" t="s">
        <v>262</v>
      </c>
      <c r="CO273" s="5" t="s">
        <v>263</v>
      </c>
      <c r="CP273" s="5" t="s">
        <v>264</v>
      </c>
      <c r="CQ273" s="5" t="s">
        <v>238</v>
      </c>
      <c r="CR273" s="5" t="s">
        <v>238</v>
      </c>
      <c r="CS273" s="5">
        <v>0</v>
      </c>
      <c r="CT273" s="5" t="s">
        <v>265</v>
      </c>
      <c r="CU273" s="5" t="s">
        <v>266</v>
      </c>
      <c r="CV273" s="5" t="s">
        <v>267</v>
      </c>
      <c r="CX273" s="8">
        <f>4004400</f>
        <v>4004400</v>
      </c>
      <c r="CY273" s="8">
        <f>0</f>
        <v>0</v>
      </c>
      <c r="DA273" s="5" t="s">
        <v>238</v>
      </c>
      <c r="DB273" s="5" t="s">
        <v>238</v>
      </c>
      <c r="DD273" s="5" t="s">
        <v>238</v>
      </c>
      <c r="DG273" s="5" t="s">
        <v>238</v>
      </c>
      <c r="DH273" s="5" t="s">
        <v>238</v>
      </c>
      <c r="DI273" s="5" t="s">
        <v>238</v>
      </c>
      <c r="DJ273" s="5" t="s">
        <v>238</v>
      </c>
      <c r="DK273" s="5" t="s">
        <v>271</v>
      </c>
      <c r="DL273" s="5" t="s">
        <v>272</v>
      </c>
      <c r="DM273" s="7">
        <f>66.74</f>
        <v>66.739999999999995</v>
      </c>
      <c r="DN273" s="5" t="s">
        <v>238</v>
      </c>
      <c r="DO273" s="5" t="s">
        <v>238</v>
      </c>
      <c r="DP273" s="5" t="s">
        <v>238</v>
      </c>
      <c r="DQ273" s="5" t="s">
        <v>238</v>
      </c>
      <c r="DT273" s="5" t="s">
        <v>320</v>
      </c>
      <c r="DU273" s="5" t="s">
        <v>274</v>
      </c>
      <c r="HM273" s="5" t="s">
        <v>271</v>
      </c>
      <c r="HP273" s="5" t="s">
        <v>272</v>
      </c>
      <c r="HQ273" s="5" t="s">
        <v>272</v>
      </c>
    </row>
    <row r="274" spans="1:238" x14ac:dyDescent="0.4">
      <c r="A274" s="5">
        <v>299</v>
      </c>
      <c r="B274" s="5">
        <v>1</v>
      </c>
      <c r="C274" s="5">
        <v>4</v>
      </c>
      <c r="D274" s="5" t="s">
        <v>678</v>
      </c>
      <c r="E274" s="5" t="s">
        <v>300</v>
      </c>
      <c r="F274" s="5" t="s">
        <v>282</v>
      </c>
      <c r="G274" s="5" t="s">
        <v>680</v>
      </c>
      <c r="H274" s="6" t="s">
        <v>681</v>
      </c>
      <c r="I274" s="5" t="s">
        <v>677</v>
      </c>
      <c r="J274" s="7">
        <f>195</f>
        <v>195</v>
      </c>
      <c r="K274" s="5" t="s">
        <v>270</v>
      </c>
      <c r="L274" s="8">
        <f>6899100</f>
        <v>6899100</v>
      </c>
      <c r="M274" s="8">
        <f>28275000</f>
        <v>28275000</v>
      </c>
      <c r="N274" s="6" t="s">
        <v>679</v>
      </c>
      <c r="O274" s="5" t="s">
        <v>651</v>
      </c>
      <c r="P274" s="5" t="s">
        <v>269</v>
      </c>
      <c r="Q274" s="8">
        <f>1187550</f>
        <v>1187550</v>
      </c>
      <c r="R274" s="8">
        <f>21375900</f>
        <v>21375900</v>
      </c>
      <c r="S274" s="5" t="s">
        <v>240</v>
      </c>
      <c r="T274" s="5" t="s">
        <v>237</v>
      </c>
      <c r="U274" s="5" t="s">
        <v>238</v>
      </c>
      <c r="V274" s="5" t="s">
        <v>238</v>
      </c>
      <c r="W274" s="5" t="s">
        <v>241</v>
      </c>
      <c r="X274" s="5" t="s">
        <v>243</v>
      </c>
      <c r="Y274" s="5" t="s">
        <v>238</v>
      </c>
      <c r="AB274" s="5" t="s">
        <v>238</v>
      </c>
      <c r="AC274" s="6" t="s">
        <v>238</v>
      </c>
      <c r="AD274" s="6" t="s">
        <v>238</v>
      </c>
      <c r="AF274" s="6" t="s">
        <v>238</v>
      </c>
      <c r="AG274" s="6" t="s">
        <v>246</v>
      </c>
      <c r="AH274" s="5" t="s">
        <v>247</v>
      </c>
      <c r="AI274" s="5" t="s">
        <v>248</v>
      </c>
      <c r="AO274" s="5" t="s">
        <v>238</v>
      </c>
      <c r="AP274" s="5" t="s">
        <v>238</v>
      </c>
      <c r="AQ274" s="5" t="s">
        <v>238</v>
      </c>
      <c r="AR274" s="6" t="s">
        <v>238</v>
      </c>
      <c r="AS274" s="6" t="s">
        <v>238</v>
      </c>
      <c r="AT274" s="6" t="s">
        <v>238</v>
      </c>
      <c r="AW274" s="5" t="s">
        <v>304</v>
      </c>
      <c r="AX274" s="5" t="s">
        <v>304</v>
      </c>
      <c r="AY274" s="5" t="s">
        <v>250</v>
      </c>
      <c r="AZ274" s="5" t="s">
        <v>305</v>
      </c>
      <c r="BA274" s="5" t="s">
        <v>251</v>
      </c>
      <c r="BB274" s="5" t="s">
        <v>238</v>
      </c>
      <c r="BC274" s="5" t="s">
        <v>253</v>
      </c>
      <c r="BD274" s="5" t="s">
        <v>238</v>
      </c>
      <c r="BF274" s="5" t="s">
        <v>329</v>
      </c>
      <c r="BH274" s="5" t="s">
        <v>283</v>
      </c>
      <c r="BI274" s="6" t="s">
        <v>293</v>
      </c>
      <c r="BJ274" s="5" t="s">
        <v>294</v>
      </c>
      <c r="BK274" s="5" t="s">
        <v>294</v>
      </c>
      <c r="BL274" s="5" t="s">
        <v>238</v>
      </c>
      <c r="BM274" s="7">
        <f>0</f>
        <v>0</v>
      </c>
      <c r="BN274" s="8">
        <f>-1187550</f>
        <v>-1187550</v>
      </c>
      <c r="BO274" s="5" t="s">
        <v>257</v>
      </c>
      <c r="BP274" s="5" t="s">
        <v>258</v>
      </c>
      <c r="BQ274" s="5" t="s">
        <v>238</v>
      </c>
      <c r="BR274" s="5" t="s">
        <v>238</v>
      </c>
      <c r="BS274" s="5" t="s">
        <v>238</v>
      </c>
      <c r="BT274" s="5" t="s">
        <v>238</v>
      </c>
      <c r="CC274" s="5" t="s">
        <v>258</v>
      </c>
      <c r="CD274" s="5" t="s">
        <v>238</v>
      </c>
      <c r="CE274" s="5" t="s">
        <v>238</v>
      </c>
      <c r="CI274" s="5" t="s">
        <v>259</v>
      </c>
      <c r="CJ274" s="5" t="s">
        <v>260</v>
      </c>
      <c r="CK274" s="5" t="s">
        <v>238</v>
      </c>
      <c r="CM274" s="5" t="s">
        <v>682</v>
      </c>
      <c r="CN274" s="6" t="s">
        <v>262</v>
      </c>
      <c r="CO274" s="5" t="s">
        <v>263</v>
      </c>
      <c r="CP274" s="5" t="s">
        <v>264</v>
      </c>
      <c r="CQ274" s="5" t="s">
        <v>285</v>
      </c>
      <c r="CR274" s="5" t="s">
        <v>238</v>
      </c>
      <c r="CS274" s="5">
        <v>4.2000000000000003E-2</v>
      </c>
      <c r="CT274" s="5" t="s">
        <v>265</v>
      </c>
      <c r="CU274" s="5" t="s">
        <v>266</v>
      </c>
      <c r="CV274" s="5" t="s">
        <v>331</v>
      </c>
      <c r="CW274" s="7">
        <f>0</f>
        <v>0</v>
      </c>
      <c r="CX274" s="8">
        <f>28275000</f>
        <v>28275000</v>
      </c>
      <c r="CY274" s="8">
        <f>8086650</f>
        <v>8086650</v>
      </c>
      <c r="DA274" s="5" t="s">
        <v>238</v>
      </c>
      <c r="DB274" s="5" t="s">
        <v>238</v>
      </c>
      <c r="DD274" s="5" t="s">
        <v>238</v>
      </c>
      <c r="DE274" s="8">
        <f>0</f>
        <v>0</v>
      </c>
      <c r="DG274" s="5" t="s">
        <v>238</v>
      </c>
      <c r="DH274" s="5" t="s">
        <v>238</v>
      </c>
      <c r="DI274" s="5" t="s">
        <v>238</v>
      </c>
      <c r="DJ274" s="5" t="s">
        <v>238</v>
      </c>
      <c r="DK274" s="5" t="s">
        <v>274</v>
      </c>
      <c r="DL274" s="5" t="s">
        <v>272</v>
      </c>
      <c r="DM274" s="7">
        <f>195</f>
        <v>195</v>
      </c>
      <c r="DN274" s="5" t="s">
        <v>238</v>
      </c>
      <c r="DO274" s="5" t="s">
        <v>238</v>
      </c>
      <c r="DP274" s="5" t="s">
        <v>238</v>
      </c>
      <c r="DQ274" s="5" t="s">
        <v>238</v>
      </c>
      <c r="DT274" s="5" t="s">
        <v>683</v>
      </c>
      <c r="DU274" s="5" t="s">
        <v>271</v>
      </c>
      <c r="GL274" s="5" t="s">
        <v>684</v>
      </c>
      <c r="HM274" s="5" t="s">
        <v>313</v>
      </c>
      <c r="HP274" s="5" t="s">
        <v>272</v>
      </c>
      <c r="HQ274" s="5" t="s">
        <v>272</v>
      </c>
      <c r="HR274" s="5" t="s">
        <v>238</v>
      </c>
      <c r="HS274" s="5" t="s">
        <v>238</v>
      </c>
      <c r="HT274" s="5" t="s">
        <v>238</v>
      </c>
      <c r="HU274" s="5" t="s">
        <v>238</v>
      </c>
      <c r="HV274" s="5" t="s">
        <v>238</v>
      </c>
      <c r="HW274" s="5" t="s">
        <v>238</v>
      </c>
      <c r="HX274" s="5" t="s">
        <v>238</v>
      </c>
      <c r="HY274" s="5" t="s">
        <v>238</v>
      </c>
      <c r="HZ274" s="5" t="s">
        <v>238</v>
      </c>
      <c r="IA274" s="5" t="s">
        <v>238</v>
      </c>
      <c r="IB274" s="5" t="s">
        <v>238</v>
      </c>
      <c r="IC274" s="5" t="s">
        <v>238</v>
      </c>
      <c r="ID274" s="5" t="s">
        <v>238</v>
      </c>
    </row>
    <row r="275" spans="1:238" x14ac:dyDescent="0.4">
      <c r="A275" s="5">
        <v>300</v>
      </c>
      <c r="B275" s="5">
        <v>1</v>
      </c>
      <c r="C275" s="5">
        <v>4</v>
      </c>
      <c r="D275" s="5" t="s">
        <v>673</v>
      </c>
      <c r="E275" s="5" t="s">
        <v>644</v>
      </c>
      <c r="F275" s="5" t="s">
        <v>282</v>
      </c>
      <c r="G275" s="5" t="s">
        <v>668</v>
      </c>
      <c r="H275" s="6" t="s">
        <v>674</v>
      </c>
      <c r="I275" s="5" t="s">
        <v>1274</v>
      </c>
      <c r="J275" s="7">
        <f>486</f>
        <v>486</v>
      </c>
      <c r="K275" s="5" t="s">
        <v>270</v>
      </c>
      <c r="L275" s="8">
        <f>16633836</f>
        <v>16633836</v>
      </c>
      <c r="M275" s="8">
        <f>152604000</f>
        <v>152604000</v>
      </c>
      <c r="N275" s="6" t="s">
        <v>662</v>
      </c>
      <c r="O275" s="5" t="s">
        <v>650</v>
      </c>
      <c r="P275" s="5" t="s">
        <v>640</v>
      </c>
      <c r="Q275" s="8">
        <f>5035932</f>
        <v>5035932</v>
      </c>
      <c r="R275" s="8">
        <f>135970164</f>
        <v>135970164</v>
      </c>
      <c r="S275" s="5" t="s">
        <v>240</v>
      </c>
      <c r="T275" s="5" t="s">
        <v>237</v>
      </c>
      <c r="U275" s="5" t="s">
        <v>238</v>
      </c>
      <c r="V275" s="5" t="s">
        <v>238</v>
      </c>
      <c r="W275" s="5" t="s">
        <v>241</v>
      </c>
      <c r="X275" s="5" t="s">
        <v>337</v>
      </c>
      <c r="Y275" s="5" t="s">
        <v>238</v>
      </c>
      <c r="AB275" s="5" t="s">
        <v>238</v>
      </c>
      <c r="AC275" s="6" t="s">
        <v>238</v>
      </c>
      <c r="AD275" s="6" t="s">
        <v>238</v>
      </c>
      <c r="AF275" s="6" t="s">
        <v>238</v>
      </c>
      <c r="AG275" s="6" t="s">
        <v>246</v>
      </c>
      <c r="AH275" s="5" t="s">
        <v>247</v>
      </c>
      <c r="AI275" s="5" t="s">
        <v>248</v>
      </c>
      <c r="AO275" s="5" t="s">
        <v>238</v>
      </c>
      <c r="AP275" s="5" t="s">
        <v>238</v>
      </c>
      <c r="AQ275" s="5" t="s">
        <v>238</v>
      </c>
      <c r="AR275" s="6" t="s">
        <v>238</v>
      </c>
      <c r="AS275" s="6" t="s">
        <v>238</v>
      </c>
      <c r="AT275" s="6" t="s">
        <v>238</v>
      </c>
      <c r="AW275" s="5" t="s">
        <v>304</v>
      </c>
      <c r="AX275" s="5" t="s">
        <v>304</v>
      </c>
      <c r="AY275" s="5" t="s">
        <v>250</v>
      </c>
      <c r="AZ275" s="5" t="s">
        <v>305</v>
      </c>
      <c r="BA275" s="5" t="s">
        <v>251</v>
      </c>
      <c r="BB275" s="5" t="s">
        <v>238</v>
      </c>
      <c r="BC275" s="5" t="s">
        <v>253</v>
      </c>
      <c r="BD275" s="5" t="s">
        <v>238</v>
      </c>
      <c r="BF275" s="5" t="s">
        <v>329</v>
      </c>
      <c r="BH275" s="5" t="s">
        <v>283</v>
      </c>
      <c r="BI275" s="6" t="s">
        <v>293</v>
      </c>
      <c r="BJ275" s="5" t="s">
        <v>294</v>
      </c>
      <c r="BK275" s="5" t="s">
        <v>294</v>
      </c>
      <c r="BL275" s="5" t="s">
        <v>238</v>
      </c>
      <c r="BM275" s="7">
        <f>0</f>
        <v>0</v>
      </c>
      <c r="BN275" s="8">
        <f>-5035932</f>
        <v>-5035932</v>
      </c>
      <c r="BO275" s="5" t="s">
        <v>257</v>
      </c>
      <c r="BP275" s="5" t="s">
        <v>258</v>
      </c>
      <c r="BQ275" s="5" t="s">
        <v>238</v>
      </c>
      <c r="BR275" s="5" t="s">
        <v>238</v>
      </c>
      <c r="BS275" s="5" t="s">
        <v>238</v>
      </c>
      <c r="BT275" s="5" t="s">
        <v>238</v>
      </c>
      <c r="CC275" s="5" t="s">
        <v>258</v>
      </c>
      <c r="CD275" s="5" t="s">
        <v>238</v>
      </c>
      <c r="CE275" s="5" t="s">
        <v>238</v>
      </c>
      <c r="CI275" s="5" t="s">
        <v>259</v>
      </c>
      <c r="CJ275" s="5" t="s">
        <v>260</v>
      </c>
      <c r="CK275" s="5" t="s">
        <v>238</v>
      </c>
      <c r="CM275" s="5" t="s">
        <v>638</v>
      </c>
      <c r="CN275" s="6" t="s">
        <v>262</v>
      </c>
      <c r="CO275" s="5" t="s">
        <v>263</v>
      </c>
      <c r="CP275" s="5" t="s">
        <v>264</v>
      </c>
      <c r="CQ275" s="5" t="s">
        <v>285</v>
      </c>
      <c r="CR275" s="5" t="s">
        <v>238</v>
      </c>
      <c r="CS275" s="5">
        <v>3.3000000000000002E-2</v>
      </c>
      <c r="CT275" s="5" t="s">
        <v>265</v>
      </c>
      <c r="CU275" s="5" t="s">
        <v>1266</v>
      </c>
      <c r="CV275" s="5" t="s">
        <v>649</v>
      </c>
      <c r="CW275" s="7">
        <f>0</f>
        <v>0</v>
      </c>
      <c r="CX275" s="8">
        <f>152604000</f>
        <v>152604000</v>
      </c>
      <c r="CY275" s="8">
        <f>21669768</f>
        <v>21669768</v>
      </c>
      <c r="DA275" s="5" t="s">
        <v>238</v>
      </c>
      <c r="DB275" s="5" t="s">
        <v>238</v>
      </c>
      <c r="DD275" s="5" t="s">
        <v>238</v>
      </c>
      <c r="DE275" s="8">
        <f>0</f>
        <v>0</v>
      </c>
      <c r="DG275" s="5" t="s">
        <v>238</v>
      </c>
      <c r="DH275" s="5" t="s">
        <v>238</v>
      </c>
      <c r="DI275" s="5" t="s">
        <v>238</v>
      </c>
      <c r="DJ275" s="5" t="s">
        <v>238</v>
      </c>
      <c r="DK275" s="5" t="s">
        <v>274</v>
      </c>
      <c r="DL275" s="5" t="s">
        <v>272</v>
      </c>
      <c r="DM275" s="7">
        <f>486</f>
        <v>486</v>
      </c>
      <c r="DN275" s="5" t="s">
        <v>238</v>
      </c>
      <c r="DO275" s="5" t="s">
        <v>238</v>
      </c>
      <c r="DP275" s="5" t="s">
        <v>238</v>
      </c>
      <c r="DQ275" s="5" t="s">
        <v>238</v>
      </c>
      <c r="DT275" s="5" t="s">
        <v>675</v>
      </c>
      <c r="DU275" s="5" t="s">
        <v>271</v>
      </c>
      <c r="GL275" s="5" t="s">
        <v>1275</v>
      </c>
      <c r="HM275" s="5" t="s">
        <v>313</v>
      </c>
      <c r="HP275" s="5" t="s">
        <v>272</v>
      </c>
      <c r="HQ275" s="5" t="s">
        <v>272</v>
      </c>
      <c r="HR275" s="5" t="s">
        <v>238</v>
      </c>
      <c r="HS275" s="5" t="s">
        <v>238</v>
      </c>
      <c r="HT275" s="5" t="s">
        <v>238</v>
      </c>
      <c r="HU275" s="5" t="s">
        <v>238</v>
      </c>
      <c r="HV275" s="5" t="s">
        <v>238</v>
      </c>
      <c r="HW275" s="5" t="s">
        <v>238</v>
      </c>
      <c r="HX275" s="5" t="s">
        <v>238</v>
      </c>
      <c r="HY275" s="5" t="s">
        <v>238</v>
      </c>
      <c r="HZ275" s="5" t="s">
        <v>238</v>
      </c>
      <c r="IA275" s="5" t="s">
        <v>238</v>
      </c>
      <c r="IB275" s="5" t="s">
        <v>238</v>
      </c>
      <c r="IC275" s="5" t="s">
        <v>238</v>
      </c>
      <c r="ID275" s="5" t="s">
        <v>238</v>
      </c>
    </row>
    <row r="276" spans="1:238" x14ac:dyDescent="0.4">
      <c r="A276" s="5">
        <v>301</v>
      </c>
      <c r="B276" s="5">
        <v>1</v>
      </c>
      <c r="C276" s="5">
        <v>4</v>
      </c>
      <c r="D276" s="5" t="s">
        <v>673</v>
      </c>
      <c r="E276" s="5" t="s">
        <v>644</v>
      </c>
      <c r="F276" s="5" t="s">
        <v>282</v>
      </c>
      <c r="G276" s="5" t="s">
        <v>646</v>
      </c>
      <c r="H276" s="6" t="s">
        <v>674</v>
      </c>
      <c r="I276" s="5" t="s">
        <v>239</v>
      </c>
      <c r="J276" s="7">
        <f>5</f>
        <v>5</v>
      </c>
      <c r="K276" s="5" t="s">
        <v>270</v>
      </c>
      <c r="L276" s="8">
        <f>51775</f>
        <v>51775</v>
      </c>
      <c r="M276" s="8">
        <f>475000</f>
        <v>475000</v>
      </c>
      <c r="N276" s="6" t="s">
        <v>662</v>
      </c>
      <c r="O276" s="5" t="s">
        <v>650</v>
      </c>
      <c r="P276" s="5" t="s">
        <v>640</v>
      </c>
      <c r="Q276" s="8">
        <f>15675</f>
        <v>15675</v>
      </c>
      <c r="R276" s="8">
        <f>423225</f>
        <v>423225</v>
      </c>
      <c r="S276" s="5" t="s">
        <v>240</v>
      </c>
      <c r="T276" s="5" t="s">
        <v>237</v>
      </c>
      <c r="U276" s="5" t="s">
        <v>238</v>
      </c>
      <c r="V276" s="5" t="s">
        <v>238</v>
      </c>
      <c r="W276" s="5" t="s">
        <v>241</v>
      </c>
      <c r="X276" s="5" t="s">
        <v>337</v>
      </c>
      <c r="Y276" s="5" t="s">
        <v>238</v>
      </c>
      <c r="AB276" s="5" t="s">
        <v>238</v>
      </c>
      <c r="AC276" s="6" t="s">
        <v>238</v>
      </c>
      <c r="AD276" s="6" t="s">
        <v>238</v>
      </c>
      <c r="AF276" s="6" t="s">
        <v>238</v>
      </c>
      <c r="AG276" s="6" t="s">
        <v>246</v>
      </c>
      <c r="AH276" s="5" t="s">
        <v>247</v>
      </c>
      <c r="AI276" s="5" t="s">
        <v>248</v>
      </c>
      <c r="AO276" s="5" t="s">
        <v>238</v>
      </c>
      <c r="AP276" s="5" t="s">
        <v>238</v>
      </c>
      <c r="AQ276" s="5" t="s">
        <v>238</v>
      </c>
      <c r="AR276" s="6" t="s">
        <v>238</v>
      </c>
      <c r="AS276" s="6" t="s">
        <v>238</v>
      </c>
      <c r="AT276" s="6" t="s">
        <v>238</v>
      </c>
      <c r="AW276" s="5" t="s">
        <v>304</v>
      </c>
      <c r="AX276" s="5" t="s">
        <v>304</v>
      </c>
      <c r="AY276" s="5" t="s">
        <v>250</v>
      </c>
      <c r="AZ276" s="5" t="s">
        <v>305</v>
      </c>
      <c r="BA276" s="5" t="s">
        <v>251</v>
      </c>
      <c r="BB276" s="5" t="s">
        <v>238</v>
      </c>
      <c r="BC276" s="5" t="s">
        <v>253</v>
      </c>
      <c r="BD276" s="5" t="s">
        <v>238</v>
      </c>
      <c r="BF276" s="5" t="s">
        <v>238</v>
      </c>
      <c r="BH276" s="5" t="s">
        <v>283</v>
      </c>
      <c r="BI276" s="6" t="s">
        <v>293</v>
      </c>
      <c r="BJ276" s="5" t="s">
        <v>294</v>
      </c>
      <c r="BK276" s="5" t="s">
        <v>294</v>
      </c>
      <c r="BL276" s="5" t="s">
        <v>238</v>
      </c>
      <c r="BM276" s="7">
        <f>0</f>
        <v>0</v>
      </c>
      <c r="BN276" s="8">
        <f>-15675</f>
        <v>-15675</v>
      </c>
      <c r="BO276" s="5" t="s">
        <v>257</v>
      </c>
      <c r="BP276" s="5" t="s">
        <v>258</v>
      </c>
      <c r="BQ276" s="5" t="s">
        <v>238</v>
      </c>
      <c r="BR276" s="5" t="s">
        <v>238</v>
      </c>
      <c r="BS276" s="5" t="s">
        <v>238</v>
      </c>
      <c r="BT276" s="5" t="s">
        <v>238</v>
      </c>
      <c r="CC276" s="5" t="s">
        <v>258</v>
      </c>
      <c r="CD276" s="5" t="s">
        <v>238</v>
      </c>
      <c r="CE276" s="5" t="s">
        <v>238</v>
      </c>
      <c r="CI276" s="5" t="s">
        <v>259</v>
      </c>
      <c r="CJ276" s="5" t="s">
        <v>260</v>
      </c>
      <c r="CK276" s="5" t="s">
        <v>238</v>
      </c>
      <c r="CM276" s="5" t="s">
        <v>638</v>
      </c>
      <c r="CN276" s="6" t="s">
        <v>262</v>
      </c>
      <c r="CO276" s="5" t="s">
        <v>263</v>
      </c>
      <c r="CP276" s="5" t="s">
        <v>264</v>
      </c>
      <c r="CQ276" s="5" t="s">
        <v>285</v>
      </c>
      <c r="CR276" s="5" t="s">
        <v>238</v>
      </c>
      <c r="CS276" s="5">
        <v>3.3000000000000002E-2</v>
      </c>
      <c r="CT276" s="5" t="s">
        <v>265</v>
      </c>
      <c r="CU276" s="5" t="s">
        <v>266</v>
      </c>
      <c r="CV276" s="5" t="s">
        <v>649</v>
      </c>
      <c r="CW276" s="7">
        <f>0</f>
        <v>0</v>
      </c>
      <c r="CX276" s="8">
        <f>475000</f>
        <v>475000</v>
      </c>
      <c r="CY276" s="8">
        <f>67450</f>
        <v>67450</v>
      </c>
      <c r="DA276" s="5" t="s">
        <v>238</v>
      </c>
      <c r="DB276" s="5" t="s">
        <v>238</v>
      </c>
      <c r="DD276" s="5" t="s">
        <v>238</v>
      </c>
      <c r="DE276" s="8">
        <f>0</f>
        <v>0</v>
      </c>
      <c r="DG276" s="5" t="s">
        <v>238</v>
      </c>
      <c r="DH276" s="5" t="s">
        <v>238</v>
      </c>
      <c r="DI276" s="5" t="s">
        <v>238</v>
      </c>
      <c r="DJ276" s="5" t="s">
        <v>238</v>
      </c>
      <c r="DK276" s="5" t="s">
        <v>271</v>
      </c>
      <c r="DL276" s="5" t="s">
        <v>272</v>
      </c>
      <c r="DM276" s="7">
        <f>5</f>
        <v>5</v>
      </c>
      <c r="DN276" s="5" t="s">
        <v>238</v>
      </c>
      <c r="DO276" s="5" t="s">
        <v>238</v>
      </c>
      <c r="DP276" s="5" t="s">
        <v>238</v>
      </c>
      <c r="DQ276" s="5" t="s">
        <v>238</v>
      </c>
      <c r="DT276" s="5" t="s">
        <v>675</v>
      </c>
      <c r="DU276" s="5" t="s">
        <v>274</v>
      </c>
      <c r="GL276" s="5" t="s">
        <v>676</v>
      </c>
      <c r="HM276" s="5" t="s">
        <v>313</v>
      </c>
      <c r="HP276" s="5" t="s">
        <v>272</v>
      </c>
      <c r="HQ276" s="5" t="s">
        <v>272</v>
      </c>
      <c r="HR276" s="5" t="s">
        <v>238</v>
      </c>
      <c r="HS276" s="5" t="s">
        <v>238</v>
      </c>
      <c r="HT276" s="5" t="s">
        <v>238</v>
      </c>
      <c r="HU276" s="5" t="s">
        <v>238</v>
      </c>
      <c r="HV276" s="5" t="s">
        <v>238</v>
      </c>
      <c r="HW276" s="5" t="s">
        <v>238</v>
      </c>
      <c r="HX276" s="5" t="s">
        <v>238</v>
      </c>
      <c r="HY276" s="5" t="s">
        <v>238</v>
      </c>
      <c r="HZ276" s="5" t="s">
        <v>238</v>
      </c>
      <c r="IA276" s="5" t="s">
        <v>238</v>
      </c>
      <c r="IB276" s="5" t="s">
        <v>238</v>
      </c>
      <c r="IC276" s="5" t="s">
        <v>238</v>
      </c>
      <c r="ID276" s="5" t="s">
        <v>238</v>
      </c>
    </row>
    <row r="277" spans="1:238" x14ac:dyDescent="0.4">
      <c r="A277" s="5">
        <v>302</v>
      </c>
      <c r="B277" s="5">
        <v>1</v>
      </c>
      <c r="C277" s="5">
        <v>4</v>
      </c>
      <c r="D277" s="5" t="s">
        <v>673</v>
      </c>
      <c r="E277" s="5" t="s">
        <v>644</v>
      </c>
      <c r="F277" s="5" t="s">
        <v>282</v>
      </c>
      <c r="G277" s="5" t="s">
        <v>1278</v>
      </c>
      <c r="H277" s="6" t="s">
        <v>674</v>
      </c>
      <c r="I277" s="5" t="s">
        <v>1276</v>
      </c>
      <c r="J277" s="7">
        <f>0</f>
        <v>0</v>
      </c>
      <c r="K277" s="5" t="s">
        <v>270</v>
      </c>
      <c r="L277" s="8">
        <f>631260</f>
        <v>631260</v>
      </c>
      <c r="M277" s="8">
        <f>756000</f>
        <v>756000</v>
      </c>
      <c r="N277" s="6" t="s">
        <v>1277</v>
      </c>
      <c r="O277" s="5" t="s">
        <v>650</v>
      </c>
      <c r="P277" s="5" t="s">
        <v>356</v>
      </c>
      <c r="Q277" s="8">
        <f>24948</f>
        <v>24948</v>
      </c>
      <c r="R277" s="8">
        <f>124740</f>
        <v>124740</v>
      </c>
      <c r="S277" s="5" t="s">
        <v>240</v>
      </c>
      <c r="T277" s="5" t="s">
        <v>287</v>
      </c>
      <c r="U277" s="5" t="s">
        <v>238</v>
      </c>
      <c r="V277" s="5" t="s">
        <v>238</v>
      </c>
      <c r="W277" s="5" t="s">
        <v>241</v>
      </c>
      <c r="X277" s="5" t="s">
        <v>337</v>
      </c>
      <c r="Y277" s="5" t="s">
        <v>238</v>
      </c>
      <c r="AB277" s="5" t="s">
        <v>238</v>
      </c>
      <c r="AC277" s="6" t="s">
        <v>238</v>
      </c>
      <c r="AD277" s="6" t="s">
        <v>238</v>
      </c>
      <c r="AF277" s="6" t="s">
        <v>238</v>
      </c>
      <c r="AG277" s="6" t="s">
        <v>246</v>
      </c>
      <c r="AH277" s="5" t="s">
        <v>247</v>
      </c>
      <c r="AI277" s="5" t="s">
        <v>248</v>
      </c>
      <c r="AO277" s="5" t="s">
        <v>238</v>
      </c>
      <c r="AP277" s="5" t="s">
        <v>238</v>
      </c>
      <c r="AQ277" s="5" t="s">
        <v>238</v>
      </c>
      <c r="AR277" s="6" t="s">
        <v>238</v>
      </c>
      <c r="AS277" s="6" t="s">
        <v>238</v>
      </c>
      <c r="AT277" s="6" t="s">
        <v>238</v>
      </c>
      <c r="AW277" s="5" t="s">
        <v>304</v>
      </c>
      <c r="AX277" s="5" t="s">
        <v>304</v>
      </c>
      <c r="AY277" s="5" t="s">
        <v>250</v>
      </c>
      <c r="AZ277" s="5" t="s">
        <v>305</v>
      </c>
      <c r="BA277" s="5" t="s">
        <v>251</v>
      </c>
      <c r="BB277" s="5" t="s">
        <v>238</v>
      </c>
      <c r="BC277" s="5" t="s">
        <v>253</v>
      </c>
      <c r="BD277" s="5" t="s">
        <v>238</v>
      </c>
      <c r="BF277" s="5" t="s">
        <v>238</v>
      </c>
      <c r="BH277" s="5" t="s">
        <v>283</v>
      </c>
      <c r="BI277" s="6" t="s">
        <v>293</v>
      </c>
      <c r="BJ277" s="5" t="s">
        <v>294</v>
      </c>
      <c r="BK277" s="5" t="s">
        <v>294</v>
      </c>
      <c r="BL277" s="5" t="s">
        <v>238</v>
      </c>
      <c r="BM277" s="7">
        <f>0</f>
        <v>0</v>
      </c>
      <c r="BN277" s="8">
        <f>-24948</f>
        <v>-24948</v>
      </c>
      <c r="BO277" s="5" t="s">
        <v>257</v>
      </c>
      <c r="BP277" s="5" t="s">
        <v>258</v>
      </c>
      <c r="BQ277" s="5" t="s">
        <v>238</v>
      </c>
      <c r="BR277" s="5" t="s">
        <v>238</v>
      </c>
      <c r="BS277" s="5" t="s">
        <v>238</v>
      </c>
      <c r="BT277" s="5" t="s">
        <v>238</v>
      </c>
      <c r="CC277" s="5" t="s">
        <v>258</v>
      </c>
      <c r="CD277" s="5" t="s">
        <v>238</v>
      </c>
      <c r="CE277" s="5" t="s">
        <v>238</v>
      </c>
      <c r="CI277" s="5" t="s">
        <v>259</v>
      </c>
      <c r="CJ277" s="5" t="s">
        <v>260</v>
      </c>
      <c r="CK277" s="5" t="s">
        <v>238</v>
      </c>
      <c r="CM277" s="5" t="s">
        <v>376</v>
      </c>
      <c r="CN277" s="6" t="s">
        <v>262</v>
      </c>
      <c r="CO277" s="5" t="s">
        <v>263</v>
      </c>
      <c r="CP277" s="5" t="s">
        <v>264</v>
      </c>
      <c r="CQ277" s="5" t="s">
        <v>285</v>
      </c>
      <c r="CR277" s="5" t="s">
        <v>238</v>
      </c>
      <c r="CS277" s="5">
        <v>3.3000000000000002E-2</v>
      </c>
      <c r="CT277" s="5" t="s">
        <v>265</v>
      </c>
      <c r="CU277" s="5" t="s">
        <v>1266</v>
      </c>
      <c r="CV277" s="5" t="s">
        <v>649</v>
      </c>
      <c r="CW277" s="7">
        <f>0</f>
        <v>0</v>
      </c>
      <c r="CX277" s="8">
        <f>756000</f>
        <v>756000</v>
      </c>
      <c r="CY277" s="8">
        <f>656208</f>
        <v>656208</v>
      </c>
      <c r="DA277" s="5" t="s">
        <v>238</v>
      </c>
      <c r="DB277" s="5" t="s">
        <v>238</v>
      </c>
      <c r="DD277" s="5" t="s">
        <v>238</v>
      </c>
      <c r="DE277" s="8">
        <f>0</f>
        <v>0</v>
      </c>
      <c r="DG277" s="5" t="s">
        <v>238</v>
      </c>
      <c r="DH277" s="5" t="s">
        <v>238</v>
      </c>
      <c r="DI277" s="5" t="s">
        <v>238</v>
      </c>
      <c r="DJ277" s="5" t="s">
        <v>238</v>
      </c>
      <c r="DK277" s="5" t="s">
        <v>272</v>
      </c>
      <c r="DL277" s="5" t="s">
        <v>272</v>
      </c>
      <c r="DM277" s="8" t="s">
        <v>238</v>
      </c>
      <c r="DN277" s="5" t="s">
        <v>238</v>
      </c>
      <c r="DO277" s="5" t="s">
        <v>238</v>
      </c>
      <c r="DP277" s="5" t="s">
        <v>238</v>
      </c>
      <c r="DQ277" s="5" t="s">
        <v>238</v>
      </c>
      <c r="DT277" s="5" t="s">
        <v>675</v>
      </c>
      <c r="DU277" s="5" t="s">
        <v>356</v>
      </c>
      <c r="GL277" s="5" t="s">
        <v>1279</v>
      </c>
      <c r="HM277" s="5" t="s">
        <v>379</v>
      </c>
      <c r="HP277" s="5" t="s">
        <v>272</v>
      </c>
      <c r="HQ277" s="5" t="s">
        <v>272</v>
      </c>
      <c r="HR277" s="5" t="s">
        <v>238</v>
      </c>
      <c r="HS277" s="5" t="s">
        <v>238</v>
      </c>
      <c r="HT277" s="5" t="s">
        <v>238</v>
      </c>
      <c r="HU277" s="5" t="s">
        <v>238</v>
      </c>
      <c r="HV277" s="5" t="s">
        <v>238</v>
      </c>
      <c r="HW277" s="5" t="s">
        <v>238</v>
      </c>
      <c r="HX277" s="5" t="s">
        <v>238</v>
      </c>
      <c r="HY277" s="5" t="s">
        <v>238</v>
      </c>
      <c r="HZ277" s="5" t="s">
        <v>238</v>
      </c>
      <c r="IA277" s="5" t="s">
        <v>238</v>
      </c>
      <c r="IB277" s="5" t="s">
        <v>238</v>
      </c>
      <c r="IC277" s="5" t="s">
        <v>238</v>
      </c>
      <c r="ID277" s="5" t="s">
        <v>238</v>
      </c>
    </row>
    <row r="278" spans="1:238" x14ac:dyDescent="0.4">
      <c r="A278" s="5">
        <v>303</v>
      </c>
      <c r="B278" s="5">
        <v>1</v>
      </c>
      <c r="C278" s="5">
        <v>4</v>
      </c>
      <c r="D278" s="5" t="s">
        <v>673</v>
      </c>
      <c r="E278" s="5" t="s">
        <v>644</v>
      </c>
      <c r="F278" s="5" t="s">
        <v>282</v>
      </c>
      <c r="G278" s="5" t="s">
        <v>2905</v>
      </c>
      <c r="H278" s="6" t="s">
        <v>674</v>
      </c>
      <c r="I278" s="5" t="s">
        <v>2903</v>
      </c>
      <c r="J278" s="7">
        <f>0</f>
        <v>0</v>
      </c>
      <c r="K278" s="5" t="s">
        <v>270</v>
      </c>
      <c r="L278" s="8">
        <f>8115660</f>
        <v>8115660</v>
      </c>
      <c r="M278" s="8">
        <f>12204000</f>
        <v>12204000</v>
      </c>
      <c r="N278" s="6" t="s">
        <v>2904</v>
      </c>
      <c r="O278" s="5" t="s">
        <v>268</v>
      </c>
      <c r="P278" s="5" t="s">
        <v>356</v>
      </c>
      <c r="Q278" s="8">
        <f>817668</f>
        <v>817668</v>
      </c>
      <c r="R278" s="8">
        <f>4088340</f>
        <v>4088340</v>
      </c>
      <c r="S278" s="5" t="s">
        <v>240</v>
      </c>
      <c r="T278" s="5" t="s">
        <v>287</v>
      </c>
      <c r="U278" s="5" t="s">
        <v>238</v>
      </c>
      <c r="V278" s="5" t="s">
        <v>238</v>
      </c>
      <c r="W278" s="5" t="s">
        <v>241</v>
      </c>
      <c r="X278" s="5" t="s">
        <v>337</v>
      </c>
      <c r="Y278" s="5" t="s">
        <v>238</v>
      </c>
      <c r="AB278" s="5" t="s">
        <v>238</v>
      </c>
      <c r="AC278" s="6" t="s">
        <v>238</v>
      </c>
      <c r="AD278" s="6" t="s">
        <v>238</v>
      </c>
      <c r="AF278" s="6" t="s">
        <v>238</v>
      </c>
      <c r="AG278" s="6" t="s">
        <v>246</v>
      </c>
      <c r="AH278" s="5" t="s">
        <v>247</v>
      </c>
      <c r="AI278" s="5" t="s">
        <v>248</v>
      </c>
      <c r="AO278" s="5" t="s">
        <v>238</v>
      </c>
      <c r="AP278" s="5" t="s">
        <v>238</v>
      </c>
      <c r="AQ278" s="5" t="s">
        <v>238</v>
      </c>
      <c r="AR278" s="6" t="s">
        <v>238</v>
      </c>
      <c r="AS278" s="6" t="s">
        <v>238</v>
      </c>
      <c r="AT278" s="6" t="s">
        <v>238</v>
      </c>
      <c r="AW278" s="5" t="s">
        <v>304</v>
      </c>
      <c r="AX278" s="5" t="s">
        <v>304</v>
      </c>
      <c r="AY278" s="5" t="s">
        <v>250</v>
      </c>
      <c r="AZ278" s="5" t="s">
        <v>305</v>
      </c>
      <c r="BA278" s="5" t="s">
        <v>251</v>
      </c>
      <c r="BB278" s="5" t="s">
        <v>238</v>
      </c>
      <c r="BC278" s="5" t="s">
        <v>253</v>
      </c>
      <c r="BD278" s="5" t="s">
        <v>238</v>
      </c>
      <c r="BF278" s="5" t="s">
        <v>238</v>
      </c>
      <c r="BH278" s="5" t="s">
        <v>283</v>
      </c>
      <c r="BI278" s="6" t="s">
        <v>293</v>
      </c>
      <c r="BJ278" s="5" t="s">
        <v>294</v>
      </c>
      <c r="BK278" s="5" t="s">
        <v>294</v>
      </c>
      <c r="BL278" s="5" t="s">
        <v>238</v>
      </c>
      <c r="BM278" s="7">
        <f>0</f>
        <v>0</v>
      </c>
      <c r="BN278" s="8">
        <f>-817668</f>
        <v>-817668</v>
      </c>
      <c r="BO278" s="5" t="s">
        <v>257</v>
      </c>
      <c r="BP278" s="5" t="s">
        <v>258</v>
      </c>
      <c r="BQ278" s="5" t="s">
        <v>238</v>
      </c>
      <c r="BR278" s="5" t="s">
        <v>238</v>
      </c>
      <c r="BS278" s="5" t="s">
        <v>238</v>
      </c>
      <c r="BT278" s="5" t="s">
        <v>238</v>
      </c>
      <c r="CC278" s="5" t="s">
        <v>258</v>
      </c>
      <c r="CD278" s="5" t="s">
        <v>238</v>
      </c>
      <c r="CE278" s="5" t="s">
        <v>238</v>
      </c>
      <c r="CI278" s="5" t="s">
        <v>259</v>
      </c>
      <c r="CJ278" s="5" t="s">
        <v>260</v>
      </c>
      <c r="CK278" s="5" t="s">
        <v>238</v>
      </c>
      <c r="CM278" s="5" t="s">
        <v>376</v>
      </c>
      <c r="CN278" s="6" t="s">
        <v>262</v>
      </c>
      <c r="CO278" s="5" t="s">
        <v>263</v>
      </c>
      <c r="CP278" s="5" t="s">
        <v>264</v>
      </c>
      <c r="CQ278" s="5" t="s">
        <v>285</v>
      </c>
      <c r="CR278" s="5" t="s">
        <v>238</v>
      </c>
      <c r="CS278" s="5">
        <v>6.7000000000000004E-2</v>
      </c>
      <c r="CT278" s="5" t="s">
        <v>265</v>
      </c>
      <c r="CU278" s="5" t="s">
        <v>351</v>
      </c>
      <c r="CV278" s="5" t="s">
        <v>394</v>
      </c>
      <c r="CW278" s="7">
        <f>0</f>
        <v>0</v>
      </c>
      <c r="CX278" s="8">
        <f>12204000</f>
        <v>12204000</v>
      </c>
      <c r="CY278" s="8">
        <f>8933328</f>
        <v>8933328</v>
      </c>
      <c r="DA278" s="5" t="s">
        <v>238</v>
      </c>
      <c r="DB278" s="5" t="s">
        <v>238</v>
      </c>
      <c r="DD278" s="5" t="s">
        <v>238</v>
      </c>
      <c r="DE278" s="8">
        <f>0</f>
        <v>0</v>
      </c>
      <c r="DG278" s="5" t="s">
        <v>238</v>
      </c>
      <c r="DH278" s="5" t="s">
        <v>238</v>
      </c>
      <c r="DI278" s="5" t="s">
        <v>238</v>
      </c>
      <c r="DJ278" s="5" t="s">
        <v>238</v>
      </c>
      <c r="DK278" s="5" t="s">
        <v>272</v>
      </c>
      <c r="DL278" s="5" t="s">
        <v>272</v>
      </c>
      <c r="DM278" s="8" t="s">
        <v>238</v>
      </c>
      <c r="DN278" s="5" t="s">
        <v>238</v>
      </c>
      <c r="DO278" s="5" t="s">
        <v>238</v>
      </c>
      <c r="DP278" s="5" t="s">
        <v>238</v>
      </c>
      <c r="DQ278" s="5" t="s">
        <v>238</v>
      </c>
      <c r="DT278" s="5" t="s">
        <v>675</v>
      </c>
      <c r="DU278" s="5" t="s">
        <v>310</v>
      </c>
      <c r="GL278" s="5" t="s">
        <v>2906</v>
      </c>
      <c r="HM278" s="5" t="s">
        <v>379</v>
      </c>
      <c r="HP278" s="5" t="s">
        <v>272</v>
      </c>
      <c r="HQ278" s="5" t="s">
        <v>272</v>
      </c>
      <c r="HR278" s="5" t="s">
        <v>238</v>
      </c>
      <c r="HS278" s="5" t="s">
        <v>238</v>
      </c>
      <c r="HT278" s="5" t="s">
        <v>238</v>
      </c>
      <c r="HU278" s="5" t="s">
        <v>238</v>
      </c>
      <c r="HV278" s="5" t="s">
        <v>238</v>
      </c>
      <c r="HW278" s="5" t="s">
        <v>238</v>
      </c>
      <c r="HX278" s="5" t="s">
        <v>238</v>
      </c>
      <c r="HY278" s="5" t="s">
        <v>238</v>
      </c>
      <c r="HZ278" s="5" t="s">
        <v>238</v>
      </c>
      <c r="IA278" s="5" t="s">
        <v>238</v>
      </c>
      <c r="IB278" s="5" t="s">
        <v>238</v>
      </c>
      <c r="IC278" s="5" t="s">
        <v>238</v>
      </c>
      <c r="ID278" s="5" t="s">
        <v>238</v>
      </c>
    </row>
    <row r="279" spans="1:238" x14ac:dyDescent="0.4">
      <c r="A279" s="5">
        <v>304</v>
      </c>
      <c r="B279" s="5">
        <v>1</v>
      </c>
      <c r="C279" s="5">
        <v>4</v>
      </c>
      <c r="D279" s="5" t="s">
        <v>1253</v>
      </c>
      <c r="E279" s="5" t="s">
        <v>644</v>
      </c>
      <c r="F279" s="5" t="s">
        <v>282</v>
      </c>
      <c r="G279" s="5" t="s">
        <v>668</v>
      </c>
      <c r="H279" s="6" t="s">
        <v>1255</v>
      </c>
      <c r="I279" s="5" t="s">
        <v>1287</v>
      </c>
      <c r="J279" s="7">
        <f>427</f>
        <v>427</v>
      </c>
      <c r="K279" s="5" t="s">
        <v>270</v>
      </c>
      <c r="L279" s="8">
        <f>54435668</f>
        <v>54435668</v>
      </c>
      <c r="M279" s="8">
        <f>134078000</f>
        <v>134078000</v>
      </c>
      <c r="N279" s="6" t="s">
        <v>1254</v>
      </c>
      <c r="O279" s="5" t="s">
        <v>650</v>
      </c>
      <c r="P279" s="5" t="s">
        <v>269</v>
      </c>
      <c r="Q279" s="8">
        <f>4424574</f>
        <v>4424574</v>
      </c>
      <c r="R279" s="8">
        <f>79642332</f>
        <v>79642332</v>
      </c>
      <c r="S279" s="5" t="s">
        <v>240</v>
      </c>
      <c r="T279" s="5" t="s">
        <v>237</v>
      </c>
      <c r="U279" s="5" t="s">
        <v>238</v>
      </c>
      <c r="V279" s="5" t="s">
        <v>238</v>
      </c>
      <c r="W279" s="5" t="s">
        <v>241</v>
      </c>
      <c r="X279" s="5" t="s">
        <v>337</v>
      </c>
      <c r="Y279" s="5" t="s">
        <v>238</v>
      </c>
      <c r="AB279" s="5" t="s">
        <v>238</v>
      </c>
      <c r="AC279" s="6" t="s">
        <v>238</v>
      </c>
      <c r="AD279" s="6" t="s">
        <v>238</v>
      </c>
      <c r="AF279" s="6" t="s">
        <v>238</v>
      </c>
      <c r="AG279" s="6" t="s">
        <v>246</v>
      </c>
      <c r="AH279" s="5" t="s">
        <v>247</v>
      </c>
      <c r="AI279" s="5" t="s">
        <v>248</v>
      </c>
      <c r="AO279" s="5" t="s">
        <v>238</v>
      </c>
      <c r="AP279" s="5" t="s">
        <v>238</v>
      </c>
      <c r="AQ279" s="5" t="s">
        <v>238</v>
      </c>
      <c r="AR279" s="6" t="s">
        <v>238</v>
      </c>
      <c r="AS279" s="6" t="s">
        <v>238</v>
      </c>
      <c r="AT279" s="6" t="s">
        <v>238</v>
      </c>
      <c r="AW279" s="5" t="s">
        <v>304</v>
      </c>
      <c r="AX279" s="5" t="s">
        <v>304</v>
      </c>
      <c r="AY279" s="5" t="s">
        <v>250</v>
      </c>
      <c r="AZ279" s="5" t="s">
        <v>305</v>
      </c>
      <c r="BA279" s="5" t="s">
        <v>251</v>
      </c>
      <c r="BB279" s="5" t="s">
        <v>238</v>
      </c>
      <c r="BC279" s="5" t="s">
        <v>253</v>
      </c>
      <c r="BD279" s="5" t="s">
        <v>238</v>
      </c>
      <c r="BF279" s="5" t="s">
        <v>238</v>
      </c>
      <c r="BH279" s="5" t="s">
        <v>283</v>
      </c>
      <c r="BI279" s="6" t="s">
        <v>293</v>
      </c>
      <c r="BJ279" s="5" t="s">
        <v>294</v>
      </c>
      <c r="BK279" s="5" t="s">
        <v>294</v>
      </c>
      <c r="BL279" s="5" t="s">
        <v>238</v>
      </c>
      <c r="BM279" s="7">
        <f>0</f>
        <v>0</v>
      </c>
      <c r="BN279" s="8">
        <f>-4424574</f>
        <v>-4424574</v>
      </c>
      <c r="BO279" s="5" t="s">
        <v>257</v>
      </c>
      <c r="BP279" s="5" t="s">
        <v>258</v>
      </c>
      <c r="BQ279" s="5" t="s">
        <v>238</v>
      </c>
      <c r="BR279" s="5" t="s">
        <v>238</v>
      </c>
      <c r="BS279" s="5" t="s">
        <v>238</v>
      </c>
      <c r="BT279" s="5" t="s">
        <v>238</v>
      </c>
      <c r="CC279" s="5" t="s">
        <v>258</v>
      </c>
      <c r="CD279" s="5" t="s">
        <v>238</v>
      </c>
      <c r="CE279" s="5" t="s">
        <v>238</v>
      </c>
      <c r="CI279" s="5" t="s">
        <v>259</v>
      </c>
      <c r="CJ279" s="5" t="s">
        <v>260</v>
      </c>
      <c r="CK279" s="5" t="s">
        <v>238</v>
      </c>
      <c r="CM279" s="5" t="s">
        <v>682</v>
      </c>
      <c r="CN279" s="6" t="s">
        <v>262</v>
      </c>
      <c r="CO279" s="5" t="s">
        <v>263</v>
      </c>
      <c r="CP279" s="5" t="s">
        <v>264</v>
      </c>
      <c r="CQ279" s="5" t="s">
        <v>285</v>
      </c>
      <c r="CR279" s="5" t="s">
        <v>238</v>
      </c>
      <c r="CS279" s="5">
        <v>3.3000000000000002E-2</v>
      </c>
      <c r="CT279" s="5" t="s">
        <v>265</v>
      </c>
      <c r="CU279" s="5" t="s">
        <v>1266</v>
      </c>
      <c r="CV279" s="5" t="s">
        <v>649</v>
      </c>
      <c r="CW279" s="7">
        <f>0</f>
        <v>0</v>
      </c>
      <c r="CX279" s="8">
        <f>134078000</f>
        <v>134078000</v>
      </c>
      <c r="CY279" s="8">
        <f>58860242</f>
        <v>58860242</v>
      </c>
      <c r="DA279" s="5" t="s">
        <v>238</v>
      </c>
      <c r="DB279" s="5" t="s">
        <v>238</v>
      </c>
      <c r="DD279" s="5" t="s">
        <v>238</v>
      </c>
      <c r="DE279" s="8">
        <f>0</f>
        <v>0</v>
      </c>
      <c r="DG279" s="5" t="s">
        <v>238</v>
      </c>
      <c r="DH279" s="5" t="s">
        <v>238</v>
      </c>
      <c r="DI279" s="5" t="s">
        <v>238</v>
      </c>
      <c r="DJ279" s="5" t="s">
        <v>238</v>
      </c>
      <c r="DK279" s="5" t="s">
        <v>274</v>
      </c>
      <c r="DL279" s="5" t="s">
        <v>272</v>
      </c>
      <c r="DM279" s="7">
        <f>427</f>
        <v>427</v>
      </c>
      <c r="DN279" s="5" t="s">
        <v>238</v>
      </c>
      <c r="DO279" s="5" t="s">
        <v>238</v>
      </c>
      <c r="DP279" s="5" t="s">
        <v>238</v>
      </c>
      <c r="DQ279" s="5" t="s">
        <v>238</v>
      </c>
      <c r="DT279" s="5" t="s">
        <v>1256</v>
      </c>
      <c r="DU279" s="5" t="s">
        <v>271</v>
      </c>
      <c r="GL279" s="5" t="s">
        <v>1288</v>
      </c>
      <c r="HM279" s="5" t="s">
        <v>313</v>
      </c>
      <c r="HP279" s="5" t="s">
        <v>272</v>
      </c>
      <c r="HQ279" s="5" t="s">
        <v>272</v>
      </c>
      <c r="HR279" s="5" t="s">
        <v>238</v>
      </c>
      <c r="HS279" s="5" t="s">
        <v>238</v>
      </c>
      <c r="HT279" s="5" t="s">
        <v>238</v>
      </c>
      <c r="HU279" s="5" t="s">
        <v>238</v>
      </c>
      <c r="HV279" s="5" t="s">
        <v>238</v>
      </c>
      <c r="HW279" s="5" t="s">
        <v>238</v>
      </c>
      <c r="HX279" s="5" t="s">
        <v>238</v>
      </c>
      <c r="HY279" s="5" t="s">
        <v>238</v>
      </c>
      <c r="HZ279" s="5" t="s">
        <v>238</v>
      </c>
      <c r="IA279" s="5" t="s">
        <v>238</v>
      </c>
      <c r="IB279" s="5" t="s">
        <v>238</v>
      </c>
      <c r="IC279" s="5" t="s">
        <v>238</v>
      </c>
      <c r="ID279" s="5" t="s">
        <v>238</v>
      </c>
    </row>
    <row r="280" spans="1:238" x14ac:dyDescent="0.4">
      <c r="A280" s="5">
        <v>305</v>
      </c>
      <c r="B280" s="5">
        <v>1</v>
      </c>
      <c r="C280" s="5">
        <v>4</v>
      </c>
      <c r="D280" s="5" t="s">
        <v>1253</v>
      </c>
      <c r="E280" s="5" t="s">
        <v>644</v>
      </c>
      <c r="F280" s="5" t="s">
        <v>282</v>
      </c>
      <c r="G280" s="5" t="s">
        <v>668</v>
      </c>
      <c r="H280" s="6" t="s">
        <v>1255</v>
      </c>
      <c r="I280" s="5" t="s">
        <v>1181</v>
      </c>
      <c r="J280" s="7">
        <f>22</f>
        <v>22</v>
      </c>
      <c r="K280" s="5" t="s">
        <v>270</v>
      </c>
      <c r="L280" s="8">
        <f>2804648</f>
        <v>2804648</v>
      </c>
      <c r="M280" s="8">
        <f>6908000</f>
        <v>6908000</v>
      </c>
      <c r="N280" s="6" t="s">
        <v>1254</v>
      </c>
      <c r="O280" s="5" t="s">
        <v>650</v>
      </c>
      <c r="P280" s="5" t="s">
        <v>269</v>
      </c>
      <c r="Q280" s="8">
        <f>227964</f>
        <v>227964</v>
      </c>
      <c r="R280" s="8">
        <f>4103352</f>
        <v>4103352</v>
      </c>
      <c r="S280" s="5" t="s">
        <v>240</v>
      </c>
      <c r="T280" s="5" t="s">
        <v>237</v>
      </c>
      <c r="U280" s="5" t="s">
        <v>238</v>
      </c>
      <c r="V280" s="5" t="s">
        <v>238</v>
      </c>
      <c r="W280" s="5" t="s">
        <v>241</v>
      </c>
      <c r="X280" s="5" t="s">
        <v>337</v>
      </c>
      <c r="Y280" s="5" t="s">
        <v>238</v>
      </c>
      <c r="AB280" s="5" t="s">
        <v>238</v>
      </c>
      <c r="AC280" s="6" t="s">
        <v>238</v>
      </c>
      <c r="AD280" s="6" t="s">
        <v>238</v>
      </c>
      <c r="AF280" s="6" t="s">
        <v>238</v>
      </c>
      <c r="AG280" s="6" t="s">
        <v>246</v>
      </c>
      <c r="AH280" s="5" t="s">
        <v>247</v>
      </c>
      <c r="AI280" s="5" t="s">
        <v>248</v>
      </c>
      <c r="AO280" s="5" t="s">
        <v>238</v>
      </c>
      <c r="AP280" s="5" t="s">
        <v>238</v>
      </c>
      <c r="AQ280" s="5" t="s">
        <v>238</v>
      </c>
      <c r="AR280" s="6" t="s">
        <v>238</v>
      </c>
      <c r="AS280" s="6" t="s">
        <v>238</v>
      </c>
      <c r="AT280" s="6" t="s">
        <v>238</v>
      </c>
      <c r="AW280" s="5" t="s">
        <v>304</v>
      </c>
      <c r="AX280" s="5" t="s">
        <v>304</v>
      </c>
      <c r="AY280" s="5" t="s">
        <v>250</v>
      </c>
      <c r="AZ280" s="5" t="s">
        <v>305</v>
      </c>
      <c r="BA280" s="5" t="s">
        <v>251</v>
      </c>
      <c r="BB280" s="5" t="s">
        <v>238</v>
      </c>
      <c r="BC280" s="5" t="s">
        <v>253</v>
      </c>
      <c r="BD280" s="5" t="s">
        <v>238</v>
      </c>
      <c r="BF280" s="5" t="s">
        <v>238</v>
      </c>
      <c r="BH280" s="5" t="s">
        <v>283</v>
      </c>
      <c r="BI280" s="6" t="s">
        <v>293</v>
      </c>
      <c r="BJ280" s="5" t="s">
        <v>294</v>
      </c>
      <c r="BK280" s="5" t="s">
        <v>294</v>
      </c>
      <c r="BL280" s="5" t="s">
        <v>238</v>
      </c>
      <c r="BM280" s="7">
        <f>0</f>
        <v>0</v>
      </c>
      <c r="BN280" s="8">
        <f>-227964</f>
        <v>-227964</v>
      </c>
      <c r="BO280" s="5" t="s">
        <v>257</v>
      </c>
      <c r="BP280" s="5" t="s">
        <v>258</v>
      </c>
      <c r="BQ280" s="5" t="s">
        <v>238</v>
      </c>
      <c r="BR280" s="5" t="s">
        <v>238</v>
      </c>
      <c r="BS280" s="5" t="s">
        <v>238</v>
      </c>
      <c r="BT280" s="5" t="s">
        <v>238</v>
      </c>
      <c r="CC280" s="5" t="s">
        <v>258</v>
      </c>
      <c r="CD280" s="5" t="s">
        <v>238</v>
      </c>
      <c r="CE280" s="5" t="s">
        <v>238</v>
      </c>
      <c r="CI280" s="5" t="s">
        <v>259</v>
      </c>
      <c r="CJ280" s="5" t="s">
        <v>260</v>
      </c>
      <c r="CK280" s="5" t="s">
        <v>238</v>
      </c>
      <c r="CM280" s="5" t="s">
        <v>682</v>
      </c>
      <c r="CN280" s="6" t="s">
        <v>262</v>
      </c>
      <c r="CO280" s="5" t="s">
        <v>263</v>
      </c>
      <c r="CP280" s="5" t="s">
        <v>264</v>
      </c>
      <c r="CQ280" s="5" t="s">
        <v>285</v>
      </c>
      <c r="CR280" s="5" t="s">
        <v>238</v>
      </c>
      <c r="CS280" s="5">
        <v>3.3000000000000002E-2</v>
      </c>
      <c r="CT280" s="5" t="s">
        <v>265</v>
      </c>
      <c r="CU280" s="5" t="s">
        <v>1187</v>
      </c>
      <c r="CV280" s="5" t="s">
        <v>649</v>
      </c>
      <c r="CW280" s="7">
        <f>0</f>
        <v>0</v>
      </c>
      <c r="CX280" s="8">
        <f>6908000</f>
        <v>6908000</v>
      </c>
      <c r="CY280" s="8">
        <f>3032612</f>
        <v>3032612</v>
      </c>
      <c r="DA280" s="5" t="s">
        <v>238</v>
      </c>
      <c r="DB280" s="5" t="s">
        <v>238</v>
      </c>
      <c r="DD280" s="5" t="s">
        <v>238</v>
      </c>
      <c r="DE280" s="8">
        <f>0</f>
        <v>0</v>
      </c>
      <c r="DG280" s="5" t="s">
        <v>238</v>
      </c>
      <c r="DH280" s="5" t="s">
        <v>238</v>
      </c>
      <c r="DI280" s="5" t="s">
        <v>238</v>
      </c>
      <c r="DJ280" s="5" t="s">
        <v>238</v>
      </c>
      <c r="DK280" s="5" t="s">
        <v>271</v>
      </c>
      <c r="DL280" s="5" t="s">
        <v>272</v>
      </c>
      <c r="DM280" s="7">
        <f>22</f>
        <v>22</v>
      </c>
      <c r="DN280" s="5" t="s">
        <v>238</v>
      </c>
      <c r="DO280" s="5" t="s">
        <v>238</v>
      </c>
      <c r="DP280" s="5" t="s">
        <v>238</v>
      </c>
      <c r="DQ280" s="5" t="s">
        <v>238</v>
      </c>
      <c r="DT280" s="5" t="s">
        <v>1256</v>
      </c>
      <c r="DU280" s="5" t="s">
        <v>274</v>
      </c>
      <c r="GL280" s="5" t="s">
        <v>1257</v>
      </c>
      <c r="HM280" s="5" t="s">
        <v>313</v>
      </c>
      <c r="HP280" s="5" t="s">
        <v>272</v>
      </c>
      <c r="HQ280" s="5" t="s">
        <v>272</v>
      </c>
      <c r="HR280" s="5" t="s">
        <v>238</v>
      </c>
      <c r="HS280" s="5" t="s">
        <v>238</v>
      </c>
      <c r="HT280" s="5" t="s">
        <v>238</v>
      </c>
      <c r="HU280" s="5" t="s">
        <v>238</v>
      </c>
      <c r="HV280" s="5" t="s">
        <v>238</v>
      </c>
      <c r="HW280" s="5" t="s">
        <v>238</v>
      </c>
      <c r="HX280" s="5" t="s">
        <v>238</v>
      </c>
      <c r="HY280" s="5" t="s">
        <v>238</v>
      </c>
      <c r="HZ280" s="5" t="s">
        <v>238</v>
      </c>
      <c r="IA280" s="5" t="s">
        <v>238</v>
      </c>
      <c r="IB280" s="5" t="s">
        <v>238</v>
      </c>
      <c r="IC280" s="5" t="s">
        <v>238</v>
      </c>
      <c r="ID280" s="5" t="s">
        <v>238</v>
      </c>
    </row>
    <row r="281" spans="1:238" x14ac:dyDescent="0.4">
      <c r="A281" s="5">
        <v>306</v>
      </c>
      <c r="B281" s="5">
        <v>1</v>
      </c>
      <c r="C281" s="5">
        <v>4</v>
      </c>
      <c r="D281" s="5" t="s">
        <v>666</v>
      </c>
      <c r="E281" s="5" t="s">
        <v>644</v>
      </c>
      <c r="F281" s="5" t="s">
        <v>282</v>
      </c>
      <c r="G281" s="5" t="s">
        <v>668</v>
      </c>
      <c r="H281" s="6" t="s">
        <v>669</v>
      </c>
      <c r="I281" s="5" t="s">
        <v>1280</v>
      </c>
      <c r="J281" s="7">
        <f>2056</f>
        <v>2056</v>
      </c>
      <c r="K281" s="5" t="s">
        <v>270</v>
      </c>
      <c r="L281" s="8">
        <f>470612020</f>
        <v>470612020</v>
      </c>
      <c r="M281" s="8">
        <f>702406000</f>
        <v>702406000</v>
      </c>
      <c r="N281" s="6" t="s">
        <v>667</v>
      </c>
      <c r="O281" s="5" t="s">
        <v>650</v>
      </c>
      <c r="P281" s="5" t="s">
        <v>354</v>
      </c>
      <c r="Q281" s="8">
        <f>23179398</f>
        <v>23179398</v>
      </c>
      <c r="R281" s="8">
        <f>231793980</f>
        <v>231793980</v>
      </c>
      <c r="S281" s="5" t="s">
        <v>240</v>
      </c>
      <c r="T281" s="5" t="s">
        <v>237</v>
      </c>
      <c r="U281" s="5" t="s">
        <v>238</v>
      </c>
      <c r="V281" s="5" t="s">
        <v>238</v>
      </c>
      <c r="W281" s="5" t="s">
        <v>241</v>
      </c>
      <c r="X281" s="5" t="s">
        <v>337</v>
      </c>
      <c r="Y281" s="5" t="s">
        <v>238</v>
      </c>
      <c r="AB281" s="5" t="s">
        <v>238</v>
      </c>
      <c r="AC281" s="6" t="s">
        <v>238</v>
      </c>
      <c r="AD281" s="6" t="s">
        <v>238</v>
      </c>
      <c r="AF281" s="6" t="s">
        <v>238</v>
      </c>
      <c r="AG281" s="6" t="s">
        <v>246</v>
      </c>
      <c r="AH281" s="5" t="s">
        <v>247</v>
      </c>
      <c r="AI281" s="5" t="s">
        <v>248</v>
      </c>
      <c r="AO281" s="5" t="s">
        <v>238</v>
      </c>
      <c r="AP281" s="5" t="s">
        <v>238</v>
      </c>
      <c r="AQ281" s="5" t="s">
        <v>238</v>
      </c>
      <c r="AR281" s="6" t="s">
        <v>238</v>
      </c>
      <c r="AS281" s="6" t="s">
        <v>238</v>
      </c>
      <c r="AT281" s="6" t="s">
        <v>238</v>
      </c>
      <c r="AW281" s="5" t="s">
        <v>304</v>
      </c>
      <c r="AX281" s="5" t="s">
        <v>304</v>
      </c>
      <c r="AY281" s="5" t="s">
        <v>250</v>
      </c>
      <c r="AZ281" s="5" t="s">
        <v>305</v>
      </c>
      <c r="BA281" s="5" t="s">
        <v>251</v>
      </c>
      <c r="BB281" s="5" t="s">
        <v>238</v>
      </c>
      <c r="BC281" s="5" t="s">
        <v>253</v>
      </c>
      <c r="BD281" s="5" t="s">
        <v>238</v>
      </c>
      <c r="BF281" s="5" t="s">
        <v>238</v>
      </c>
      <c r="BH281" s="5" t="s">
        <v>283</v>
      </c>
      <c r="BI281" s="6" t="s">
        <v>293</v>
      </c>
      <c r="BJ281" s="5" t="s">
        <v>294</v>
      </c>
      <c r="BK281" s="5" t="s">
        <v>294</v>
      </c>
      <c r="BL281" s="5" t="s">
        <v>238</v>
      </c>
      <c r="BM281" s="7">
        <f>0</f>
        <v>0</v>
      </c>
      <c r="BN281" s="8">
        <f>-23179398</f>
        <v>-23179398</v>
      </c>
      <c r="BO281" s="5" t="s">
        <v>257</v>
      </c>
      <c r="BP281" s="5" t="s">
        <v>258</v>
      </c>
      <c r="BQ281" s="5" t="s">
        <v>238</v>
      </c>
      <c r="BR281" s="5" t="s">
        <v>238</v>
      </c>
      <c r="BS281" s="5" t="s">
        <v>238</v>
      </c>
      <c r="BT281" s="5" t="s">
        <v>238</v>
      </c>
      <c r="CC281" s="5" t="s">
        <v>258</v>
      </c>
      <c r="CD281" s="5" t="s">
        <v>238</v>
      </c>
      <c r="CE281" s="5" t="s">
        <v>238</v>
      </c>
      <c r="CI281" s="5" t="s">
        <v>259</v>
      </c>
      <c r="CJ281" s="5" t="s">
        <v>260</v>
      </c>
      <c r="CK281" s="5" t="s">
        <v>238</v>
      </c>
      <c r="CM281" s="5" t="s">
        <v>670</v>
      </c>
      <c r="CN281" s="6" t="s">
        <v>262</v>
      </c>
      <c r="CO281" s="5" t="s">
        <v>263</v>
      </c>
      <c r="CP281" s="5" t="s">
        <v>264</v>
      </c>
      <c r="CQ281" s="5" t="s">
        <v>285</v>
      </c>
      <c r="CR281" s="5" t="s">
        <v>238</v>
      </c>
      <c r="CS281" s="5">
        <v>3.3000000000000002E-2</v>
      </c>
      <c r="CT281" s="5" t="s">
        <v>265</v>
      </c>
      <c r="CU281" s="5" t="s">
        <v>1266</v>
      </c>
      <c r="CV281" s="5" t="s">
        <v>649</v>
      </c>
      <c r="CW281" s="7">
        <f>0</f>
        <v>0</v>
      </c>
      <c r="CX281" s="8">
        <f>702406000</f>
        <v>702406000</v>
      </c>
      <c r="CY281" s="8">
        <f>493791418</f>
        <v>493791418</v>
      </c>
      <c r="DA281" s="5" t="s">
        <v>238</v>
      </c>
      <c r="DB281" s="5" t="s">
        <v>238</v>
      </c>
      <c r="DD281" s="5" t="s">
        <v>238</v>
      </c>
      <c r="DE281" s="8">
        <f>0</f>
        <v>0</v>
      </c>
      <c r="DG281" s="5" t="s">
        <v>238</v>
      </c>
      <c r="DH281" s="5" t="s">
        <v>238</v>
      </c>
      <c r="DI281" s="5" t="s">
        <v>238</v>
      </c>
      <c r="DJ281" s="5" t="s">
        <v>238</v>
      </c>
      <c r="DK281" s="5" t="s">
        <v>271</v>
      </c>
      <c r="DL281" s="5" t="s">
        <v>272</v>
      </c>
      <c r="DM281" s="7">
        <f>2056</f>
        <v>2056</v>
      </c>
      <c r="DN281" s="5" t="s">
        <v>238</v>
      </c>
      <c r="DO281" s="5" t="s">
        <v>238</v>
      </c>
      <c r="DP281" s="5" t="s">
        <v>238</v>
      </c>
      <c r="DQ281" s="5" t="s">
        <v>238</v>
      </c>
      <c r="DT281" s="5" t="s">
        <v>671</v>
      </c>
      <c r="DU281" s="5" t="s">
        <v>271</v>
      </c>
      <c r="GL281" s="5" t="s">
        <v>1281</v>
      </c>
      <c r="HM281" s="5" t="s">
        <v>313</v>
      </c>
      <c r="HP281" s="5" t="s">
        <v>272</v>
      </c>
      <c r="HQ281" s="5" t="s">
        <v>272</v>
      </c>
      <c r="HR281" s="5" t="s">
        <v>238</v>
      </c>
      <c r="HS281" s="5" t="s">
        <v>238</v>
      </c>
      <c r="HT281" s="5" t="s">
        <v>238</v>
      </c>
      <c r="HU281" s="5" t="s">
        <v>238</v>
      </c>
      <c r="HV281" s="5" t="s">
        <v>238</v>
      </c>
      <c r="HW281" s="5" t="s">
        <v>238</v>
      </c>
      <c r="HX281" s="5" t="s">
        <v>238</v>
      </c>
      <c r="HY281" s="5" t="s">
        <v>238</v>
      </c>
      <c r="HZ281" s="5" t="s">
        <v>238</v>
      </c>
      <c r="IA281" s="5" t="s">
        <v>238</v>
      </c>
      <c r="IB281" s="5" t="s">
        <v>238</v>
      </c>
      <c r="IC281" s="5" t="s">
        <v>238</v>
      </c>
      <c r="ID281" s="5" t="s">
        <v>238</v>
      </c>
    </row>
    <row r="282" spans="1:238" x14ac:dyDescent="0.4">
      <c r="A282" s="5">
        <v>307</v>
      </c>
      <c r="B282" s="5">
        <v>1</v>
      </c>
      <c r="C282" s="5">
        <v>4</v>
      </c>
      <c r="D282" s="5" t="s">
        <v>666</v>
      </c>
      <c r="E282" s="5" t="s">
        <v>644</v>
      </c>
      <c r="F282" s="5" t="s">
        <v>282</v>
      </c>
      <c r="G282" s="5" t="s">
        <v>668</v>
      </c>
      <c r="H282" s="6" t="s">
        <v>669</v>
      </c>
      <c r="I282" s="5" t="s">
        <v>239</v>
      </c>
      <c r="J282" s="7">
        <f>5</f>
        <v>5</v>
      </c>
      <c r="K282" s="5" t="s">
        <v>270</v>
      </c>
      <c r="L282" s="8">
        <f>335000</f>
        <v>335000</v>
      </c>
      <c r="M282" s="8">
        <f>500000</f>
        <v>500000</v>
      </c>
      <c r="N282" s="6" t="s">
        <v>667</v>
      </c>
      <c r="O282" s="5" t="s">
        <v>650</v>
      </c>
      <c r="P282" s="5" t="s">
        <v>354</v>
      </c>
      <c r="Q282" s="8">
        <f>16500</f>
        <v>16500</v>
      </c>
      <c r="R282" s="8">
        <f>165000</f>
        <v>165000</v>
      </c>
      <c r="S282" s="5" t="s">
        <v>240</v>
      </c>
      <c r="T282" s="5" t="s">
        <v>237</v>
      </c>
      <c r="U282" s="5" t="s">
        <v>238</v>
      </c>
      <c r="V282" s="5" t="s">
        <v>238</v>
      </c>
      <c r="W282" s="5" t="s">
        <v>241</v>
      </c>
      <c r="X282" s="5" t="s">
        <v>337</v>
      </c>
      <c r="Y282" s="5" t="s">
        <v>238</v>
      </c>
      <c r="AB282" s="5" t="s">
        <v>238</v>
      </c>
      <c r="AC282" s="6" t="s">
        <v>238</v>
      </c>
      <c r="AD282" s="6" t="s">
        <v>238</v>
      </c>
      <c r="AF282" s="6" t="s">
        <v>238</v>
      </c>
      <c r="AG282" s="6" t="s">
        <v>246</v>
      </c>
      <c r="AH282" s="5" t="s">
        <v>247</v>
      </c>
      <c r="AI282" s="5" t="s">
        <v>248</v>
      </c>
      <c r="AO282" s="5" t="s">
        <v>238</v>
      </c>
      <c r="AP282" s="5" t="s">
        <v>238</v>
      </c>
      <c r="AQ282" s="5" t="s">
        <v>238</v>
      </c>
      <c r="AR282" s="6" t="s">
        <v>238</v>
      </c>
      <c r="AS282" s="6" t="s">
        <v>238</v>
      </c>
      <c r="AT282" s="6" t="s">
        <v>238</v>
      </c>
      <c r="AW282" s="5" t="s">
        <v>304</v>
      </c>
      <c r="AX282" s="5" t="s">
        <v>304</v>
      </c>
      <c r="AY282" s="5" t="s">
        <v>250</v>
      </c>
      <c r="AZ282" s="5" t="s">
        <v>305</v>
      </c>
      <c r="BA282" s="5" t="s">
        <v>251</v>
      </c>
      <c r="BB282" s="5" t="s">
        <v>238</v>
      </c>
      <c r="BC282" s="5" t="s">
        <v>253</v>
      </c>
      <c r="BD282" s="5" t="s">
        <v>238</v>
      </c>
      <c r="BF282" s="5" t="s">
        <v>238</v>
      </c>
      <c r="BH282" s="5" t="s">
        <v>283</v>
      </c>
      <c r="BI282" s="6" t="s">
        <v>293</v>
      </c>
      <c r="BJ282" s="5" t="s">
        <v>294</v>
      </c>
      <c r="BK282" s="5" t="s">
        <v>294</v>
      </c>
      <c r="BL282" s="5" t="s">
        <v>238</v>
      </c>
      <c r="BM282" s="7">
        <f>0</f>
        <v>0</v>
      </c>
      <c r="BN282" s="8">
        <f>-16500</f>
        <v>-16500</v>
      </c>
      <c r="BO282" s="5" t="s">
        <v>257</v>
      </c>
      <c r="BP282" s="5" t="s">
        <v>258</v>
      </c>
      <c r="BQ282" s="5" t="s">
        <v>238</v>
      </c>
      <c r="BR282" s="5" t="s">
        <v>238</v>
      </c>
      <c r="BS282" s="5" t="s">
        <v>238</v>
      </c>
      <c r="BT282" s="5" t="s">
        <v>238</v>
      </c>
      <c r="CC282" s="5" t="s">
        <v>258</v>
      </c>
      <c r="CD282" s="5" t="s">
        <v>238</v>
      </c>
      <c r="CE282" s="5" t="s">
        <v>238</v>
      </c>
      <c r="CI282" s="5" t="s">
        <v>259</v>
      </c>
      <c r="CJ282" s="5" t="s">
        <v>260</v>
      </c>
      <c r="CK282" s="5" t="s">
        <v>238</v>
      </c>
      <c r="CM282" s="5" t="s">
        <v>670</v>
      </c>
      <c r="CN282" s="6" t="s">
        <v>262</v>
      </c>
      <c r="CO282" s="5" t="s">
        <v>263</v>
      </c>
      <c r="CP282" s="5" t="s">
        <v>264</v>
      </c>
      <c r="CQ282" s="5" t="s">
        <v>285</v>
      </c>
      <c r="CR282" s="5" t="s">
        <v>238</v>
      </c>
      <c r="CS282" s="5">
        <v>3.3000000000000002E-2</v>
      </c>
      <c r="CT282" s="5" t="s">
        <v>265</v>
      </c>
      <c r="CU282" s="5" t="s">
        <v>266</v>
      </c>
      <c r="CV282" s="5" t="s">
        <v>649</v>
      </c>
      <c r="CW282" s="7">
        <f>0</f>
        <v>0</v>
      </c>
      <c r="CX282" s="8">
        <f>500000</f>
        <v>500000</v>
      </c>
      <c r="CY282" s="8">
        <f>351500</f>
        <v>351500</v>
      </c>
      <c r="DA282" s="5" t="s">
        <v>238</v>
      </c>
      <c r="DB282" s="5" t="s">
        <v>238</v>
      </c>
      <c r="DD282" s="5" t="s">
        <v>238</v>
      </c>
      <c r="DE282" s="8">
        <f>0</f>
        <v>0</v>
      </c>
      <c r="DG282" s="5" t="s">
        <v>238</v>
      </c>
      <c r="DH282" s="5" t="s">
        <v>238</v>
      </c>
      <c r="DI282" s="5" t="s">
        <v>238</v>
      </c>
      <c r="DJ282" s="5" t="s">
        <v>238</v>
      </c>
      <c r="DK282" s="5" t="s">
        <v>271</v>
      </c>
      <c r="DL282" s="5" t="s">
        <v>272</v>
      </c>
      <c r="DM282" s="7">
        <f>5</f>
        <v>5</v>
      </c>
      <c r="DN282" s="5" t="s">
        <v>238</v>
      </c>
      <c r="DO282" s="5" t="s">
        <v>238</v>
      </c>
      <c r="DP282" s="5" t="s">
        <v>238</v>
      </c>
      <c r="DQ282" s="5" t="s">
        <v>238</v>
      </c>
      <c r="DT282" s="5" t="s">
        <v>671</v>
      </c>
      <c r="DU282" s="5" t="s">
        <v>274</v>
      </c>
      <c r="GL282" s="5" t="s">
        <v>672</v>
      </c>
      <c r="HM282" s="5" t="s">
        <v>313</v>
      </c>
      <c r="HP282" s="5" t="s">
        <v>272</v>
      </c>
      <c r="HQ282" s="5" t="s">
        <v>272</v>
      </c>
      <c r="HR282" s="5" t="s">
        <v>238</v>
      </c>
      <c r="HS282" s="5" t="s">
        <v>238</v>
      </c>
      <c r="HT282" s="5" t="s">
        <v>238</v>
      </c>
      <c r="HU282" s="5" t="s">
        <v>238</v>
      </c>
      <c r="HV282" s="5" t="s">
        <v>238</v>
      </c>
      <c r="HW282" s="5" t="s">
        <v>238</v>
      </c>
      <c r="HX282" s="5" t="s">
        <v>238</v>
      </c>
      <c r="HY282" s="5" t="s">
        <v>238</v>
      </c>
      <c r="HZ282" s="5" t="s">
        <v>238</v>
      </c>
      <c r="IA282" s="5" t="s">
        <v>238</v>
      </c>
      <c r="IB282" s="5" t="s">
        <v>238</v>
      </c>
      <c r="IC282" s="5" t="s">
        <v>238</v>
      </c>
      <c r="ID282" s="5" t="s">
        <v>238</v>
      </c>
    </row>
    <row r="283" spans="1:238" x14ac:dyDescent="0.4">
      <c r="A283" s="5">
        <v>308</v>
      </c>
      <c r="B283" s="5">
        <v>1</v>
      </c>
      <c r="C283" s="5">
        <v>4</v>
      </c>
      <c r="D283" s="5" t="s">
        <v>654</v>
      </c>
      <c r="E283" s="5" t="s">
        <v>644</v>
      </c>
      <c r="F283" s="5" t="s">
        <v>282</v>
      </c>
      <c r="G283" s="5" t="s">
        <v>668</v>
      </c>
      <c r="H283" s="6" t="s">
        <v>656</v>
      </c>
      <c r="I283" s="5" t="s">
        <v>1280</v>
      </c>
      <c r="J283" s="7">
        <f>777</f>
        <v>777</v>
      </c>
      <c r="K283" s="5" t="s">
        <v>270</v>
      </c>
      <c r="L283" s="8">
        <f>86589657</f>
        <v>86589657</v>
      </c>
      <c r="M283" s="8">
        <f>282051000</f>
        <v>282051000</v>
      </c>
      <c r="N283" s="6" t="s">
        <v>655</v>
      </c>
      <c r="O283" s="5" t="s">
        <v>650</v>
      </c>
      <c r="P283" s="5" t="s">
        <v>658</v>
      </c>
      <c r="Q283" s="8">
        <f>9307683</f>
        <v>9307683</v>
      </c>
      <c r="R283" s="8">
        <f>195461343</f>
        <v>195461343</v>
      </c>
      <c r="S283" s="5" t="s">
        <v>240</v>
      </c>
      <c r="T283" s="5" t="s">
        <v>237</v>
      </c>
      <c r="U283" s="5" t="s">
        <v>238</v>
      </c>
      <c r="V283" s="5" t="s">
        <v>238</v>
      </c>
      <c r="W283" s="5" t="s">
        <v>241</v>
      </c>
      <c r="X283" s="5" t="s">
        <v>337</v>
      </c>
      <c r="Y283" s="5" t="s">
        <v>238</v>
      </c>
      <c r="AB283" s="5" t="s">
        <v>238</v>
      </c>
      <c r="AC283" s="6" t="s">
        <v>238</v>
      </c>
      <c r="AD283" s="6" t="s">
        <v>238</v>
      </c>
      <c r="AF283" s="6" t="s">
        <v>238</v>
      </c>
      <c r="AG283" s="6" t="s">
        <v>246</v>
      </c>
      <c r="AH283" s="5" t="s">
        <v>247</v>
      </c>
      <c r="AI283" s="5" t="s">
        <v>248</v>
      </c>
      <c r="AO283" s="5" t="s">
        <v>238</v>
      </c>
      <c r="AP283" s="5" t="s">
        <v>238</v>
      </c>
      <c r="AQ283" s="5" t="s">
        <v>238</v>
      </c>
      <c r="AR283" s="6" t="s">
        <v>238</v>
      </c>
      <c r="AS283" s="6" t="s">
        <v>238</v>
      </c>
      <c r="AT283" s="6" t="s">
        <v>238</v>
      </c>
      <c r="AW283" s="5" t="s">
        <v>304</v>
      </c>
      <c r="AX283" s="5" t="s">
        <v>304</v>
      </c>
      <c r="AY283" s="5" t="s">
        <v>250</v>
      </c>
      <c r="AZ283" s="5" t="s">
        <v>305</v>
      </c>
      <c r="BA283" s="5" t="s">
        <v>251</v>
      </c>
      <c r="BB283" s="5" t="s">
        <v>238</v>
      </c>
      <c r="BC283" s="5" t="s">
        <v>253</v>
      </c>
      <c r="BD283" s="5" t="s">
        <v>238</v>
      </c>
      <c r="BF283" s="5" t="s">
        <v>238</v>
      </c>
      <c r="BH283" s="5" t="s">
        <v>283</v>
      </c>
      <c r="BI283" s="6" t="s">
        <v>293</v>
      </c>
      <c r="BJ283" s="5" t="s">
        <v>294</v>
      </c>
      <c r="BK283" s="5" t="s">
        <v>294</v>
      </c>
      <c r="BL283" s="5" t="s">
        <v>238</v>
      </c>
      <c r="BM283" s="7">
        <f>0</f>
        <v>0</v>
      </c>
      <c r="BN283" s="8">
        <f>-9307683</f>
        <v>-9307683</v>
      </c>
      <c r="BO283" s="5" t="s">
        <v>257</v>
      </c>
      <c r="BP283" s="5" t="s">
        <v>258</v>
      </c>
      <c r="BQ283" s="5" t="s">
        <v>238</v>
      </c>
      <c r="BR283" s="5" t="s">
        <v>238</v>
      </c>
      <c r="BS283" s="5" t="s">
        <v>238</v>
      </c>
      <c r="BT283" s="5" t="s">
        <v>238</v>
      </c>
      <c r="CC283" s="5" t="s">
        <v>258</v>
      </c>
      <c r="CD283" s="5" t="s">
        <v>238</v>
      </c>
      <c r="CE283" s="5" t="s">
        <v>238</v>
      </c>
      <c r="CI283" s="5" t="s">
        <v>259</v>
      </c>
      <c r="CJ283" s="5" t="s">
        <v>260</v>
      </c>
      <c r="CK283" s="5" t="s">
        <v>238</v>
      </c>
      <c r="CM283" s="5" t="s">
        <v>657</v>
      </c>
      <c r="CN283" s="6" t="s">
        <v>262</v>
      </c>
      <c r="CO283" s="5" t="s">
        <v>263</v>
      </c>
      <c r="CP283" s="5" t="s">
        <v>264</v>
      </c>
      <c r="CQ283" s="5" t="s">
        <v>285</v>
      </c>
      <c r="CR283" s="5" t="s">
        <v>238</v>
      </c>
      <c r="CS283" s="5">
        <v>3.3000000000000002E-2</v>
      </c>
      <c r="CT283" s="5" t="s">
        <v>265</v>
      </c>
      <c r="CU283" s="5" t="s">
        <v>1266</v>
      </c>
      <c r="CV283" s="5" t="s">
        <v>649</v>
      </c>
      <c r="CW283" s="7">
        <f>0</f>
        <v>0</v>
      </c>
      <c r="CX283" s="8">
        <f>282051000</f>
        <v>282051000</v>
      </c>
      <c r="CY283" s="8">
        <f>95897340</f>
        <v>95897340</v>
      </c>
      <c r="DA283" s="5" t="s">
        <v>238</v>
      </c>
      <c r="DB283" s="5" t="s">
        <v>238</v>
      </c>
      <c r="DD283" s="5" t="s">
        <v>238</v>
      </c>
      <c r="DE283" s="8">
        <f>0</f>
        <v>0</v>
      </c>
      <c r="DG283" s="5" t="s">
        <v>238</v>
      </c>
      <c r="DH283" s="5" t="s">
        <v>238</v>
      </c>
      <c r="DI283" s="5" t="s">
        <v>238</v>
      </c>
      <c r="DJ283" s="5" t="s">
        <v>238</v>
      </c>
      <c r="DK283" s="5" t="s">
        <v>274</v>
      </c>
      <c r="DL283" s="5" t="s">
        <v>272</v>
      </c>
      <c r="DM283" s="7">
        <f>777</f>
        <v>777</v>
      </c>
      <c r="DN283" s="5" t="s">
        <v>238</v>
      </c>
      <c r="DO283" s="5" t="s">
        <v>238</v>
      </c>
      <c r="DP283" s="5" t="s">
        <v>238</v>
      </c>
      <c r="DQ283" s="5" t="s">
        <v>238</v>
      </c>
      <c r="DT283" s="5" t="s">
        <v>659</v>
      </c>
      <c r="DU283" s="5" t="s">
        <v>271</v>
      </c>
      <c r="GL283" s="5" t="s">
        <v>1290</v>
      </c>
      <c r="HM283" s="5" t="s">
        <v>313</v>
      </c>
      <c r="HP283" s="5" t="s">
        <v>272</v>
      </c>
      <c r="HQ283" s="5" t="s">
        <v>272</v>
      </c>
      <c r="HR283" s="5" t="s">
        <v>238</v>
      </c>
      <c r="HS283" s="5" t="s">
        <v>238</v>
      </c>
      <c r="HT283" s="5" t="s">
        <v>238</v>
      </c>
      <c r="HU283" s="5" t="s">
        <v>238</v>
      </c>
      <c r="HV283" s="5" t="s">
        <v>238</v>
      </c>
      <c r="HW283" s="5" t="s">
        <v>238</v>
      </c>
      <c r="HX283" s="5" t="s">
        <v>238</v>
      </c>
      <c r="HY283" s="5" t="s">
        <v>238</v>
      </c>
      <c r="HZ283" s="5" t="s">
        <v>238</v>
      </c>
      <c r="IA283" s="5" t="s">
        <v>238</v>
      </c>
      <c r="IB283" s="5" t="s">
        <v>238</v>
      </c>
      <c r="IC283" s="5" t="s">
        <v>238</v>
      </c>
      <c r="ID283" s="5" t="s">
        <v>238</v>
      </c>
    </row>
    <row r="284" spans="1:238" x14ac:dyDescent="0.4">
      <c r="A284" s="5">
        <v>309</v>
      </c>
      <c r="B284" s="5">
        <v>1</v>
      </c>
      <c r="C284" s="5">
        <v>4</v>
      </c>
      <c r="D284" s="5" t="s">
        <v>654</v>
      </c>
      <c r="E284" s="5" t="s">
        <v>644</v>
      </c>
      <c r="F284" s="5" t="s">
        <v>282</v>
      </c>
      <c r="G284" s="5" t="s">
        <v>781</v>
      </c>
      <c r="H284" s="6" t="s">
        <v>656</v>
      </c>
      <c r="I284" s="5" t="s">
        <v>2380</v>
      </c>
      <c r="J284" s="7">
        <f>11</f>
        <v>11</v>
      </c>
      <c r="K284" s="5" t="s">
        <v>270</v>
      </c>
      <c r="L284" s="8">
        <f>457248</f>
        <v>457248</v>
      </c>
      <c r="M284" s="8">
        <f>1056000</f>
        <v>1056000</v>
      </c>
      <c r="N284" s="6" t="s">
        <v>655</v>
      </c>
      <c r="O284" s="5" t="s">
        <v>639</v>
      </c>
      <c r="P284" s="5" t="s">
        <v>658</v>
      </c>
      <c r="Q284" s="8">
        <f>28512</f>
        <v>28512</v>
      </c>
      <c r="R284" s="8">
        <f>598752</f>
        <v>598752</v>
      </c>
      <c r="S284" s="5" t="s">
        <v>240</v>
      </c>
      <c r="T284" s="5" t="s">
        <v>237</v>
      </c>
      <c r="U284" s="5" t="s">
        <v>238</v>
      </c>
      <c r="V284" s="5" t="s">
        <v>238</v>
      </c>
      <c r="W284" s="5" t="s">
        <v>241</v>
      </c>
      <c r="X284" s="5" t="s">
        <v>337</v>
      </c>
      <c r="Y284" s="5" t="s">
        <v>238</v>
      </c>
      <c r="AB284" s="5" t="s">
        <v>238</v>
      </c>
      <c r="AC284" s="6" t="s">
        <v>238</v>
      </c>
      <c r="AD284" s="6" t="s">
        <v>238</v>
      </c>
      <c r="AF284" s="6" t="s">
        <v>238</v>
      </c>
      <c r="AG284" s="6" t="s">
        <v>246</v>
      </c>
      <c r="AH284" s="5" t="s">
        <v>247</v>
      </c>
      <c r="AI284" s="5" t="s">
        <v>248</v>
      </c>
      <c r="AO284" s="5" t="s">
        <v>238</v>
      </c>
      <c r="AP284" s="5" t="s">
        <v>238</v>
      </c>
      <c r="AQ284" s="5" t="s">
        <v>238</v>
      </c>
      <c r="AR284" s="6" t="s">
        <v>238</v>
      </c>
      <c r="AS284" s="6" t="s">
        <v>238</v>
      </c>
      <c r="AT284" s="6" t="s">
        <v>238</v>
      </c>
      <c r="AW284" s="5" t="s">
        <v>304</v>
      </c>
      <c r="AX284" s="5" t="s">
        <v>304</v>
      </c>
      <c r="AY284" s="5" t="s">
        <v>250</v>
      </c>
      <c r="AZ284" s="5" t="s">
        <v>305</v>
      </c>
      <c r="BA284" s="5" t="s">
        <v>251</v>
      </c>
      <c r="BB284" s="5" t="s">
        <v>238</v>
      </c>
      <c r="BC284" s="5" t="s">
        <v>253</v>
      </c>
      <c r="BD284" s="5" t="s">
        <v>238</v>
      </c>
      <c r="BF284" s="5" t="s">
        <v>238</v>
      </c>
      <c r="BH284" s="5" t="s">
        <v>283</v>
      </c>
      <c r="BI284" s="6" t="s">
        <v>293</v>
      </c>
      <c r="BJ284" s="5" t="s">
        <v>294</v>
      </c>
      <c r="BK284" s="5" t="s">
        <v>294</v>
      </c>
      <c r="BL284" s="5" t="s">
        <v>238</v>
      </c>
      <c r="BM284" s="7">
        <f>0</f>
        <v>0</v>
      </c>
      <c r="BN284" s="8">
        <f>-28512</f>
        <v>-28512</v>
      </c>
      <c r="BO284" s="5" t="s">
        <v>257</v>
      </c>
      <c r="BP284" s="5" t="s">
        <v>258</v>
      </c>
      <c r="BQ284" s="5" t="s">
        <v>238</v>
      </c>
      <c r="BR284" s="5" t="s">
        <v>238</v>
      </c>
      <c r="BS284" s="5" t="s">
        <v>238</v>
      </c>
      <c r="BT284" s="5" t="s">
        <v>238</v>
      </c>
      <c r="CC284" s="5" t="s">
        <v>258</v>
      </c>
      <c r="CD284" s="5" t="s">
        <v>238</v>
      </c>
      <c r="CE284" s="5" t="s">
        <v>238</v>
      </c>
      <c r="CI284" s="5" t="s">
        <v>259</v>
      </c>
      <c r="CJ284" s="5" t="s">
        <v>260</v>
      </c>
      <c r="CK284" s="5" t="s">
        <v>238</v>
      </c>
      <c r="CM284" s="5" t="s">
        <v>657</v>
      </c>
      <c r="CN284" s="6" t="s">
        <v>262</v>
      </c>
      <c r="CO284" s="5" t="s">
        <v>263</v>
      </c>
      <c r="CP284" s="5" t="s">
        <v>264</v>
      </c>
      <c r="CQ284" s="5" t="s">
        <v>285</v>
      </c>
      <c r="CR284" s="5" t="s">
        <v>238</v>
      </c>
      <c r="CS284" s="5">
        <v>2.7E-2</v>
      </c>
      <c r="CT284" s="5" t="s">
        <v>265</v>
      </c>
      <c r="CU284" s="5" t="s">
        <v>2381</v>
      </c>
      <c r="CV284" s="5" t="s">
        <v>308</v>
      </c>
      <c r="CW284" s="7">
        <f>0</f>
        <v>0</v>
      </c>
      <c r="CX284" s="8">
        <f>1056000</f>
        <v>1056000</v>
      </c>
      <c r="CY284" s="8">
        <f>485760</f>
        <v>485760</v>
      </c>
      <c r="DA284" s="5" t="s">
        <v>238</v>
      </c>
      <c r="DB284" s="5" t="s">
        <v>238</v>
      </c>
      <c r="DD284" s="5" t="s">
        <v>238</v>
      </c>
      <c r="DE284" s="8">
        <f>0</f>
        <v>0</v>
      </c>
      <c r="DG284" s="5" t="s">
        <v>238</v>
      </c>
      <c r="DH284" s="5" t="s">
        <v>238</v>
      </c>
      <c r="DI284" s="5" t="s">
        <v>238</v>
      </c>
      <c r="DJ284" s="5" t="s">
        <v>238</v>
      </c>
      <c r="DK284" s="5" t="s">
        <v>271</v>
      </c>
      <c r="DL284" s="5" t="s">
        <v>272</v>
      </c>
      <c r="DM284" s="7">
        <f>11</f>
        <v>11</v>
      </c>
      <c r="DN284" s="5" t="s">
        <v>238</v>
      </c>
      <c r="DO284" s="5" t="s">
        <v>238</v>
      </c>
      <c r="DP284" s="5" t="s">
        <v>238</v>
      </c>
      <c r="DQ284" s="5" t="s">
        <v>238</v>
      </c>
      <c r="DT284" s="5" t="s">
        <v>659</v>
      </c>
      <c r="DU284" s="5" t="s">
        <v>274</v>
      </c>
      <c r="GL284" s="5" t="s">
        <v>2449</v>
      </c>
      <c r="HM284" s="5" t="s">
        <v>313</v>
      </c>
      <c r="HP284" s="5" t="s">
        <v>272</v>
      </c>
      <c r="HQ284" s="5" t="s">
        <v>272</v>
      </c>
      <c r="HR284" s="5" t="s">
        <v>238</v>
      </c>
      <c r="HS284" s="5" t="s">
        <v>238</v>
      </c>
      <c r="HT284" s="5" t="s">
        <v>238</v>
      </c>
      <c r="HU284" s="5" t="s">
        <v>238</v>
      </c>
      <c r="HV284" s="5" t="s">
        <v>238</v>
      </c>
      <c r="HW284" s="5" t="s">
        <v>238</v>
      </c>
      <c r="HX284" s="5" t="s">
        <v>238</v>
      </c>
      <c r="HY284" s="5" t="s">
        <v>238</v>
      </c>
      <c r="HZ284" s="5" t="s">
        <v>238</v>
      </c>
      <c r="IA284" s="5" t="s">
        <v>238</v>
      </c>
      <c r="IB284" s="5" t="s">
        <v>238</v>
      </c>
      <c r="IC284" s="5" t="s">
        <v>238</v>
      </c>
      <c r="ID284" s="5" t="s">
        <v>238</v>
      </c>
    </row>
    <row r="285" spans="1:238" x14ac:dyDescent="0.4">
      <c r="A285" s="5">
        <v>310</v>
      </c>
      <c r="B285" s="5">
        <v>1</v>
      </c>
      <c r="C285" s="5">
        <v>4</v>
      </c>
      <c r="D285" s="5" t="s">
        <v>654</v>
      </c>
      <c r="E285" s="5" t="s">
        <v>644</v>
      </c>
      <c r="F285" s="5" t="s">
        <v>282</v>
      </c>
      <c r="G285" s="5" t="s">
        <v>646</v>
      </c>
      <c r="H285" s="6" t="s">
        <v>656</v>
      </c>
      <c r="I285" s="5" t="s">
        <v>239</v>
      </c>
      <c r="J285" s="7">
        <f>12</f>
        <v>12</v>
      </c>
      <c r="K285" s="5" t="s">
        <v>270</v>
      </c>
      <c r="L285" s="8">
        <f>134520</f>
        <v>134520</v>
      </c>
      <c r="M285" s="8">
        <f>1140000</f>
        <v>1140000</v>
      </c>
      <c r="N285" s="6" t="s">
        <v>655</v>
      </c>
      <c r="O285" s="5" t="s">
        <v>651</v>
      </c>
      <c r="P285" s="5" t="s">
        <v>658</v>
      </c>
      <c r="Q285" s="8">
        <f>47880</f>
        <v>47880</v>
      </c>
      <c r="R285" s="8">
        <f>1005480</f>
        <v>1005480</v>
      </c>
      <c r="S285" s="5" t="s">
        <v>240</v>
      </c>
      <c r="T285" s="5" t="s">
        <v>237</v>
      </c>
      <c r="U285" s="5" t="s">
        <v>238</v>
      </c>
      <c r="V285" s="5" t="s">
        <v>238</v>
      </c>
      <c r="W285" s="5" t="s">
        <v>241</v>
      </c>
      <c r="X285" s="5" t="s">
        <v>337</v>
      </c>
      <c r="Y285" s="5" t="s">
        <v>238</v>
      </c>
      <c r="AB285" s="5" t="s">
        <v>238</v>
      </c>
      <c r="AC285" s="6" t="s">
        <v>238</v>
      </c>
      <c r="AD285" s="6" t="s">
        <v>238</v>
      </c>
      <c r="AF285" s="6" t="s">
        <v>238</v>
      </c>
      <c r="AG285" s="6" t="s">
        <v>246</v>
      </c>
      <c r="AH285" s="5" t="s">
        <v>247</v>
      </c>
      <c r="AI285" s="5" t="s">
        <v>248</v>
      </c>
      <c r="AO285" s="5" t="s">
        <v>238</v>
      </c>
      <c r="AP285" s="5" t="s">
        <v>238</v>
      </c>
      <c r="AQ285" s="5" t="s">
        <v>238</v>
      </c>
      <c r="AR285" s="6" t="s">
        <v>238</v>
      </c>
      <c r="AS285" s="6" t="s">
        <v>238</v>
      </c>
      <c r="AT285" s="6" t="s">
        <v>238</v>
      </c>
      <c r="AW285" s="5" t="s">
        <v>304</v>
      </c>
      <c r="AX285" s="5" t="s">
        <v>304</v>
      </c>
      <c r="AY285" s="5" t="s">
        <v>250</v>
      </c>
      <c r="AZ285" s="5" t="s">
        <v>305</v>
      </c>
      <c r="BA285" s="5" t="s">
        <v>251</v>
      </c>
      <c r="BB285" s="5" t="s">
        <v>238</v>
      </c>
      <c r="BC285" s="5" t="s">
        <v>253</v>
      </c>
      <c r="BD285" s="5" t="s">
        <v>238</v>
      </c>
      <c r="BF285" s="5" t="s">
        <v>238</v>
      </c>
      <c r="BH285" s="5" t="s">
        <v>283</v>
      </c>
      <c r="BI285" s="6" t="s">
        <v>293</v>
      </c>
      <c r="BJ285" s="5" t="s">
        <v>294</v>
      </c>
      <c r="BK285" s="5" t="s">
        <v>294</v>
      </c>
      <c r="BL285" s="5" t="s">
        <v>238</v>
      </c>
      <c r="BM285" s="7">
        <f>0</f>
        <v>0</v>
      </c>
      <c r="BN285" s="8">
        <f>-47880</f>
        <v>-47880</v>
      </c>
      <c r="BO285" s="5" t="s">
        <v>257</v>
      </c>
      <c r="BP285" s="5" t="s">
        <v>258</v>
      </c>
      <c r="BQ285" s="5" t="s">
        <v>238</v>
      </c>
      <c r="BR285" s="5" t="s">
        <v>238</v>
      </c>
      <c r="BS285" s="5" t="s">
        <v>238</v>
      </c>
      <c r="BT285" s="5" t="s">
        <v>238</v>
      </c>
      <c r="CC285" s="5" t="s">
        <v>258</v>
      </c>
      <c r="CD285" s="5" t="s">
        <v>238</v>
      </c>
      <c r="CE285" s="5" t="s">
        <v>238</v>
      </c>
      <c r="CI285" s="5" t="s">
        <v>259</v>
      </c>
      <c r="CJ285" s="5" t="s">
        <v>260</v>
      </c>
      <c r="CK285" s="5" t="s">
        <v>238</v>
      </c>
      <c r="CM285" s="5" t="s">
        <v>657</v>
      </c>
      <c r="CN285" s="6" t="s">
        <v>262</v>
      </c>
      <c r="CO285" s="5" t="s">
        <v>263</v>
      </c>
      <c r="CP285" s="5" t="s">
        <v>264</v>
      </c>
      <c r="CQ285" s="5" t="s">
        <v>285</v>
      </c>
      <c r="CR285" s="5" t="s">
        <v>238</v>
      </c>
      <c r="CS285" s="5">
        <v>4.2000000000000003E-2</v>
      </c>
      <c r="CT285" s="5" t="s">
        <v>265</v>
      </c>
      <c r="CU285" s="5" t="s">
        <v>266</v>
      </c>
      <c r="CV285" s="5" t="s">
        <v>331</v>
      </c>
      <c r="CW285" s="7">
        <f>0</f>
        <v>0</v>
      </c>
      <c r="CX285" s="8">
        <f>1140000</f>
        <v>1140000</v>
      </c>
      <c r="CY285" s="8">
        <f>182400</f>
        <v>182400</v>
      </c>
      <c r="DA285" s="5" t="s">
        <v>238</v>
      </c>
      <c r="DB285" s="5" t="s">
        <v>238</v>
      </c>
      <c r="DD285" s="5" t="s">
        <v>238</v>
      </c>
      <c r="DE285" s="8">
        <f>0</f>
        <v>0</v>
      </c>
      <c r="DG285" s="5" t="s">
        <v>238</v>
      </c>
      <c r="DH285" s="5" t="s">
        <v>238</v>
      </c>
      <c r="DI285" s="5" t="s">
        <v>238</v>
      </c>
      <c r="DJ285" s="5" t="s">
        <v>238</v>
      </c>
      <c r="DK285" s="5" t="s">
        <v>271</v>
      </c>
      <c r="DL285" s="5" t="s">
        <v>272</v>
      </c>
      <c r="DM285" s="7">
        <f>12</f>
        <v>12</v>
      </c>
      <c r="DN285" s="5" t="s">
        <v>238</v>
      </c>
      <c r="DO285" s="5" t="s">
        <v>238</v>
      </c>
      <c r="DP285" s="5" t="s">
        <v>238</v>
      </c>
      <c r="DQ285" s="5" t="s">
        <v>238</v>
      </c>
      <c r="DT285" s="5" t="s">
        <v>659</v>
      </c>
      <c r="DU285" s="5" t="s">
        <v>356</v>
      </c>
      <c r="GL285" s="5" t="s">
        <v>660</v>
      </c>
      <c r="HM285" s="5" t="s">
        <v>313</v>
      </c>
      <c r="HP285" s="5" t="s">
        <v>272</v>
      </c>
      <c r="HQ285" s="5" t="s">
        <v>272</v>
      </c>
      <c r="HR285" s="5" t="s">
        <v>238</v>
      </c>
      <c r="HS285" s="5" t="s">
        <v>238</v>
      </c>
      <c r="HT285" s="5" t="s">
        <v>238</v>
      </c>
      <c r="HU285" s="5" t="s">
        <v>238</v>
      </c>
      <c r="HV285" s="5" t="s">
        <v>238</v>
      </c>
      <c r="HW285" s="5" t="s">
        <v>238</v>
      </c>
      <c r="HX285" s="5" t="s">
        <v>238</v>
      </c>
      <c r="HY285" s="5" t="s">
        <v>238</v>
      </c>
      <c r="HZ285" s="5" t="s">
        <v>238</v>
      </c>
      <c r="IA285" s="5" t="s">
        <v>238</v>
      </c>
      <c r="IB285" s="5" t="s">
        <v>238</v>
      </c>
      <c r="IC285" s="5" t="s">
        <v>238</v>
      </c>
      <c r="ID285" s="5" t="s">
        <v>238</v>
      </c>
    </row>
    <row r="286" spans="1:238" x14ac:dyDescent="0.4">
      <c r="A286" s="5">
        <v>311</v>
      </c>
      <c r="B286" s="5">
        <v>1</v>
      </c>
      <c r="C286" s="5">
        <v>4</v>
      </c>
      <c r="D286" s="5" t="s">
        <v>654</v>
      </c>
      <c r="E286" s="5" t="s">
        <v>644</v>
      </c>
      <c r="F286" s="5" t="s">
        <v>282</v>
      </c>
      <c r="G286" s="5" t="s">
        <v>349</v>
      </c>
      <c r="H286" s="6" t="s">
        <v>656</v>
      </c>
      <c r="I286" s="5" t="s">
        <v>2900</v>
      </c>
      <c r="J286" s="7">
        <f>0</f>
        <v>0</v>
      </c>
      <c r="K286" s="5" t="s">
        <v>270</v>
      </c>
      <c r="L286" s="8">
        <f>2484000</f>
        <v>2484000</v>
      </c>
      <c r="M286" s="8">
        <f>4968000</f>
        <v>4968000</v>
      </c>
      <c r="N286" s="6" t="s">
        <v>2901</v>
      </c>
      <c r="O286" s="5" t="s">
        <v>354</v>
      </c>
      <c r="P286" s="5" t="s">
        <v>274</v>
      </c>
      <c r="Q286" s="8">
        <f>621000</f>
        <v>621000</v>
      </c>
      <c r="R286" s="8">
        <f>2484000</f>
        <v>2484000</v>
      </c>
      <c r="S286" s="5" t="s">
        <v>240</v>
      </c>
      <c r="T286" s="5" t="s">
        <v>287</v>
      </c>
      <c r="U286" s="5" t="s">
        <v>238</v>
      </c>
      <c r="V286" s="5" t="s">
        <v>238</v>
      </c>
      <c r="W286" s="5" t="s">
        <v>241</v>
      </c>
      <c r="X286" s="5" t="s">
        <v>238</v>
      </c>
      <c r="Y286" s="5" t="s">
        <v>238</v>
      </c>
      <c r="AB286" s="5" t="s">
        <v>238</v>
      </c>
      <c r="AC286" s="6" t="s">
        <v>238</v>
      </c>
      <c r="AD286" s="6" t="s">
        <v>238</v>
      </c>
      <c r="AF286" s="6" t="s">
        <v>238</v>
      </c>
      <c r="AG286" s="6" t="s">
        <v>246</v>
      </c>
      <c r="AH286" s="5" t="s">
        <v>247</v>
      </c>
      <c r="AI286" s="5" t="s">
        <v>248</v>
      </c>
      <c r="AO286" s="5" t="s">
        <v>238</v>
      </c>
      <c r="AP286" s="5" t="s">
        <v>238</v>
      </c>
      <c r="AQ286" s="5" t="s">
        <v>238</v>
      </c>
      <c r="AR286" s="6" t="s">
        <v>238</v>
      </c>
      <c r="AS286" s="6" t="s">
        <v>238</v>
      </c>
      <c r="AT286" s="6" t="s">
        <v>238</v>
      </c>
      <c r="AW286" s="5" t="s">
        <v>304</v>
      </c>
      <c r="AX286" s="5" t="s">
        <v>304</v>
      </c>
      <c r="AY286" s="5" t="s">
        <v>250</v>
      </c>
      <c r="AZ286" s="5" t="s">
        <v>305</v>
      </c>
      <c r="BA286" s="5" t="s">
        <v>251</v>
      </c>
      <c r="BB286" s="5" t="s">
        <v>238</v>
      </c>
      <c r="BC286" s="5" t="s">
        <v>253</v>
      </c>
      <c r="BD286" s="5" t="s">
        <v>238</v>
      </c>
      <c r="BF286" s="5" t="s">
        <v>238</v>
      </c>
      <c r="BH286" s="5" t="s">
        <v>283</v>
      </c>
      <c r="BI286" s="6" t="s">
        <v>293</v>
      </c>
      <c r="BJ286" s="5" t="s">
        <v>294</v>
      </c>
      <c r="BK286" s="5" t="s">
        <v>294</v>
      </c>
      <c r="BL286" s="5" t="s">
        <v>238</v>
      </c>
      <c r="BM286" s="7">
        <f>0</f>
        <v>0</v>
      </c>
      <c r="BN286" s="8">
        <f>-621000</f>
        <v>-621000</v>
      </c>
      <c r="BO286" s="5" t="s">
        <v>257</v>
      </c>
      <c r="BP286" s="5" t="s">
        <v>258</v>
      </c>
      <c r="BQ286" s="5" t="s">
        <v>238</v>
      </c>
      <c r="BR286" s="5" t="s">
        <v>238</v>
      </c>
      <c r="BS286" s="5" t="s">
        <v>238</v>
      </c>
      <c r="BT286" s="5" t="s">
        <v>238</v>
      </c>
      <c r="CC286" s="5" t="s">
        <v>258</v>
      </c>
      <c r="CD286" s="5" t="s">
        <v>238</v>
      </c>
      <c r="CE286" s="5" t="s">
        <v>238</v>
      </c>
      <c r="CI286" s="5" t="s">
        <v>259</v>
      </c>
      <c r="CJ286" s="5" t="s">
        <v>260</v>
      </c>
      <c r="CK286" s="5" t="s">
        <v>238</v>
      </c>
      <c r="CM286" s="5" t="s">
        <v>402</v>
      </c>
      <c r="CN286" s="6" t="s">
        <v>262</v>
      </c>
      <c r="CO286" s="5" t="s">
        <v>263</v>
      </c>
      <c r="CP286" s="5" t="s">
        <v>264</v>
      </c>
      <c r="CQ286" s="5" t="s">
        <v>285</v>
      </c>
      <c r="CR286" s="5" t="s">
        <v>238</v>
      </c>
      <c r="CS286" s="5">
        <v>0.125</v>
      </c>
      <c r="CT286" s="5" t="s">
        <v>265</v>
      </c>
      <c r="CU286" s="5" t="s">
        <v>351</v>
      </c>
      <c r="CV286" s="5" t="s">
        <v>494</v>
      </c>
      <c r="CW286" s="7">
        <f>0</f>
        <v>0</v>
      </c>
      <c r="CX286" s="8">
        <f>4968000</f>
        <v>4968000</v>
      </c>
      <c r="CY286" s="8">
        <f>3105000</f>
        <v>3105000</v>
      </c>
      <c r="DA286" s="5" t="s">
        <v>238</v>
      </c>
      <c r="DB286" s="5" t="s">
        <v>238</v>
      </c>
      <c r="DD286" s="5" t="s">
        <v>238</v>
      </c>
      <c r="DE286" s="8">
        <f>0</f>
        <v>0</v>
      </c>
      <c r="DG286" s="5" t="s">
        <v>238</v>
      </c>
      <c r="DH286" s="5" t="s">
        <v>238</v>
      </c>
      <c r="DI286" s="5" t="s">
        <v>238</v>
      </c>
      <c r="DJ286" s="5" t="s">
        <v>238</v>
      </c>
      <c r="DK286" s="5" t="s">
        <v>272</v>
      </c>
      <c r="DL286" s="5" t="s">
        <v>272</v>
      </c>
      <c r="DM286" s="8" t="s">
        <v>238</v>
      </c>
      <c r="DN286" s="5" t="s">
        <v>238</v>
      </c>
      <c r="DO286" s="5" t="s">
        <v>238</v>
      </c>
      <c r="DP286" s="5" t="s">
        <v>238</v>
      </c>
      <c r="DQ286" s="5" t="s">
        <v>238</v>
      </c>
      <c r="DT286" s="5" t="s">
        <v>659</v>
      </c>
      <c r="DU286" s="5" t="s">
        <v>310</v>
      </c>
      <c r="GL286" s="5" t="s">
        <v>2902</v>
      </c>
      <c r="HM286" s="5" t="s">
        <v>310</v>
      </c>
      <c r="HP286" s="5" t="s">
        <v>272</v>
      </c>
      <c r="HQ286" s="5" t="s">
        <v>272</v>
      </c>
      <c r="HR286" s="5" t="s">
        <v>238</v>
      </c>
      <c r="HS286" s="5" t="s">
        <v>238</v>
      </c>
      <c r="HT286" s="5" t="s">
        <v>238</v>
      </c>
      <c r="HU286" s="5" t="s">
        <v>238</v>
      </c>
      <c r="HV286" s="5" t="s">
        <v>238</v>
      </c>
      <c r="HW286" s="5" t="s">
        <v>238</v>
      </c>
      <c r="HX286" s="5" t="s">
        <v>238</v>
      </c>
      <c r="HY286" s="5" t="s">
        <v>238</v>
      </c>
      <c r="HZ286" s="5" t="s">
        <v>238</v>
      </c>
      <c r="IA286" s="5" t="s">
        <v>238</v>
      </c>
      <c r="IB286" s="5" t="s">
        <v>238</v>
      </c>
      <c r="IC286" s="5" t="s">
        <v>238</v>
      </c>
      <c r="ID286" s="5" t="s">
        <v>238</v>
      </c>
    </row>
    <row r="287" spans="1:238" x14ac:dyDescent="0.4">
      <c r="A287" s="5">
        <v>312</v>
      </c>
      <c r="B287" s="5">
        <v>1</v>
      </c>
      <c r="C287" s="5">
        <v>4</v>
      </c>
      <c r="D287" s="5" t="s">
        <v>654</v>
      </c>
      <c r="E287" s="5" t="s">
        <v>644</v>
      </c>
      <c r="F287" s="5" t="s">
        <v>282</v>
      </c>
      <c r="G287" s="5" t="s">
        <v>349</v>
      </c>
      <c r="H287" s="6" t="s">
        <v>656</v>
      </c>
      <c r="I287" s="5" t="s">
        <v>2898</v>
      </c>
      <c r="J287" s="7">
        <f>0</f>
        <v>0</v>
      </c>
      <c r="K287" s="5" t="s">
        <v>270</v>
      </c>
      <c r="L287" s="8">
        <f>363660</f>
        <v>363660</v>
      </c>
      <c r="M287" s="8">
        <f>496800</f>
        <v>496800</v>
      </c>
      <c r="N287" s="6" t="s">
        <v>1085</v>
      </c>
      <c r="O287" s="5" t="s">
        <v>268</v>
      </c>
      <c r="P287" s="5" t="s">
        <v>274</v>
      </c>
      <c r="Q287" s="8">
        <f>33285</f>
        <v>33285</v>
      </c>
      <c r="R287" s="8">
        <f>133140</f>
        <v>133140</v>
      </c>
      <c r="S287" s="5" t="s">
        <v>240</v>
      </c>
      <c r="T287" s="5" t="s">
        <v>287</v>
      </c>
      <c r="U287" s="5" t="s">
        <v>238</v>
      </c>
      <c r="V287" s="5" t="s">
        <v>238</v>
      </c>
      <c r="W287" s="5" t="s">
        <v>241</v>
      </c>
      <c r="X287" s="5" t="s">
        <v>238</v>
      </c>
      <c r="Y287" s="5" t="s">
        <v>238</v>
      </c>
      <c r="AB287" s="5" t="s">
        <v>238</v>
      </c>
      <c r="AC287" s="6" t="s">
        <v>238</v>
      </c>
      <c r="AD287" s="6" t="s">
        <v>238</v>
      </c>
      <c r="AF287" s="6" t="s">
        <v>238</v>
      </c>
      <c r="AG287" s="6" t="s">
        <v>246</v>
      </c>
      <c r="AH287" s="5" t="s">
        <v>247</v>
      </c>
      <c r="AI287" s="5" t="s">
        <v>248</v>
      </c>
      <c r="AO287" s="5" t="s">
        <v>238</v>
      </c>
      <c r="AP287" s="5" t="s">
        <v>238</v>
      </c>
      <c r="AQ287" s="5" t="s">
        <v>238</v>
      </c>
      <c r="AR287" s="6" t="s">
        <v>238</v>
      </c>
      <c r="AS287" s="6" t="s">
        <v>238</v>
      </c>
      <c r="AT287" s="6" t="s">
        <v>238</v>
      </c>
      <c r="AW287" s="5" t="s">
        <v>304</v>
      </c>
      <c r="AX287" s="5" t="s">
        <v>304</v>
      </c>
      <c r="AY287" s="5" t="s">
        <v>250</v>
      </c>
      <c r="AZ287" s="5" t="s">
        <v>305</v>
      </c>
      <c r="BA287" s="5" t="s">
        <v>251</v>
      </c>
      <c r="BB287" s="5" t="s">
        <v>238</v>
      </c>
      <c r="BC287" s="5" t="s">
        <v>253</v>
      </c>
      <c r="BD287" s="5" t="s">
        <v>238</v>
      </c>
      <c r="BF287" s="5" t="s">
        <v>238</v>
      </c>
      <c r="BH287" s="5" t="s">
        <v>283</v>
      </c>
      <c r="BI287" s="6" t="s">
        <v>293</v>
      </c>
      <c r="BJ287" s="5" t="s">
        <v>294</v>
      </c>
      <c r="BK287" s="5" t="s">
        <v>294</v>
      </c>
      <c r="BL287" s="5" t="s">
        <v>238</v>
      </c>
      <c r="BM287" s="7">
        <f>0</f>
        <v>0</v>
      </c>
      <c r="BN287" s="8">
        <f>-33285</f>
        <v>-33285</v>
      </c>
      <c r="BO287" s="5" t="s">
        <v>257</v>
      </c>
      <c r="BP287" s="5" t="s">
        <v>258</v>
      </c>
      <c r="BQ287" s="5" t="s">
        <v>238</v>
      </c>
      <c r="BR287" s="5" t="s">
        <v>238</v>
      </c>
      <c r="BS287" s="5" t="s">
        <v>238</v>
      </c>
      <c r="BT287" s="5" t="s">
        <v>238</v>
      </c>
      <c r="CC287" s="5" t="s">
        <v>258</v>
      </c>
      <c r="CD287" s="5" t="s">
        <v>238</v>
      </c>
      <c r="CE287" s="5" t="s">
        <v>238</v>
      </c>
      <c r="CI287" s="5" t="s">
        <v>259</v>
      </c>
      <c r="CJ287" s="5" t="s">
        <v>260</v>
      </c>
      <c r="CK287" s="5" t="s">
        <v>238</v>
      </c>
      <c r="CM287" s="5" t="s">
        <v>402</v>
      </c>
      <c r="CN287" s="6" t="s">
        <v>262</v>
      </c>
      <c r="CO287" s="5" t="s">
        <v>263</v>
      </c>
      <c r="CP287" s="5" t="s">
        <v>264</v>
      </c>
      <c r="CQ287" s="5" t="s">
        <v>285</v>
      </c>
      <c r="CR287" s="5" t="s">
        <v>238</v>
      </c>
      <c r="CS287" s="5">
        <v>6.7000000000000004E-2</v>
      </c>
      <c r="CT287" s="5" t="s">
        <v>265</v>
      </c>
      <c r="CU287" s="5" t="s">
        <v>351</v>
      </c>
      <c r="CV287" s="5" t="s">
        <v>394</v>
      </c>
      <c r="CW287" s="7">
        <f>0</f>
        <v>0</v>
      </c>
      <c r="CX287" s="8">
        <f>496800</f>
        <v>496800</v>
      </c>
      <c r="CY287" s="8">
        <f>396945</f>
        <v>396945</v>
      </c>
      <c r="DA287" s="5" t="s">
        <v>238</v>
      </c>
      <c r="DB287" s="5" t="s">
        <v>238</v>
      </c>
      <c r="DD287" s="5" t="s">
        <v>238</v>
      </c>
      <c r="DE287" s="8">
        <f>0</f>
        <v>0</v>
      </c>
      <c r="DG287" s="5" t="s">
        <v>238</v>
      </c>
      <c r="DH287" s="5" t="s">
        <v>238</v>
      </c>
      <c r="DI287" s="5" t="s">
        <v>238</v>
      </c>
      <c r="DJ287" s="5" t="s">
        <v>238</v>
      </c>
      <c r="DK287" s="5" t="s">
        <v>272</v>
      </c>
      <c r="DL287" s="5" t="s">
        <v>272</v>
      </c>
      <c r="DM287" s="8" t="s">
        <v>238</v>
      </c>
      <c r="DN287" s="5" t="s">
        <v>238</v>
      </c>
      <c r="DO287" s="5" t="s">
        <v>238</v>
      </c>
      <c r="DP287" s="5" t="s">
        <v>238</v>
      </c>
      <c r="DQ287" s="5" t="s">
        <v>238</v>
      </c>
      <c r="DT287" s="5" t="s">
        <v>659</v>
      </c>
      <c r="DU287" s="5" t="s">
        <v>379</v>
      </c>
      <c r="GL287" s="5" t="s">
        <v>2899</v>
      </c>
      <c r="HM287" s="5" t="s">
        <v>310</v>
      </c>
      <c r="HP287" s="5" t="s">
        <v>272</v>
      </c>
      <c r="HQ287" s="5" t="s">
        <v>272</v>
      </c>
      <c r="HR287" s="5" t="s">
        <v>238</v>
      </c>
      <c r="HS287" s="5" t="s">
        <v>238</v>
      </c>
      <c r="HT287" s="5" t="s">
        <v>238</v>
      </c>
      <c r="HU287" s="5" t="s">
        <v>238</v>
      </c>
      <c r="HV287" s="5" t="s">
        <v>238</v>
      </c>
      <c r="HW287" s="5" t="s">
        <v>238</v>
      </c>
      <c r="HX287" s="5" t="s">
        <v>238</v>
      </c>
      <c r="HY287" s="5" t="s">
        <v>238</v>
      </c>
      <c r="HZ287" s="5" t="s">
        <v>238</v>
      </c>
      <c r="IA287" s="5" t="s">
        <v>238</v>
      </c>
      <c r="IB287" s="5" t="s">
        <v>238</v>
      </c>
      <c r="IC287" s="5" t="s">
        <v>238</v>
      </c>
      <c r="ID287" s="5" t="s">
        <v>238</v>
      </c>
    </row>
    <row r="288" spans="1:238" x14ac:dyDescent="0.4">
      <c r="A288" s="5">
        <v>313</v>
      </c>
      <c r="B288" s="5">
        <v>1</v>
      </c>
      <c r="C288" s="5">
        <v>4</v>
      </c>
      <c r="D288" s="5" t="s">
        <v>654</v>
      </c>
      <c r="E288" s="5" t="s">
        <v>644</v>
      </c>
      <c r="F288" s="5" t="s">
        <v>282</v>
      </c>
      <c r="G288" s="5" t="s">
        <v>349</v>
      </c>
      <c r="H288" s="6" t="s">
        <v>656</v>
      </c>
      <c r="I288" s="5" t="s">
        <v>2895</v>
      </c>
      <c r="J288" s="7">
        <f>0</f>
        <v>0</v>
      </c>
      <c r="K288" s="5" t="s">
        <v>270</v>
      </c>
      <c r="L288" s="8">
        <f>3839994</f>
        <v>3839994</v>
      </c>
      <c r="M288" s="8">
        <f>4806000</f>
        <v>4806000</v>
      </c>
      <c r="N288" s="6" t="s">
        <v>2896</v>
      </c>
      <c r="O288" s="5" t="s">
        <v>268</v>
      </c>
      <c r="P288" s="5" t="s">
        <v>271</v>
      </c>
      <c r="Q288" s="8">
        <f>322002</f>
        <v>322002</v>
      </c>
      <c r="R288" s="8">
        <f>966006</f>
        <v>966006</v>
      </c>
      <c r="S288" s="5" t="s">
        <v>240</v>
      </c>
      <c r="T288" s="5" t="s">
        <v>287</v>
      </c>
      <c r="U288" s="5" t="s">
        <v>238</v>
      </c>
      <c r="V288" s="5" t="s">
        <v>238</v>
      </c>
      <c r="W288" s="5" t="s">
        <v>241</v>
      </c>
      <c r="X288" s="5" t="s">
        <v>238</v>
      </c>
      <c r="Y288" s="5" t="s">
        <v>238</v>
      </c>
      <c r="AB288" s="5" t="s">
        <v>238</v>
      </c>
      <c r="AC288" s="6" t="s">
        <v>238</v>
      </c>
      <c r="AD288" s="6" t="s">
        <v>238</v>
      </c>
      <c r="AF288" s="6" t="s">
        <v>238</v>
      </c>
      <c r="AG288" s="6" t="s">
        <v>246</v>
      </c>
      <c r="AH288" s="5" t="s">
        <v>247</v>
      </c>
      <c r="AI288" s="5" t="s">
        <v>248</v>
      </c>
      <c r="AO288" s="5" t="s">
        <v>238</v>
      </c>
      <c r="AP288" s="5" t="s">
        <v>238</v>
      </c>
      <c r="AQ288" s="5" t="s">
        <v>238</v>
      </c>
      <c r="AR288" s="6" t="s">
        <v>238</v>
      </c>
      <c r="AS288" s="6" t="s">
        <v>238</v>
      </c>
      <c r="AT288" s="6" t="s">
        <v>238</v>
      </c>
      <c r="AW288" s="5" t="s">
        <v>304</v>
      </c>
      <c r="AX288" s="5" t="s">
        <v>304</v>
      </c>
      <c r="AY288" s="5" t="s">
        <v>250</v>
      </c>
      <c r="AZ288" s="5" t="s">
        <v>305</v>
      </c>
      <c r="BA288" s="5" t="s">
        <v>251</v>
      </c>
      <c r="BB288" s="5" t="s">
        <v>238</v>
      </c>
      <c r="BC288" s="5" t="s">
        <v>253</v>
      </c>
      <c r="BD288" s="5" t="s">
        <v>238</v>
      </c>
      <c r="BF288" s="5" t="s">
        <v>238</v>
      </c>
      <c r="BH288" s="5" t="s">
        <v>283</v>
      </c>
      <c r="BI288" s="6" t="s">
        <v>293</v>
      </c>
      <c r="BJ288" s="5" t="s">
        <v>294</v>
      </c>
      <c r="BK288" s="5" t="s">
        <v>294</v>
      </c>
      <c r="BL288" s="5" t="s">
        <v>238</v>
      </c>
      <c r="BM288" s="7">
        <f>0</f>
        <v>0</v>
      </c>
      <c r="BN288" s="8">
        <f>-322002</f>
        <v>-322002</v>
      </c>
      <c r="BO288" s="5" t="s">
        <v>257</v>
      </c>
      <c r="BP288" s="5" t="s">
        <v>258</v>
      </c>
      <c r="BQ288" s="5" t="s">
        <v>238</v>
      </c>
      <c r="BR288" s="5" t="s">
        <v>238</v>
      </c>
      <c r="BS288" s="5" t="s">
        <v>238</v>
      </c>
      <c r="BT288" s="5" t="s">
        <v>238</v>
      </c>
      <c r="CC288" s="5" t="s">
        <v>258</v>
      </c>
      <c r="CD288" s="5" t="s">
        <v>238</v>
      </c>
      <c r="CE288" s="5" t="s">
        <v>238</v>
      </c>
      <c r="CI288" s="5" t="s">
        <v>259</v>
      </c>
      <c r="CJ288" s="5" t="s">
        <v>260</v>
      </c>
      <c r="CK288" s="5" t="s">
        <v>238</v>
      </c>
      <c r="CM288" s="5" t="s">
        <v>291</v>
      </c>
      <c r="CN288" s="6" t="s">
        <v>262</v>
      </c>
      <c r="CO288" s="5" t="s">
        <v>263</v>
      </c>
      <c r="CP288" s="5" t="s">
        <v>264</v>
      </c>
      <c r="CQ288" s="5" t="s">
        <v>285</v>
      </c>
      <c r="CR288" s="5" t="s">
        <v>238</v>
      </c>
      <c r="CS288" s="5">
        <v>6.7000000000000004E-2</v>
      </c>
      <c r="CT288" s="5" t="s">
        <v>265</v>
      </c>
      <c r="CU288" s="5" t="s">
        <v>351</v>
      </c>
      <c r="CV288" s="5" t="s">
        <v>394</v>
      </c>
      <c r="CW288" s="7">
        <f>0</f>
        <v>0</v>
      </c>
      <c r="CX288" s="8">
        <f>4806000</f>
        <v>4806000</v>
      </c>
      <c r="CY288" s="8">
        <f>4161996</f>
        <v>4161996</v>
      </c>
      <c r="DA288" s="5" t="s">
        <v>238</v>
      </c>
      <c r="DB288" s="5" t="s">
        <v>238</v>
      </c>
      <c r="DD288" s="5" t="s">
        <v>238</v>
      </c>
      <c r="DE288" s="8">
        <f>0</f>
        <v>0</v>
      </c>
      <c r="DG288" s="5" t="s">
        <v>238</v>
      </c>
      <c r="DH288" s="5" t="s">
        <v>238</v>
      </c>
      <c r="DI288" s="5" t="s">
        <v>238</v>
      </c>
      <c r="DJ288" s="5" t="s">
        <v>238</v>
      </c>
      <c r="DK288" s="5" t="s">
        <v>272</v>
      </c>
      <c r="DL288" s="5" t="s">
        <v>272</v>
      </c>
      <c r="DM288" s="8" t="s">
        <v>238</v>
      </c>
      <c r="DN288" s="5" t="s">
        <v>238</v>
      </c>
      <c r="DO288" s="5" t="s">
        <v>238</v>
      </c>
      <c r="DP288" s="5" t="s">
        <v>238</v>
      </c>
      <c r="DQ288" s="5" t="s">
        <v>238</v>
      </c>
      <c r="DT288" s="5" t="s">
        <v>659</v>
      </c>
      <c r="DU288" s="5" t="s">
        <v>313</v>
      </c>
      <c r="GL288" s="5" t="s">
        <v>2897</v>
      </c>
      <c r="HM288" s="5" t="s">
        <v>356</v>
      </c>
      <c r="HP288" s="5" t="s">
        <v>272</v>
      </c>
      <c r="HQ288" s="5" t="s">
        <v>272</v>
      </c>
      <c r="HR288" s="5" t="s">
        <v>238</v>
      </c>
      <c r="HS288" s="5" t="s">
        <v>238</v>
      </c>
      <c r="HT288" s="5" t="s">
        <v>238</v>
      </c>
      <c r="HU288" s="5" t="s">
        <v>238</v>
      </c>
      <c r="HV288" s="5" t="s">
        <v>238</v>
      </c>
      <c r="HW288" s="5" t="s">
        <v>238</v>
      </c>
      <c r="HX288" s="5" t="s">
        <v>238</v>
      </c>
      <c r="HY288" s="5" t="s">
        <v>238</v>
      </c>
      <c r="HZ288" s="5" t="s">
        <v>238</v>
      </c>
      <c r="IA288" s="5" t="s">
        <v>238</v>
      </c>
      <c r="IB288" s="5" t="s">
        <v>238</v>
      </c>
      <c r="IC288" s="5" t="s">
        <v>238</v>
      </c>
      <c r="ID288" s="5" t="s">
        <v>238</v>
      </c>
    </row>
    <row r="289" spans="1:238" x14ac:dyDescent="0.4">
      <c r="A289" s="5">
        <v>314</v>
      </c>
      <c r="B289" s="5">
        <v>1</v>
      </c>
      <c r="C289" s="5">
        <v>4</v>
      </c>
      <c r="D289" s="5" t="s">
        <v>654</v>
      </c>
      <c r="E289" s="5" t="s">
        <v>644</v>
      </c>
      <c r="F289" s="5" t="s">
        <v>282</v>
      </c>
      <c r="G289" s="5" t="s">
        <v>349</v>
      </c>
      <c r="H289" s="6" t="s">
        <v>656</v>
      </c>
      <c r="I289" s="5" t="s">
        <v>2892</v>
      </c>
      <c r="J289" s="7">
        <f>0</f>
        <v>0</v>
      </c>
      <c r="K289" s="5" t="s">
        <v>270</v>
      </c>
      <c r="L289" s="8">
        <f>58954320</f>
        <v>58954320</v>
      </c>
      <c r="M289" s="8">
        <f>66390000</f>
        <v>66390000</v>
      </c>
      <c r="N289" s="6" t="s">
        <v>2893</v>
      </c>
      <c r="O289" s="5" t="s">
        <v>611</v>
      </c>
      <c r="P289" s="5" t="s">
        <v>272</v>
      </c>
      <c r="Q289" s="8">
        <f>3717840</f>
        <v>3717840</v>
      </c>
      <c r="R289" s="8">
        <f>7435680</f>
        <v>7435680</v>
      </c>
      <c r="S289" s="5" t="s">
        <v>240</v>
      </c>
      <c r="T289" s="5" t="s">
        <v>287</v>
      </c>
      <c r="U289" s="5" t="s">
        <v>238</v>
      </c>
      <c r="V289" s="5" t="s">
        <v>238</v>
      </c>
      <c r="W289" s="5" t="s">
        <v>241</v>
      </c>
      <c r="X289" s="5" t="s">
        <v>238</v>
      </c>
      <c r="Y289" s="5" t="s">
        <v>238</v>
      </c>
      <c r="AB289" s="5" t="s">
        <v>238</v>
      </c>
      <c r="AC289" s="6" t="s">
        <v>238</v>
      </c>
      <c r="AD289" s="6" t="s">
        <v>238</v>
      </c>
      <c r="AF289" s="6" t="s">
        <v>238</v>
      </c>
      <c r="AG289" s="6" t="s">
        <v>246</v>
      </c>
      <c r="AH289" s="5" t="s">
        <v>247</v>
      </c>
      <c r="AI289" s="5" t="s">
        <v>248</v>
      </c>
      <c r="AO289" s="5" t="s">
        <v>238</v>
      </c>
      <c r="AP289" s="5" t="s">
        <v>238</v>
      </c>
      <c r="AQ289" s="5" t="s">
        <v>238</v>
      </c>
      <c r="AR289" s="6" t="s">
        <v>238</v>
      </c>
      <c r="AS289" s="6" t="s">
        <v>238</v>
      </c>
      <c r="AT289" s="6" t="s">
        <v>238</v>
      </c>
      <c r="AW289" s="5" t="s">
        <v>304</v>
      </c>
      <c r="AX289" s="5" t="s">
        <v>304</v>
      </c>
      <c r="AY289" s="5" t="s">
        <v>250</v>
      </c>
      <c r="AZ289" s="5" t="s">
        <v>305</v>
      </c>
      <c r="BA289" s="5" t="s">
        <v>251</v>
      </c>
      <c r="BB289" s="5" t="s">
        <v>238</v>
      </c>
      <c r="BC289" s="5" t="s">
        <v>253</v>
      </c>
      <c r="BD289" s="5" t="s">
        <v>238</v>
      </c>
      <c r="BF289" s="5" t="s">
        <v>238</v>
      </c>
      <c r="BH289" s="5" t="s">
        <v>283</v>
      </c>
      <c r="BI289" s="6" t="s">
        <v>293</v>
      </c>
      <c r="BJ289" s="5" t="s">
        <v>294</v>
      </c>
      <c r="BK289" s="5" t="s">
        <v>294</v>
      </c>
      <c r="BL289" s="5" t="s">
        <v>238</v>
      </c>
      <c r="BM289" s="7">
        <f>0</f>
        <v>0</v>
      </c>
      <c r="BN289" s="8">
        <f>-3717840</f>
        <v>-3717840</v>
      </c>
      <c r="BO289" s="5" t="s">
        <v>257</v>
      </c>
      <c r="BP289" s="5" t="s">
        <v>258</v>
      </c>
      <c r="BQ289" s="5" t="s">
        <v>238</v>
      </c>
      <c r="BR289" s="5" t="s">
        <v>238</v>
      </c>
      <c r="BS289" s="5" t="s">
        <v>238</v>
      </c>
      <c r="BT289" s="5" t="s">
        <v>238</v>
      </c>
      <c r="CC289" s="5" t="s">
        <v>258</v>
      </c>
      <c r="CD289" s="5" t="s">
        <v>238</v>
      </c>
      <c r="CE289" s="5" t="s">
        <v>238</v>
      </c>
      <c r="CI289" s="5" t="s">
        <v>259</v>
      </c>
      <c r="CJ289" s="5" t="s">
        <v>260</v>
      </c>
      <c r="CK289" s="5" t="s">
        <v>238</v>
      </c>
      <c r="CM289" s="5" t="s">
        <v>408</v>
      </c>
      <c r="CN289" s="6" t="s">
        <v>262</v>
      </c>
      <c r="CO289" s="5" t="s">
        <v>263</v>
      </c>
      <c r="CP289" s="5" t="s">
        <v>264</v>
      </c>
      <c r="CQ289" s="5" t="s">
        <v>285</v>
      </c>
      <c r="CR289" s="5" t="s">
        <v>238</v>
      </c>
      <c r="CS289" s="5">
        <v>5.6000000000000001E-2</v>
      </c>
      <c r="CT289" s="5" t="s">
        <v>265</v>
      </c>
      <c r="CU289" s="5" t="s">
        <v>351</v>
      </c>
      <c r="CV289" s="5" t="s">
        <v>610</v>
      </c>
      <c r="CW289" s="7">
        <f>0</f>
        <v>0</v>
      </c>
      <c r="CX289" s="8">
        <f>66390000</f>
        <v>66390000</v>
      </c>
      <c r="CY289" s="8">
        <f>62672160</f>
        <v>62672160</v>
      </c>
      <c r="DA289" s="5" t="s">
        <v>238</v>
      </c>
      <c r="DB289" s="5" t="s">
        <v>238</v>
      </c>
      <c r="DD289" s="5" t="s">
        <v>238</v>
      </c>
      <c r="DE289" s="8">
        <f>0</f>
        <v>0</v>
      </c>
      <c r="DG289" s="5" t="s">
        <v>238</v>
      </c>
      <c r="DH289" s="5" t="s">
        <v>238</v>
      </c>
      <c r="DI289" s="5" t="s">
        <v>238</v>
      </c>
      <c r="DJ289" s="5" t="s">
        <v>238</v>
      </c>
      <c r="DK289" s="5" t="s">
        <v>272</v>
      </c>
      <c r="DL289" s="5" t="s">
        <v>272</v>
      </c>
      <c r="DM289" s="8" t="s">
        <v>238</v>
      </c>
      <c r="DN289" s="5" t="s">
        <v>238</v>
      </c>
      <c r="DO289" s="5" t="s">
        <v>238</v>
      </c>
      <c r="DP289" s="5" t="s">
        <v>238</v>
      </c>
      <c r="DQ289" s="5" t="s">
        <v>238</v>
      </c>
      <c r="DT289" s="5" t="s">
        <v>659</v>
      </c>
      <c r="DU289" s="5" t="s">
        <v>389</v>
      </c>
      <c r="GL289" s="5" t="s">
        <v>2894</v>
      </c>
      <c r="HM289" s="5" t="s">
        <v>274</v>
      </c>
      <c r="HP289" s="5" t="s">
        <v>272</v>
      </c>
      <c r="HQ289" s="5" t="s">
        <v>272</v>
      </c>
      <c r="HR289" s="5" t="s">
        <v>238</v>
      </c>
      <c r="HS289" s="5" t="s">
        <v>238</v>
      </c>
      <c r="HT289" s="5" t="s">
        <v>238</v>
      </c>
      <c r="HU289" s="5" t="s">
        <v>238</v>
      </c>
      <c r="HV289" s="5" t="s">
        <v>238</v>
      </c>
      <c r="HW289" s="5" t="s">
        <v>238</v>
      </c>
      <c r="HX289" s="5" t="s">
        <v>238</v>
      </c>
      <c r="HY289" s="5" t="s">
        <v>238</v>
      </c>
      <c r="HZ289" s="5" t="s">
        <v>238</v>
      </c>
      <c r="IA289" s="5" t="s">
        <v>238</v>
      </c>
      <c r="IB289" s="5" t="s">
        <v>238</v>
      </c>
      <c r="IC289" s="5" t="s">
        <v>238</v>
      </c>
      <c r="ID289" s="5" t="s">
        <v>238</v>
      </c>
    </row>
    <row r="290" spans="1:238" x14ac:dyDescent="0.4">
      <c r="A290" s="5">
        <v>315</v>
      </c>
      <c r="B290" s="5">
        <v>1</v>
      </c>
      <c r="C290" s="5">
        <v>4</v>
      </c>
      <c r="D290" s="5" t="s">
        <v>643</v>
      </c>
      <c r="E290" s="5" t="s">
        <v>644</v>
      </c>
      <c r="F290" s="5" t="s">
        <v>282</v>
      </c>
      <c r="G290" s="5" t="s">
        <v>668</v>
      </c>
      <c r="H290" s="6" t="s">
        <v>647</v>
      </c>
      <c r="I290" s="5" t="s">
        <v>1280</v>
      </c>
      <c r="J290" s="7">
        <f>824</f>
        <v>824</v>
      </c>
      <c r="K290" s="5" t="s">
        <v>270</v>
      </c>
      <c r="L290" s="8">
        <f>90557600</f>
        <v>90557600</v>
      </c>
      <c r="M290" s="8">
        <f>258736000</f>
        <v>258736000</v>
      </c>
      <c r="N290" s="6" t="s">
        <v>645</v>
      </c>
      <c r="O290" s="5" t="s">
        <v>965</v>
      </c>
      <c r="P290" s="5" t="s">
        <v>651</v>
      </c>
      <c r="Q290" s="8">
        <f>6468400</f>
        <v>6468400</v>
      </c>
      <c r="R290" s="8">
        <f>168178400</f>
        <v>168178400</v>
      </c>
      <c r="S290" s="5" t="s">
        <v>240</v>
      </c>
      <c r="T290" s="5" t="s">
        <v>237</v>
      </c>
      <c r="U290" s="5" t="s">
        <v>238</v>
      </c>
      <c r="V290" s="5" t="s">
        <v>238</v>
      </c>
      <c r="W290" s="5" t="s">
        <v>241</v>
      </c>
      <c r="X290" s="5" t="s">
        <v>337</v>
      </c>
      <c r="Y290" s="5" t="s">
        <v>238</v>
      </c>
      <c r="AB290" s="5" t="s">
        <v>238</v>
      </c>
      <c r="AC290" s="6" t="s">
        <v>238</v>
      </c>
      <c r="AD290" s="6" t="s">
        <v>238</v>
      </c>
      <c r="AF290" s="6" t="s">
        <v>238</v>
      </c>
      <c r="AG290" s="6" t="s">
        <v>246</v>
      </c>
      <c r="AH290" s="5" t="s">
        <v>247</v>
      </c>
      <c r="AI290" s="5" t="s">
        <v>248</v>
      </c>
      <c r="AO290" s="5" t="s">
        <v>238</v>
      </c>
      <c r="AP290" s="5" t="s">
        <v>238</v>
      </c>
      <c r="AQ290" s="5" t="s">
        <v>238</v>
      </c>
      <c r="AR290" s="6" t="s">
        <v>238</v>
      </c>
      <c r="AS290" s="6" t="s">
        <v>238</v>
      </c>
      <c r="AT290" s="6" t="s">
        <v>238</v>
      </c>
      <c r="AW290" s="5" t="s">
        <v>304</v>
      </c>
      <c r="AX290" s="5" t="s">
        <v>304</v>
      </c>
      <c r="AY290" s="5" t="s">
        <v>250</v>
      </c>
      <c r="AZ290" s="5" t="s">
        <v>305</v>
      </c>
      <c r="BA290" s="5" t="s">
        <v>251</v>
      </c>
      <c r="BB290" s="5" t="s">
        <v>238</v>
      </c>
      <c r="BC290" s="5" t="s">
        <v>253</v>
      </c>
      <c r="BD290" s="5" t="s">
        <v>238</v>
      </c>
      <c r="BF290" s="5" t="s">
        <v>238</v>
      </c>
      <c r="BH290" s="5" t="s">
        <v>283</v>
      </c>
      <c r="BI290" s="6" t="s">
        <v>293</v>
      </c>
      <c r="BJ290" s="5" t="s">
        <v>294</v>
      </c>
      <c r="BK290" s="5" t="s">
        <v>294</v>
      </c>
      <c r="BL290" s="5" t="s">
        <v>238</v>
      </c>
      <c r="BM290" s="7">
        <f>0</f>
        <v>0</v>
      </c>
      <c r="BN290" s="8">
        <f>-6468400</f>
        <v>-6468400</v>
      </c>
      <c r="BO290" s="5" t="s">
        <v>257</v>
      </c>
      <c r="BP290" s="5" t="s">
        <v>258</v>
      </c>
      <c r="BQ290" s="5" t="s">
        <v>238</v>
      </c>
      <c r="BR290" s="5" t="s">
        <v>238</v>
      </c>
      <c r="BS290" s="5" t="s">
        <v>238</v>
      </c>
      <c r="BT290" s="5" t="s">
        <v>238</v>
      </c>
      <c r="CC290" s="5" t="s">
        <v>258</v>
      </c>
      <c r="CD290" s="5" t="s">
        <v>238</v>
      </c>
      <c r="CE290" s="5" t="s">
        <v>238</v>
      </c>
      <c r="CI290" s="5" t="s">
        <v>259</v>
      </c>
      <c r="CJ290" s="5" t="s">
        <v>260</v>
      </c>
      <c r="CK290" s="5" t="s">
        <v>238</v>
      </c>
      <c r="CM290" s="5" t="s">
        <v>648</v>
      </c>
      <c r="CN290" s="6" t="s">
        <v>262</v>
      </c>
      <c r="CO290" s="5" t="s">
        <v>263</v>
      </c>
      <c r="CP290" s="5" t="s">
        <v>264</v>
      </c>
      <c r="CQ290" s="5" t="s">
        <v>285</v>
      </c>
      <c r="CR290" s="5" t="s">
        <v>238</v>
      </c>
      <c r="CS290" s="5">
        <v>2.5000000000000001E-2</v>
      </c>
      <c r="CT290" s="5" t="s">
        <v>265</v>
      </c>
      <c r="CU290" s="5" t="s">
        <v>1266</v>
      </c>
      <c r="CV290" s="5" t="s">
        <v>308</v>
      </c>
      <c r="CW290" s="7">
        <f>0</f>
        <v>0</v>
      </c>
      <c r="CX290" s="8">
        <f>258736000</f>
        <v>258736000</v>
      </c>
      <c r="CY290" s="8">
        <f>97026000</f>
        <v>97026000</v>
      </c>
      <c r="DA290" s="5" t="s">
        <v>238</v>
      </c>
      <c r="DB290" s="5" t="s">
        <v>238</v>
      </c>
      <c r="DD290" s="5" t="s">
        <v>238</v>
      </c>
      <c r="DE290" s="8">
        <f>0</f>
        <v>0</v>
      </c>
      <c r="DG290" s="5" t="s">
        <v>238</v>
      </c>
      <c r="DH290" s="5" t="s">
        <v>238</v>
      </c>
      <c r="DI290" s="5" t="s">
        <v>238</v>
      </c>
      <c r="DJ290" s="5" t="s">
        <v>238</v>
      </c>
      <c r="DK290" s="5" t="s">
        <v>274</v>
      </c>
      <c r="DL290" s="5" t="s">
        <v>272</v>
      </c>
      <c r="DM290" s="7">
        <f>824</f>
        <v>824</v>
      </c>
      <c r="DN290" s="5" t="s">
        <v>238</v>
      </c>
      <c r="DO290" s="5" t="s">
        <v>238</v>
      </c>
      <c r="DP290" s="5" t="s">
        <v>238</v>
      </c>
      <c r="DQ290" s="5" t="s">
        <v>238</v>
      </c>
      <c r="DT290" s="5" t="s">
        <v>652</v>
      </c>
      <c r="DU290" s="5" t="s">
        <v>271</v>
      </c>
      <c r="GL290" s="5" t="s">
        <v>1289</v>
      </c>
      <c r="HM290" s="5" t="s">
        <v>313</v>
      </c>
      <c r="HP290" s="5" t="s">
        <v>272</v>
      </c>
      <c r="HQ290" s="5" t="s">
        <v>272</v>
      </c>
      <c r="HR290" s="5" t="s">
        <v>238</v>
      </c>
      <c r="HS290" s="5" t="s">
        <v>238</v>
      </c>
      <c r="HT290" s="5" t="s">
        <v>238</v>
      </c>
      <c r="HU290" s="5" t="s">
        <v>238</v>
      </c>
      <c r="HV290" s="5" t="s">
        <v>238</v>
      </c>
      <c r="HW290" s="5" t="s">
        <v>238</v>
      </c>
      <c r="HX290" s="5" t="s">
        <v>238</v>
      </c>
      <c r="HY290" s="5" t="s">
        <v>238</v>
      </c>
      <c r="HZ290" s="5" t="s">
        <v>238</v>
      </c>
      <c r="IA290" s="5" t="s">
        <v>238</v>
      </c>
      <c r="IB290" s="5" t="s">
        <v>238</v>
      </c>
      <c r="IC290" s="5" t="s">
        <v>238</v>
      </c>
      <c r="ID290" s="5" t="s">
        <v>238</v>
      </c>
    </row>
    <row r="291" spans="1:238" x14ac:dyDescent="0.4">
      <c r="A291" s="5">
        <v>316</v>
      </c>
      <c r="B291" s="5">
        <v>1</v>
      </c>
      <c r="C291" s="5">
        <v>4</v>
      </c>
      <c r="D291" s="5" t="s">
        <v>643</v>
      </c>
      <c r="E291" s="5" t="s">
        <v>644</v>
      </c>
      <c r="F291" s="5" t="s">
        <v>282</v>
      </c>
      <c r="G291" s="5" t="s">
        <v>646</v>
      </c>
      <c r="H291" s="6" t="s">
        <v>647</v>
      </c>
      <c r="I291" s="5" t="s">
        <v>239</v>
      </c>
      <c r="J291" s="7">
        <f>5</f>
        <v>5</v>
      </c>
      <c r="K291" s="5" t="s">
        <v>270</v>
      </c>
      <c r="L291" s="8">
        <f>67450</f>
        <v>67450</v>
      </c>
      <c r="M291" s="8">
        <f>475000</f>
        <v>475000</v>
      </c>
      <c r="N291" s="6" t="s">
        <v>645</v>
      </c>
      <c r="O291" s="5" t="s">
        <v>650</v>
      </c>
      <c r="P291" s="5" t="s">
        <v>651</v>
      </c>
      <c r="Q291" s="8">
        <f>15675</f>
        <v>15675</v>
      </c>
      <c r="R291" s="8">
        <f>407550</f>
        <v>407550</v>
      </c>
      <c r="S291" s="5" t="s">
        <v>240</v>
      </c>
      <c r="T291" s="5" t="s">
        <v>237</v>
      </c>
      <c r="U291" s="5" t="s">
        <v>238</v>
      </c>
      <c r="V291" s="5" t="s">
        <v>238</v>
      </c>
      <c r="W291" s="5" t="s">
        <v>241</v>
      </c>
      <c r="X291" s="5" t="s">
        <v>337</v>
      </c>
      <c r="Y291" s="5" t="s">
        <v>238</v>
      </c>
      <c r="AB291" s="5" t="s">
        <v>238</v>
      </c>
      <c r="AC291" s="6" t="s">
        <v>238</v>
      </c>
      <c r="AD291" s="6" t="s">
        <v>238</v>
      </c>
      <c r="AF291" s="6" t="s">
        <v>238</v>
      </c>
      <c r="AG291" s="6" t="s">
        <v>246</v>
      </c>
      <c r="AH291" s="5" t="s">
        <v>247</v>
      </c>
      <c r="AI291" s="5" t="s">
        <v>248</v>
      </c>
      <c r="AO291" s="5" t="s">
        <v>238</v>
      </c>
      <c r="AP291" s="5" t="s">
        <v>238</v>
      </c>
      <c r="AQ291" s="5" t="s">
        <v>238</v>
      </c>
      <c r="AR291" s="6" t="s">
        <v>238</v>
      </c>
      <c r="AS291" s="6" t="s">
        <v>238</v>
      </c>
      <c r="AT291" s="6" t="s">
        <v>238</v>
      </c>
      <c r="AW291" s="5" t="s">
        <v>304</v>
      </c>
      <c r="AX291" s="5" t="s">
        <v>304</v>
      </c>
      <c r="AY291" s="5" t="s">
        <v>250</v>
      </c>
      <c r="AZ291" s="5" t="s">
        <v>305</v>
      </c>
      <c r="BA291" s="5" t="s">
        <v>251</v>
      </c>
      <c r="BB291" s="5" t="s">
        <v>238</v>
      </c>
      <c r="BC291" s="5" t="s">
        <v>253</v>
      </c>
      <c r="BD291" s="5" t="s">
        <v>238</v>
      </c>
      <c r="BF291" s="5" t="s">
        <v>238</v>
      </c>
      <c r="BH291" s="5" t="s">
        <v>283</v>
      </c>
      <c r="BI291" s="6" t="s">
        <v>293</v>
      </c>
      <c r="BJ291" s="5" t="s">
        <v>294</v>
      </c>
      <c r="BK291" s="5" t="s">
        <v>294</v>
      </c>
      <c r="BL291" s="5" t="s">
        <v>238</v>
      </c>
      <c r="BM291" s="7">
        <f>0</f>
        <v>0</v>
      </c>
      <c r="BN291" s="8">
        <f>-15675</f>
        <v>-15675</v>
      </c>
      <c r="BO291" s="5" t="s">
        <v>257</v>
      </c>
      <c r="BP291" s="5" t="s">
        <v>258</v>
      </c>
      <c r="BQ291" s="5" t="s">
        <v>238</v>
      </c>
      <c r="BR291" s="5" t="s">
        <v>238</v>
      </c>
      <c r="BS291" s="5" t="s">
        <v>238</v>
      </c>
      <c r="BT291" s="5" t="s">
        <v>238</v>
      </c>
      <c r="CC291" s="5" t="s">
        <v>258</v>
      </c>
      <c r="CD291" s="5" t="s">
        <v>238</v>
      </c>
      <c r="CE291" s="5" t="s">
        <v>238</v>
      </c>
      <c r="CI291" s="5" t="s">
        <v>259</v>
      </c>
      <c r="CJ291" s="5" t="s">
        <v>260</v>
      </c>
      <c r="CK291" s="5" t="s">
        <v>238</v>
      </c>
      <c r="CM291" s="5" t="s">
        <v>648</v>
      </c>
      <c r="CN291" s="6" t="s">
        <v>262</v>
      </c>
      <c r="CO291" s="5" t="s">
        <v>263</v>
      </c>
      <c r="CP291" s="5" t="s">
        <v>264</v>
      </c>
      <c r="CQ291" s="5" t="s">
        <v>285</v>
      </c>
      <c r="CR291" s="5" t="s">
        <v>238</v>
      </c>
      <c r="CS291" s="5">
        <v>3.3000000000000002E-2</v>
      </c>
      <c r="CT291" s="5" t="s">
        <v>265</v>
      </c>
      <c r="CU291" s="5" t="s">
        <v>266</v>
      </c>
      <c r="CV291" s="5" t="s">
        <v>649</v>
      </c>
      <c r="CW291" s="7">
        <f>0</f>
        <v>0</v>
      </c>
      <c r="CX291" s="8">
        <f>475000</f>
        <v>475000</v>
      </c>
      <c r="CY291" s="8">
        <f>83125</f>
        <v>83125</v>
      </c>
      <c r="DA291" s="5" t="s">
        <v>238</v>
      </c>
      <c r="DB291" s="5" t="s">
        <v>238</v>
      </c>
      <c r="DD291" s="5" t="s">
        <v>238</v>
      </c>
      <c r="DE291" s="8">
        <f>0</f>
        <v>0</v>
      </c>
      <c r="DG291" s="5" t="s">
        <v>238</v>
      </c>
      <c r="DH291" s="5" t="s">
        <v>238</v>
      </c>
      <c r="DI291" s="5" t="s">
        <v>238</v>
      </c>
      <c r="DJ291" s="5" t="s">
        <v>238</v>
      </c>
      <c r="DK291" s="5" t="s">
        <v>271</v>
      </c>
      <c r="DL291" s="5" t="s">
        <v>272</v>
      </c>
      <c r="DM291" s="7">
        <f>5</f>
        <v>5</v>
      </c>
      <c r="DN291" s="5" t="s">
        <v>238</v>
      </c>
      <c r="DO291" s="5" t="s">
        <v>238</v>
      </c>
      <c r="DP291" s="5" t="s">
        <v>238</v>
      </c>
      <c r="DQ291" s="5" t="s">
        <v>238</v>
      </c>
      <c r="DT291" s="5" t="s">
        <v>652</v>
      </c>
      <c r="DU291" s="5" t="s">
        <v>274</v>
      </c>
      <c r="GL291" s="5" t="s">
        <v>653</v>
      </c>
      <c r="HM291" s="5" t="s">
        <v>313</v>
      </c>
      <c r="HP291" s="5" t="s">
        <v>272</v>
      </c>
      <c r="HQ291" s="5" t="s">
        <v>272</v>
      </c>
      <c r="HR291" s="5" t="s">
        <v>238</v>
      </c>
      <c r="HS291" s="5" t="s">
        <v>238</v>
      </c>
      <c r="HT291" s="5" t="s">
        <v>238</v>
      </c>
      <c r="HU291" s="5" t="s">
        <v>238</v>
      </c>
      <c r="HV291" s="5" t="s">
        <v>238</v>
      </c>
      <c r="HW291" s="5" t="s">
        <v>238</v>
      </c>
      <c r="HX291" s="5" t="s">
        <v>238</v>
      </c>
      <c r="HY291" s="5" t="s">
        <v>238</v>
      </c>
      <c r="HZ291" s="5" t="s">
        <v>238</v>
      </c>
      <c r="IA291" s="5" t="s">
        <v>238</v>
      </c>
      <c r="IB291" s="5" t="s">
        <v>238</v>
      </c>
      <c r="IC291" s="5" t="s">
        <v>238</v>
      </c>
      <c r="ID291" s="5" t="s">
        <v>238</v>
      </c>
    </row>
    <row r="292" spans="1:238" x14ac:dyDescent="0.4">
      <c r="A292" s="5">
        <v>318</v>
      </c>
      <c r="B292" s="5">
        <v>1</v>
      </c>
      <c r="C292" s="5">
        <v>4</v>
      </c>
      <c r="D292" s="5" t="s">
        <v>643</v>
      </c>
      <c r="E292" s="5" t="s">
        <v>644</v>
      </c>
      <c r="F292" s="5" t="s">
        <v>282</v>
      </c>
      <c r="G292" s="5" t="s">
        <v>1185</v>
      </c>
      <c r="H292" s="6" t="s">
        <v>647</v>
      </c>
      <c r="I292" s="5" t="s">
        <v>1181</v>
      </c>
      <c r="J292" s="7">
        <f>39.74</f>
        <v>39.74</v>
      </c>
      <c r="K292" s="5" t="s">
        <v>270</v>
      </c>
      <c r="L292" s="8">
        <f>4354920</f>
        <v>4354920</v>
      </c>
      <c r="M292" s="8">
        <f>6741360</f>
        <v>6741360</v>
      </c>
      <c r="N292" s="6" t="s">
        <v>368</v>
      </c>
      <c r="O292" s="5" t="s">
        <v>631</v>
      </c>
      <c r="P292" s="5" t="s">
        <v>310</v>
      </c>
      <c r="Q292" s="8">
        <f>397740</f>
        <v>397740</v>
      </c>
      <c r="R292" s="8">
        <f>2386440</f>
        <v>2386440</v>
      </c>
      <c r="S292" s="5" t="s">
        <v>240</v>
      </c>
      <c r="T292" s="5" t="s">
        <v>237</v>
      </c>
      <c r="U292" s="5" t="s">
        <v>238</v>
      </c>
      <c r="V292" s="5" t="s">
        <v>238</v>
      </c>
      <c r="W292" s="5" t="s">
        <v>241</v>
      </c>
      <c r="X292" s="5" t="s">
        <v>337</v>
      </c>
      <c r="Y292" s="5" t="s">
        <v>238</v>
      </c>
      <c r="AB292" s="5" t="s">
        <v>238</v>
      </c>
      <c r="AC292" s="6" t="s">
        <v>238</v>
      </c>
      <c r="AD292" s="6" t="s">
        <v>238</v>
      </c>
      <c r="AF292" s="6" t="s">
        <v>238</v>
      </c>
      <c r="AG292" s="6" t="s">
        <v>246</v>
      </c>
      <c r="AH292" s="5" t="s">
        <v>247</v>
      </c>
      <c r="AI292" s="5" t="s">
        <v>248</v>
      </c>
      <c r="AO292" s="5" t="s">
        <v>238</v>
      </c>
      <c r="AP292" s="5" t="s">
        <v>238</v>
      </c>
      <c r="AQ292" s="5" t="s">
        <v>238</v>
      </c>
      <c r="AR292" s="6" t="s">
        <v>238</v>
      </c>
      <c r="AS292" s="6" t="s">
        <v>238</v>
      </c>
      <c r="AT292" s="6" t="s">
        <v>238</v>
      </c>
      <c r="AW292" s="5" t="s">
        <v>304</v>
      </c>
      <c r="AX292" s="5" t="s">
        <v>304</v>
      </c>
      <c r="AY292" s="5" t="s">
        <v>250</v>
      </c>
      <c r="AZ292" s="5" t="s">
        <v>305</v>
      </c>
      <c r="BA292" s="5" t="s">
        <v>251</v>
      </c>
      <c r="BB292" s="5" t="s">
        <v>238</v>
      </c>
      <c r="BC292" s="5" t="s">
        <v>253</v>
      </c>
      <c r="BD292" s="5" t="s">
        <v>238</v>
      </c>
      <c r="BF292" s="5" t="s">
        <v>238</v>
      </c>
      <c r="BH292" s="5" t="s">
        <v>283</v>
      </c>
      <c r="BI292" s="6" t="s">
        <v>293</v>
      </c>
      <c r="BJ292" s="5" t="s">
        <v>294</v>
      </c>
      <c r="BK292" s="5" t="s">
        <v>294</v>
      </c>
      <c r="BL292" s="5" t="s">
        <v>238</v>
      </c>
      <c r="BM292" s="7">
        <f>0</f>
        <v>0</v>
      </c>
      <c r="BN292" s="8">
        <f>-397740</f>
        <v>-397740</v>
      </c>
      <c r="BO292" s="5" t="s">
        <v>257</v>
      </c>
      <c r="BP292" s="5" t="s">
        <v>258</v>
      </c>
      <c r="BQ292" s="5" t="s">
        <v>238</v>
      </c>
      <c r="BR292" s="5" t="s">
        <v>238</v>
      </c>
      <c r="BS292" s="5" t="s">
        <v>238</v>
      </c>
      <c r="BT292" s="5" t="s">
        <v>238</v>
      </c>
      <c r="CC292" s="5" t="s">
        <v>258</v>
      </c>
      <c r="CD292" s="5" t="s">
        <v>238</v>
      </c>
      <c r="CE292" s="5" t="s">
        <v>238</v>
      </c>
      <c r="CI292" s="5" t="s">
        <v>259</v>
      </c>
      <c r="CJ292" s="5" t="s">
        <v>260</v>
      </c>
      <c r="CK292" s="5" t="s">
        <v>238</v>
      </c>
      <c r="CM292" s="5" t="s">
        <v>1202</v>
      </c>
      <c r="CN292" s="6" t="s">
        <v>262</v>
      </c>
      <c r="CO292" s="5" t="s">
        <v>263</v>
      </c>
      <c r="CP292" s="5" t="s">
        <v>264</v>
      </c>
      <c r="CQ292" s="5" t="s">
        <v>285</v>
      </c>
      <c r="CR292" s="5" t="s">
        <v>238</v>
      </c>
      <c r="CS292" s="5">
        <v>5.8999999999999997E-2</v>
      </c>
      <c r="CT292" s="5" t="s">
        <v>265</v>
      </c>
      <c r="CU292" s="5" t="s">
        <v>1187</v>
      </c>
      <c r="CV292" s="5" t="s">
        <v>267</v>
      </c>
      <c r="CW292" s="7">
        <f>0</f>
        <v>0</v>
      </c>
      <c r="CX292" s="8">
        <f>6741360</f>
        <v>6741360</v>
      </c>
      <c r="CY292" s="8">
        <f>4752660</f>
        <v>4752660</v>
      </c>
      <c r="DA292" s="5" t="s">
        <v>238</v>
      </c>
      <c r="DB292" s="5" t="s">
        <v>238</v>
      </c>
      <c r="DD292" s="5" t="s">
        <v>238</v>
      </c>
      <c r="DE292" s="8">
        <f>0</f>
        <v>0</v>
      </c>
      <c r="DG292" s="5" t="s">
        <v>238</v>
      </c>
      <c r="DH292" s="5" t="s">
        <v>238</v>
      </c>
      <c r="DI292" s="5" t="s">
        <v>238</v>
      </c>
      <c r="DJ292" s="5" t="s">
        <v>238</v>
      </c>
      <c r="DK292" s="5" t="s">
        <v>271</v>
      </c>
      <c r="DL292" s="5" t="s">
        <v>272</v>
      </c>
      <c r="DM292" s="7">
        <f>39.74</f>
        <v>39.74</v>
      </c>
      <c r="DN292" s="5" t="s">
        <v>238</v>
      </c>
      <c r="DO292" s="5" t="s">
        <v>238</v>
      </c>
      <c r="DP292" s="5" t="s">
        <v>238</v>
      </c>
      <c r="DQ292" s="5" t="s">
        <v>238</v>
      </c>
      <c r="DT292" s="5" t="s">
        <v>652</v>
      </c>
      <c r="DU292" s="5" t="s">
        <v>310</v>
      </c>
      <c r="GL292" s="5" t="s">
        <v>1203</v>
      </c>
      <c r="HM292" s="5" t="s">
        <v>313</v>
      </c>
      <c r="HP292" s="5" t="s">
        <v>272</v>
      </c>
      <c r="HQ292" s="5" t="s">
        <v>272</v>
      </c>
      <c r="HR292" s="5" t="s">
        <v>238</v>
      </c>
      <c r="HS292" s="5" t="s">
        <v>238</v>
      </c>
      <c r="HT292" s="5" t="s">
        <v>238</v>
      </c>
      <c r="HU292" s="5" t="s">
        <v>238</v>
      </c>
      <c r="HV292" s="5" t="s">
        <v>238</v>
      </c>
      <c r="HW292" s="5" t="s">
        <v>238</v>
      </c>
      <c r="HX292" s="5" t="s">
        <v>238</v>
      </c>
      <c r="HY292" s="5" t="s">
        <v>238</v>
      </c>
      <c r="HZ292" s="5" t="s">
        <v>238</v>
      </c>
      <c r="IA292" s="5" t="s">
        <v>238</v>
      </c>
      <c r="IB292" s="5" t="s">
        <v>238</v>
      </c>
      <c r="IC292" s="5" t="s">
        <v>238</v>
      </c>
      <c r="ID292" s="5" t="s">
        <v>238</v>
      </c>
    </row>
    <row r="293" spans="1:238" x14ac:dyDescent="0.4">
      <c r="A293" s="5">
        <v>319</v>
      </c>
      <c r="B293" s="5">
        <v>1</v>
      </c>
      <c r="C293" s="5">
        <v>4</v>
      </c>
      <c r="D293" s="5" t="s">
        <v>643</v>
      </c>
      <c r="E293" s="5" t="s">
        <v>644</v>
      </c>
      <c r="F293" s="5" t="s">
        <v>282</v>
      </c>
      <c r="G293" s="5" t="s">
        <v>349</v>
      </c>
      <c r="H293" s="6" t="s">
        <v>647</v>
      </c>
      <c r="I293" s="5" t="s">
        <v>2889</v>
      </c>
      <c r="J293" s="7">
        <f>0</f>
        <v>0</v>
      </c>
      <c r="K293" s="5" t="s">
        <v>270</v>
      </c>
      <c r="L293" s="8">
        <f>11439792</f>
        <v>11439792</v>
      </c>
      <c r="M293" s="8">
        <f>14742000</f>
        <v>14742000</v>
      </c>
      <c r="N293" s="6" t="s">
        <v>401</v>
      </c>
      <c r="O293" s="5" t="s">
        <v>611</v>
      </c>
      <c r="P293" s="5" t="s">
        <v>274</v>
      </c>
      <c r="Q293" s="8">
        <f>825552</f>
        <v>825552</v>
      </c>
      <c r="R293" s="8">
        <f>3302208</f>
        <v>3302208</v>
      </c>
      <c r="S293" s="5" t="s">
        <v>240</v>
      </c>
      <c r="T293" s="5" t="s">
        <v>287</v>
      </c>
      <c r="U293" s="5" t="s">
        <v>238</v>
      </c>
      <c r="V293" s="5" t="s">
        <v>238</v>
      </c>
      <c r="W293" s="5" t="s">
        <v>241</v>
      </c>
      <c r="X293" s="5" t="s">
        <v>238</v>
      </c>
      <c r="Y293" s="5" t="s">
        <v>238</v>
      </c>
      <c r="AB293" s="5" t="s">
        <v>238</v>
      </c>
      <c r="AC293" s="6" t="s">
        <v>238</v>
      </c>
      <c r="AD293" s="6" t="s">
        <v>238</v>
      </c>
      <c r="AF293" s="6" t="s">
        <v>238</v>
      </c>
      <c r="AG293" s="6" t="s">
        <v>246</v>
      </c>
      <c r="AH293" s="5" t="s">
        <v>247</v>
      </c>
      <c r="AI293" s="5" t="s">
        <v>248</v>
      </c>
      <c r="AO293" s="5" t="s">
        <v>238</v>
      </c>
      <c r="AP293" s="5" t="s">
        <v>238</v>
      </c>
      <c r="AQ293" s="5" t="s">
        <v>238</v>
      </c>
      <c r="AR293" s="6" t="s">
        <v>238</v>
      </c>
      <c r="AS293" s="6" t="s">
        <v>238</v>
      </c>
      <c r="AT293" s="6" t="s">
        <v>238</v>
      </c>
      <c r="AW293" s="5" t="s">
        <v>304</v>
      </c>
      <c r="AX293" s="5" t="s">
        <v>304</v>
      </c>
      <c r="AY293" s="5" t="s">
        <v>250</v>
      </c>
      <c r="AZ293" s="5" t="s">
        <v>305</v>
      </c>
      <c r="BA293" s="5" t="s">
        <v>251</v>
      </c>
      <c r="BB293" s="5" t="s">
        <v>238</v>
      </c>
      <c r="BC293" s="5" t="s">
        <v>253</v>
      </c>
      <c r="BD293" s="5" t="s">
        <v>238</v>
      </c>
      <c r="BF293" s="5" t="s">
        <v>238</v>
      </c>
      <c r="BH293" s="5" t="s">
        <v>283</v>
      </c>
      <c r="BI293" s="6" t="s">
        <v>293</v>
      </c>
      <c r="BJ293" s="5" t="s">
        <v>294</v>
      </c>
      <c r="BK293" s="5" t="s">
        <v>294</v>
      </c>
      <c r="BL293" s="5" t="s">
        <v>238</v>
      </c>
      <c r="BM293" s="7">
        <f>0</f>
        <v>0</v>
      </c>
      <c r="BN293" s="8">
        <f>-825552</f>
        <v>-825552</v>
      </c>
      <c r="BO293" s="5" t="s">
        <v>257</v>
      </c>
      <c r="BP293" s="5" t="s">
        <v>258</v>
      </c>
      <c r="BQ293" s="5" t="s">
        <v>238</v>
      </c>
      <c r="BR293" s="5" t="s">
        <v>238</v>
      </c>
      <c r="BS293" s="5" t="s">
        <v>238</v>
      </c>
      <c r="BT293" s="5" t="s">
        <v>238</v>
      </c>
      <c r="CC293" s="5" t="s">
        <v>258</v>
      </c>
      <c r="CD293" s="5" t="s">
        <v>238</v>
      </c>
      <c r="CE293" s="5" t="s">
        <v>238</v>
      </c>
      <c r="CI293" s="5" t="s">
        <v>259</v>
      </c>
      <c r="CJ293" s="5" t="s">
        <v>260</v>
      </c>
      <c r="CK293" s="5" t="s">
        <v>238</v>
      </c>
      <c r="CM293" s="5" t="s">
        <v>402</v>
      </c>
      <c r="CN293" s="6" t="s">
        <v>262</v>
      </c>
      <c r="CO293" s="5" t="s">
        <v>263</v>
      </c>
      <c r="CP293" s="5" t="s">
        <v>264</v>
      </c>
      <c r="CQ293" s="5" t="s">
        <v>285</v>
      </c>
      <c r="CR293" s="5" t="s">
        <v>238</v>
      </c>
      <c r="CS293" s="5">
        <v>5.6000000000000001E-2</v>
      </c>
      <c r="CT293" s="5" t="s">
        <v>265</v>
      </c>
      <c r="CU293" s="5" t="s">
        <v>351</v>
      </c>
      <c r="CV293" s="5" t="s">
        <v>2890</v>
      </c>
      <c r="CW293" s="7">
        <f>0</f>
        <v>0</v>
      </c>
      <c r="CX293" s="8">
        <f>14742000</f>
        <v>14742000</v>
      </c>
      <c r="CY293" s="8">
        <f>12265344</f>
        <v>12265344</v>
      </c>
      <c r="DA293" s="5" t="s">
        <v>238</v>
      </c>
      <c r="DB293" s="5" t="s">
        <v>238</v>
      </c>
      <c r="DD293" s="5" t="s">
        <v>238</v>
      </c>
      <c r="DE293" s="8">
        <f>0</f>
        <v>0</v>
      </c>
      <c r="DG293" s="5" t="s">
        <v>238</v>
      </c>
      <c r="DH293" s="5" t="s">
        <v>238</v>
      </c>
      <c r="DI293" s="5" t="s">
        <v>238</v>
      </c>
      <c r="DJ293" s="5" t="s">
        <v>238</v>
      </c>
      <c r="DK293" s="5" t="s">
        <v>272</v>
      </c>
      <c r="DL293" s="5" t="s">
        <v>272</v>
      </c>
      <c r="DM293" s="8" t="s">
        <v>238</v>
      </c>
      <c r="DN293" s="5" t="s">
        <v>238</v>
      </c>
      <c r="DO293" s="5" t="s">
        <v>238</v>
      </c>
      <c r="DP293" s="5" t="s">
        <v>238</v>
      </c>
      <c r="DQ293" s="5" t="s">
        <v>238</v>
      </c>
      <c r="DT293" s="5" t="s">
        <v>652</v>
      </c>
      <c r="DU293" s="5" t="s">
        <v>379</v>
      </c>
      <c r="GL293" s="5" t="s">
        <v>2891</v>
      </c>
      <c r="HM293" s="5" t="s">
        <v>310</v>
      </c>
      <c r="HP293" s="5" t="s">
        <v>272</v>
      </c>
      <c r="HQ293" s="5" t="s">
        <v>272</v>
      </c>
      <c r="HR293" s="5" t="s">
        <v>238</v>
      </c>
      <c r="HS293" s="5" t="s">
        <v>238</v>
      </c>
      <c r="HT293" s="5" t="s">
        <v>238</v>
      </c>
      <c r="HU293" s="5" t="s">
        <v>238</v>
      </c>
      <c r="HV293" s="5" t="s">
        <v>238</v>
      </c>
      <c r="HW293" s="5" t="s">
        <v>238</v>
      </c>
      <c r="HX293" s="5" t="s">
        <v>238</v>
      </c>
      <c r="HY293" s="5" t="s">
        <v>238</v>
      </c>
      <c r="HZ293" s="5" t="s">
        <v>238</v>
      </c>
      <c r="IA293" s="5" t="s">
        <v>238</v>
      </c>
      <c r="IB293" s="5" t="s">
        <v>238</v>
      </c>
      <c r="IC293" s="5" t="s">
        <v>238</v>
      </c>
      <c r="ID293" s="5" t="s">
        <v>238</v>
      </c>
    </row>
    <row r="294" spans="1:238" x14ac:dyDescent="0.4">
      <c r="A294" s="5">
        <v>320</v>
      </c>
      <c r="B294" s="5">
        <v>1</v>
      </c>
      <c r="C294" s="5">
        <v>4</v>
      </c>
      <c r="D294" s="5" t="s">
        <v>643</v>
      </c>
      <c r="E294" s="5" t="s">
        <v>644</v>
      </c>
      <c r="F294" s="5" t="s">
        <v>282</v>
      </c>
      <c r="G294" s="5" t="s">
        <v>349</v>
      </c>
      <c r="H294" s="6" t="s">
        <v>647</v>
      </c>
      <c r="I294" s="5" t="s">
        <v>2887</v>
      </c>
      <c r="J294" s="7">
        <f>0</f>
        <v>0</v>
      </c>
      <c r="K294" s="5" t="s">
        <v>270</v>
      </c>
      <c r="L294" s="8">
        <f>470840</f>
        <v>470840</v>
      </c>
      <c r="M294" s="8">
        <f>680400</f>
        <v>680400</v>
      </c>
      <c r="N294" s="6" t="s">
        <v>2866</v>
      </c>
      <c r="O294" s="5" t="s">
        <v>319</v>
      </c>
      <c r="P294" s="5" t="s">
        <v>274</v>
      </c>
      <c r="Q294" s="8">
        <f>52390</f>
        <v>52390</v>
      </c>
      <c r="R294" s="8">
        <f>209560</f>
        <v>209560</v>
      </c>
      <c r="S294" s="5" t="s">
        <v>240</v>
      </c>
      <c r="T294" s="5" t="s">
        <v>287</v>
      </c>
      <c r="U294" s="5" t="s">
        <v>238</v>
      </c>
      <c r="V294" s="5" t="s">
        <v>238</v>
      </c>
      <c r="W294" s="5" t="s">
        <v>241</v>
      </c>
      <c r="X294" s="5" t="s">
        <v>238</v>
      </c>
      <c r="Y294" s="5" t="s">
        <v>238</v>
      </c>
      <c r="AB294" s="5" t="s">
        <v>238</v>
      </c>
      <c r="AC294" s="6" t="s">
        <v>238</v>
      </c>
      <c r="AD294" s="6" t="s">
        <v>238</v>
      </c>
      <c r="AF294" s="6" t="s">
        <v>238</v>
      </c>
      <c r="AG294" s="6" t="s">
        <v>246</v>
      </c>
      <c r="AH294" s="5" t="s">
        <v>247</v>
      </c>
      <c r="AI294" s="5" t="s">
        <v>248</v>
      </c>
      <c r="AO294" s="5" t="s">
        <v>238</v>
      </c>
      <c r="AP294" s="5" t="s">
        <v>238</v>
      </c>
      <c r="AQ294" s="5" t="s">
        <v>238</v>
      </c>
      <c r="AR294" s="6" t="s">
        <v>238</v>
      </c>
      <c r="AS294" s="6" t="s">
        <v>238</v>
      </c>
      <c r="AT294" s="6" t="s">
        <v>238</v>
      </c>
      <c r="AW294" s="5" t="s">
        <v>304</v>
      </c>
      <c r="AX294" s="5" t="s">
        <v>304</v>
      </c>
      <c r="AY294" s="5" t="s">
        <v>250</v>
      </c>
      <c r="AZ294" s="5" t="s">
        <v>305</v>
      </c>
      <c r="BA294" s="5" t="s">
        <v>251</v>
      </c>
      <c r="BB294" s="5" t="s">
        <v>238</v>
      </c>
      <c r="BC294" s="5" t="s">
        <v>253</v>
      </c>
      <c r="BD294" s="5" t="s">
        <v>238</v>
      </c>
      <c r="BF294" s="5" t="s">
        <v>238</v>
      </c>
      <c r="BH294" s="5" t="s">
        <v>283</v>
      </c>
      <c r="BI294" s="6" t="s">
        <v>293</v>
      </c>
      <c r="BJ294" s="5" t="s">
        <v>294</v>
      </c>
      <c r="BK294" s="5" t="s">
        <v>294</v>
      </c>
      <c r="BL294" s="5" t="s">
        <v>238</v>
      </c>
      <c r="BM294" s="7">
        <f>0</f>
        <v>0</v>
      </c>
      <c r="BN294" s="8">
        <f>-52390</f>
        <v>-52390</v>
      </c>
      <c r="BO294" s="5" t="s">
        <v>257</v>
      </c>
      <c r="BP294" s="5" t="s">
        <v>258</v>
      </c>
      <c r="BQ294" s="5" t="s">
        <v>238</v>
      </c>
      <c r="BR294" s="5" t="s">
        <v>238</v>
      </c>
      <c r="BS294" s="5" t="s">
        <v>238</v>
      </c>
      <c r="BT294" s="5" t="s">
        <v>238</v>
      </c>
      <c r="CC294" s="5" t="s">
        <v>258</v>
      </c>
      <c r="CD294" s="5" t="s">
        <v>238</v>
      </c>
      <c r="CE294" s="5" t="s">
        <v>238</v>
      </c>
      <c r="CI294" s="5" t="s">
        <v>259</v>
      </c>
      <c r="CJ294" s="5" t="s">
        <v>260</v>
      </c>
      <c r="CK294" s="5" t="s">
        <v>238</v>
      </c>
      <c r="CM294" s="5" t="s">
        <v>402</v>
      </c>
      <c r="CN294" s="6" t="s">
        <v>262</v>
      </c>
      <c r="CO294" s="5" t="s">
        <v>263</v>
      </c>
      <c r="CP294" s="5" t="s">
        <v>264</v>
      </c>
      <c r="CQ294" s="5" t="s">
        <v>285</v>
      </c>
      <c r="CR294" s="5" t="s">
        <v>238</v>
      </c>
      <c r="CS294" s="5">
        <v>7.6999999999999999E-2</v>
      </c>
      <c r="CT294" s="5" t="s">
        <v>265</v>
      </c>
      <c r="CU294" s="5" t="s">
        <v>351</v>
      </c>
      <c r="CV294" s="5" t="s">
        <v>352</v>
      </c>
      <c r="CW294" s="7">
        <f>0</f>
        <v>0</v>
      </c>
      <c r="CX294" s="8">
        <f>680400</f>
        <v>680400</v>
      </c>
      <c r="CY294" s="8">
        <f>523230</f>
        <v>523230</v>
      </c>
      <c r="DA294" s="5" t="s">
        <v>238</v>
      </c>
      <c r="DB294" s="5" t="s">
        <v>238</v>
      </c>
      <c r="DD294" s="5" t="s">
        <v>238</v>
      </c>
      <c r="DE294" s="8">
        <f>0</f>
        <v>0</v>
      </c>
      <c r="DG294" s="5" t="s">
        <v>238</v>
      </c>
      <c r="DH294" s="5" t="s">
        <v>238</v>
      </c>
      <c r="DI294" s="5" t="s">
        <v>238</v>
      </c>
      <c r="DJ294" s="5" t="s">
        <v>238</v>
      </c>
      <c r="DK294" s="5" t="s">
        <v>272</v>
      </c>
      <c r="DL294" s="5" t="s">
        <v>272</v>
      </c>
      <c r="DM294" s="8" t="s">
        <v>238</v>
      </c>
      <c r="DN294" s="5" t="s">
        <v>238</v>
      </c>
      <c r="DO294" s="5" t="s">
        <v>238</v>
      </c>
      <c r="DP294" s="5" t="s">
        <v>238</v>
      </c>
      <c r="DQ294" s="5" t="s">
        <v>238</v>
      </c>
      <c r="DT294" s="5" t="s">
        <v>652</v>
      </c>
      <c r="DU294" s="5" t="s">
        <v>313</v>
      </c>
      <c r="GL294" s="5" t="s">
        <v>2888</v>
      </c>
      <c r="HM294" s="5" t="s">
        <v>310</v>
      </c>
      <c r="HP294" s="5" t="s">
        <v>272</v>
      </c>
      <c r="HQ294" s="5" t="s">
        <v>272</v>
      </c>
      <c r="HR294" s="5" t="s">
        <v>238</v>
      </c>
      <c r="HS294" s="5" t="s">
        <v>238</v>
      </c>
      <c r="HT294" s="5" t="s">
        <v>238</v>
      </c>
      <c r="HU294" s="5" t="s">
        <v>238</v>
      </c>
      <c r="HV294" s="5" t="s">
        <v>238</v>
      </c>
      <c r="HW294" s="5" t="s">
        <v>238</v>
      </c>
      <c r="HX294" s="5" t="s">
        <v>238</v>
      </c>
      <c r="HY294" s="5" t="s">
        <v>238</v>
      </c>
      <c r="HZ294" s="5" t="s">
        <v>238</v>
      </c>
      <c r="IA294" s="5" t="s">
        <v>238</v>
      </c>
      <c r="IB294" s="5" t="s">
        <v>238</v>
      </c>
      <c r="IC294" s="5" t="s">
        <v>238</v>
      </c>
      <c r="ID294" s="5" t="s">
        <v>238</v>
      </c>
    </row>
    <row r="295" spans="1:238" x14ac:dyDescent="0.4">
      <c r="A295" s="5">
        <v>321</v>
      </c>
      <c r="B295" s="5">
        <v>1</v>
      </c>
      <c r="C295" s="5">
        <v>4</v>
      </c>
      <c r="D295" s="5" t="s">
        <v>323</v>
      </c>
      <c r="E295" s="5" t="s">
        <v>324</v>
      </c>
      <c r="F295" s="5" t="s">
        <v>282</v>
      </c>
      <c r="G295" s="5" t="s">
        <v>327</v>
      </c>
      <c r="H295" s="6" t="s">
        <v>328</v>
      </c>
      <c r="I295" s="5" t="s">
        <v>322</v>
      </c>
      <c r="J295" s="7">
        <f>79.2</f>
        <v>79.2</v>
      </c>
      <c r="K295" s="5" t="s">
        <v>270</v>
      </c>
      <c r="L295" s="8">
        <f>2885424</f>
        <v>2885424</v>
      </c>
      <c r="M295" s="8">
        <f>15681600</f>
        <v>15681600</v>
      </c>
      <c r="N295" s="6" t="s">
        <v>325</v>
      </c>
      <c r="O295" s="5" t="s">
        <v>332</v>
      </c>
      <c r="P295" s="5" t="s">
        <v>286</v>
      </c>
      <c r="Q295" s="8">
        <f>533174</f>
        <v>533174</v>
      </c>
      <c r="R295" s="8">
        <f>12796176</f>
        <v>12796176</v>
      </c>
      <c r="S295" s="5" t="s">
        <v>240</v>
      </c>
      <c r="T295" s="5" t="s">
        <v>237</v>
      </c>
      <c r="U295" s="5" t="s">
        <v>238</v>
      </c>
      <c r="V295" s="5" t="s">
        <v>238</v>
      </c>
      <c r="W295" s="5" t="s">
        <v>241</v>
      </c>
      <c r="X295" s="5" t="s">
        <v>243</v>
      </c>
      <c r="Y295" s="5" t="s">
        <v>238</v>
      </c>
      <c r="AB295" s="5" t="s">
        <v>238</v>
      </c>
      <c r="AC295" s="6" t="s">
        <v>238</v>
      </c>
      <c r="AD295" s="6" t="s">
        <v>238</v>
      </c>
      <c r="AF295" s="6" t="s">
        <v>238</v>
      </c>
      <c r="AG295" s="6" t="s">
        <v>326</v>
      </c>
      <c r="AH295" s="5" t="s">
        <v>247</v>
      </c>
      <c r="AI295" s="5" t="s">
        <v>248</v>
      </c>
      <c r="AO295" s="5" t="s">
        <v>238</v>
      </c>
      <c r="AP295" s="5" t="s">
        <v>238</v>
      </c>
      <c r="AQ295" s="5" t="s">
        <v>238</v>
      </c>
      <c r="AR295" s="6" t="s">
        <v>238</v>
      </c>
      <c r="AS295" s="6" t="s">
        <v>238</v>
      </c>
      <c r="AT295" s="6" t="s">
        <v>238</v>
      </c>
      <c r="AW295" s="5" t="s">
        <v>304</v>
      </c>
      <c r="AX295" s="5" t="s">
        <v>304</v>
      </c>
      <c r="AY295" s="5" t="s">
        <v>250</v>
      </c>
      <c r="AZ295" s="5" t="s">
        <v>305</v>
      </c>
      <c r="BA295" s="5" t="s">
        <v>251</v>
      </c>
      <c r="BB295" s="5" t="s">
        <v>238</v>
      </c>
      <c r="BC295" s="5" t="s">
        <v>253</v>
      </c>
      <c r="BD295" s="5" t="s">
        <v>238</v>
      </c>
      <c r="BF295" s="5" t="s">
        <v>329</v>
      </c>
      <c r="BH295" s="5" t="s">
        <v>283</v>
      </c>
      <c r="BI295" s="6" t="s">
        <v>293</v>
      </c>
      <c r="BJ295" s="5" t="s">
        <v>294</v>
      </c>
      <c r="BK295" s="5" t="s">
        <v>294</v>
      </c>
      <c r="BL295" s="5" t="s">
        <v>238</v>
      </c>
      <c r="BM295" s="7">
        <f>0</f>
        <v>0</v>
      </c>
      <c r="BN295" s="8">
        <f>-533174</f>
        <v>-533174</v>
      </c>
      <c r="BO295" s="5" t="s">
        <v>257</v>
      </c>
      <c r="BP295" s="5" t="s">
        <v>258</v>
      </c>
      <c r="BQ295" s="5" t="s">
        <v>238</v>
      </c>
      <c r="BR295" s="5" t="s">
        <v>238</v>
      </c>
      <c r="BS295" s="5" t="s">
        <v>238</v>
      </c>
      <c r="BT295" s="5" t="s">
        <v>238</v>
      </c>
      <c r="CC295" s="5" t="s">
        <v>258</v>
      </c>
      <c r="CD295" s="5" t="s">
        <v>238</v>
      </c>
      <c r="CE295" s="5" t="s">
        <v>238</v>
      </c>
      <c r="CI295" s="5" t="s">
        <v>259</v>
      </c>
      <c r="CJ295" s="5" t="s">
        <v>260</v>
      </c>
      <c r="CK295" s="5" t="s">
        <v>238</v>
      </c>
      <c r="CM295" s="5" t="s">
        <v>330</v>
      </c>
      <c r="CN295" s="6" t="s">
        <v>262</v>
      </c>
      <c r="CO295" s="5" t="s">
        <v>263</v>
      </c>
      <c r="CP295" s="5" t="s">
        <v>264</v>
      </c>
      <c r="CQ295" s="5" t="s">
        <v>285</v>
      </c>
      <c r="CR295" s="5" t="s">
        <v>238</v>
      </c>
      <c r="CS295" s="5">
        <v>3.4000000000000002E-2</v>
      </c>
      <c r="CT295" s="5" t="s">
        <v>265</v>
      </c>
      <c r="CU295" s="5" t="s">
        <v>307</v>
      </c>
      <c r="CV295" s="5" t="s">
        <v>331</v>
      </c>
      <c r="CW295" s="7">
        <f>0</f>
        <v>0</v>
      </c>
      <c r="CX295" s="8">
        <f>15681600</f>
        <v>15681600</v>
      </c>
      <c r="CY295" s="8">
        <f>3418598</f>
        <v>3418598</v>
      </c>
      <c r="DA295" s="5" t="s">
        <v>238</v>
      </c>
      <c r="DB295" s="5" t="s">
        <v>238</v>
      </c>
      <c r="DD295" s="5" t="s">
        <v>238</v>
      </c>
      <c r="DE295" s="8">
        <f>0</f>
        <v>0</v>
      </c>
      <c r="DG295" s="5" t="s">
        <v>238</v>
      </c>
      <c r="DH295" s="5" t="s">
        <v>238</v>
      </c>
      <c r="DI295" s="5" t="s">
        <v>238</v>
      </c>
      <c r="DJ295" s="5" t="s">
        <v>238</v>
      </c>
      <c r="DK295" s="5" t="s">
        <v>274</v>
      </c>
      <c r="DL295" s="5" t="s">
        <v>272</v>
      </c>
      <c r="DM295" s="7">
        <f>79.2</f>
        <v>79.2</v>
      </c>
      <c r="DN295" s="5" t="s">
        <v>238</v>
      </c>
      <c r="DO295" s="5" t="s">
        <v>238</v>
      </c>
      <c r="DP295" s="5" t="s">
        <v>238</v>
      </c>
      <c r="DQ295" s="5" t="s">
        <v>238</v>
      </c>
      <c r="DT295" s="5" t="s">
        <v>333</v>
      </c>
      <c r="DU295" s="5" t="s">
        <v>271</v>
      </c>
      <c r="GL295" s="5" t="s">
        <v>334</v>
      </c>
      <c r="HM295" s="5" t="s">
        <v>313</v>
      </c>
      <c r="HP295" s="5" t="s">
        <v>272</v>
      </c>
      <c r="HQ295" s="5" t="s">
        <v>272</v>
      </c>
      <c r="HR295" s="5" t="s">
        <v>238</v>
      </c>
      <c r="HS295" s="5" t="s">
        <v>238</v>
      </c>
      <c r="HT295" s="5" t="s">
        <v>238</v>
      </c>
      <c r="HU295" s="5" t="s">
        <v>238</v>
      </c>
      <c r="HV295" s="5" t="s">
        <v>238</v>
      </c>
      <c r="HW295" s="5" t="s">
        <v>238</v>
      </c>
      <c r="HX295" s="5" t="s">
        <v>238</v>
      </c>
      <c r="HY295" s="5" t="s">
        <v>238</v>
      </c>
      <c r="HZ295" s="5" t="s">
        <v>238</v>
      </c>
      <c r="IA295" s="5" t="s">
        <v>238</v>
      </c>
      <c r="IB295" s="5" t="s">
        <v>238</v>
      </c>
      <c r="IC295" s="5" t="s">
        <v>238</v>
      </c>
      <c r="ID295" s="5" t="s">
        <v>238</v>
      </c>
    </row>
    <row r="296" spans="1:238" x14ac:dyDescent="0.4">
      <c r="A296" s="5">
        <v>322</v>
      </c>
      <c r="B296" s="5">
        <v>1</v>
      </c>
      <c r="C296" s="5">
        <v>1</v>
      </c>
      <c r="D296" s="5" t="s">
        <v>1245</v>
      </c>
      <c r="E296" s="5" t="s">
        <v>993</v>
      </c>
      <c r="F296" s="5" t="s">
        <v>282</v>
      </c>
      <c r="G296" s="5" t="s">
        <v>1181</v>
      </c>
      <c r="H296" s="6" t="s">
        <v>1108</v>
      </c>
      <c r="I296" s="5" t="s">
        <v>1181</v>
      </c>
      <c r="J296" s="7">
        <f>51.46</f>
        <v>51.46</v>
      </c>
      <c r="K296" s="5" t="s">
        <v>270</v>
      </c>
      <c r="L296" s="8">
        <f>1</f>
        <v>1</v>
      </c>
      <c r="M296" s="8">
        <f>4888700</f>
        <v>4888700</v>
      </c>
      <c r="N296" s="6" t="s">
        <v>1150</v>
      </c>
      <c r="O296" s="5" t="s">
        <v>640</v>
      </c>
      <c r="P296" s="5" t="s">
        <v>640</v>
      </c>
      <c r="R296" s="8">
        <f>4888699</f>
        <v>4888699</v>
      </c>
      <c r="S296" s="5" t="s">
        <v>240</v>
      </c>
      <c r="T296" s="5" t="s">
        <v>237</v>
      </c>
      <c r="U296" s="5" t="s">
        <v>238</v>
      </c>
      <c r="V296" s="5" t="s">
        <v>238</v>
      </c>
      <c r="W296" s="5" t="s">
        <v>241</v>
      </c>
      <c r="X296" s="5" t="s">
        <v>243</v>
      </c>
      <c r="Y296" s="5" t="s">
        <v>238</v>
      </c>
      <c r="AB296" s="5" t="s">
        <v>238</v>
      </c>
      <c r="AD296" s="6" t="s">
        <v>238</v>
      </c>
      <c r="AG296" s="6" t="s">
        <v>326</v>
      </c>
      <c r="AH296" s="5" t="s">
        <v>247</v>
      </c>
      <c r="AI296" s="5" t="s">
        <v>248</v>
      </c>
      <c r="AY296" s="5" t="s">
        <v>250</v>
      </c>
      <c r="AZ296" s="5" t="s">
        <v>238</v>
      </c>
      <c r="BA296" s="5" t="s">
        <v>251</v>
      </c>
      <c r="BB296" s="5" t="s">
        <v>238</v>
      </c>
      <c r="BC296" s="5" t="s">
        <v>253</v>
      </c>
      <c r="BD296" s="5" t="s">
        <v>238</v>
      </c>
      <c r="BF296" s="5" t="s">
        <v>329</v>
      </c>
      <c r="BH296" s="5" t="s">
        <v>697</v>
      </c>
      <c r="BI296" s="6" t="s">
        <v>698</v>
      </c>
      <c r="BJ296" s="5" t="s">
        <v>255</v>
      </c>
      <c r="BK296" s="5" t="s">
        <v>256</v>
      </c>
      <c r="BL296" s="5" t="s">
        <v>238</v>
      </c>
      <c r="BM296" s="7">
        <f>0</f>
        <v>0</v>
      </c>
      <c r="BN296" s="8">
        <f>0</f>
        <v>0</v>
      </c>
      <c r="BO296" s="5" t="s">
        <v>257</v>
      </c>
      <c r="BP296" s="5" t="s">
        <v>258</v>
      </c>
      <c r="CD296" s="5" t="s">
        <v>238</v>
      </c>
      <c r="CE296" s="5" t="s">
        <v>238</v>
      </c>
      <c r="CI296" s="5" t="s">
        <v>259</v>
      </c>
      <c r="CJ296" s="5" t="s">
        <v>260</v>
      </c>
      <c r="CK296" s="5" t="s">
        <v>238</v>
      </c>
      <c r="CM296" s="5" t="s">
        <v>342</v>
      </c>
      <c r="CN296" s="6" t="s">
        <v>262</v>
      </c>
      <c r="CO296" s="5" t="s">
        <v>263</v>
      </c>
      <c r="CP296" s="5" t="s">
        <v>264</v>
      </c>
      <c r="CQ296" s="5" t="s">
        <v>238</v>
      </c>
      <c r="CR296" s="5" t="s">
        <v>238</v>
      </c>
      <c r="CS296" s="5">
        <v>0</v>
      </c>
      <c r="CT296" s="5" t="s">
        <v>265</v>
      </c>
      <c r="CU296" s="5" t="s">
        <v>1187</v>
      </c>
      <c r="CV296" s="5" t="s">
        <v>331</v>
      </c>
      <c r="CX296" s="8">
        <f>4888700</f>
        <v>4888700</v>
      </c>
      <c r="CY296" s="8">
        <f>0</f>
        <v>0</v>
      </c>
      <c r="DA296" s="5" t="s">
        <v>238</v>
      </c>
      <c r="DB296" s="5" t="s">
        <v>238</v>
      </c>
      <c r="DD296" s="5" t="s">
        <v>238</v>
      </c>
      <c r="DG296" s="5" t="s">
        <v>238</v>
      </c>
      <c r="DH296" s="5" t="s">
        <v>238</v>
      </c>
      <c r="DI296" s="5" t="s">
        <v>238</v>
      </c>
      <c r="DJ296" s="5" t="s">
        <v>238</v>
      </c>
      <c r="DK296" s="5" t="s">
        <v>271</v>
      </c>
      <c r="DL296" s="5" t="s">
        <v>272</v>
      </c>
      <c r="DM296" s="7">
        <f>51.46</f>
        <v>51.46</v>
      </c>
      <c r="DN296" s="5" t="s">
        <v>238</v>
      </c>
      <c r="DO296" s="5" t="s">
        <v>238</v>
      </c>
      <c r="DP296" s="5" t="s">
        <v>238</v>
      </c>
      <c r="DQ296" s="5" t="s">
        <v>238</v>
      </c>
      <c r="DT296" s="5" t="s">
        <v>1246</v>
      </c>
      <c r="DU296" s="5" t="s">
        <v>271</v>
      </c>
      <c r="HM296" s="5" t="s">
        <v>271</v>
      </c>
      <c r="HP296" s="5" t="s">
        <v>272</v>
      </c>
      <c r="HQ296" s="5" t="s">
        <v>272</v>
      </c>
    </row>
    <row r="297" spans="1:238" x14ac:dyDescent="0.4">
      <c r="A297" s="5">
        <v>323</v>
      </c>
      <c r="B297" s="5">
        <v>1</v>
      </c>
      <c r="C297" s="5">
        <v>1</v>
      </c>
      <c r="D297" s="5" t="s">
        <v>1245</v>
      </c>
      <c r="E297" s="5" t="s">
        <v>338</v>
      </c>
      <c r="F297" s="5" t="s">
        <v>282</v>
      </c>
      <c r="G297" s="5" t="s">
        <v>1181</v>
      </c>
      <c r="H297" s="6" t="s">
        <v>1262</v>
      </c>
      <c r="I297" s="5" t="s">
        <v>1181</v>
      </c>
      <c r="J297" s="7">
        <f>131</f>
        <v>131</v>
      </c>
      <c r="K297" s="5" t="s">
        <v>270</v>
      </c>
      <c r="L297" s="8">
        <f>1</f>
        <v>1</v>
      </c>
      <c r="M297" s="8">
        <f>7860000</f>
        <v>7860000</v>
      </c>
      <c r="N297" s="6" t="s">
        <v>906</v>
      </c>
      <c r="O297" s="5" t="s">
        <v>650</v>
      </c>
      <c r="P297" s="5" t="s">
        <v>909</v>
      </c>
      <c r="R297" s="8">
        <f>7859999</f>
        <v>7859999</v>
      </c>
      <c r="S297" s="5" t="s">
        <v>240</v>
      </c>
      <c r="T297" s="5" t="s">
        <v>237</v>
      </c>
      <c r="U297" s="5" t="s">
        <v>238</v>
      </c>
      <c r="V297" s="5" t="s">
        <v>238</v>
      </c>
      <c r="W297" s="5" t="s">
        <v>241</v>
      </c>
      <c r="X297" s="5" t="s">
        <v>243</v>
      </c>
      <c r="Y297" s="5" t="s">
        <v>238</v>
      </c>
      <c r="AB297" s="5" t="s">
        <v>238</v>
      </c>
      <c r="AD297" s="6" t="s">
        <v>238</v>
      </c>
      <c r="AG297" s="6" t="s">
        <v>326</v>
      </c>
      <c r="AH297" s="5" t="s">
        <v>247</v>
      </c>
      <c r="AI297" s="5" t="s">
        <v>248</v>
      </c>
      <c r="AY297" s="5" t="s">
        <v>250</v>
      </c>
      <c r="AZ297" s="5" t="s">
        <v>238</v>
      </c>
      <c r="BA297" s="5" t="s">
        <v>251</v>
      </c>
      <c r="BB297" s="5" t="s">
        <v>238</v>
      </c>
      <c r="BC297" s="5" t="s">
        <v>253</v>
      </c>
      <c r="BD297" s="5" t="s">
        <v>238</v>
      </c>
      <c r="BF297" s="5" t="s">
        <v>329</v>
      </c>
      <c r="BH297" s="5" t="s">
        <v>798</v>
      </c>
      <c r="BI297" s="6" t="s">
        <v>799</v>
      </c>
      <c r="BJ297" s="5" t="s">
        <v>255</v>
      </c>
      <c r="BK297" s="5" t="s">
        <v>256</v>
      </c>
      <c r="BL297" s="5" t="s">
        <v>238</v>
      </c>
      <c r="BM297" s="7">
        <f>0</f>
        <v>0</v>
      </c>
      <c r="BN297" s="8">
        <f>0</f>
        <v>0</v>
      </c>
      <c r="BO297" s="5" t="s">
        <v>257</v>
      </c>
      <c r="BP297" s="5" t="s">
        <v>258</v>
      </c>
      <c r="CD297" s="5" t="s">
        <v>238</v>
      </c>
      <c r="CE297" s="5" t="s">
        <v>238</v>
      </c>
      <c r="CI297" s="5" t="s">
        <v>527</v>
      </c>
      <c r="CJ297" s="5" t="s">
        <v>260</v>
      </c>
      <c r="CK297" s="5" t="s">
        <v>238</v>
      </c>
      <c r="CM297" s="5" t="s">
        <v>908</v>
      </c>
      <c r="CN297" s="6" t="s">
        <v>262</v>
      </c>
      <c r="CO297" s="5" t="s">
        <v>263</v>
      </c>
      <c r="CP297" s="5" t="s">
        <v>264</v>
      </c>
      <c r="CQ297" s="5" t="s">
        <v>238</v>
      </c>
      <c r="CR297" s="5" t="s">
        <v>238</v>
      </c>
      <c r="CS297" s="5">
        <v>0</v>
      </c>
      <c r="CT297" s="5" t="s">
        <v>265</v>
      </c>
      <c r="CU297" s="5" t="s">
        <v>1187</v>
      </c>
      <c r="CV297" s="5" t="s">
        <v>649</v>
      </c>
      <c r="CX297" s="8">
        <f>7860000</f>
        <v>7860000</v>
      </c>
      <c r="CY297" s="8">
        <f>0</f>
        <v>0</v>
      </c>
      <c r="DA297" s="5" t="s">
        <v>238</v>
      </c>
      <c r="DB297" s="5" t="s">
        <v>238</v>
      </c>
      <c r="DD297" s="5" t="s">
        <v>238</v>
      </c>
      <c r="DG297" s="5" t="s">
        <v>238</v>
      </c>
      <c r="DH297" s="5" t="s">
        <v>238</v>
      </c>
      <c r="DI297" s="5" t="s">
        <v>238</v>
      </c>
      <c r="DJ297" s="5" t="s">
        <v>238</v>
      </c>
      <c r="DK297" s="5" t="s">
        <v>271</v>
      </c>
      <c r="DL297" s="5" t="s">
        <v>272</v>
      </c>
      <c r="DM297" s="7">
        <f>131</f>
        <v>131</v>
      </c>
      <c r="DN297" s="5" t="s">
        <v>238</v>
      </c>
      <c r="DO297" s="5" t="s">
        <v>238</v>
      </c>
      <c r="DP297" s="5" t="s">
        <v>238</v>
      </c>
      <c r="DQ297" s="5" t="s">
        <v>238</v>
      </c>
      <c r="DT297" s="5" t="s">
        <v>1263</v>
      </c>
      <c r="DU297" s="5" t="s">
        <v>271</v>
      </c>
      <c r="HM297" s="5" t="s">
        <v>271</v>
      </c>
      <c r="HP297" s="5" t="s">
        <v>272</v>
      </c>
      <c r="HQ297" s="5" t="s">
        <v>272</v>
      </c>
    </row>
    <row r="298" spans="1:238" x14ac:dyDescent="0.4">
      <c r="A298" s="5">
        <v>324</v>
      </c>
      <c r="B298" s="5">
        <v>1</v>
      </c>
      <c r="C298" s="5">
        <v>2</v>
      </c>
      <c r="D298" s="5" t="s">
        <v>524</v>
      </c>
      <c r="E298" s="5" t="s">
        <v>454</v>
      </c>
      <c r="F298" s="5" t="s">
        <v>282</v>
      </c>
      <c r="G298" s="5" t="s">
        <v>3286</v>
      </c>
      <c r="H298" s="6" t="s">
        <v>3503</v>
      </c>
      <c r="I298" s="5" t="s">
        <v>3502</v>
      </c>
      <c r="J298" s="7">
        <f>18.41</f>
        <v>18.41</v>
      </c>
      <c r="K298" s="5" t="s">
        <v>270</v>
      </c>
      <c r="L298" s="8">
        <f>1</f>
        <v>1</v>
      </c>
      <c r="M298" s="8">
        <f>1</f>
        <v>1</v>
      </c>
      <c r="N298" s="6" t="s">
        <v>1538</v>
      </c>
      <c r="O298" s="5" t="s">
        <v>651</v>
      </c>
      <c r="P298" s="5" t="s">
        <v>274</v>
      </c>
      <c r="R298" s="8">
        <f>0</f>
        <v>0</v>
      </c>
      <c r="S298" s="5" t="s">
        <v>240</v>
      </c>
      <c r="T298" s="5" t="s">
        <v>237</v>
      </c>
      <c r="W298" s="5" t="s">
        <v>241</v>
      </c>
      <c r="X298" s="5" t="s">
        <v>453</v>
      </c>
      <c r="Y298" s="5" t="s">
        <v>238</v>
      </c>
      <c r="AB298" s="5" t="s">
        <v>238</v>
      </c>
      <c r="AC298" s="6" t="s">
        <v>238</v>
      </c>
      <c r="AD298" s="6" t="s">
        <v>238</v>
      </c>
      <c r="AF298" s="6" t="s">
        <v>238</v>
      </c>
      <c r="AG298" s="6" t="s">
        <v>246</v>
      </c>
      <c r="AH298" s="5" t="s">
        <v>247</v>
      </c>
      <c r="AI298" s="5" t="s">
        <v>248</v>
      </c>
      <c r="AT298" s="6" t="s">
        <v>238</v>
      </c>
      <c r="AW298" s="5" t="s">
        <v>304</v>
      </c>
      <c r="AX298" s="5" t="s">
        <v>304</v>
      </c>
      <c r="AY298" s="5" t="s">
        <v>250</v>
      </c>
      <c r="AZ298" s="5" t="s">
        <v>305</v>
      </c>
      <c r="BA298" s="5" t="s">
        <v>251</v>
      </c>
      <c r="BB298" s="5" t="s">
        <v>238</v>
      </c>
      <c r="BC298" s="5" t="s">
        <v>253</v>
      </c>
      <c r="BD298" s="5" t="s">
        <v>238</v>
      </c>
      <c r="BF298" s="5" t="s">
        <v>238</v>
      </c>
      <c r="BH298" s="5" t="s">
        <v>283</v>
      </c>
      <c r="BI298" s="6" t="s">
        <v>3283</v>
      </c>
      <c r="BJ298" s="5" t="s">
        <v>255</v>
      </c>
      <c r="BK298" s="5" t="s">
        <v>294</v>
      </c>
      <c r="BL298" s="5" t="s">
        <v>238</v>
      </c>
      <c r="BM298" s="7">
        <f>0</f>
        <v>0</v>
      </c>
      <c r="BN298" s="8">
        <f>0</f>
        <v>0</v>
      </c>
      <c r="BO298" s="5" t="s">
        <v>257</v>
      </c>
      <c r="BP298" s="5" t="s">
        <v>258</v>
      </c>
      <c r="BQ298" s="5" t="s">
        <v>238</v>
      </c>
      <c r="BR298" s="5" t="s">
        <v>238</v>
      </c>
      <c r="BS298" s="5" t="s">
        <v>238</v>
      </c>
      <c r="BT298" s="5" t="s">
        <v>238</v>
      </c>
      <c r="CC298" s="5" t="s">
        <v>258</v>
      </c>
      <c r="CD298" s="5" t="s">
        <v>238</v>
      </c>
      <c r="CE298" s="5" t="s">
        <v>238</v>
      </c>
      <c r="CI298" s="5" t="s">
        <v>527</v>
      </c>
      <c r="CJ298" s="5" t="s">
        <v>260</v>
      </c>
      <c r="CK298" s="5" t="s">
        <v>238</v>
      </c>
      <c r="CM298" s="5" t="s">
        <v>402</v>
      </c>
      <c r="CN298" s="6" t="s">
        <v>262</v>
      </c>
      <c r="CO298" s="5" t="s">
        <v>263</v>
      </c>
      <c r="CP298" s="5" t="s">
        <v>264</v>
      </c>
      <c r="CQ298" s="5" t="s">
        <v>285</v>
      </c>
      <c r="CR298" s="5" t="s">
        <v>238</v>
      </c>
      <c r="CS298" s="5">
        <v>0</v>
      </c>
      <c r="CT298" s="5" t="s">
        <v>265</v>
      </c>
      <c r="CU298" s="5" t="s">
        <v>266</v>
      </c>
      <c r="CV298" s="5" t="s">
        <v>331</v>
      </c>
      <c r="CW298" s="7">
        <f>0</f>
        <v>0</v>
      </c>
      <c r="CX298" s="8">
        <f>1</f>
        <v>1</v>
      </c>
      <c r="CY298" s="8">
        <f>1</f>
        <v>1</v>
      </c>
      <c r="DA298" s="5" t="s">
        <v>238</v>
      </c>
      <c r="DB298" s="5" t="s">
        <v>238</v>
      </c>
      <c r="DD298" s="5" t="s">
        <v>238</v>
      </c>
      <c r="DE298" s="8">
        <f>0</f>
        <v>0</v>
      </c>
      <c r="DG298" s="5" t="s">
        <v>238</v>
      </c>
      <c r="DH298" s="5" t="s">
        <v>238</v>
      </c>
      <c r="DI298" s="5" t="s">
        <v>238</v>
      </c>
      <c r="DJ298" s="5" t="s">
        <v>238</v>
      </c>
      <c r="DK298" s="5" t="s">
        <v>272</v>
      </c>
      <c r="DL298" s="5" t="s">
        <v>272</v>
      </c>
      <c r="DM298" s="7">
        <f>18.41</f>
        <v>18.41</v>
      </c>
      <c r="DN298" s="5" t="s">
        <v>238</v>
      </c>
      <c r="DO298" s="5" t="s">
        <v>238</v>
      </c>
      <c r="DP298" s="5" t="s">
        <v>238</v>
      </c>
      <c r="DQ298" s="5" t="s">
        <v>238</v>
      </c>
      <c r="DT298" s="5" t="s">
        <v>3504</v>
      </c>
      <c r="DU298" s="5" t="s">
        <v>271</v>
      </c>
      <c r="HM298" s="5" t="s">
        <v>310</v>
      </c>
      <c r="HP298" s="5" t="s">
        <v>272</v>
      </c>
      <c r="HQ298" s="5" t="s">
        <v>272</v>
      </c>
      <c r="HR298" s="5" t="s">
        <v>238</v>
      </c>
      <c r="HS298" s="5" t="s">
        <v>238</v>
      </c>
      <c r="HT298" s="5" t="s">
        <v>238</v>
      </c>
      <c r="HU298" s="5" t="s">
        <v>238</v>
      </c>
      <c r="HV298" s="5" t="s">
        <v>238</v>
      </c>
      <c r="HW298" s="5" t="s">
        <v>238</v>
      </c>
      <c r="HX298" s="5" t="s">
        <v>238</v>
      </c>
      <c r="HY298" s="5" t="s">
        <v>238</v>
      </c>
      <c r="HZ298" s="5" t="s">
        <v>238</v>
      </c>
      <c r="IA298" s="5" t="s">
        <v>238</v>
      </c>
      <c r="IB298" s="5" t="s">
        <v>238</v>
      </c>
      <c r="IC298" s="5" t="s">
        <v>238</v>
      </c>
      <c r="ID298" s="5" t="s">
        <v>238</v>
      </c>
    </row>
    <row r="299" spans="1:238" x14ac:dyDescent="0.4">
      <c r="A299" s="5">
        <v>329</v>
      </c>
      <c r="B299" s="5">
        <v>1</v>
      </c>
      <c r="C299" s="5">
        <v>3</v>
      </c>
      <c r="D299" s="5" t="s">
        <v>1088</v>
      </c>
      <c r="E299" s="5" t="s">
        <v>347</v>
      </c>
      <c r="F299" s="5" t="s">
        <v>282</v>
      </c>
      <c r="G299" s="5" t="s">
        <v>1497</v>
      </c>
      <c r="H299" s="6" t="s">
        <v>1090</v>
      </c>
      <c r="I299" s="5" t="s">
        <v>1497</v>
      </c>
      <c r="J299" s="7">
        <f>420</f>
        <v>420</v>
      </c>
      <c r="K299" s="5" t="s">
        <v>270</v>
      </c>
      <c r="L299" s="8">
        <f>1</f>
        <v>1</v>
      </c>
      <c r="M299" s="8">
        <f>76860000</f>
        <v>76860000</v>
      </c>
      <c r="N299" s="6" t="s">
        <v>1089</v>
      </c>
      <c r="O299" s="5" t="s">
        <v>755</v>
      </c>
      <c r="P299" s="5" t="s">
        <v>309</v>
      </c>
      <c r="Q299" s="8">
        <f>768599</f>
        <v>768599</v>
      </c>
      <c r="R299" s="8">
        <f>76859999</f>
        <v>76859999</v>
      </c>
      <c r="S299" s="5" t="s">
        <v>240</v>
      </c>
      <c r="T299" s="5" t="s">
        <v>237</v>
      </c>
      <c r="U299" s="5" t="s">
        <v>238</v>
      </c>
      <c r="V299" s="5" t="s">
        <v>238</v>
      </c>
      <c r="W299" s="5" t="s">
        <v>241</v>
      </c>
      <c r="X299" s="5" t="s">
        <v>337</v>
      </c>
      <c r="Y299" s="5" t="s">
        <v>238</v>
      </c>
      <c r="AB299" s="5" t="s">
        <v>238</v>
      </c>
      <c r="AC299" s="6" t="s">
        <v>238</v>
      </c>
      <c r="AD299" s="6" t="s">
        <v>238</v>
      </c>
      <c r="AF299" s="6" t="s">
        <v>238</v>
      </c>
      <c r="AG299" s="6" t="s">
        <v>246</v>
      </c>
      <c r="AH299" s="5" t="s">
        <v>247</v>
      </c>
      <c r="AI299" s="5" t="s">
        <v>248</v>
      </c>
      <c r="AO299" s="5" t="s">
        <v>238</v>
      </c>
      <c r="AP299" s="5" t="s">
        <v>238</v>
      </c>
      <c r="AQ299" s="5" t="s">
        <v>238</v>
      </c>
      <c r="AR299" s="6" t="s">
        <v>238</v>
      </c>
      <c r="AS299" s="6" t="s">
        <v>238</v>
      </c>
      <c r="AT299" s="6" t="s">
        <v>238</v>
      </c>
      <c r="AW299" s="5" t="s">
        <v>304</v>
      </c>
      <c r="AX299" s="5" t="s">
        <v>304</v>
      </c>
      <c r="AY299" s="5" t="s">
        <v>250</v>
      </c>
      <c r="AZ299" s="5" t="s">
        <v>305</v>
      </c>
      <c r="BA299" s="5" t="s">
        <v>251</v>
      </c>
      <c r="BB299" s="5" t="s">
        <v>238</v>
      </c>
      <c r="BC299" s="5" t="s">
        <v>253</v>
      </c>
      <c r="BD299" s="5" t="s">
        <v>238</v>
      </c>
      <c r="BF299" s="5" t="s">
        <v>1522</v>
      </c>
      <c r="BH299" s="5" t="s">
        <v>1076</v>
      </c>
      <c r="BI299" s="6" t="s">
        <v>1077</v>
      </c>
      <c r="BJ299" s="5" t="s">
        <v>294</v>
      </c>
      <c r="BK299" s="5" t="s">
        <v>294</v>
      </c>
      <c r="BL299" s="5" t="s">
        <v>238</v>
      </c>
      <c r="BM299" s="7">
        <f>0</f>
        <v>0</v>
      </c>
      <c r="BN299" s="8">
        <f>-768599</f>
        <v>-768599</v>
      </c>
      <c r="BO299" s="5" t="s">
        <v>257</v>
      </c>
      <c r="BP299" s="5" t="s">
        <v>258</v>
      </c>
      <c r="BQ299" s="5" t="s">
        <v>238</v>
      </c>
      <c r="BR299" s="5" t="s">
        <v>238</v>
      </c>
      <c r="BS299" s="5" t="s">
        <v>238</v>
      </c>
      <c r="BT299" s="5" t="s">
        <v>238</v>
      </c>
      <c r="CC299" s="5" t="s">
        <v>258</v>
      </c>
      <c r="CD299" s="5" t="s">
        <v>238</v>
      </c>
      <c r="CE299" s="5" t="s">
        <v>238</v>
      </c>
      <c r="CI299" s="5" t="s">
        <v>259</v>
      </c>
      <c r="CJ299" s="5" t="s">
        <v>260</v>
      </c>
      <c r="CK299" s="5" t="s">
        <v>238</v>
      </c>
      <c r="CM299" s="5" t="s">
        <v>306</v>
      </c>
      <c r="CN299" s="6" t="s">
        <v>262</v>
      </c>
      <c r="CO299" s="5" t="s">
        <v>263</v>
      </c>
      <c r="CP299" s="5" t="s">
        <v>264</v>
      </c>
      <c r="CQ299" s="5" t="s">
        <v>285</v>
      </c>
      <c r="CR299" s="5" t="s">
        <v>238</v>
      </c>
      <c r="CS299" s="5">
        <v>0.03</v>
      </c>
      <c r="CT299" s="5" t="s">
        <v>265</v>
      </c>
      <c r="CU299" s="5" t="s">
        <v>1493</v>
      </c>
      <c r="CV299" s="5" t="s">
        <v>649</v>
      </c>
      <c r="CW299" s="7">
        <f>0</f>
        <v>0</v>
      </c>
      <c r="CX299" s="8">
        <f>76860000</f>
        <v>76860000</v>
      </c>
      <c r="CY299" s="8">
        <f>1</f>
        <v>1</v>
      </c>
      <c r="DA299" s="5" t="s">
        <v>238</v>
      </c>
      <c r="DB299" s="5" t="s">
        <v>238</v>
      </c>
      <c r="DD299" s="5" t="s">
        <v>238</v>
      </c>
      <c r="DE299" s="8">
        <f>0</f>
        <v>0</v>
      </c>
      <c r="DG299" s="5" t="s">
        <v>238</v>
      </c>
      <c r="DH299" s="5" t="s">
        <v>238</v>
      </c>
      <c r="DI299" s="5" t="s">
        <v>238</v>
      </c>
      <c r="DJ299" s="5" t="s">
        <v>238</v>
      </c>
      <c r="DK299" s="5" t="s">
        <v>271</v>
      </c>
      <c r="DL299" s="5" t="s">
        <v>272</v>
      </c>
      <c r="DM299" s="7">
        <f>420</f>
        <v>420</v>
      </c>
      <c r="DN299" s="5" t="s">
        <v>238</v>
      </c>
      <c r="DO299" s="5" t="s">
        <v>238</v>
      </c>
      <c r="DP299" s="5" t="s">
        <v>238</v>
      </c>
      <c r="DQ299" s="5" t="s">
        <v>238</v>
      </c>
      <c r="DT299" s="5" t="s">
        <v>1092</v>
      </c>
      <c r="DU299" s="5" t="s">
        <v>271</v>
      </c>
      <c r="GL299" s="5" t="s">
        <v>1607</v>
      </c>
      <c r="HM299" s="5" t="s">
        <v>313</v>
      </c>
      <c r="HP299" s="5" t="s">
        <v>272</v>
      </c>
      <c r="HQ299" s="5" t="s">
        <v>272</v>
      </c>
      <c r="HR299" s="5" t="s">
        <v>238</v>
      </c>
      <c r="HS299" s="5" t="s">
        <v>238</v>
      </c>
      <c r="HT299" s="5" t="s">
        <v>238</v>
      </c>
      <c r="HU299" s="5" t="s">
        <v>238</v>
      </c>
      <c r="HV299" s="5" t="s">
        <v>238</v>
      </c>
      <c r="HW299" s="5" t="s">
        <v>238</v>
      </c>
      <c r="HX299" s="5" t="s">
        <v>238</v>
      </c>
      <c r="HY299" s="5" t="s">
        <v>238</v>
      </c>
      <c r="HZ299" s="5" t="s">
        <v>238</v>
      </c>
      <c r="IA299" s="5" t="s">
        <v>238</v>
      </c>
      <c r="IB299" s="5" t="s">
        <v>238</v>
      </c>
      <c r="IC299" s="5" t="s">
        <v>238</v>
      </c>
      <c r="ID299" s="5" t="s">
        <v>238</v>
      </c>
    </row>
    <row r="300" spans="1:238" x14ac:dyDescent="0.4">
      <c r="A300" s="5">
        <v>330</v>
      </c>
      <c r="B300" s="5">
        <v>1</v>
      </c>
      <c r="C300" s="5">
        <v>3</v>
      </c>
      <c r="D300" s="5" t="s">
        <v>1088</v>
      </c>
      <c r="E300" s="5" t="s">
        <v>347</v>
      </c>
      <c r="F300" s="5" t="s">
        <v>282</v>
      </c>
      <c r="G300" s="5" t="s">
        <v>2142</v>
      </c>
      <c r="H300" s="6" t="s">
        <v>1090</v>
      </c>
      <c r="I300" s="5" t="s">
        <v>2142</v>
      </c>
      <c r="J300" s="7">
        <f>63</f>
        <v>63</v>
      </c>
      <c r="K300" s="5" t="s">
        <v>270</v>
      </c>
      <c r="L300" s="8">
        <f>1</f>
        <v>1</v>
      </c>
      <c r="M300" s="8">
        <f>10584000</f>
        <v>10584000</v>
      </c>
      <c r="N300" s="6" t="s">
        <v>816</v>
      </c>
      <c r="O300" s="5" t="s">
        <v>286</v>
      </c>
      <c r="P300" s="5" t="s">
        <v>818</v>
      </c>
      <c r="Q300" s="8">
        <f>359855</f>
        <v>359855</v>
      </c>
      <c r="R300" s="8">
        <f>10583999</f>
        <v>10583999</v>
      </c>
      <c r="S300" s="5" t="s">
        <v>240</v>
      </c>
      <c r="T300" s="5" t="s">
        <v>237</v>
      </c>
      <c r="U300" s="5" t="s">
        <v>238</v>
      </c>
      <c r="V300" s="5" t="s">
        <v>238</v>
      </c>
      <c r="W300" s="5" t="s">
        <v>241</v>
      </c>
      <c r="X300" s="5" t="s">
        <v>337</v>
      </c>
      <c r="Y300" s="5" t="s">
        <v>238</v>
      </c>
      <c r="AB300" s="5" t="s">
        <v>238</v>
      </c>
      <c r="AC300" s="6" t="s">
        <v>238</v>
      </c>
      <c r="AD300" s="6" t="s">
        <v>238</v>
      </c>
      <c r="AF300" s="6" t="s">
        <v>238</v>
      </c>
      <c r="AG300" s="6" t="s">
        <v>246</v>
      </c>
      <c r="AH300" s="5" t="s">
        <v>247</v>
      </c>
      <c r="AI300" s="5" t="s">
        <v>248</v>
      </c>
      <c r="AO300" s="5" t="s">
        <v>238</v>
      </c>
      <c r="AP300" s="5" t="s">
        <v>238</v>
      </c>
      <c r="AQ300" s="5" t="s">
        <v>238</v>
      </c>
      <c r="AR300" s="6" t="s">
        <v>238</v>
      </c>
      <c r="AS300" s="6" t="s">
        <v>238</v>
      </c>
      <c r="AT300" s="6" t="s">
        <v>238</v>
      </c>
      <c r="AW300" s="5" t="s">
        <v>304</v>
      </c>
      <c r="AX300" s="5" t="s">
        <v>304</v>
      </c>
      <c r="AY300" s="5" t="s">
        <v>250</v>
      </c>
      <c r="AZ300" s="5" t="s">
        <v>305</v>
      </c>
      <c r="BA300" s="5" t="s">
        <v>251</v>
      </c>
      <c r="BB300" s="5" t="s">
        <v>238</v>
      </c>
      <c r="BC300" s="5" t="s">
        <v>253</v>
      </c>
      <c r="BD300" s="5" t="s">
        <v>238</v>
      </c>
      <c r="BF300" s="5" t="s">
        <v>238</v>
      </c>
      <c r="BH300" s="5" t="s">
        <v>1076</v>
      </c>
      <c r="BI300" s="6" t="s">
        <v>1077</v>
      </c>
      <c r="BJ300" s="5" t="s">
        <v>294</v>
      </c>
      <c r="BK300" s="5" t="s">
        <v>294</v>
      </c>
      <c r="BL300" s="5" t="s">
        <v>238</v>
      </c>
      <c r="BM300" s="7">
        <f>0</f>
        <v>0</v>
      </c>
      <c r="BN300" s="8">
        <f>-359855</f>
        <v>-359855</v>
      </c>
      <c r="BO300" s="5" t="s">
        <v>257</v>
      </c>
      <c r="BP300" s="5" t="s">
        <v>258</v>
      </c>
      <c r="BQ300" s="5" t="s">
        <v>238</v>
      </c>
      <c r="BR300" s="5" t="s">
        <v>238</v>
      </c>
      <c r="BS300" s="5" t="s">
        <v>238</v>
      </c>
      <c r="BT300" s="5" t="s">
        <v>238</v>
      </c>
      <c r="CC300" s="5" t="s">
        <v>258</v>
      </c>
      <c r="CD300" s="5" t="s">
        <v>238</v>
      </c>
      <c r="CE300" s="5" t="s">
        <v>238</v>
      </c>
      <c r="CI300" s="5" t="s">
        <v>259</v>
      </c>
      <c r="CJ300" s="5" t="s">
        <v>260</v>
      </c>
      <c r="CK300" s="5" t="s">
        <v>238</v>
      </c>
      <c r="CM300" s="5" t="s">
        <v>261</v>
      </c>
      <c r="CN300" s="6" t="s">
        <v>262</v>
      </c>
      <c r="CO300" s="5" t="s">
        <v>263</v>
      </c>
      <c r="CP300" s="5" t="s">
        <v>264</v>
      </c>
      <c r="CQ300" s="5" t="s">
        <v>285</v>
      </c>
      <c r="CR300" s="5" t="s">
        <v>238</v>
      </c>
      <c r="CS300" s="5">
        <v>4.5999999999999999E-2</v>
      </c>
      <c r="CT300" s="5" t="s">
        <v>265</v>
      </c>
      <c r="CU300" s="5" t="s">
        <v>2145</v>
      </c>
      <c r="CV300" s="5" t="s">
        <v>267</v>
      </c>
      <c r="CW300" s="7">
        <f>0</f>
        <v>0</v>
      </c>
      <c r="CX300" s="8">
        <f>10584000</f>
        <v>10584000</v>
      </c>
      <c r="CY300" s="8">
        <f>1</f>
        <v>1</v>
      </c>
      <c r="DA300" s="5" t="s">
        <v>238</v>
      </c>
      <c r="DB300" s="5" t="s">
        <v>238</v>
      </c>
      <c r="DD300" s="5" t="s">
        <v>238</v>
      </c>
      <c r="DE300" s="8">
        <f>0</f>
        <v>0</v>
      </c>
      <c r="DG300" s="5" t="s">
        <v>238</v>
      </c>
      <c r="DH300" s="5" t="s">
        <v>238</v>
      </c>
      <c r="DI300" s="5" t="s">
        <v>238</v>
      </c>
      <c r="DJ300" s="5" t="s">
        <v>238</v>
      </c>
      <c r="DK300" s="5" t="s">
        <v>271</v>
      </c>
      <c r="DL300" s="5" t="s">
        <v>272</v>
      </c>
      <c r="DM300" s="7">
        <f>63</f>
        <v>63</v>
      </c>
      <c r="DN300" s="5" t="s">
        <v>238</v>
      </c>
      <c r="DO300" s="5" t="s">
        <v>238</v>
      </c>
      <c r="DP300" s="5" t="s">
        <v>238</v>
      </c>
      <c r="DQ300" s="5" t="s">
        <v>238</v>
      </c>
      <c r="DT300" s="5" t="s">
        <v>1092</v>
      </c>
      <c r="DU300" s="5" t="s">
        <v>274</v>
      </c>
      <c r="GL300" s="5" t="s">
        <v>2161</v>
      </c>
      <c r="HM300" s="5" t="s">
        <v>313</v>
      </c>
      <c r="HP300" s="5" t="s">
        <v>272</v>
      </c>
      <c r="HQ300" s="5" t="s">
        <v>272</v>
      </c>
      <c r="HR300" s="5" t="s">
        <v>238</v>
      </c>
      <c r="HS300" s="5" t="s">
        <v>238</v>
      </c>
      <c r="HT300" s="5" t="s">
        <v>238</v>
      </c>
      <c r="HU300" s="5" t="s">
        <v>238</v>
      </c>
      <c r="HV300" s="5" t="s">
        <v>238</v>
      </c>
      <c r="HW300" s="5" t="s">
        <v>238</v>
      </c>
      <c r="HX300" s="5" t="s">
        <v>238</v>
      </c>
      <c r="HY300" s="5" t="s">
        <v>238</v>
      </c>
      <c r="HZ300" s="5" t="s">
        <v>238</v>
      </c>
      <c r="IA300" s="5" t="s">
        <v>238</v>
      </c>
      <c r="IB300" s="5" t="s">
        <v>238</v>
      </c>
      <c r="IC300" s="5" t="s">
        <v>238</v>
      </c>
      <c r="ID300" s="5" t="s">
        <v>238</v>
      </c>
    </row>
    <row r="301" spans="1:238" x14ac:dyDescent="0.4">
      <c r="A301" s="5">
        <v>331</v>
      </c>
      <c r="B301" s="5">
        <v>1</v>
      </c>
      <c r="C301" s="5">
        <v>1</v>
      </c>
      <c r="D301" s="5" t="s">
        <v>1088</v>
      </c>
      <c r="E301" s="5" t="s">
        <v>347</v>
      </c>
      <c r="F301" s="5" t="s">
        <v>282</v>
      </c>
      <c r="G301" s="5" t="s">
        <v>239</v>
      </c>
      <c r="H301" s="6" t="s">
        <v>1090</v>
      </c>
      <c r="I301" s="5" t="s">
        <v>239</v>
      </c>
      <c r="J301" s="7">
        <f>12</f>
        <v>12</v>
      </c>
      <c r="K301" s="5" t="s">
        <v>270</v>
      </c>
      <c r="L301" s="8">
        <f>1</f>
        <v>1</v>
      </c>
      <c r="M301" s="8">
        <f>2016000</f>
        <v>2016000</v>
      </c>
      <c r="N301" s="6" t="s">
        <v>1089</v>
      </c>
      <c r="O301" s="5" t="s">
        <v>268</v>
      </c>
      <c r="P301" s="5" t="s">
        <v>1091</v>
      </c>
      <c r="R301" s="8">
        <f>2015999</f>
        <v>2015999</v>
      </c>
      <c r="S301" s="5" t="s">
        <v>240</v>
      </c>
      <c r="T301" s="5" t="s">
        <v>237</v>
      </c>
      <c r="U301" s="5" t="s">
        <v>238</v>
      </c>
      <c r="V301" s="5" t="s">
        <v>238</v>
      </c>
      <c r="W301" s="5" t="s">
        <v>241</v>
      </c>
      <c r="X301" s="5" t="s">
        <v>337</v>
      </c>
      <c r="Y301" s="5" t="s">
        <v>238</v>
      </c>
      <c r="AB301" s="5" t="s">
        <v>238</v>
      </c>
      <c r="AD301" s="6" t="s">
        <v>238</v>
      </c>
      <c r="AG301" s="6" t="s">
        <v>246</v>
      </c>
      <c r="AH301" s="5" t="s">
        <v>247</v>
      </c>
      <c r="AI301" s="5" t="s">
        <v>248</v>
      </c>
      <c r="AY301" s="5" t="s">
        <v>250</v>
      </c>
      <c r="AZ301" s="5" t="s">
        <v>238</v>
      </c>
      <c r="BA301" s="5" t="s">
        <v>251</v>
      </c>
      <c r="BB301" s="5" t="s">
        <v>238</v>
      </c>
      <c r="BC301" s="5" t="s">
        <v>253</v>
      </c>
      <c r="BD301" s="5" t="s">
        <v>238</v>
      </c>
      <c r="BF301" s="5" t="s">
        <v>238</v>
      </c>
      <c r="BH301" s="5" t="s">
        <v>254</v>
      </c>
      <c r="BI301" s="6" t="s">
        <v>246</v>
      </c>
      <c r="BJ301" s="5" t="s">
        <v>255</v>
      </c>
      <c r="BK301" s="5" t="s">
        <v>256</v>
      </c>
      <c r="BL301" s="5" t="s">
        <v>238</v>
      </c>
      <c r="BM301" s="7">
        <f>0</f>
        <v>0</v>
      </c>
      <c r="BN301" s="8">
        <f>0</f>
        <v>0</v>
      </c>
      <c r="BO301" s="5" t="s">
        <v>257</v>
      </c>
      <c r="BP301" s="5" t="s">
        <v>258</v>
      </c>
      <c r="CD301" s="5" t="s">
        <v>238</v>
      </c>
      <c r="CE301" s="5" t="s">
        <v>238</v>
      </c>
      <c r="CI301" s="5" t="s">
        <v>259</v>
      </c>
      <c r="CJ301" s="5" t="s">
        <v>260</v>
      </c>
      <c r="CK301" s="5" t="s">
        <v>238</v>
      </c>
      <c r="CM301" s="5" t="s">
        <v>306</v>
      </c>
      <c r="CN301" s="6" t="s">
        <v>262</v>
      </c>
      <c r="CO301" s="5" t="s">
        <v>263</v>
      </c>
      <c r="CP301" s="5" t="s">
        <v>264</v>
      </c>
      <c r="CQ301" s="5" t="s">
        <v>238</v>
      </c>
      <c r="CR301" s="5" t="s">
        <v>238</v>
      </c>
      <c r="CS301" s="5">
        <v>0</v>
      </c>
      <c r="CT301" s="5" t="s">
        <v>265</v>
      </c>
      <c r="CU301" s="5" t="s">
        <v>266</v>
      </c>
      <c r="CV301" s="5" t="s">
        <v>267</v>
      </c>
      <c r="CX301" s="8">
        <f>2016000</f>
        <v>2016000</v>
      </c>
      <c r="CY301" s="8">
        <f>0</f>
        <v>0</v>
      </c>
      <c r="DA301" s="5" t="s">
        <v>238</v>
      </c>
      <c r="DB301" s="5" t="s">
        <v>238</v>
      </c>
      <c r="DD301" s="5" t="s">
        <v>238</v>
      </c>
      <c r="DG301" s="5" t="s">
        <v>238</v>
      </c>
      <c r="DH301" s="5" t="s">
        <v>238</v>
      </c>
      <c r="DI301" s="5" t="s">
        <v>238</v>
      </c>
      <c r="DJ301" s="5" t="s">
        <v>238</v>
      </c>
      <c r="DK301" s="5" t="s">
        <v>271</v>
      </c>
      <c r="DL301" s="5" t="s">
        <v>272</v>
      </c>
      <c r="DM301" s="7">
        <f>12</f>
        <v>12</v>
      </c>
      <c r="DN301" s="5" t="s">
        <v>238</v>
      </c>
      <c r="DO301" s="5" t="s">
        <v>238</v>
      </c>
      <c r="DP301" s="5" t="s">
        <v>238</v>
      </c>
      <c r="DQ301" s="5" t="s">
        <v>238</v>
      </c>
      <c r="DT301" s="5" t="s">
        <v>1092</v>
      </c>
      <c r="DU301" s="5" t="s">
        <v>356</v>
      </c>
      <c r="HM301" s="5" t="s">
        <v>271</v>
      </c>
      <c r="HP301" s="5" t="s">
        <v>272</v>
      </c>
      <c r="HQ301" s="5" t="s">
        <v>272</v>
      </c>
    </row>
    <row r="302" spans="1:238" x14ac:dyDescent="0.4">
      <c r="A302" s="5">
        <v>332</v>
      </c>
      <c r="B302" s="5">
        <v>1</v>
      </c>
      <c r="C302" s="5">
        <v>4</v>
      </c>
      <c r="D302" s="5" t="s">
        <v>1088</v>
      </c>
      <c r="E302" s="5" t="s">
        <v>347</v>
      </c>
      <c r="F302" s="5" t="s">
        <v>282</v>
      </c>
      <c r="G302" s="5" t="s">
        <v>349</v>
      </c>
      <c r="H302" s="6" t="s">
        <v>1090</v>
      </c>
      <c r="I302" s="5" t="s">
        <v>345</v>
      </c>
      <c r="J302" s="7">
        <f>0</f>
        <v>0</v>
      </c>
      <c r="K302" s="5" t="s">
        <v>270</v>
      </c>
      <c r="L302" s="8">
        <f>8634074</f>
        <v>8634074</v>
      </c>
      <c r="M302" s="8">
        <f>11227664</f>
        <v>11227664</v>
      </c>
      <c r="N302" s="6" t="s">
        <v>567</v>
      </c>
      <c r="O302" s="5" t="s">
        <v>319</v>
      </c>
      <c r="P302" s="5" t="s">
        <v>271</v>
      </c>
      <c r="Q302" s="8">
        <f>864530</f>
        <v>864530</v>
      </c>
      <c r="R302" s="8">
        <f>2593590</f>
        <v>2593590</v>
      </c>
      <c r="S302" s="5" t="s">
        <v>240</v>
      </c>
      <c r="T302" s="5" t="s">
        <v>287</v>
      </c>
      <c r="U302" s="5" t="s">
        <v>238</v>
      </c>
      <c r="V302" s="5" t="s">
        <v>238</v>
      </c>
      <c r="W302" s="5" t="s">
        <v>241</v>
      </c>
      <c r="X302" s="5" t="s">
        <v>238</v>
      </c>
      <c r="Y302" s="5" t="s">
        <v>238</v>
      </c>
      <c r="AB302" s="5" t="s">
        <v>238</v>
      </c>
      <c r="AC302" s="6" t="s">
        <v>238</v>
      </c>
      <c r="AD302" s="6" t="s">
        <v>238</v>
      </c>
      <c r="AF302" s="6" t="s">
        <v>238</v>
      </c>
      <c r="AG302" s="6" t="s">
        <v>246</v>
      </c>
      <c r="AH302" s="5" t="s">
        <v>247</v>
      </c>
      <c r="AI302" s="5" t="s">
        <v>248</v>
      </c>
      <c r="AO302" s="5" t="s">
        <v>238</v>
      </c>
      <c r="AP302" s="5" t="s">
        <v>238</v>
      </c>
      <c r="AQ302" s="5" t="s">
        <v>238</v>
      </c>
      <c r="AR302" s="6" t="s">
        <v>238</v>
      </c>
      <c r="AS302" s="6" t="s">
        <v>238</v>
      </c>
      <c r="AT302" s="6" t="s">
        <v>238</v>
      </c>
      <c r="AW302" s="5" t="s">
        <v>304</v>
      </c>
      <c r="AX302" s="5" t="s">
        <v>304</v>
      </c>
      <c r="AY302" s="5" t="s">
        <v>250</v>
      </c>
      <c r="AZ302" s="5" t="s">
        <v>305</v>
      </c>
      <c r="BA302" s="5" t="s">
        <v>251</v>
      </c>
      <c r="BB302" s="5" t="s">
        <v>238</v>
      </c>
      <c r="BC302" s="5" t="s">
        <v>253</v>
      </c>
      <c r="BD302" s="5" t="s">
        <v>238</v>
      </c>
      <c r="BF302" s="5" t="s">
        <v>238</v>
      </c>
      <c r="BH302" s="5" t="s">
        <v>283</v>
      </c>
      <c r="BI302" s="6" t="s">
        <v>293</v>
      </c>
      <c r="BJ302" s="5" t="s">
        <v>294</v>
      </c>
      <c r="BK302" s="5" t="s">
        <v>294</v>
      </c>
      <c r="BL302" s="5" t="s">
        <v>238</v>
      </c>
      <c r="BM302" s="7">
        <f>0</f>
        <v>0</v>
      </c>
      <c r="BN302" s="8">
        <f>-864530</f>
        <v>-864530</v>
      </c>
      <c r="BO302" s="5" t="s">
        <v>257</v>
      </c>
      <c r="BP302" s="5" t="s">
        <v>258</v>
      </c>
      <c r="BQ302" s="5" t="s">
        <v>238</v>
      </c>
      <c r="BR302" s="5" t="s">
        <v>238</v>
      </c>
      <c r="BS302" s="5" t="s">
        <v>238</v>
      </c>
      <c r="BT302" s="5" t="s">
        <v>238</v>
      </c>
      <c r="CC302" s="5" t="s">
        <v>258</v>
      </c>
      <c r="CD302" s="5" t="s">
        <v>238</v>
      </c>
      <c r="CE302" s="5" t="s">
        <v>238</v>
      </c>
      <c r="CI302" s="5" t="s">
        <v>259</v>
      </c>
      <c r="CJ302" s="5" t="s">
        <v>260</v>
      </c>
      <c r="CK302" s="5" t="s">
        <v>238</v>
      </c>
      <c r="CM302" s="5" t="s">
        <v>291</v>
      </c>
      <c r="CN302" s="6" t="s">
        <v>262</v>
      </c>
      <c r="CO302" s="5" t="s">
        <v>263</v>
      </c>
      <c r="CP302" s="5" t="s">
        <v>264</v>
      </c>
      <c r="CQ302" s="5" t="s">
        <v>285</v>
      </c>
      <c r="CR302" s="5" t="s">
        <v>238</v>
      </c>
      <c r="CS302" s="5">
        <v>7.6999999999999999E-2</v>
      </c>
      <c r="CT302" s="5" t="s">
        <v>265</v>
      </c>
      <c r="CU302" s="5" t="s">
        <v>351</v>
      </c>
      <c r="CV302" s="5" t="s">
        <v>352</v>
      </c>
      <c r="CW302" s="7">
        <f>0</f>
        <v>0</v>
      </c>
      <c r="CX302" s="8">
        <f>11227664</f>
        <v>11227664</v>
      </c>
      <c r="CY302" s="8">
        <f>9498604</f>
        <v>9498604</v>
      </c>
      <c r="DA302" s="5" t="s">
        <v>238</v>
      </c>
      <c r="DB302" s="5" t="s">
        <v>238</v>
      </c>
      <c r="DD302" s="5" t="s">
        <v>238</v>
      </c>
      <c r="DE302" s="8">
        <f>0</f>
        <v>0</v>
      </c>
      <c r="DG302" s="5" t="s">
        <v>238</v>
      </c>
      <c r="DH302" s="5" t="s">
        <v>238</v>
      </c>
      <c r="DI302" s="5" t="s">
        <v>238</v>
      </c>
      <c r="DJ302" s="5" t="s">
        <v>238</v>
      </c>
      <c r="DK302" s="5" t="s">
        <v>272</v>
      </c>
      <c r="DL302" s="5" t="s">
        <v>272</v>
      </c>
      <c r="DM302" s="8" t="s">
        <v>238</v>
      </c>
      <c r="DN302" s="5" t="s">
        <v>238</v>
      </c>
      <c r="DO302" s="5" t="s">
        <v>238</v>
      </c>
      <c r="DP302" s="5" t="s">
        <v>238</v>
      </c>
      <c r="DQ302" s="5" t="s">
        <v>238</v>
      </c>
      <c r="DT302" s="5" t="s">
        <v>1092</v>
      </c>
      <c r="DU302" s="5" t="s">
        <v>310</v>
      </c>
      <c r="GL302" s="5" t="s">
        <v>2883</v>
      </c>
      <c r="HM302" s="5" t="s">
        <v>356</v>
      </c>
      <c r="HP302" s="5" t="s">
        <v>272</v>
      </c>
      <c r="HQ302" s="5" t="s">
        <v>272</v>
      </c>
      <c r="HR302" s="5" t="s">
        <v>238</v>
      </c>
      <c r="HS302" s="5" t="s">
        <v>238</v>
      </c>
      <c r="HT302" s="5" t="s">
        <v>238</v>
      </c>
      <c r="HU302" s="5" t="s">
        <v>238</v>
      </c>
      <c r="HV302" s="5" t="s">
        <v>238</v>
      </c>
      <c r="HW302" s="5" t="s">
        <v>238</v>
      </c>
      <c r="HX302" s="5" t="s">
        <v>238</v>
      </c>
      <c r="HY302" s="5" t="s">
        <v>238</v>
      </c>
      <c r="HZ302" s="5" t="s">
        <v>238</v>
      </c>
      <c r="IA302" s="5" t="s">
        <v>238</v>
      </c>
      <c r="IB302" s="5" t="s">
        <v>238</v>
      </c>
      <c r="IC302" s="5" t="s">
        <v>238</v>
      </c>
      <c r="ID302" s="5" t="s">
        <v>238</v>
      </c>
    </row>
    <row r="303" spans="1:238" x14ac:dyDescent="0.4">
      <c r="A303" s="5">
        <v>333</v>
      </c>
      <c r="B303" s="5">
        <v>1</v>
      </c>
      <c r="C303" s="5">
        <v>1</v>
      </c>
      <c r="D303" s="5" t="s">
        <v>1083</v>
      </c>
      <c r="E303" s="5" t="s">
        <v>347</v>
      </c>
      <c r="F303" s="5" t="s">
        <v>282</v>
      </c>
      <c r="G303" s="5" t="s">
        <v>2142</v>
      </c>
      <c r="H303" s="6" t="s">
        <v>1086</v>
      </c>
      <c r="I303" s="5" t="s">
        <v>2142</v>
      </c>
      <c r="J303" s="7">
        <f>62</f>
        <v>62</v>
      </c>
      <c r="K303" s="5" t="s">
        <v>270</v>
      </c>
      <c r="L303" s="8">
        <f>1</f>
        <v>1</v>
      </c>
      <c r="M303" s="8">
        <f>10416000</f>
        <v>10416000</v>
      </c>
      <c r="N303" s="6" t="s">
        <v>662</v>
      </c>
      <c r="O303" s="5" t="s">
        <v>286</v>
      </c>
      <c r="P303" s="5" t="s">
        <v>286</v>
      </c>
      <c r="R303" s="8">
        <f>10415999</f>
        <v>10415999</v>
      </c>
      <c r="S303" s="5" t="s">
        <v>240</v>
      </c>
      <c r="T303" s="5" t="s">
        <v>237</v>
      </c>
      <c r="U303" s="5" t="s">
        <v>238</v>
      </c>
      <c r="V303" s="5" t="s">
        <v>238</v>
      </c>
      <c r="W303" s="5" t="s">
        <v>241</v>
      </c>
      <c r="X303" s="5" t="s">
        <v>337</v>
      </c>
      <c r="Y303" s="5" t="s">
        <v>238</v>
      </c>
      <c r="AB303" s="5" t="s">
        <v>238</v>
      </c>
      <c r="AD303" s="6" t="s">
        <v>238</v>
      </c>
      <c r="AG303" s="6" t="s">
        <v>246</v>
      </c>
      <c r="AH303" s="5" t="s">
        <v>247</v>
      </c>
      <c r="AI303" s="5" t="s">
        <v>248</v>
      </c>
      <c r="AY303" s="5" t="s">
        <v>250</v>
      </c>
      <c r="AZ303" s="5" t="s">
        <v>238</v>
      </c>
      <c r="BA303" s="5" t="s">
        <v>251</v>
      </c>
      <c r="BB303" s="5" t="s">
        <v>238</v>
      </c>
      <c r="BC303" s="5" t="s">
        <v>253</v>
      </c>
      <c r="BD303" s="5" t="s">
        <v>238</v>
      </c>
      <c r="BF303" s="5" t="s">
        <v>1522</v>
      </c>
      <c r="BH303" s="5" t="s">
        <v>798</v>
      </c>
      <c r="BI303" s="6" t="s">
        <v>2162</v>
      </c>
      <c r="BJ303" s="5" t="s">
        <v>255</v>
      </c>
      <c r="BK303" s="5" t="s">
        <v>294</v>
      </c>
      <c r="BL303" s="5" t="s">
        <v>238</v>
      </c>
      <c r="BM303" s="7">
        <f>0</f>
        <v>0</v>
      </c>
      <c r="BN303" s="8">
        <f>0</f>
        <v>0</v>
      </c>
      <c r="BO303" s="5" t="s">
        <v>257</v>
      </c>
      <c r="BP303" s="5" t="s">
        <v>258</v>
      </c>
      <c r="CD303" s="5" t="s">
        <v>238</v>
      </c>
      <c r="CE303" s="5" t="s">
        <v>238</v>
      </c>
      <c r="CI303" s="5" t="s">
        <v>259</v>
      </c>
      <c r="CJ303" s="5" t="s">
        <v>260</v>
      </c>
      <c r="CK303" s="5" t="s">
        <v>238</v>
      </c>
      <c r="CM303" s="5" t="s">
        <v>638</v>
      </c>
      <c r="CN303" s="6" t="s">
        <v>262</v>
      </c>
      <c r="CO303" s="5" t="s">
        <v>263</v>
      </c>
      <c r="CP303" s="5" t="s">
        <v>264</v>
      </c>
      <c r="CQ303" s="5" t="s">
        <v>238</v>
      </c>
      <c r="CR303" s="5" t="s">
        <v>238</v>
      </c>
      <c r="CS303" s="5">
        <v>0</v>
      </c>
      <c r="CT303" s="5" t="s">
        <v>265</v>
      </c>
      <c r="CU303" s="5" t="s">
        <v>2145</v>
      </c>
      <c r="CV303" s="5" t="s">
        <v>267</v>
      </c>
      <c r="CX303" s="8">
        <f>10416000</f>
        <v>10416000</v>
      </c>
      <c r="CY303" s="8">
        <f>0</f>
        <v>0</v>
      </c>
      <c r="DA303" s="5" t="s">
        <v>238</v>
      </c>
      <c r="DB303" s="5" t="s">
        <v>238</v>
      </c>
      <c r="DD303" s="5" t="s">
        <v>238</v>
      </c>
      <c r="DG303" s="5" t="s">
        <v>238</v>
      </c>
      <c r="DH303" s="5" t="s">
        <v>238</v>
      </c>
      <c r="DI303" s="5" t="s">
        <v>238</v>
      </c>
      <c r="DJ303" s="5" t="s">
        <v>238</v>
      </c>
      <c r="DK303" s="5" t="s">
        <v>271</v>
      </c>
      <c r="DL303" s="5" t="s">
        <v>272</v>
      </c>
      <c r="DM303" s="7">
        <f>62</f>
        <v>62</v>
      </c>
      <c r="DN303" s="5" t="s">
        <v>238</v>
      </c>
      <c r="DO303" s="5" t="s">
        <v>238</v>
      </c>
      <c r="DP303" s="5" t="s">
        <v>238</v>
      </c>
      <c r="DQ303" s="5" t="s">
        <v>238</v>
      </c>
      <c r="DT303" s="5" t="s">
        <v>1087</v>
      </c>
      <c r="DU303" s="5" t="s">
        <v>271</v>
      </c>
      <c r="HM303" s="5" t="s">
        <v>356</v>
      </c>
      <c r="HP303" s="5" t="s">
        <v>272</v>
      </c>
      <c r="HQ303" s="5" t="s">
        <v>272</v>
      </c>
    </row>
    <row r="304" spans="1:238" x14ac:dyDescent="0.4">
      <c r="A304" s="5">
        <v>334</v>
      </c>
      <c r="B304" s="5">
        <v>1</v>
      </c>
      <c r="C304" s="5">
        <v>1</v>
      </c>
      <c r="D304" s="5" t="s">
        <v>1083</v>
      </c>
      <c r="E304" s="5" t="s">
        <v>347</v>
      </c>
      <c r="F304" s="5" t="s">
        <v>282</v>
      </c>
      <c r="G304" s="5" t="s">
        <v>1497</v>
      </c>
      <c r="H304" s="6" t="s">
        <v>1086</v>
      </c>
      <c r="I304" s="5" t="s">
        <v>1497</v>
      </c>
      <c r="J304" s="7">
        <f>459</f>
        <v>459</v>
      </c>
      <c r="K304" s="5" t="s">
        <v>270</v>
      </c>
      <c r="L304" s="8">
        <f>1</f>
        <v>1</v>
      </c>
      <c r="M304" s="8">
        <f>36720000</f>
        <v>36720000</v>
      </c>
      <c r="N304" s="6" t="s">
        <v>1084</v>
      </c>
      <c r="O304" s="5" t="s">
        <v>755</v>
      </c>
      <c r="P304" s="5" t="s">
        <v>755</v>
      </c>
      <c r="R304" s="8">
        <f>36719999</f>
        <v>36719999</v>
      </c>
      <c r="S304" s="5" t="s">
        <v>240</v>
      </c>
      <c r="T304" s="5" t="s">
        <v>237</v>
      </c>
      <c r="U304" s="5" t="s">
        <v>238</v>
      </c>
      <c r="V304" s="5" t="s">
        <v>238</v>
      </c>
      <c r="W304" s="5" t="s">
        <v>241</v>
      </c>
      <c r="X304" s="5" t="s">
        <v>337</v>
      </c>
      <c r="Y304" s="5" t="s">
        <v>238</v>
      </c>
      <c r="AB304" s="5" t="s">
        <v>238</v>
      </c>
      <c r="AD304" s="6" t="s">
        <v>238</v>
      </c>
      <c r="AG304" s="6" t="s">
        <v>1085</v>
      </c>
      <c r="AH304" s="5" t="s">
        <v>247</v>
      </c>
      <c r="AI304" s="5" t="s">
        <v>248</v>
      </c>
      <c r="AY304" s="5" t="s">
        <v>250</v>
      </c>
      <c r="AZ304" s="5" t="s">
        <v>238</v>
      </c>
      <c r="BA304" s="5" t="s">
        <v>251</v>
      </c>
      <c r="BB304" s="5" t="s">
        <v>238</v>
      </c>
      <c r="BC304" s="5" t="s">
        <v>253</v>
      </c>
      <c r="BD304" s="5" t="s">
        <v>238</v>
      </c>
      <c r="BF304" s="5" t="s">
        <v>238</v>
      </c>
      <c r="BH304" s="5" t="s">
        <v>798</v>
      </c>
      <c r="BI304" s="6" t="s">
        <v>1085</v>
      </c>
      <c r="BJ304" s="5" t="s">
        <v>255</v>
      </c>
      <c r="BK304" s="5" t="s">
        <v>256</v>
      </c>
      <c r="BL304" s="5" t="s">
        <v>238</v>
      </c>
      <c r="BM304" s="7">
        <f>0</f>
        <v>0</v>
      </c>
      <c r="BN304" s="8">
        <f>0</f>
        <v>0</v>
      </c>
      <c r="BO304" s="5" t="s">
        <v>257</v>
      </c>
      <c r="BP304" s="5" t="s">
        <v>258</v>
      </c>
      <c r="CD304" s="5" t="s">
        <v>238</v>
      </c>
      <c r="CE304" s="5" t="s">
        <v>238</v>
      </c>
      <c r="CI304" s="5" t="s">
        <v>527</v>
      </c>
      <c r="CJ304" s="5" t="s">
        <v>260</v>
      </c>
      <c r="CK304" s="5" t="s">
        <v>238</v>
      </c>
      <c r="CM304" s="5" t="s">
        <v>1020</v>
      </c>
      <c r="CN304" s="6" t="s">
        <v>262</v>
      </c>
      <c r="CO304" s="5" t="s">
        <v>263</v>
      </c>
      <c r="CP304" s="5" t="s">
        <v>264</v>
      </c>
      <c r="CQ304" s="5" t="s">
        <v>238</v>
      </c>
      <c r="CR304" s="5" t="s">
        <v>238</v>
      </c>
      <c r="CS304" s="5">
        <v>0</v>
      </c>
      <c r="CT304" s="5" t="s">
        <v>265</v>
      </c>
      <c r="CU304" s="5" t="s">
        <v>1493</v>
      </c>
      <c r="CV304" s="5" t="s">
        <v>649</v>
      </c>
      <c r="CX304" s="8">
        <f>36720000</f>
        <v>36720000</v>
      </c>
      <c r="CY304" s="8">
        <f>0</f>
        <v>0</v>
      </c>
      <c r="DA304" s="5" t="s">
        <v>238</v>
      </c>
      <c r="DB304" s="5" t="s">
        <v>238</v>
      </c>
      <c r="DD304" s="5" t="s">
        <v>238</v>
      </c>
      <c r="DG304" s="5" t="s">
        <v>238</v>
      </c>
      <c r="DH304" s="5" t="s">
        <v>238</v>
      </c>
      <c r="DI304" s="5" t="s">
        <v>238</v>
      </c>
      <c r="DJ304" s="5" t="s">
        <v>238</v>
      </c>
      <c r="DK304" s="5" t="s">
        <v>271</v>
      </c>
      <c r="DL304" s="5" t="s">
        <v>272</v>
      </c>
      <c r="DM304" s="7">
        <f>459</f>
        <v>459</v>
      </c>
      <c r="DN304" s="5" t="s">
        <v>238</v>
      </c>
      <c r="DO304" s="5" t="s">
        <v>238</v>
      </c>
      <c r="DP304" s="5" t="s">
        <v>238</v>
      </c>
      <c r="DQ304" s="5" t="s">
        <v>238</v>
      </c>
      <c r="DT304" s="5" t="s">
        <v>1087</v>
      </c>
      <c r="DU304" s="5" t="s">
        <v>274</v>
      </c>
      <c r="HM304" s="5" t="s">
        <v>271</v>
      </c>
      <c r="HP304" s="5" t="s">
        <v>272</v>
      </c>
      <c r="HQ304" s="5" t="s">
        <v>272</v>
      </c>
    </row>
    <row r="305" spans="1:238" x14ac:dyDescent="0.4">
      <c r="A305" s="5">
        <v>335</v>
      </c>
      <c r="B305" s="5">
        <v>1</v>
      </c>
      <c r="C305" s="5">
        <v>1</v>
      </c>
      <c r="D305" s="5" t="s">
        <v>1083</v>
      </c>
      <c r="E305" s="5" t="s">
        <v>347</v>
      </c>
      <c r="F305" s="5" t="s">
        <v>282</v>
      </c>
      <c r="G305" s="5" t="s">
        <v>239</v>
      </c>
      <c r="H305" s="6" t="s">
        <v>1086</v>
      </c>
      <c r="I305" s="5" t="s">
        <v>239</v>
      </c>
      <c r="J305" s="7">
        <f>13</f>
        <v>13</v>
      </c>
      <c r="K305" s="5" t="s">
        <v>270</v>
      </c>
      <c r="L305" s="8">
        <f>1</f>
        <v>1</v>
      </c>
      <c r="M305" s="8">
        <f>780000</f>
        <v>780000</v>
      </c>
      <c r="N305" s="6" t="s">
        <v>1084</v>
      </c>
      <c r="O305" s="5" t="s">
        <v>651</v>
      </c>
      <c r="P305" s="5" t="s">
        <v>755</v>
      </c>
      <c r="R305" s="8">
        <f>779999</f>
        <v>779999</v>
      </c>
      <c r="S305" s="5" t="s">
        <v>240</v>
      </c>
      <c r="T305" s="5" t="s">
        <v>237</v>
      </c>
      <c r="U305" s="5" t="s">
        <v>238</v>
      </c>
      <c r="V305" s="5" t="s">
        <v>238</v>
      </c>
      <c r="W305" s="5" t="s">
        <v>241</v>
      </c>
      <c r="X305" s="5" t="s">
        <v>337</v>
      </c>
      <c r="Y305" s="5" t="s">
        <v>238</v>
      </c>
      <c r="AB305" s="5" t="s">
        <v>238</v>
      </c>
      <c r="AD305" s="6" t="s">
        <v>238</v>
      </c>
      <c r="AG305" s="6" t="s">
        <v>1085</v>
      </c>
      <c r="AH305" s="5" t="s">
        <v>247</v>
      </c>
      <c r="AI305" s="5" t="s">
        <v>248</v>
      </c>
      <c r="AY305" s="5" t="s">
        <v>250</v>
      </c>
      <c r="AZ305" s="5" t="s">
        <v>238</v>
      </c>
      <c r="BA305" s="5" t="s">
        <v>251</v>
      </c>
      <c r="BB305" s="5" t="s">
        <v>238</v>
      </c>
      <c r="BC305" s="5" t="s">
        <v>253</v>
      </c>
      <c r="BD305" s="5" t="s">
        <v>238</v>
      </c>
      <c r="BF305" s="5" t="s">
        <v>238</v>
      </c>
      <c r="BH305" s="5" t="s">
        <v>798</v>
      </c>
      <c r="BI305" s="6" t="s">
        <v>799</v>
      </c>
      <c r="BJ305" s="5" t="s">
        <v>255</v>
      </c>
      <c r="BK305" s="5" t="s">
        <v>256</v>
      </c>
      <c r="BL305" s="5" t="s">
        <v>238</v>
      </c>
      <c r="BM305" s="7">
        <f>0</f>
        <v>0</v>
      </c>
      <c r="BN305" s="8">
        <f>0</f>
        <v>0</v>
      </c>
      <c r="BO305" s="5" t="s">
        <v>257</v>
      </c>
      <c r="BP305" s="5" t="s">
        <v>258</v>
      </c>
      <c r="CD305" s="5" t="s">
        <v>238</v>
      </c>
      <c r="CE305" s="5" t="s">
        <v>238</v>
      </c>
      <c r="CI305" s="5" t="s">
        <v>527</v>
      </c>
      <c r="CJ305" s="5" t="s">
        <v>260</v>
      </c>
      <c r="CK305" s="5" t="s">
        <v>238</v>
      </c>
      <c r="CM305" s="5" t="s">
        <v>1020</v>
      </c>
      <c r="CN305" s="6" t="s">
        <v>262</v>
      </c>
      <c r="CO305" s="5" t="s">
        <v>263</v>
      </c>
      <c r="CP305" s="5" t="s">
        <v>264</v>
      </c>
      <c r="CQ305" s="5" t="s">
        <v>238</v>
      </c>
      <c r="CR305" s="5" t="s">
        <v>238</v>
      </c>
      <c r="CS305" s="5">
        <v>0</v>
      </c>
      <c r="CT305" s="5" t="s">
        <v>265</v>
      </c>
      <c r="CU305" s="5" t="s">
        <v>266</v>
      </c>
      <c r="CV305" s="5" t="s">
        <v>331</v>
      </c>
      <c r="CX305" s="8">
        <f>780000</f>
        <v>780000</v>
      </c>
      <c r="CY305" s="8">
        <f>0</f>
        <v>0</v>
      </c>
      <c r="DA305" s="5" t="s">
        <v>238</v>
      </c>
      <c r="DB305" s="5" t="s">
        <v>238</v>
      </c>
      <c r="DD305" s="5" t="s">
        <v>238</v>
      </c>
      <c r="DG305" s="5" t="s">
        <v>238</v>
      </c>
      <c r="DH305" s="5" t="s">
        <v>238</v>
      </c>
      <c r="DI305" s="5" t="s">
        <v>238</v>
      </c>
      <c r="DJ305" s="5" t="s">
        <v>238</v>
      </c>
      <c r="DK305" s="5" t="s">
        <v>271</v>
      </c>
      <c r="DL305" s="5" t="s">
        <v>272</v>
      </c>
      <c r="DM305" s="7">
        <f>13</f>
        <v>13</v>
      </c>
      <c r="DN305" s="5" t="s">
        <v>238</v>
      </c>
      <c r="DO305" s="5" t="s">
        <v>238</v>
      </c>
      <c r="DP305" s="5" t="s">
        <v>238</v>
      </c>
      <c r="DQ305" s="5" t="s">
        <v>238</v>
      </c>
      <c r="DT305" s="5" t="s">
        <v>1087</v>
      </c>
      <c r="DU305" s="5" t="s">
        <v>356</v>
      </c>
      <c r="HM305" s="5" t="s">
        <v>271</v>
      </c>
      <c r="HP305" s="5" t="s">
        <v>272</v>
      </c>
      <c r="HQ305" s="5" t="s">
        <v>272</v>
      </c>
    </row>
    <row r="306" spans="1:238" x14ac:dyDescent="0.4">
      <c r="A306" s="5">
        <v>336</v>
      </c>
      <c r="B306" s="5">
        <v>1</v>
      </c>
      <c r="C306" s="5">
        <v>4</v>
      </c>
      <c r="D306" s="5" t="s">
        <v>1083</v>
      </c>
      <c r="E306" s="5" t="s">
        <v>347</v>
      </c>
      <c r="F306" s="5" t="s">
        <v>282</v>
      </c>
      <c r="G306" s="5" t="s">
        <v>349</v>
      </c>
      <c r="H306" s="6" t="s">
        <v>1086</v>
      </c>
      <c r="I306" s="5" t="s">
        <v>345</v>
      </c>
      <c r="J306" s="7">
        <f>0</f>
        <v>0</v>
      </c>
      <c r="K306" s="5" t="s">
        <v>270</v>
      </c>
      <c r="L306" s="8">
        <f>5460099</f>
        <v>5460099</v>
      </c>
      <c r="M306" s="8">
        <f>7100256</f>
        <v>7100256</v>
      </c>
      <c r="N306" s="6" t="s">
        <v>567</v>
      </c>
      <c r="O306" s="5" t="s">
        <v>319</v>
      </c>
      <c r="P306" s="5" t="s">
        <v>271</v>
      </c>
      <c r="Q306" s="8">
        <f>546719</f>
        <v>546719</v>
      </c>
      <c r="R306" s="8">
        <f>1640157</f>
        <v>1640157</v>
      </c>
      <c r="S306" s="5" t="s">
        <v>240</v>
      </c>
      <c r="T306" s="5" t="s">
        <v>287</v>
      </c>
      <c r="U306" s="5" t="s">
        <v>238</v>
      </c>
      <c r="V306" s="5" t="s">
        <v>238</v>
      </c>
      <c r="W306" s="5" t="s">
        <v>241</v>
      </c>
      <c r="X306" s="5" t="s">
        <v>238</v>
      </c>
      <c r="Y306" s="5" t="s">
        <v>238</v>
      </c>
      <c r="AB306" s="5" t="s">
        <v>238</v>
      </c>
      <c r="AC306" s="6" t="s">
        <v>238</v>
      </c>
      <c r="AD306" s="6" t="s">
        <v>238</v>
      </c>
      <c r="AF306" s="6" t="s">
        <v>238</v>
      </c>
      <c r="AG306" s="6" t="s">
        <v>246</v>
      </c>
      <c r="AH306" s="5" t="s">
        <v>247</v>
      </c>
      <c r="AI306" s="5" t="s">
        <v>248</v>
      </c>
      <c r="AO306" s="5" t="s">
        <v>238</v>
      </c>
      <c r="AP306" s="5" t="s">
        <v>238</v>
      </c>
      <c r="AQ306" s="5" t="s">
        <v>238</v>
      </c>
      <c r="AR306" s="6" t="s">
        <v>238</v>
      </c>
      <c r="AS306" s="6" t="s">
        <v>238</v>
      </c>
      <c r="AT306" s="6" t="s">
        <v>238</v>
      </c>
      <c r="AW306" s="5" t="s">
        <v>304</v>
      </c>
      <c r="AX306" s="5" t="s">
        <v>304</v>
      </c>
      <c r="AY306" s="5" t="s">
        <v>250</v>
      </c>
      <c r="AZ306" s="5" t="s">
        <v>305</v>
      </c>
      <c r="BA306" s="5" t="s">
        <v>251</v>
      </c>
      <c r="BB306" s="5" t="s">
        <v>238</v>
      </c>
      <c r="BC306" s="5" t="s">
        <v>253</v>
      </c>
      <c r="BD306" s="5" t="s">
        <v>238</v>
      </c>
      <c r="BF306" s="5" t="s">
        <v>238</v>
      </c>
      <c r="BH306" s="5" t="s">
        <v>283</v>
      </c>
      <c r="BI306" s="6" t="s">
        <v>293</v>
      </c>
      <c r="BJ306" s="5" t="s">
        <v>294</v>
      </c>
      <c r="BK306" s="5" t="s">
        <v>294</v>
      </c>
      <c r="BL306" s="5" t="s">
        <v>238</v>
      </c>
      <c r="BM306" s="7">
        <f>0</f>
        <v>0</v>
      </c>
      <c r="BN306" s="8">
        <f>-546719</f>
        <v>-546719</v>
      </c>
      <c r="BO306" s="5" t="s">
        <v>257</v>
      </c>
      <c r="BP306" s="5" t="s">
        <v>258</v>
      </c>
      <c r="BQ306" s="5" t="s">
        <v>238</v>
      </c>
      <c r="BR306" s="5" t="s">
        <v>238</v>
      </c>
      <c r="BS306" s="5" t="s">
        <v>238</v>
      </c>
      <c r="BT306" s="5" t="s">
        <v>238</v>
      </c>
      <c r="CC306" s="5" t="s">
        <v>258</v>
      </c>
      <c r="CD306" s="5" t="s">
        <v>238</v>
      </c>
      <c r="CE306" s="5" t="s">
        <v>238</v>
      </c>
      <c r="CI306" s="5" t="s">
        <v>259</v>
      </c>
      <c r="CJ306" s="5" t="s">
        <v>260</v>
      </c>
      <c r="CK306" s="5" t="s">
        <v>238</v>
      </c>
      <c r="CM306" s="5" t="s">
        <v>291</v>
      </c>
      <c r="CN306" s="6" t="s">
        <v>262</v>
      </c>
      <c r="CO306" s="5" t="s">
        <v>263</v>
      </c>
      <c r="CP306" s="5" t="s">
        <v>264</v>
      </c>
      <c r="CQ306" s="5" t="s">
        <v>285</v>
      </c>
      <c r="CR306" s="5" t="s">
        <v>238</v>
      </c>
      <c r="CS306" s="5">
        <v>7.6999999999999999E-2</v>
      </c>
      <c r="CT306" s="5" t="s">
        <v>265</v>
      </c>
      <c r="CU306" s="5" t="s">
        <v>351</v>
      </c>
      <c r="CV306" s="5" t="s">
        <v>352</v>
      </c>
      <c r="CW306" s="7">
        <f>0</f>
        <v>0</v>
      </c>
      <c r="CX306" s="8">
        <f>7100256</f>
        <v>7100256</v>
      </c>
      <c r="CY306" s="8">
        <f>6006818</f>
        <v>6006818</v>
      </c>
      <c r="DA306" s="5" t="s">
        <v>238</v>
      </c>
      <c r="DB306" s="5" t="s">
        <v>238</v>
      </c>
      <c r="DD306" s="5" t="s">
        <v>238</v>
      </c>
      <c r="DE306" s="8">
        <f>0</f>
        <v>0</v>
      </c>
      <c r="DG306" s="5" t="s">
        <v>238</v>
      </c>
      <c r="DH306" s="5" t="s">
        <v>238</v>
      </c>
      <c r="DI306" s="5" t="s">
        <v>238</v>
      </c>
      <c r="DJ306" s="5" t="s">
        <v>238</v>
      </c>
      <c r="DK306" s="5" t="s">
        <v>272</v>
      </c>
      <c r="DL306" s="5" t="s">
        <v>272</v>
      </c>
      <c r="DM306" s="8" t="s">
        <v>238</v>
      </c>
      <c r="DN306" s="5" t="s">
        <v>238</v>
      </c>
      <c r="DO306" s="5" t="s">
        <v>238</v>
      </c>
      <c r="DP306" s="5" t="s">
        <v>238</v>
      </c>
      <c r="DQ306" s="5" t="s">
        <v>238</v>
      </c>
      <c r="DT306" s="5" t="s">
        <v>1087</v>
      </c>
      <c r="DU306" s="5" t="s">
        <v>310</v>
      </c>
      <c r="GL306" s="5" t="s">
        <v>2882</v>
      </c>
      <c r="HM306" s="5" t="s">
        <v>356</v>
      </c>
      <c r="HP306" s="5" t="s">
        <v>272</v>
      </c>
      <c r="HQ306" s="5" t="s">
        <v>272</v>
      </c>
      <c r="HR306" s="5" t="s">
        <v>238</v>
      </c>
      <c r="HS306" s="5" t="s">
        <v>238</v>
      </c>
      <c r="HT306" s="5" t="s">
        <v>238</v>
      </c>
      <c r="HU306" s="5" t="s">
        <v>238</v>
      </c>
      <c r="HV306" s="5" t="s">
        <v>238</v>
      </c>
      <c r="HW306" s="5" t="s">
        <v>238</v>
      </c>
      <c r="HX306" s="5" t="s">
        <v>238</v>
      </c>
      <c r="HY306" s="5" t="s">
        <v>238</v>
      </c>
      <c r="HZ306" s="5" t="s">
        <v>238</v>
      </c>
      <c r="IA306" s="5" t="s">
        <v>238</v>
      </c>
      <c r="IB306" s="5" t="s">
        <v>238</v>
      </c>
      <c r="IC306" s="5" t="s">
        <v>238</v>
      </c>
      <c r="ID306" s="5" t="s">
        <v>238</v>
      </c>
    </row>
    <row r="307" spans="1:238" x14ac:dyDescent="0.4">
      <c r="A307" s="5">
        <v>338</v>
      </c>
      <c r="B307" s="5">
        <v>1</v>
      </c>
      <c r="C307" s="5">
        <v>4</v>
      </c>
      <c r="D307" s="5" t="s">
        <v>613</v>
      </c>
      <c r="E307" s="5" t="s">
        <v>347</v>
      </c>
      <c r="F307" s="5" t="s">
        <v>282</v>
      </c>
      <c r="G307" s="5" t="s">
        <v>1521</v>
      </c>
      <c r="H307" s="6" t="s">
        <v>614</v>
      </c>
      <c r="I307" s="5" t="s">
        <v>1497</v>
      </c>
      <c r="J307" s="7">
        <f>1973</f>
        <v>1973</v>
      </c>
      <c r="K307" s="5" t="s">
        <v>270</v>
      </c>
      <c r="L307" s="8">
        <f>134894010</f>
        <v>134894010</v>
      </c>
      <c r="M307" s="8">
        <f>424195000</f>
        <v>424195000</v>
      </c>
      <c r="N307" s="6" t="s">
        <v>1107</v>
      </c>
      <c r="O307" s="5" t="s">
        <v>898</v>
      </c>
      <c r="P307" s="5" t="s">
        <v>690</v>
      </c>
      <c r="Q307" s="8">
        <f>9332290</f>
        <v>9332290</v>
      </c>
      <c r="R307" s="8">
        <f>289300990</f>
        <v>289300990</v>
      </c>
      <c r="S307" s="5" t="s">
        <v>240</v>
      </c>
      <c r="T307" s="5" t="s">
        <v>237</v>
      </c>
      <c r="U307" s="5" t="s">
        <v>238</v>
      </c>
      <c r="V307" s="5" t="s">
        <v>238</v>
      </c>
      <c r="W307" s="5" t="s">
        <v>241</v>
      </c>
      <c r="X307" s="5" t="s">
        <v>337</v>
      </c>
      <c r="Y307" s="5" t="s">
        <v>238</v>
      </c>
      <c r="AB307" s="5" t="s">
        <v>238</v>
      </c>
      <c r="AC307" s="6" t="s">
        <v>238</v>
      </c>
      <c r="AD307" s="6" t="s">
        <v>238</v>
      </c>
      <c r="AF307" s="6" t="s">
        <v>238</v>
      </c>
      <c r="AG307" s="6" t="s">
        <v>246</v>
      </c>
      <c r="AH307" s="5" t="s">
        <v>247</v>
      </c>
      <c r="AI307" s="5" t="s">
        <v>248</v>
      </c>
      <c r="AO307" s="5" t="s">
        <v>238</v>
      </c>
      <c r="AP307" s="5" t="s">
        <v>238</v>
      </c>
      <c r="AQ307" s="5" t="s">
        <v>238</v>
      </c>
      <c r="AR307" s="6" t="s">
        <v>238</v>
      </c>
      <c r="AS307" s="6" t="s">
        <v>238</v>
      </c>
      <c r="AT307" s="6" t="s">
        <v>238</v>
      </c>
      <c r="AW307" s="5" t="s">
        <v>304</v>
      </c>
      <c r="AX307" s="5" t="s">
        <v>304</v>
      </c>
      <c r="AY307" s="5" t="s">
        <v>250</v>
      </c>
      <c r="AZ307" s="5" t="s">
        <v>305</v>
      </c>
      <c r="BA307" s="5" t="s">
        <v>251</v>
      </c>
      <c r="BB307" s="5" t="s">
        <v>238</v>
      </c>
      <c r="BC307" s="5" t="s">
        <v>253</v>
      </c>
      <c r="BD307" s="5" t="s">
        <v>238</v>
      </c>
      <c r="BF307" s="5" t="s">
        <v>1522</v>
      </c>
      <c r="BH307" s="5" t="s">
        <v>283</v>
      </c>
      <c r="BI307" s="6" t="s">
        <v>293</v>
      </c>
      <c r="BJ307" s="5" t="s">
        <v>294</v>
      </c>
      <c r="BK307" s="5" t="s">
        <v>294</v>
      </c>
      <c r="BL307" s="5" t="s">
        <v>238</v>
      </c>
      <c r="BM307" s="7">
        <f>0</f>
        <v>0</v>
      </c>
      <c r="BN307" s="8">
        <f>-9332290</f>
        <v>-9332290</v>
      </c>
      <c r="BO307" s="5" t="s">
        <v>257</v>
      </c>
      <c r="BP307" s="5" t="s">
        <v>258</v>
      </c>
      <c r="BQ307" s="5" t="s">
        <v>238</v>
      </c>
      <c r="BR307" s="5" t="s">
        <v>238</v>
      </c>
      <c r="BS307" s="5" t="s">
        <v>238</v>
      </c>
      <c r="BT307" s="5" t="s">
        <v>238</v>
      </c>
      <c r="CC307" s="5" t="s">
        <v>258</v>
      </c>
      <c r="CD307" s="5" t="s">
        <v>238</v>
      </c>
      <c r="CE307" s="5" t="s">
        <v>238</v>
      </c>
      <c r="CI307" s="5" t="s">
        <v>259</v>
      </c>
      <c r="CJ307" s="5" t="s">
        <v>260</v>
      </c>
      <c r="CK307" s="5" t="s">
        <v>238</v>
      </c>
      <c r="CM307" s="5" t="s">
        <v>768</v>
      </c>
      <c r="CN307" s="6" t="s">
        <v>262</v>
      </c>
      <c r="CO307" s="5" t="s">
        <v>263</v>
      </c>
      <c r="CP307" s="5" t="s">
        <v>264</v>
      </c>
      <c r="CQ307" s="5" t="s">
        <v>285</v>
      </c>
      <c r="CR307" s="5" t="s">
        <v>238</v>
      </c>
      <c r="CS307" s="5">
        <v>2.1999999999999999E-2</v>
      </c>
      <c r="CT307" s="5" t="s">
        <v>265</v>
      </c>
      <c r="CU307" s="5" t="s">
        <v>1493</v>
      </c>
      <c r="CV307" s="5" t="s">
        <v>308</v>
      </c>
      <c r="CW307" s="7">
        <f>0</f>
        <v>0</v>
      </c>
      <c r="CX307" s="8">
        <f>424195000</f>
        <v>424195000</v>
      </c>
      <c r="CY307" s="8">
        <f>144226300</f>
        <v>144226300</v>
      </c>
      <c r="DA307" s="5" t="s">
        <v>238</v>
      </c>
      <c r="DB307" s="5" t="s">
        <v>238</v>
      </c>
      <c r="DD307" s="5" t="s">
        <v>238</v>
      </c>
      <c r="DE307" s="8">
        <f>0</f>
        <v>0</v>
      </c>
      <c r="DG307" s="5" t="s">
        <v>238</v>
      </c>
      <c r="DH307" s="5" t="s">
        <v>238</v>
      </c>
      <c r="DI307" s="5" t="s">
        <v>238</v>
      </c>
      <c r="DJ307" s="5" t="s">
        <v>238</v>
      </c>
      <c r="DK307" s="5" t="s">
        <v>274</v>
      </c>
      <c r="DL307" s="5" t="s">
        <v>272</v>
      </c>
      <c r="DM307" s="7">
        <f>1973</f>
        <v>1973</v>
      </c>
      <c r="DN307" s="5" t="s">
        <v>238</v>
      </c>
      <c r="DO307" s="5" t="s">
        <v>238</v>
      </c>
      <c r="DP307" s="5" t="s">
        <v>238</v>
      </c>
      <c r="DQ307" s="5" t="s">
        <v>238</v>
      </c>
      <c r="DT307" s="5" t="s">
        <v>615</v>
      </c>
      <c r="DU307" s="5" t="s">
        <v>271</v>
      </c>
      <c r="GL307" s="5" t="s">
        <v>1570</v>
      </c>
      <c r="HM307" s="5" t="s">
        <v>313</v>
      </c>
      <c r="HP307" s="5" t="s">
        <v>272</v>
      </c>
      <c r="HQ307" s="5" t="s">
        <v>272</v>
      </c>
      <c r="HR307" s="5" t="s">
        <v>238</v>
      </c>
      <c r="HS307" s="5" t="s">
        <v>238</v>
      </c>
      <c r="HT307" s="5" t="s">
        <v>238</v>
      </c>
      <c r="HU307" s="5" t="s">
        <v>238</v>
      </c>
      <c r="HV307" s="5" t="s">
        <v>238</v>
      </c>
      <c r="HW307" s="5" t="s">
        <v>238</v>
      </c>
      <c r="HX307" s="5" t="s">
        <v>238</v>
      </c>
      <c r="HY307" s="5" t="s">
        <v>238</v>
      </c>
      <c r="HZ307" s="5" t="s">
        <v>238</v>
      </c>
      <c r="IA307" s="5" t="s">
        <v>238</v>
      </c>
      <c r="IB307" s="5" t="s">
        <v>238</v>
      </c>
      <c r="IC307" s="5" t="s">
        <v>238</v>
      </c>
      <c r="ID307" s="5" t="s">
        <v>238</v>
      </c>
    </row>
    <row r="308" spans="1:238" x14ac:dyDescent="0.4">
      <c r="A308" s="5">
        <v>339</v>
      </c>
      <c r="B308" s="5">
        <v>1</v>
      </c>
      <c r="C308" s="5">
        <v>4</v>
      </c>
      <c r="D308" s="5" t="s">
        <v>613</v>
      </c>
      <c r="E308" s="5" t="s">
        <v>347</v>
      </c>
      <c r="F308" s="5" t="s">
        <v>282</v>
      </c>
      <c r="G308" s="5" t="s">
        <v>1521</v>
      </c>
      <c r="H308" s="6" t="s">
        <v>614</v>
      </c>
      <c r="I308" s="5" t="s">
        <v>1497</v>
      </c>
      <c r="J308" s="7">
        <f>741</f>
        <v>741</v>
      </c>
      <c r="K308" s="5" t="s">
        <v>270</v>
      </c>
      <c r="L308" s="8">
        <f>13930800</f>
        <v>13930800</v>
      </c>
      <c r="M308" s="8">
        <f>139308000</f>
        <v>139308000</v>
      </c>
      <c r="N308" s="6" t="s">
        <v>1082</v>
      </c>
      <c r="O308" s="5" t="s">
        <v>755</v>
      </c>
      <c r="P308" s="5" t="s">
        <v>1091</v>
      </c>
      <c r="Q308" s="8">
        <f>4179240</f>
        <v>4179240</v>
      </c>
      <c r="R308" s="8">
        <f>125377200</f>
        <v>125377200</v>
      </c>
      <c r="S308" s="5" t="s">
        <v>240</v>
      </c>
      <c r="T308" s="5" t="s">
        <v>237</v>
      </c>
      <c r="U308" s="5" t="s">
        <v>238</v>
      </c>
      <c r="V308" s="5" t="s">
        <v>238</v>
      </c>
      <c r="W308" s="5" t="s">
        <v>241</v>
      </c>
      <c r="X308" s="5" t="s">
        <v>337</v>
      </c>
      <c r="Y308" s="5" t="s">
        <v>238</v>
      </c>
      <c r="AB308" s="5" t="s">
        <v>238</v>
      </c>
      <c r="AC308" s="6" t="s">
        <v>238</v>
      </c>
      <c r="AD308" s="6" t="s">
        <v>238</v>
      </c>
      <c r="AF308" s="6" t="s">
        <v>238</v>
      </c>
      <c r="AG308" s="6" t="s">
        <v>246</v>
      </c>
      <c r="AH308" s="5" t="s">
        <v>247</v>
      </c>
      <c r="AI308" s="5" t="s">
        <v>248</v>
      </c>
      <c r="AO308" s="5" t="s">
        <v>238</v>
      </c>
      <c r="AP308" s="5" t="s">
        <v>238</v>
      </c>
      <c r="AQ308" s="5" t="s">
        <v>238</v>
      </c>
      <c r="AR308" s="6" t="s">
        <v>238</v>
      </c>
      <c r="AS308" s="6" t="s">
        <v>238</v>
      </c>
      <c r="AT308" s="6" t="s">
        <v>238</v>
      </c>
      <c r="AW308" s="5" t="s">
        <v>304</v>
      </c>
      <c r="AX308" s="5" t="s">
        <v>304</v>
      </c>
      <c r="AY308" s="5" t="s">
        <v>250</v>
      </c>
      <c r="AZ308" s="5" t="s">
        <v>305</v>
      </c>
      <c r="BA308" s="5" t="s">
        <v>251</v>
      </c>
      <c r="BB308" s="5" t="s">
        <v>238</v>
      </c>
      <c r="BC308" s="5" t="s">
        <v>253</v>
      </c>
      <c r="BD308" s="5" t="s">
        <v>238</v>
      </c>
      <c r="BF308" s="5" t="s">
        <v>238</v>
      </c>
      <c r="BH308" s="5" t="s">
        <v>283</v>
      </c>
      <c r="BI308" s="6" t="s">
        <v>293</v>
      </c>
      <c r="BJ308" s="5" t="s">
        <v>294</v>
      </c>
      <c r="BK308" s="5" t="s">
        <v>294</v>
      </c>
      <c r="BL308" s="5" t="s">
        <v>238</v>
      </c>
      <c r="BM308" s="7">
        <f>0</f>
        <v>0</v>
      </c>
      <c r="BN308" s="8">
        <f>-4179240</f>
        <v>-4179240</v>
      </c>
      <c r="BO308" s="5" t="s">
        <v>257</v>
      </c>
      <c r="BP308" s="5" t="s">
        <v>258</v>
      </c>
      <c r="BQ308" s="5" t="s">
        <v>238</v>
      </c>
      <c r="BR308" s="5" t="s">
        <v>238</v>
      </c>
      <c r="BS308" s="5" t="s">
        <v>238</v>
      </c>
      <c r="BT308" s="5" t="s">
        <v>238</v>
      </c>
      <c r="CC308" s="5" t="s">
        <v>258</v>
      </c>
      <c r="CD308" s="5" t="s">
        <v>238</v>
      </c>
      <c r="CE308" s="5" t="s">
        <v>238</v>
      </c>
      <c r="CI308" s="5" t="s">
        <v>259</v>
      </c>
      <c r="CJ308" s="5" t="s">
        <v>260</v>
      </c>
      <c r="CK308" s="5" t="s">
        <v>238</v>
      </c>
      <c r="CM308" s="5" t="s">
        <v>958</v>
      </c>
      <c r="CN308" s="6" t="s">
        <v>262</v>
      </c>
      <c r="CO308" s="5" t="s">
        <v>263</v>
      </c>
      <c r="CP308" s="5" t="s">
        <v>264</v>
      </c>
      <c r="CQ308" s="5" t="s">
        <v>285</v>
      </c>
      <c r="CR308" s="5" t="s">
        <v>238</v>
      </c>
      <c r="CS308" s="5">
        <v>0.03</v>
      </c>
      <c r="CT308" s="5" t="s">
        <v>265</v>
      </c>
      <c r="CU308" s="5" t="s">
        <v>1493</v>
      </c>
      <c r="CV308" s="5" t="s">
        <v>649</v>
      </c>
      <c r="CW308" s="7">
        <f>0</f>
        <v>0</v>
      </c>
      <c r="CX308" s="8">
        <f>139308000</f>
        <v>139308000</v>
      </c>
      <c r="CY308" s="8">
        <f>18110040</f>
        <v>18110040</v>
      </c>
      <c r="DA308" s="5" t="s">
        <v>238</v>
      </c>
      <c r="DB308" s="5" t="s">
        <v>238</v>
      </c>
      <c r="DD308" s="5" t="s">
        <v>238</v>
      </c>
      <c r="DE308" s="8">
        <f>0</f>
        <v>0</v>
      </c>
      <c r="DG308" s="5" t="s">
        <v>238</v>
      </c>
      <c r="DH308" s="5" t="s">
        <v>238</v>
      </c>
      <c r="DI308" s="5" t="s">
        <v>238</v>
      </c>
      <c r="DJ308" s="5" t="s">
        <v>238</v>
      </c>
      <c r="DK308" s="5" t="s">
        <v>271</v>
      </c>
      <c r="DL308" s="5" t="s">
        <v>272</v>
      </c>
      <c r="DM308" s="7">
        <f>741</f>
        <v>741</v>
      </c>
      <c r="DN308" s="5" t="s">
        <v>238</v>
      </c>
      <c r="DO308" s="5" t="s">
        <v>238</v>
      </c>
      <c r="DP308" s="5" t="s">
        <v>238</v>
      </c>
      <c r="DQ308" s="5" t="s">
        <v>238</v>
      </c>
      <c r="DT308" s="5" t="s">
        <v>615</v>
      </c>
      <c r="DU308" s="5" t="s">
        <v>274</v>
      </c>
      <c r="GL308" s="5" t="s">
        <v>1569</v>
      </c>
      <c r="HM308" s="5" t="s">
        <v>313</v>
      </c>
      <c r="HP308" s="5" t="s">
        <v>272</v>
      </c>
      <c r="HQ308" s="5" t="s">
        <v>272</v>
      </c>
      <c r="HR308" s="5" t="s">
        <v>238</v>
      </c>
      <c r="HS308" s="5" t="s">
        <v>238</v>
      </c>
      <c r="HT308" s="5" t="s">
        <v>238</v>
      </c>
      <c r="HU308" s="5" t="s">
        <v>238</v>
      </c>
      <c r="HV308" s="5" t="s">
        <v>238</v>
      </c>
      <c r="HW308" s="5" t="s">
        <v>238</v>
      </c>
      <c r="HX308" s="5" t="s">
        <v>238</v>
      </c>
      <c r="HY308" s="5" t="s">
        <v>238</v>
      </c>
      <c r="HZ308" s="5" t="s">
        <v>238</v>
      </c>
      <c r="IA308" s="5" t="s">
        <v>238</v>
      </c>
      <c r="IB308" s="5" t="s">
        <v>238</v>
      </c>
      <c r="IC308" s="5" t="s">
        <v>238</v>
      </c>
      <c r="ID308" s="5" t="s">
        <v>238</v>
      </c>
    </row>
    <row r="309" spans="1:238" x14ac:dyDescent="0.4">
      <c r="A309" s="5">
        <v>340</v>
      </c>
      <c r="B309" s="5">
        <v>1</v>
      </c>
      <c r="C309" s="5">
        <v>1</v>
      </c>
      <c r="D309" s="5" t="s">
        <v>613</v>
      </c>
      <c r="E309" s="5" t="s">
        <v>347</v>
      </c>
      <c r="F309" s="5" t="s">
        <v>282</v>
      </c>
      <c r="G309" s="5" t="s">
        <v>239</v>
      </c>
      <c r="H309" s="6" t="s">
        <v>614</v>
      </c>
      <c r="I309" s="5" t="s">
        <v>239</v>
      </c>
      <c r="J309" s="7">
        <f>20</f>
        <v>20</v>
      </c>
      <c r="K309" s="5" t="s">
        <v>270</v>
      </c>
      <c r="L309" s="8">
        <f>1</f>
        <v>1</v>
      </c>
      <c r="M309" s="8">
        <f>1900000</f>
        <v>1900000</v>
      </c>
      <c r="N309" s="6" t="s">
        <v>956</v>
      </c>
      <c r="O309" s="5" t="s">
        <v>651</v>
      </c>
      <c r="P309" s="5" t="s">
        <v>651</v>
      </c>
      <c r="R309" s="8">
        <f>1899999</f>
        <v>1899999</v>
      </c>
      <c r="S309" s="5" t="s">
        <v>240</v>
      </c>
      <c r="T309" s="5" t="s">
        <v>237</v>
      </c>
      <c r="U309" s="5" t="s">
        <v>238</v>
      </c>
      <c r="V309" s="5" t="s">
        <v>238</v>
      </c>
      <c r="W309" s="5" t="s">
        <v>241</v>
      </c>
      <c r="X309" s="5" t="s">
        <v>337</v>
      </c>
      <c r="Y309" s="5" t="s">
        <v>238</v>
      </c>
      <c r="AB309" s="5" t="s">
        <v>238</v>
      </c>
      <c r="AD309" s="6" t="s">
        <v>238</v>
      </c>
      <c r="AG309" s="6" t="s">
        <v>246</v>
      </c>
      <c r="AH309" s="5" t="s">
        <v>247</v>
      </c>
      <c r="AI309" s="5" t="s">
        <v>248</v>
      </c>
      <c r="AY309" s="5" t="s">
        <v>250</v>
      </c>
      <c r="AZ309" s="5" t="s">
        <v>238</v>
      </c>
      <c r="BA309" s="5" t="s">
        <v>251</v>
      </c>
      <c r="BB309" s="5" t="s">
        <v>238</v>
      </c>
      <c r="BC309" s="5" t="s">
        <v>253</v>
      </c>
      <c r="BD309" s="5" t="s">
        <v>238</v>
      </c>
      <c r="BF309" s="5" t="s">
        <v>238</v>
      </c>
      <c r="BH309" s="5" t="s">
        <v>697</v>
      </c>
      <c r="BI309" s="6" t="s">
        <v>957</v>
      </c>
      <c r="BJ309" s="5" t="s">
        <v>255</v>
      </c>
      <c r="BK309" s="5" t="s">
        <v>294</v>
      </c>
      <c r="BL309" s="5" t="s">
        <v>238</v>
      </c>
      <c r="BM309" s="7">
        <f>0</f>
        <v>0</v>
      </c>
      <c r="BN309" s="8">
        <f>0</f>
        <v>0</v>
      </c>
      <c r="BO309" s="5" t="s">
        <v>257</v>
      </c>
      <c r="BP309" s="5" t="s">
        <v>258</v>
      </c>
      <c r="CD309" s="5" t="s">
        <v>238</v>
      </c>
      <c r="CE309" s="5" t="s">
        <v>238</v>
      </c>
      <c r="CI309" s="5" t="s">
        <v>259</v>
      </c>
      <c r="CJ309" s="5" t="s">
        <v>260</v>
      </c>
      <c r="CK309" s="5" t="s">
        <v>238</v>
      </c>
      <c r="CM309" s="5" t="s">
        <v>958</v>
      </c>
      <c r="CN309" s="6" t="s">
        <v>262</v>
      </c>
      <c r="CO309" s="5" t="s">
        <v>263</v>
      </c>
      <c r="CP309" s="5" t="s">
        <v>264</v>
      </c>
      <c r="CQ309" s="5" t="s">
        <v>238</v>
      </c>
      <c r="CR309" s="5" t="s">
        <v>238</v>
      </c>
      <c r="CS309" s="5">
        <v>0</v>
      </c>
      <c r="CT309" s="5" t="s">
        <v>265</v>
      </c>
      <c r="CU309" s="5" t="s">
        <v>266</v>
      </c>
      <c r="CV309" s="5" t="s">
        <v>331</v>
      </c>
      <c r="CX309" s="8">
        <f>1900000</f>
        <v>1900000</v>
      </c>
      <c r="CY309" s="8">
        <f>0</f>
        <v>0</v>
      </c>
      <c r="DA309" s="5" t="s">
        <v>238</v>
      </c>
      <c r="DB309" s="5" t="s">
        <v>238</v>
      </c>
      <c r="DD309" s="5" t="s">
        <v>238</v>
      </c>
      <c r="DG309" s="5" t="s">
        <v>238</v>
      </c>
      <c r="DH309" s="5" t="s">
        <v>238</v>
      </c>
      <c r="DI309" s="5" t="s">
        <v>238</v>
      </c>
      <c r="DJ309" s="5" t="s">
        <v>238</v>
      </c>
      <c r="DK309" s="5" t="s">
        <v>271</v>
      </c>
      <c r="DL309" s="5" t="s">
        <v>272</v>
      </c>
      <c r="DM309" s="7">
        <f>20</f>
        <v>20</v>
      </c>
      <c r="DN309" s="5" t="s">
        <v>238</v>
      </c>
      <c r="DO309" s="5" t="s">
        <v>238</v>
      </c>
      <c r="DP309" s="5" t="s">
        <v>238</v>
      </c>
      <c r="DQ309" s="5" t="s">
        <v>238</v>
      </c>
      <c r="DT309" s="5" t="s">
        <v>615</v>
      </c>
      <c r="DU309" s="5" t="s">
        <v>356</v>
      </c>
      <c r="HM309" s="5" t="s">
        <v>274</v>
      </c>
      <c r="HP309" s="5" t="s">
        <v>272</v>
      </c>
      <c r="HQ309" s="5" t="s">
        <v>272</v>
      </c>
    </row>
    <row r="310" spans="1:238" x14ac:dyDescent="0.4">
      <c r="A310" s="5">
        <v>341</v>
      </c>
      <c r="B310" s="5">
        <v>1</v>
      </c>
      <c r="C310" s="5">
        <v>1</v>
      </c>
      <c r="D310" s="5" t="s">
        <v>613</v>
      </c>
      <c r="E310" s="5" t="s">
        <v>347</v>
      </c>
      <c r="F310" s="5" t="s">
        <v>282</v>
      </c>
      <c r="G310" s="5" t="s">
        <v>3027</v>
      </c>
      <c r="H310" s="6" t="s">
        <v>614</v>
      </c>
      <c r="I310" s="5" t="s">
        <v>3027</v>
      </c>
      <c r="J310" s="7">
        <f>75</f>
        <v>75</v>
      </c>
      <c r="K310" s="5" t="s">
        <v>270</v>
      </c>
      <c r="L310" s="8">
        <f>1</f>
        <v>1</v>
      </c>
      <c r="M310" s="8">
        <f>12225000</f>
        <v>12225000</v>
      </c>
      <c r="N310" s="6" t="s">
        <v>3112</v>
      </c>
      <c r="O310" s="5" t="s">
        <v>268</v>
      </c>
      <c r="P310" s="5" t="s">
        <v>286</v>
      </c>
      <c r="R310" s="8">
        <f>12224999</f>
        <v>12224999</v>
      </c>
      <c r="S310" s="5" t="s">
        <v>240</v>
      </c>
      <c r="T310" s="5" t="s">
        <v>237</v>
      </c>
      <c r="U310" s="5" t="s">
        <v>238</v>
      </c>
      <c r="V310" s="5" t="s">
        <v>238</v>
      </c>
      <c r="W310" s="5" t="s">
        <v>241</v>
      </c>
      <c r="X310" s="5" t="s">
        <v>337</v>
      </c>
      <c r="Y310" s="5" t="s">
        <v>238</v>
      </c>
      <c r="AB310" s="5" t="s">
        <v>238</v>
      </c>
      <c r="AD310" s="6" t="s">
        <v>238</v>
      </c>
      <c r="AG310" s="6" t="s">
        <v>246</v>
      </c>
      <c r="AH310" s="5" t="s">
        <v>247</v>
      </c>
      <c r="AI310" s="5" t="s">
        <v>248</v>
      </c>
      <c r="AY310" s="5" t="s">
        <v>250</v>
      </c>
      <c r="AZ310" s="5" t="s">
        <v>238</v>
      </c>
      <c r="BA310" s="5" t="s">
        <v>251</v>
      </c>
      <c r="BB310" s="5" t="s">
        <v>238</v>
      </c>
      <c r="BC310" s="5" t="s">
        <v>253</v>
      </c>
      <c r="BD310" s="5" t="s">
        <v>238</v>
      </c>
      <c r="BF310" s="5" t="s">
        <v>238</v>
      </c>
      <c r="BH310" s="5" t="s">
        <v>254</v>
      </c>
      <c r="BI310" s="6" t="s">
        <v>246</v>
      </c>
      <c r="BJ310" s="5" t="s">
        <v>255</v>
      </c>
      <c r="BK310" s="5" t="s">
        <v>256</v>
      </c>
      <c r="BL310" s="5" t="s">
        <v>238</v>
      </c>
      <c r="BM310" s="7">
        <f>0</f>
        <v>0</v>
      </c>
      <c r="BN310" s="8">
        <f>0</f>
        <v>0</v>
      </c>
      <c r="BO310" s="5" t="s">
        <v>257</v>
      </c>
      <c r="BP310" s="5" t="s">
        <v>258</v>
      </c>
      <c r="CD310" s="5" t="s">
        <v>238</v>
      </c>
      <c r="CE310" s="5" t="s">
        <v>238</v>
      </c>
      <c r="CI310" s="5" t="s">
        <v>259</v>
      </c>
      <c r="CJ310" s="5" t="s">
        <v>260</v>
      </c>
      <c r="CK310" s="5" t="s">
        <v>238</v>
      </c>
      <c r="CM310" s="5" t="s">
        <v>783</v>
      </c>
      <c r="CN310" s="6" t="s">
        <v>262</v>
      </c>
      <c r="CO310" s="5" t="s">
        <v>263</v>
      </c>
      <c r="CP310" s="5" t="s">
        <v>264</v>
      </c>
      <c r="CQ310" s="5" t="s">
        <v>238</v>
      </c>
      <c r="CR310" s="5" t="s">
        <v>238</v>
      </c>
      <c r="CS310" s="5">
        <v>0</v>
      </c>
      <c r="CT310" s="5" t="s">
        <v>265</v>
      </c>
      <c r="CU310" s="5" t="s">
        <v>351</v>
      </c>
      <c r="CV310" s="5" t="s">
        <v>394</v>
      </c>
      <c r="CX310" s="8">
        <f>12225000</f>
        <v>12225000</v>
      </c>
      <c r="CY310" s="8">
        <f>0</f>
        <v>0</v>
      </c>
      <c r="DA310" s="5" t="s">
        <v>238</v>
      </c>
      <c r="DB310" s="5" t="s">
        <v>238</v>
      </c>
      <c r="DD310" s="5" t="s">
        <v>238</v>
      </c>
      <c r="DG310" s="5" t="s">
        <v>238</v>
      </c>
      <c r="DH310" s="5" t="s">
        <v>238</v>
      </c>
      <c r="DI310" s="5" t="s">
        <v>238</v>
      </c>
      <c r="DJ310" s="5" t="s">
        <v>238</v>
      </c>
      <c r="DK310" s="5" t="s">
        <v>271</v>
      </c>
      <c r="DL310" s="5" t="s">
        <v>272</v>
      </c>
      <c r="DM310" s="7">
        <f>75</f>
        <v>75</v>
      </c>
      <c r="DN310" s="5" t="s">
        <v>238</v>
      </c>
      <c r="DO310" s="5" t="s">
        <v>238</v>
      </c>
      <c r="DP310" s="5" t="s">
        <v>238</v>
      </c>
      <c r="DQ310" s="5" t="s">
        <v>238</v>
      </c>
      <c r="DT310" s="5" t="s">
        <v>615</v>
      </c>
      <c r="DU310" s="5" t="s">
        <v>310</v>
      </c>
      <c r="HM310" s="5" t="s">
        <v>271</v>
      </c>
      <c r="HP310" s="5" t="s">
        <v>272</v>
      </c>
      <c r="HQ310" s="5" t="s">
        <v>272</v>
      </c>
    </row>
    <row r="311" spans="1:238" x14ac:dyDescent="0.4">
      <c r="A311" s="5">
        <v>342</v>
      </c>
      <c r="B311" s="5">
        <v>1</v>
      </c>
      <c r="C311" s="5">
        <v>4</v>
      </c>
      <c r="D311" s="5" t="s">
        <v>613</v>
      </c>
      <c r="E311" s="5" t="s">
        <v>347</v>
      </c>
      <c r="F311" s="5" t="s">
        <v>282</v>
      </c>
      <c r="G311" s="5" t="s">
        <v>1521</v>
      </c>
      <c r="H311" s="6" t="s">
        <v>614</v>
      </c>
      <c r="I311" s="5" t="s">
        <v>1497</v>
      </c>
      <c r="J311" s="7">
        <f>29</f>
        <v>29</v>
      </c>
      <c r="K311" s="5" t="s">
        <v>270</v>
      </c>
      <c r="L311" s="8">
        <f>2868100</f>
        <v>2868100</v>
      </c>
      <c r="M311" s="8">
        <f>6235000</f>
        <v>6235000</v>
      </c>
      <c r="N311" s="6" t="s">
        <v>1254</v>
      </c>
      <c r="O311" s="5" t="s">
        <v>755</v>
      </c>
      <c r="P311" s="5" t="s">
        <v>269</v>
      </c>
      <c r="Q311" s="8">
        <f>187050</f>
        <v>187050</v>
      </c>
      <c r="R311" s="8">
        <f>3366900</f>
        <v>3366900</v>
      </c>
      <c r="S311" s="5" t="s">
        <v>240</v>
      </c>
      <c r="T311" s="5" t="s">
        <v>237</v>
      </c>
      <c r="U311" s="5" t="s">
        <v>238</v>
      </c>
      <c r="V311" s="5" t="s">
        <v>238</v>
      </c>
      <c r="W311" s="5" t="s">
        <v>241</v>
      </c>
      <c r="X311" s="5" t="s">
        <v>337</v>
      </c>
      <c r="Y311" s="5" t="s">
        <v>238</v>
      </c>
      <c r="AB311" s="5" t="s">
        <v>238</v>
      </c>
      <c r="AC311" s="6" t="s">
        <v>238</v>
      </c>
      <c r="AD311" s="6" t="s">
        <v>238</v>
      </c>
      <c r="AF311" s="6" t="s">
        <v>238</v>
      </c>
      <c r="AG311" s="6" t="s">
        <v>246</v>
      </c>
      <c r="AH311" s="5" t="s">
        <v>247</v>
      </c>
      <c r="AI311" s="5" t="s">
        <v>248</v>
      </c>
      <c r="AO311" s="5" t="s">
        <v>238</v>
      </c>
      <c r="AP311" s="5" t="s">
        <v>238</v>
      </c>
      <c r="AQ311" s="5" t="s">
        <v>238</v>
      </c>
      <c r="AR311" s="6" t="s">
        <v>238</v>
      </c>
      <c r="AS311" s="6" t="s">
        <v>238</v>
      </c>
      <c r="AT311" s="6" t="s">
        <v>238</v>
      </c>
      <c r="AW311" s="5" t="s">
        <v>304</v>
      </c>
      <c r="AX311" s="5" t="s">
        <v>304</v>
      </c>
      <c r="AY311" s="5" t="s">
        <v>250</v>
      </c>
      <c r="AZ311" s="5" t="s">
        <v>305</v>
      </c>
      <c r="BA311" s="5" t="s">
        <v>251</v>
      </c>
      <c r="BB311" s="5" t="s">
        <v>238</v>
      </c>
      <c r="BC311" s="5" t="s">
        <v>253</v>
      </c>
      <c r="BD311" s="5" t="s">
        <v>238</v>
      </c>
      <c r="BF311" s="5" t="s">
        <v>238</v>
      </c>
      <c r="BH311" s="5" t="s">
        <v>283</v>
      </c>
      <c r="BI311" s="6" t="s">
        <v>293</v>
      </c>
      <c r="BJ311" s="5" t="s">
        <v>294</v>
      </c>
      <c r="BK311" s="5" t="s">
        <v>294</v>
      </c>
      <c r="BL311" s="5" t="s">
        <v>238</v>
      </c>
      <c r="BM311" s="7">
        <f>0</f>
        <v>0</v>
      </c>
      <c r="BN311" s="8">
        <f>-187050</f>
        <v>-187050</v>
      </c>
      <c r="BO311" s="5" t="s">
        <v>257</v>
      </c>
      <c r="BP311" s="5" t="s">
        <v>258</v>
      </c>
      <c r="BQ311" s="5" t="s">
        <v>238</v>
      </c>
      <c r="BR311" s="5" t="s">
        <v>238</v>
      </c>
      <c r="BS311" s="5" t="s">
        <v>238</v>
      </c>
      <c r="BT311" s="5" t="s">
        <v>238</v>
      </c>
      <c r="CC311" s="5" t="s">
        <v>258</v>
      </c>
      <c r="CD311" s="5" t="s">
        <v>238</v>
      </c>
      <c r="CE311" s="5" t="s">
        <v>238</v>
      </c>
      <c r="CI311" s="5" t="s">
        <v>259</v>
      </c>
      <c r="CJ311" s="5" t="s">
        <v>260</v>
      </c>
      <c r="CK311" s="5" t="s">
        <v>238</v>
      </c>
      <c r="CM311" s="5" t="s">
        <v>682</v>
      </c>
      <c r="CN311" s="6" t="s">
        <v>262</v>
      </c>
      <c r="CO311" s="5" t="s">
        <v>263</v>
      </c>
      <c r="CP311" s="5" t="s">
        <v>264</v>
      </c>
      <c r="CQ311" s="5" t="s">
        <v>285</v>
      </c>
      <c r="CR311" s="5" t="s">
        <v>238</v>
      </c>
      <c r="CS311" s="5">
        <v>0.03</v>
      </c>
      <c r="CT311" s="5" t="s">
        <v>265</v>
      </c>
      <c r="CU311" s="5" t="s">
        <v>1493</v>
      </c>
      <c r="CV311" s="5" t="s">
        <v>649</v>
      </c>
      <c r="CW311" s="7">
        <f>0</f>
        <v>0</v>
      </c>
      <c r="CX311" s="8">
        <f>6235000</f>
        <v>6235000</v>
      </c>
      <c r="CY311" s="8">
        <f>3055150</f>
        <v>3055150</v>
      </c>
      <c r="DA311" s="5" t="s">
        <v>238</v>
      </c>
      <c r="DB311" s="5" t="s">
        <v>238</v>
      </c>
      <c r="DD311" s="5" t="s">
        <v>238</v>
      </c>
      <c r="DE311" s="8">
        <f>0</f>
        <v>0</v>
      </c>
      <c r="DG311" s="5" t="s">
        <v>238</v>
      </c>
      <c r="DH311" s="5" t="s">
        <v>238</v>
      </c>
      <c r="DI311" s="5" t="s">
        <v>238</v>
      </c>
      <c r="DJ311" s="5" t="s">
        <v>238</v>
      </c>
      <c r="DK311" s="5" t="s">
        <v>271</v>
      </c>
      <c r="DL311" s="5" t="s">
        <v>272</v>
      </c>
      <c r="DM311" s="7">
        <f>29</f>
        <v>29</v>
      </c>
      <c r="DN311" s="5" t="s">
        <v>238</v>
      </c>
      <c r="DO311" s="5" t="s">
        <v>238</v>
      </c>
      <c r="DP311" s="5" t="s">
        <v>238</v>
      </c>
      <c r="DQ311" s="5" t="s">
        <v>238</v>
      </c>
      <c r="DT311" s="5" t="s">
        <v>615</v>
      </c>
      <c r="DU311" s="5" t="s">
        <v>379</v>
      </c>
      <c r="GL311" s="5" t="s">
        <v>1524</v>
      </c>
      <c r="HM311" s="5" t="s">
        <v>313</v>
      </c>
      <c r="HP311" s="5" t="s">
        <v>272</v>
      </c>
      <c r="HQ311" s="5" t="s">
        <v>272</v>
      </c>
      <c r="HR311" s="5" t="s">
        <v>238</v>
      </c>
      <c r="HS311" s="5" t="s">
        <v>238</v>
      </c>
      <c r="HT311" s="5" t="s">
        <v>238</v>
      </c>
      <c r="HU311" s="5" t="s">
        <v>238</v>
      </c>
      <c r="HV311" s="5" t="s">
        <v>238</v>
      </c>
      <c r="HW311" s="5" t="s">
        <v>238</v>
      </c>
      <c r="HX311" s="5" t="s">
        <v>238</v>
      </c>
      <c r="HY311" s="5" t="s">
        <v>238</v>
      </c>
      <c r="HZ311" s="5" t="s">
        <v>238</v>
      </c>
      <c r="IA311" s="5" t="s">
        <v>238</v>
      </c>
      <c r="IB311" s="5" t="s">
        <v>238</v>
      </c>
      <c r="IC311" s="5" t="s">
        <v>238</v>
      </c>
      <c r="ID311" s="5" t="s">
        <v>238</v>
      </c>
    </row>
    <row r="312" spans="1:238" x14ac:dyDescent="0.4">
      <c r="A312" s="5">
        <v>343</v>
      </c>
      <c r="B312" s="5">
        <v>1</v>
      </c>
      <c r="C312" s="5">
        <v>4</v>
      </c>
      <c r="D312" s="5" t="s">
        <v>613</v>
      </c>
      <c r="E312" s="5" t="s">
        <v>347</v>
      </c>
      <c r="F312" s="5" t="s">
        <v>282</v>
      </c>
      <c r="G312" s="5" t="s">
        <v>349</v>
      </c>
      <c r="H312" s="6" t="s">
        <v>614</v>
      </c>
      <c r="I312" s="5" t="s">
        <v>617</v>
      </c>
      <c r="J312" s="7">
        <f>0</f>
        <v>0</v>
      </c>
      <c r="K312" s="5" t="s">
        <v>270</v>
      </c>
      <c r="L312" s="8">
        <f>801558</f>
        <v>801558</v>
      </c>
      <c r="M312" s="8">
        <f>1003200</f>
        <v>1003200</v>
      </c>
      <c r="N312" s="6" t="s">
        <v>618</v>
      </c>
      <c r="O312" s="5" t="s">
        <v>268</v>
      </c>
      <c r="P312" s="5" t="s">
        <v>271</v>
      </c>
      <c r="Q312" s="8">
        <f>67214</f>
        <v>67214</v>
      </c>
      <c r="R312" s="8">
        <f>201642</f>
        <v>201642</v>
      </c>
      <c r="S312" s="5" t="s">
        <v>240</v>
      </c>
      <c r="T312" s="5" t="s">
        <v>287</v>
      </c>
      <c r="U312" s="5" t="s">
        <v>238</v>
      </c>
      <c r="V312" s="5" t="s">
        <v>238</v>
      </c>
      <c r="W312" s="5" t="s">
        <v>241</v>
      </c>
      <c r="X312" s="5" t="s">
        <v>238</v>
      </c>
      <c r="Y312" s="5" t="s">
        <v>238</v>
      </c>
      <c r="AB312" s="5" t="s">
        <v>238</v>
      </c>
      <c r="AC312" s="6" t="s">
        <v>238</v>
      </c>
      <c r="AD312" s="6" t="s">
        <v>238</v>
      </c>
      <c r="AF312" s="6" t="s">
        <v>238</v>
      </c>
      <c r="AG312" s="6" t="s">
        <v>246</v>
      </c>
      <c r="AH312" s="5" t="s">
        <v>247</v>
      </c>
      <c r="AI312" s="5" t="s">
        <v>248</v>
      </c>
      <c r="AO312" s="5" t="s">
        <v>238</v>
      </c>
      <c r="AP312" s="5" t="s">
        <v>238</v>
      </c>
      <c r="AQ312" s="5" t="s">
        <v>238</v>
      </c>
      <c r="AR312" s="6" t="s">
        <v>238</v>
      </c>
      <c r="AS312" s="6" t="s">
        <v>238</v>
      </c>
      <c r="AT312" s="6" t="s">
        <v>238</v>
      </c>
      <c r="AW312" s="5" t="s">
        <v>304</v>
      </c>
      <c r="AX312" s="5" t="s">
        <v>304</v>
      </c>
      <c r="AY312" s="5" t="s">
        <v>250</v>
      </c>
      <c r="AZ312" s="5" t="s">
        <v>305</v>
      </c>
      <c r="BA312" s="5" t="s">
        <v>251</v>
      </c>
      <c r="BB312" s="5" t="s">
        <v>238</v>
      </c>
      <c r="BC312" s="5" t="s">
        <v>253</v>
      </c>
      <c r="BD312" s="5" t="s">
        <v>238</v>
      </c>
      <c r="BF312" s="5" t="s">
        <v>238</v>
      </c>
      <c r="BH312" s="5" t="s">
        <v>283</v>
      </c>
      <c r="BI312" s="6" t="s">
        <v>293</v>
      </c>
      <c r="BJ312" s="5" t="s">
        <v>294</v>
      </c>
      <c r="BK312" s="5" t="s">
        <v>294</v>
      </c>
      <c r="BL312" s="5" t="s">
        <v>238</v>
      </c>
      <c r="BM312" s="7">
        <f>0</f>
        <v>0</v>
      </c>
      <c r="BN312" s="8">
        <f>-67214</f>
        <v>-67214</v>
      </c>
      <c r="BO312" s="5" t="s">
        <v>257</v>
      </c>
      <c r="BP312" s="5" t="s">
        <v>258</v>
      </c>
      <c r="BQ312" s="5" t="s">
        <v>238</v>
      </c>
      <c r="BR312" s="5" t="s">
        <v>238</v>
      </c>
      <c r="BS312" s="5" t="s">
        <v>238</v>
      </c>
      <c r="BT312" s="5" t="s">
        <v>238</v>
      </c>
      <c r="CC312" s="5" t="s">
        <v>258</v>
      </c>
      <c r="CD312" s="5" t="s">
        <v>238</v>
      </c>
      <c r="CE312" s="5" t="s">
        <v>238</v>
      </c>
      <c r="CI312" s="5" t="s">
        <v>259</v>
      </c>
      <c r="CJ312" s="5" t="s">
        <v>260</v>
      </c>
      <c r="CK312" s="5" t="s">
        <v>238</v>
      </c>
      <c r="CM312" s="5" t="s">
        <v>291</v>
      </c>
      <c r="CN312" s="6" t="s">
        <v>262</v>
      </c>
      <c r="CO312" s="5" t="s">
        <v>263</v>
      </c>
      <c r="CP312" s="5" t="s">
        <v>264</v>
      </c>
      <c r="CQ312" s="5" t="s">
        <v>285</v>
      </c>
      <c r="CR312" s="5" t="s">
        <v>238</v>
      </c>
      <c r="CS312" s="5">
        <v>6.7000000000000004E-2</v>
      </c>
      <c r="CT312" s="5" t="s">
        <v>265</v>
      </c>
      <c r="CU312" s="5" t="s">
        <v>351</v>
      </c>
      <c r="CV312" s="5" t="s">
        <v>394</v>
      </c>
      <c r="CW312" s="7">
        <f>0</f>
        <v>0</v>
      </c>
      <c r="CX312" s="8">
        <f>1003200</f>
        <v>1003200</v>
      </c>
      <c r="CY312" s="8">
        <f>868772</f>
        <v>868772</v>
      </c>
      <c r="DA312" s="5" t="s">
        <v>238</v>
      </c>
      <c r="DB312" s="5" t="s">
        <v>238</v>
      </c>
      <c r="DD312" s="5" t="s">
        <v>238</v>
      </c>
      <c r="DE312" s="8">
        <f>0</f>
        <v>0</v>
      </c>
      <c r="DG312" s="5" t="s">
        <v>238</v>
      </c>
      <c r="DH312" s="5" t="s">
        <v>238</v>
      </c>
      <c r="DI312" s="5" t="s">
        <v>238</v>
      </c>
      <c r="DJ312" s="5" t="s">
        <v>238</v>
      </c>
      <c r="DK312" s="5" t="s">
        <v>272</v>
      </c>
      <c r="DL312" s="5" t="s">
        <v>272</v>
      </c>
      <c r="DM312" s="8" t="s">
        <v>238</v>
      </c>
      <c r="DN312" s="5" t="s">
        <v>238</v>
      </c>
      <c r="DO312" s="5" t="s">
        <v>238</v>
      </c>
      <c r="DP312" s="5" t="s">
        <v>238</v>
      </c>
      <c r="DQ312" s="5" t="s">
        <v>238</v>
      </c>
      <c r="DT312" s="5" t="s">
        <v>615</v>
      </c>
      <c r="DU312" s="5" t="s">
        <v>313</v>
      </c>
      <c r="GL312" s="5" t="s">
        <v>619</v>
      </c>
      <c r="HM312" s="5" t="s">
        <v>356</v>
      </c>
      <c r="HP312" s="5" t="s">
        <v>272</v>
      </c>
      <c r="HQ312" s="5" t="s">
        <v>272</v>
      </c>
      <c r="HR312" s="5" t="s">
        <v>238</v>
      </c>
      <c r="HS312" s="5" t="s">
        <v>238</v>
      </c>
      <c r="HT312" s="5" t="s">
        <v>238</v>
      </c>
      <c r="HU312" s="5" t="s">
        <v>238</v>
      </c>
      <c r="HV312" s="5" t="s">
        <v>238</v>
      </c>
      <c r="HW312" s="5" t="s">
        <v>238</v>
      </c>
      <c r="HX312" s="5" t="s">
        <v>238</v>
      </c>
      <c r="HY312" s="5" t="s">
        <v>238</v>
      </c>
      <c r="HZ312" s="5" t="s">
        <v>238</v>
      </c>
      <c r="IA312" s="5" t="s">
        <v>238</v>
      </c>
      <c r="IB312" s="5" t="s">
        <v>238</v>
      </c>
      <c r="IC312" s="5" t="s">
        <v>238</v>
      </c>
      <c r="ID312" s="5" t="s">
        <v>238</v>
      </c>
    </row>
    <row r="313" spans="1:238" x14ac:dyDescent="0.4">
      <c r="A313" s="5">
        <v>344</v>
      </c>
      <c r="B313" s="5">
        <v>1</v>
      </c>
      <c r="C313" s="5">
        <v>4</v>
      </c>
      <c r="D313" s="5" t="s">
        <v>613</v>
      </c>
      <c r="E313" s="5" t="s">
        <v>347</v>
      </c>
      <c r="F313" s="5" t="s">
        <v>282</v>
      </c>
      <c r="G313" s="5" t="s">
        <v>349</v>
      </c>
      <c r="H313" s="6" t="s">
        <v>614</v>
      </c>
      <c r="I313" s="5" t="s">
        <v>345</v>
      </c>
      <c r="J313" s="7">
        <f>0</f>
        <v>0</v>
      </c>
      <c r="K313" s="5" t="s">
        <v>270</v>
      </c>
      <c r="L313" s="8">
        <f>17455134</f>
        <v>17455134</v>
      </c>
      <c r="M313" s="8">
        <f>22698480</f>
        <v>22698480</v>
      </c>
      <c r="N313" s="6" t="s">
        <v>567</v>
      </c>
      <c r="O313" s="5" t="s">
        <v>319</v>
      </c>
      <c r="P313" s="5" t="s">
        <v>271</v>
      </c>
      <c r="Q313" s="8">
        <f>1747782</f>
        <v>1747782</v>
      </c>
      <c r="R313" s="8">
        <f>5243346</f>
        <v>5243346</v>
      </c>
      <c r="S313" s="5" t="s">
        <v>240</v>
      </c>
      <c r="T313" s="5" t="s">
        <v>287</v>
      </c>
      <c r="U313" s="5" t="s">
        <v>238</v>
      </c>
      <c r="V313" s="5" t="s">
        <v>238</v>
      </c>
      <c r="W313" s="5" t="s">
        <v>241</v>
      </c>
      <c r="X313" s="5" t="s">
        <v>238</v>
      </c>
      <c r="Y313" s="5" t="s">
        <v>238</v>
      </c>
      <c r="AB313" s="5" t="s">
        <v>238</v>
      </c>
      <c r="AC313" s="6" t="s">
        <v>238</v>
      </c>
      <c r="AD313" s="6" t="s">
        <v>238</v>
      </c>
      <c r="AF313" s="6" t="s">
        <v>238</v>
      </c>
      <c r="AG313" s="6" t="s">
        <v>246</v>
      </c>
      <c r="AH313" s="5" t="s">
        <v>247</v>
      </c>
      <c r="AI313" s="5" t="s">
        <v>248</v>
      </c>
      <c r="AO313" s="5" t="s">
        <v>238</v>
      </c>
      <c r="AP313" s="5" t="s">
        <v>238</v>
      </c>
      <c r="AQ313" s="5" t="s">
        <v>238</v>
      </c>
      <c r="AR313" s="6" t="s">
        <v>238</v>
      </c>
      <c r="AS313" s="6" t="s">
        <v>238</v>
      </c>
      <c r="AT313" s="6" t="s">
        <v>238</v>
      </c>
      <c r="AW313" s="5" t="s">
        <v>304</v>
      </c>
      <c r="AX313" s="5" t="s">
        <v>304</v>
      </c>
      <c r="AY313" s="5" t="s">
        <v>250</v>
      </c>
      <c r="AZ313" s="5" t="s">
        <v>305</v>
      </c>
      <c r="BA313" s="5" t="s">
        <v>251</v>
      </c>
      <c r="BB313" s="5" t="s">
        <v>238</v>
      </c>
      <c r="BC313" s="5" t="s">
        <v>253</v>
      </c>
      <c r="BD313" s="5" t="s">
        <v>238</v>
      </c>
      <c r="BF313" s="5" t="s">
        <v>238</v>
      </c>
      <c r="BH313" s="5" t="s">
        <v>283</v>
      </c>
      <c r="BI313" s="6" t="s">
        <v>293</v>
      </c>
      <c r="BJ313" s="5" t="s">
        <v>294</v>
      </c>
      <c r="BK313" s="5" t="s">
        <v>294</v>
      </c>
      <c r="BL313" s="5" t="s">
        <v>238</v>
      </c>
      <c r="BM313" s="7">
        <f>0</f>
        <v>0</v>
      </c>
      <c r="BN313" s="8">
        <f>-1747782</f>
        <v>-1747782</v>
      </c>
      <c r="BO313" s="5" t="s">
        <v>257</v>
      </c>
      <c r="BP313" s="5" t="s">
        <v>258</v>
      </c>
      <c r="BQ313" s="5" t="s">
        <v>238</v>
      </c>
      <c r="BR313" s="5" t="s">
        <v>238</v>
      </c>
      <c r="BS313" s="5" t="s">
        <v>238</v>
      </c>
      <c r="BT313" s="5" t="s">
        <v>238</v>
      </c>
      <c r="CC313" s="5" t="s">
        <v>258</v>
      </c>
      <c r="CD313" s="5" t="s">
        <v>238</v>
      </c>
      <c r="CE313" s="5" t="s">
        <v>238</v>
      </c>
      <c r="CI313" s="5" t="s">
        <v>259</v>
      </c>
      <c r="CJ313" s="5" t="s">
        <v>260</v>
      </c>
      <c r="CK313" s="5" t="s">
        <v>238</v>
      </c>
      <c r="CM313" s="5" t="s">
        <v>291</v>
      </c>
      <c r="CN313" s="6" t="s">
        <v>262</v>
      </c>
      <c r="CO313" s="5" t="s">
        <v>263</v>
      </c>
      <c r="CP313" s="5" t="s">
        <v>264</v>
      </c>
      <c r="CQ313" s="5" t="s">
        <v>285</v>
      </c>
      <c r="CR313" s="5" t="s">
        <v>238</v>
      </c>
      <c r="CS313" s="5">
        <v>7.6999999999999999E-2</v>
      </c>
      <c r="CT313" s="5" t="s">
        <v>265</v>
      </c>
      <c r="CU313" s="5" t="s">
        <v>351</v>
      </c>
      <c r="CV313" s="5" t="s">
        <v>352</v>
      </c>
      <c r="CW313" s="7">
        <f>0</f>
        <v>0</v>
      </c>
      <c r="CX313" s="8">
        <f>22698480</f>
        <v>22698480</v>
      </c>
      <c r="CY313" s="8">
        <f>19202916</f>
        <v>19202916</v>
      </c>
      <c r="DA313" s="5" t="s">
        <v>238</v>
      </c>
      <c r="DB313" s="5" t="s">
        <v>238</v>
      </c>
      <c r="DD313" s="5" t="s">
        <v>238</v>
      </c>
      <c r="DE313" s="8">
        <f>0</f>
        <v>0</v>
      </c>
      <c r="DG313" s="5" t="s">
        <v>238</v>
      </c>
      <c r="DH313" s="5" t="s">
        <v>238</v>
      </c>
      <c r="DI313" s="5" t="s">
        <v>238</v>
      </c>
      <c r="DJ313" s="5" t="s">
        <v>238</v>
      </c>
      <c r="DK313" s="5" t="s">
        <v>272</v>
      </c>
      <c r="DL313" s="5" t="s">
        <v>272</v>
      </c>
      <c r="DM313" s="8" t="s">
        <v>238</v>
      </c>
      <c r="DN313" s="5" t="s">
        <v>238</v>
      </c>
      <c r="DO313" s="5" t="s">
        <v>238</v>
      </c>
      <c r="DP313" s="5" t="s">
        <v>238</v>
      </c>
      <c r="DQ313" s="5" t="s">
        <v>238</v>
      </c>
      <c r="DT313" s="5" t="s">
        <v>615</v>
      </c>
      <c r="DU313" s="5" t="s">
        <v>389</v>
      </c>
      <c r="GL313" s="5" t="s">
        <v>616</v>
      </c>
      <c r="HM313" s="5" t="s">
        <v>356</v>
      </c>
      <c r="HP313" s="5" t="s">
        <v>272</v>
      </c>
      <c r="HQ313" s="5" t="s">
        <v>272</v>
      </c>
      <c r="HR313" s="5" t="s">
        <v>238</v>
      </c>
      <c r="HS313" s="5" t="s">
        <v>238</v>
      </c>
      <c r="HT313" s="5" t="s">
        <v>238</v>
      </c>
      <c r="HU313" s="5" t="s">
        <v>238</v>
      </c>
      <c r="HV313" s="5" t="s">
        <v>238</v>
      </c>
      <c r="HW313" s="5" t="s">
        <v>238</v>
      </c>
      <c r="HX313" s="5" t="s">
        <v>238</v>
      </c>
      <c r="HY313" s="5" t="s">
        <v>238</v>
      </c>
      <c r="HZ313" s="5" t="s">
        <v>238</v>
      </c>
      <c r="IA313" s="5" t="s">
        <v>238</v>
      </c>
      <c r="IB313" s="5" t="s">
        <v>238</v>
      </c>
      <c r="IC313" s="5" t="s">
        <v>238</v>
      </c>
      <c r="ID313" s="5" t="s">
        <v>238</v>
      </c>
    </row>
    <row r="314" spans="1:238" x14ac:dyDescent="0.4">
      <c r="A314" s="5">
        <v>345</v>
      </c>
      <c r="B314" s="5">
        <v>1</v>
      </c>
      <c r="C314" s="5">
        <v>4</v>
      </c>
      <c r="D314" s="5" t="s">
        <v>828</v>
      </c>
      <c r="E314" s="5" t="s">
        <v>347</v>
      </c>
      <c r="F314" s="5" t="s">
        <v>282</v>
      </c>
      <c r="G314" s="5" t="s">
        <v>1521</v>
      </c>
      <c r="H314" s="6" t="s">
        <v>830</v>
      </c>
      <c r="I314" s="5" t="s">
        <v>1497</v>
      </c>
      <c r="J314" s="7">
        <f>761</f>
        <v>761</v>
      </c>
      <c r="K314" s="5" t="s">
        <v>270</v>
      </c>
      <c r="L314" s="8">
        <f>14588370</f>
        <v>14588370</v>
      </c>
      <c r="M314" s="8">
        <f>102735000</f>
        <v>102735000</v>
      </c>
      <c r="N314" s="6" t="s">
        <v>1131</v>
      </c>
      <c r="O314" s="5" t="s">
        <v>898</v>
      </c>
      <c r="P314" s="5" t="s">
        <v>971</v>
      </c>
      <c r="Q314" s="8">
        <f>2260170</f>
        <v>2260170</v>
      </c>
      <c r="R314" s="8">
        <f>88146630</f>
        <v>88146630</v>
      </c>
      <c r="S314" s="5" t="s">
        <v>240</v>
      </c>
      <c r="T314" s="5" t="s">
        <v>237</v>
      </c>
      <c r="U314" s="5" t="s">
        <v>238</v>
      </c>
      <c r="V314" s="5" t="s">
        <v>238</v>
      </c>
      <c r="W314" s="5" t="s">
        <v>241</v>
      </c>
      <c r="X314" s="5" t="s">
        <v>337</v>
      </c>
      <c r="Y314" s="5" t="s">
        <v>238</v>
      </c>
      <c r="AB314" s="5" t="s">
        <v>238</v>
      </c>
      <c r="AC314" s="6" t="s">
        <v>238</v>
      </c>
      <c r="AD314" s="6" t="s">
        <v>238</v>
      </c>
      <c r="AF314" s="6" t="s">
        <v>238</v>
      </c>
      <c r="AG314" s="6" t="s">
        <v>326</v>
      </c>
      <c r="AH314" s="5" t="s">
        <v>247</v>
      </c>
      <c r="AI314" s="5" t="s">
        <v>248</v>
      </c>
      <c r="AO314" s="5" t="s">
        <v>238</v>
      </c>
      <c r="AP314" s="5" t="s">
        <v>238</v>
      </c>
      <c r="AQ314" s="5" t="s">
        <v>238</v>
      </c>
      <c r="AR314" s="6" t="s">
        <v>238</v>
      </c>
      <c r="AS314" s="6" t="s">
        <v>238</v>
      </c>
      <c r="AT314" s="6" t="s">
        <v>238</v>
      </c>
      <c r="AW314" s="5" t="s">
        <v>304</v>
      </c>
      <c r="AX314" s="5" t="s">
        <v>304</v>
      </c>
      <c r="AY314" s="5" t="s">
        <v>250</v>
      </c>
      <c r="AZ314" s="5" t="s">
        <v>305</v>
      </c>
      <c r="BA314" s="5" t="s">
        <v>251</v>
      </c>
      <c r="BB314" s="5" t="s">
        <v>238</v>
      </c>
      <c r="BC314" s="5" t="s">
        <v>253</v>
      </c>
      <c r="BD314" s="5" t="s">
        <v>238</v>
      </c>
      <c r="BF314" s="5" t="s">
        <v>1522</v>
      </c>
      <c r="BH314" s="5" t="s">
        <v>283</v>
      </c>
      <c r="BI314" s="6" t="s">
        <v>293</v>
      </c>
      <c r="BJ314" s="5" t="s">
        <v>294</v>
      </c>
      <c r="BK314" s="5" t="s">
        <v>294</v>
      </c>
      <c r="BL314" s="5" t="s">
        <v>238</v>
      </c>
      <c r="BM314" s="7">
        <f>0</f>
        <v>0</v>
      </c>
      <c r="BN314" s="8">
        <f>-2260170</f>
        <v>-2260170</v>
      </c>
      <c r="BO314" s="5" t="s">
        <v>257</v>
      </c>
      <c r="BP314" s="5" t="s">
        <v>258</v>
      </c>
      <c r="BQ314" s="5" t="s">
        <v>238</v>
      </c>
      <c r="BR314" s="5" t="s">
        <v>238</v>
      </c>
      <c r="BS314" s="5" t="s">
        <v>238</v>
      </c>
      <c r="BT314" s="5" t="s">
        <v>238</v>
      </c>
      <c r="CC314" s="5" t="s">
        <v>258</v>
      </c>
      <c r="CD314" s="5" t="s">
        <v>238</v>
      </c>
      <c r="CE314" s="5" t="s">
        <v>238</v>
      </c>
      <c r="CI314" s="5" t="s">
        <v>527</v>
      </c>
      <c r="CJ314" s="5" t="s">
        <v>260</v>
      </c>
      <c r="CK314" s="5" t="s">
        <v>238</v>
      </c>
      <c r="CM314" s="5" t="s">
        <v>990</v>
      </c>
      <c r="CN314" s="6" t="s">
        <v>262</v>
      </c>
      <c r="CO314" s="5" t="s">
        <v>263</v>
      </c>
      <c r="CP314" s="5" t="s">
        <v>264</v>
      </c>
      <c r="CQ314" s="5" t="s">
        <v>285</v>
      </c>
      <c r="CR314" s="5" t="s">
        <v>238</v>
      </c>
      <c r="CS314" s="5">
        <v>2.1999999999999999E-2</v>
      </c>
      <c r="CT314" s="5" t="s">
        <v>265</v>
      </c>
      <c r="CU314" s="5" t="s">
        <v>1493</v>
      </c>
      <c r="CV314" s="5" t="s">
        <v>308</v>
      </c>
      <c r="CW314" s="7">
        <f>0</f>
        <v>0</v>
      </c>
      <c r="CX314" s="8">
        <f>102735000</f>
        <v>102735000</v>
      </c>
      <c r="CY314" s="8">
        <f>16848540</f>
        <v>16848540</v>
      </c>
      <c r="DA314" s="5" t="s">
        <v>238</v>
      </c>
      <c r="DB314" s="5" t="s">
        <v>238</v>
      </c>
      <c r="DD314" s="5" t="s">
        <v>238</v>
      </c>
      <c r="DE314" s="8">
        <f>0</f>
        <v>0</v>
      </c>
      <c r="DG314" s="5" t="s">
        <v>238</v>
      </c>
      <c r="DH314" s="5" t="s">
        <v>238</v>
      </c>
      <c r="DI314" s="5" t="s">
        <v>238</v>
      </c>
      <c r="DJ314" s="5" t="s">
        <v>238</v>
      </c>
      <c r="DK314" s="5" t="s">
        <v>271</v>
      </c>
      <c r="DL314" s="5" t="s">
        <v>272</v>
      </c>
      <c r="DM314" s="7">
        <f>761</f>
        <v>761</v>
      </c>
      <c r="DN314" s="5" t="s">
        <v>238</v>
      </c>
      <c r="DO314" s="5" t="s">
        <v>238</v>
      </c>
      <c r="DP314" s="5" t="s">
        <v>238</v>
      </c>
      <c r="DQ314" s="5" t="s">
        <v>238</v>
      </c>
      <c r="DT314" s="5" t="s">
        <v>831</v>
      </c>
      <c r="DU314" s="5" t="s">
        <v>271</v>
      </c>
      <c r="GL314" s="5" t="s">
        <v>1523</v>
      </c>
      <c r="HM314" s="5" t="s">
        <v>313</v>
      </c>
      <c r="HP314" s="5" t="s">
        <v>272</v>
      </c>
      <c r="HQ314" s="5" t="s">
        <v>272</v>
      </c>
      <c r="HR314" s="5" t="s">
        <v>238</v>
      </c>
      <c r="HS314" s="5" t="s">
        <v>238</v>
      </c>
      <c r="HT314" s="5" t="s">
        <v>238</v>
      </c>
      <c r="HU314" s="5" t="s">
        <v>238</v>
      </c>
      <c r="HV314" s="5" t="s">
        <v>238</v>
      </c>
      <c r="HW314" s="5" t="s">
        <v>238</v>
      </c>
      <c r="HX314" s="5" t="s">
        <v>238</v>
      </c>
      <c r="HY314" s="5" t="s">
        <v>238</v>
      </c>
      <c r="HZ314" s="5" t="s">
        <v>238</v>
      </c>
      <c r="IA314" s="5" t="s">
        <v>238</v>
      </c>
      <c r="IB314" s="5" t="s">
        <v>238</v>
      </c>
      <c r="IC314" s="5" t="s">
        <v>238</v>
      </c>
      <c r="ID314" s="5" t="s">
        <v>238</v>
      </c>
    </row>
    <row r="315" spans="1:238" x14ac:dyDescent="0.4">
      <c r="A315" s="5">
        <v>346</v>
      </c>
      <c r="B315" s="5">
        <v>1</v>
      </c>
      <c r="C315" s="5">
        <v>4</v>
      </c>
      <c r="D315" s="5" t="s">
        <v>828</v>
      </c>
      <c r="E315" s="5" t="s">
        <v>347</v>
      </c>
      <c r="F315" s="5" t="s">
        <v>282</v>
      </c>
      <c r="G315" s="5" t="s">
        <v>2144</v>
      </c>
      <c r="H315" s="6" t="s">
        <v>830</v>
      </c>
      <c r="I315" s="5" t="s">
        <v>2142</v>
      </c>
      <c r="J315" s="7">
        <f>64</f>
        <v>64</v>
      </c>
      <c r="K315" s="5" t="s">
        <v>270</v>
      </c>
      <c r="L315" s="8">
        <f>1701504</f>
        <v>1701504</v>
      </c>
      <c r="M315" s="8">
        <f>13504000</f>
        <v>13504000</v>
      </c>
      <c r="N315" s="6" t="s">
        <v>2143</v>
      </c>
      <c r="O315" s="5" t="s">
        <v>286</v>
      </c>
      <c r="P315" s="5" t="s">
        <v>631</v>
      </c>
      <c r="Q315" s="8">
        <f>621184</f>
        <v>621184</v>
      </c>
      <c r="R315" s="8">
        <f>11802496</f>
        <v>11802496</v>
      </c>
      <c r="S315" s="5" t="s">
        <v>240</v>
      </c>
      <c r="T315" s="5" t="s">
        <v>237</v>
      </c>
      <c r="U315" s="5" t="s">
        <v>238</v>
      </c>
      <c r="V315" s="5" t="s">
        <v>238</v>
      </c>
      <c r="W315" s="5" t="s">
        <v>241</v>
      </c>
      <c r="X315" s="5" t="s">
        <v>337</v>
      </c>
      <c r="Y315" s="5" t="s">
        <v>238</v>
      </c>
      <c r="AB315" s="5" t="s">
        <v>238</v>
      </c>
      <c r="AC315" s="6" t="s">
        <v>238</v>
      </c>
      <c r="AD315" s="6" t="s">
        <v>238</v>
      </c>
      <c r="AF315" s="6" t="s">
        <v>238</v>
      </c>
      <c r="AG315" s="6" t="s">
        <v>326</v>
      </c>
      <c r="AH315" s="5" t="s">
        <v>247</v>
      </c>
      <c r="AI315" s="5" t="s">
        <v>248</v>
      </c>
      <c r="AO315" s="5" t="s">
        <v>238</v>
      </c>
      <c r="AP315" s="5" t="s">
        <v>238</v>
      </c>
      <c r="AQ315" s="5" t="s">
        <v>238</v>
      </c>
      <c r="AR315" s="6" t="s">
        <v>238</v>
      </c>
      <c r="AS315" s="6" t="s">
        <v>238</v>
      </c>
      <c r="AT315" s="6" t="s">
        <v>238</v>
      </c>
      <c r="AW315" s="5" t="s">
        <v>304</v>
      </c>
      <c r="AX315" s="5" t="s">
        <v>304</v>
      </c>
      <c r="AY315" s="5" t="s">
        <v>250</v>
      </c>
      <c r="AZ315" s="5" t="s">
        <v>305</v>
      </c>
      <c r="BA315" s="5" t="s">
        <v>251</v>
      </c>
      <c r="BB315" s="5" t="s">
        <v>238</v>
      </c>
      <c r="BC315" s="5" t="s">
        <v>253</v>
      </c>
      <c r="BD315" s="5" t="s">
        <v>238</v>
      </c>
      <c r="BF315" s="5" t="s">
        <v>238</v>
      </c>
      <c r="BH315" s="5" t="s">
        <v>283</v>
      </c>
      <c r="BI315" s="6" t="s">
        <v>293</v>
      </c>
      <c r="BJ315" s="5" t="s">
        <v>294</v>
      </c>
      <c r="BK315" s="5" t="s">
        <v>294</v>
      </c>
      <c r="BL315" s="5" t="s">
        <v>238</v>
      </c>
      <c r="BM315" s="7">
        <f>0</f>
        <v>0</v>
      </c>
      <c r="BN315" s="8">
        <f>-621184</f>
        <v>-621184</v>
      </c>
      <c r="BO315" s="5" t="s">
        <v>257</v>
      </c>
      <c r="BP315" s="5" t="s">
        <v>258</v>
      </c>
      <c r="BQ315" s="5" t="s">
        <v>238</v>
      </c>
      <c r="BR315" s="5" t="s">
        <v>238</v>
      </c>
      <c r="BS315" s="5" t="s">
        <v>238</v>
      </c>
      <c r="BT315" s="5" t="s">
        <v>238</v>
      </c>
      <c r="CC315" s="5" t="s">
        <v>258</v>
      </c>
      <c r="CD315" s="5" t="s">
        <v>238</v>
      </c>
      <c r="CE315" s="5" t="s">
        <v>238</v>
      </c>
      <c r="CI315" s="5" t="s">
        <v>259</v>
      </c>
      <c r="CJ315" s="5" t="s">
        <v>260</v>
      </c>
      <c r="CK315" s="5" t="s">
        <v>238</v>
      </c>
      <c r="CM315" s="5" t="s">
        <v>807</v>
      </c>
      <c r="CN315" s="6" t="s">
        <v>262</v>
      </c>
      <c r="CO315" s="5" t="s">
        <v>263</v>
      </c>
      <c r="CP315" s="5" t="s">
        <v>264</v>
      </c>
      <c r="CQ315" s="5" t="s">
        <v>285</v>
      </c>
      <c r="CR315" s="5" t="s">
        <v>238</v>
      </c>
      <c r="CS315" s="5">
        <v>4.5999999999999999E-2</v>
      </c>
      <c r="CT315" s="5" t="s">
        <v>265</v>
      </c>
      <c r="CU315" s="5" t="s">
        <v>2145</v>
      </c>
      <c r="CV315" s="5" t="s">
        <v>267</v>
      </c>
      <c r="CW315" s="7">
        <f>0</f>
        <v>0</v>
      </c>
      <c r="CX315" s="8">
        <f>13504000</f>
        <v>13504000</v>
      </c>
      <c r="CY315" s="8">
        <f>2322688</f>
        <v>2322688</v>
      </c>
      <c r="DA315" s="5" t="s">
        <v>238</v>
      </c>
      <c r="DB315" s="5" t="s">
        <v>238</v>
      </c>
      <c r="DD315" s="5" t="s">
        <v>238</v>
      </c>
      <c r="DE315" s="8">
        <f>0</f>
        <v>0</v>
      </c>
      <c r="DG315" s="5" t="s">
        <v>238</v>
      </c>
      <c r="DH315" s="5" t="s">
        <v>238</v>
      </c>
      <c r="DI315" s="5" t="s">
        <v>238</v>
      </c>
      <c r="DJ315" s="5" t="s">
        <v>238</v>
      </c>
      <c r="DK315" s="5" t="s">
        <v>271</v>
      </c>
      <c r="DL315" s="5" t="s">
        <v>272</v>
      </c>
      <c r="DM315" s="7">
        <f>64</f>
        <v>64</v>
      </c>
      <c r="DN315" s="5" t="s">
        <v>238</v>
      </c>
      <c r="DO315" s="5" t="s">
        <v>238</v>
      </c>
      <c r="DP315" s="5" t="s">
        <v>238</v>
      </c>
      <c r="DQ315" s="5" t="s">
        <v>238</v>
      </c>
      <c r="DT315" s="5" t="s">
        <v>831</v>
      </c>
      <c r="DU315" s="5" t="s">
        <v>274</v>
      </c>
      <c r="GL315" s="5" t="s">
        <v>2146</v>
      </c>
      <c r="HM315" s="5" t="s">
        <v>313</v>
      </c>
      <c r="HP315" s="5" t="s">
        <v>272</v>
      </c>
      <c r="HQ315" s="5" t="s">
        <v>272</v>
      </c>
      <c r="HR315" s="5" t="s">
        <v>238</v>
      </c>
      <c r="HS315" s="5" t="s">
        <v>238</v>
      </c>
      <c r="HT315" s="5" t="s">
        <v>238</v>
      </c>
      <c r="HU315" s="5" t="s">
        <v>238</v>
      </c>
      <c r="HV315" s="5" t="s">
        <v>238</v>
      </c>
      <c r="HW315" s="5" t="s">
        <v>238</v>
      </c>
      <c r="HX315" s="5" t="s">
        <v>238</v>
      </c>
      <c r="HY315" s="5" t="s">
        <v>238</v>
      </c>
      <c r="HZ315" s="5" t="s">
        <v>238</v>
      </c>
      <c r="IA315" s="5" t="s">
        <v>238</v>
      </c>
      <c r="IB315" s="5" t="s">
        <v>238</v>
      </c>
      <c r="IC315" s="5" t="s">
        <v>238</v>
      </c>
      <c r="ID315" s="5" t="s">
        <v>238</v>
      </c>
    </row>
    <row r="316" spans="1:238" x14ac:dyDescent="0.4">
      <c r="A316" s="5">
        <v>347</v>
      </c>
      <c r="B316" s="5">
        <v>1</v>
      </c>
      <c r="C316" s="5">
        <v>1</v>
      </c>
      <c r="D316" s="5" t="s">
        <v>828</v>
      </c>
      <c r="E316" s="5" t="s">
        <v>347</v>
      </c>
      <c r="F316" s="5" t="s">
        <v>282</v>
      </c>
      <c r="G316" s="5" t="s">
        <v>239</v>
      </c>
      <c r="H316" s="6" t="s">
        <v>830</v>
      </c>
      <c r="I316" s="5" t="s">
        <v>239</v>
      </c>
      <c r="J316" s="7">
        <f>14</f>
        <v>14</v>
      </c>
      <c r="K316" s="5" t="s">
        <v>270</v>
      </c>
      <c r="L316" s="8">
        <f>1</f>
        <v>1</v>
      </c>
      <c r="M316" s="8">
        <f>2954000</f>
        <v>2954000</v>
      </c>
      <c r="N316" s="6" t="s">
        <v>829</v>
      </c>
      <c r="O316" s="5" t="s">
        <v>651</v>
      </c>
      <c r="P316" s="5" t="s">
        <v>640</v>
      </c>
      <c r="R316" s="8">
        <f>2953999</f>
        <v>2953999</v>
      </c>
      <c r="S316" s="5" t="s">
        <v>240</v>
      </c>
      <c r="T316" s="5" t="s">
        <v>237</v>
      </c>
      <c r="U316" s="5" t="s">
        <v>238</v>
      </c>
      <c r="V316" s="5" t="s">
        <v>238</v>
      </c>
      <c r="W316" s="5" t="s">
        <v>241</v>
      </c>
      <c r="X316" s="5" t="s">
        <v>337</v>
      </c>
      <c r="Y316" s="5" t="s">
        <v>238</v>
      </c>
      <c r="AB316" s="5" t="s">
        <v>238</v>
      </c>
      <c r="AD316" s="6" t="s">
        <v>238</v>
      </c>
      <c r="AG316" s="6" t="s">
        <v>326</v>
      </c>
      <c r="AH316" s="5" t="s">
        <v>247</v>
      </c>
      <c r="AI316" s="5" t="s">
        <v>248</v>
      </c>
      <c r="AY316" s="5" t="s">
        <v>250</v>
      </c>
      <c r="AZ316" s="5" t="s">
        <v>238</v>
      </c>
      <c r="BA316" s="5" t="s">
        <v>251</v>
      </c>
      <c r="BB316" s="5" t="s">
        <v>238</v>
      </c>
      <c r="BC316" s="5" t="s">
        <v>253</v>
      </c>
      <c r="BD316" s="5" t="s">
        <v>238</v>
      </c>
      <c r="BF316" s="5" t="s">
        <v>238</v>
      </c>
      <c r="BH316" s="5" t="s">
        <v>798</v>
      </c>
      <c r="BI316" s="6" t="s">
        <v>799</v>
      </c>
      <c r="BJ316" s="5" t="s">
        <v>255</v>
      </c>
      <c r="BK316" s="5" t="s">
        <v>256</v>
      </c>
      <c r="BL316" s="5" t="s">
        <v>238</v>
      </c>
      <c r="BM316" s="7">
        <f>0</f>
        <v>0</v>
      </c>
      <c r="BN316" s="8">
        <f>0</f>
        <v>0</v>
      </c>
      <c r="BO316" s="5" t="s">
        <v>257</v>
      </c>
      <c r="BP316" s="5" t="s">
        <v>258</v>
      </c>
      <c r="CD316" s="5" t="s">
        <v>238</v>
      </c>
      <c r="CE316" s="5" t="s">
        <v>238</v>
      </c>
      <c r="CI316" s="5" t="s">
        <v>259</v>
      </c>
      <c r="CJ316" s="5" t="s">
        <v>260</v>
      </c>
      <c r="CK316" s="5" t="s">
        <v>238</v>
      </c>
      <c r="CM316" s="5" t="s">
        <v>342</v>
      </c>
      <c r="CN316" s="6" t="s">
        <v>262</v>
      </c>
      <c r="CO316" s="5" t="s">
        <v>263</v>
      </c>
      <c r="CP316" s="5" t="s">
        <v>264</v>
      </c>
      <c r="CQ316" s="5" t="s">
        <v>238</v>
      </c>
      <c r="CR316" s="5" t="s">
        <v>238</v>
      </c>
      <c r="CS316" s="5">
        <v>0</v>
      </c>
      <c r="CT316" s="5" t="s">
        <v>265</v>
      </c>
      <c r="CU316" s="5" t="s">
        <v>266</v>
      </c>
      <c r="CV316" s="5" t="s">
        <v>331</v>
      </c>
      <c r="CX316" s="8">
        <f>2954000</f>
        <v>2954000</v>
      </c>
      <c r="CY316" s="8">
        <f>0</f>
        <v>0</v>
      </c>
      <c r="DA316" s="5" t="s">
        <v>238</v>
      </c>
      <c r="DB316" s="5" t="s">
        <v>238</v>
      </c>
      <c r="DD316" s="5" t="s">
        <v>238</v>
      </c>
      <c r="DG316" s="5" t="s">
        <v>238</v>
      </c>
      <c r="DH316" s="5" t="s">
        <v>238</v>
      </c>
      <c r="DI316" s="5" t="s">
        <v>238</v>
      </c>
      <c r="DJ316" s="5" t="s">
        <v>238</v>
      </c>
      <c r="DK316" s="5" t="s">
        <v>271</v>
      </c>
      <c r="DL316" s="5" t="s">
        <v>272</v>
      </c>
      <c r="DM316" s="7">
        <f>14</f>
        <v>14</v>
      </c>
      <c r="DN316" s="5" t="s">
        <v>238</v>
      </c>
      <c r="DO316" s="5" t="s">
        <v>238</v>
      </c>
      <c r="DP316" s="5" t="s">
        <v>238</v>
      </c>
      <c r="DQ316" s="5" t="s">
        <v>238</v>
      </c>
      <c r="DT316" s="5" t="s">
        <v>831</v>
      </c>
      <c r="DU316" s="5" t="s">
        <v>356</v>
      </c>
      <c r="HM316" s="5" t="s">
        <v>271</v>
      </c>
      <c r="HP316" s="5" t="s">
        <v>272</v>
      </c>
      <c r="HQ316" s="5" t="s">
        <v>272</v>
      </c>
    </row>
    <row r="317" spans="1:238" x14ac:dyDescent="0.4">
      <c r="A317" s="5">
        <v>348</v>
      </c>
      <c r="B317" s="5">
        <v>1</v>
      </c>
      <c r="C317" s="5">
        <v>3</v>
      </c>
      <c r="D317" s="5" t="s">
        <v>828</v>
      </c>
      <c r="E317" s="5" t="s">
        <v>347</v>
      </c>
      <c r="F317" s="5" t="s">
        <v>282</v>
      </c>
      <c r="G317" s="5" t="s">
        <v>239</v>
      </c>
      <c r="H317" s="6" t="s">
        <v>830</v>
      </c>
      <c r="I317" s="5" t="s">
        <v>239</v>
      </c>
      <c r="J317" s="7">
        <f>14</f>
        <v>14</v>
      </c>
      <c r="K317" s="5" t="s">
        <v>270</v>
      </c>
      <c r="L317" s="8">
        <f>1</f>
        <v>1</v>
      </c>
      <c r="M317" s="8">
        <f>2954000</f>
        <v>2954000</v>
      </c>
      <c r="N317" s="6" t="s">
        <v>1075</v>
      </c>
      <c r="O317" s="5" t="s">
        <v>651</v>
      </c>
      <c r="P317" s="5" t="s">
        <v>1040</v>
      </c>
      <c r="Q317" s="8">
        <f>100435</f>
        <v>100435</v>
      </c>
      <c r="R317" s="8">
        <f>2953999</f>
        <v>2953999</v>
      </c>
      <c r="S317" s="5" t="s">
        <v>240</v>
      </c>
      <c r="T317" s="5" t="s">
        <v>237</v>
      </c>
      <c r="U317" s="5" t="s">
        <v>238</v>
      </c>
      <c r="V317" s="5" t="s">
        <v>238</v>
      </c>
      <c r="W317" s="5" t="s">
        <v>241</v>
      </c>
      <c r="X317" s="5" t="s">
        <v>337</v>
      </c>
      <c r="Y317" s="5" t="s">
        <v>238</v>
      </c>
      <c r="AB317" s="5" t="s">
        <v>238</v>
      </c>
      <c r="AC317" s="6" t="s">
        <v>238</v>
      </c>
      <c r="AD317" s="6" t="s">
        <v>238</v>
      </c>
      <c r="AF317" s="6" t="s">
        <v>238</v>
      </c>
      <c r="AG317" s="6" t="s">
        <v>246</v>
      </c>
      <c r="AH317" s="5" t="s">
        <v>247</v>
      </c>
      <c r="AI317" s="5" t="s">
        <v>248</v>
      </c>
      <c r="AO317" s="5" t="s">
        <v>238</v>
      </c>
      <c r="AP317" s="5" t="s">
        <v>238</v>
      </c>
      <c r="AQ317" s="5" t="s">
        <v>238</v>
      </c>
      <c r="AR317" s="6" t="s">
        <v>238</v>
      </c>
      <c r="AS317" s="6" t="s">
        <v>238</v>
      </c>
      <c r="AT317" s="6" t="s">
        <v>238</v>
      </c>
      <c r="AW317" s="5" t="s">
        <v>304</v>
      </c>
      <c r="AX317" s="5" t="s">
        <v>304</v>
      </c>
      <c r="AY317" s="5" t="s">
        <v>250</v>
      </c>
      <c r="AZ317" s="5" t="s">
        <v>305</v>
      </c>
      <c r="BA317" s="5" t="s">
        <v>251</v>
      </c>
      <c r="BB317" s="5" t="s">
        <v>238</v>
      </c>
      <c r="BC317" s="5" t="s">
        <v>253</v>
      </c>
      <c r="BD317" s="5" t="s">
        <v>238</v>
      </c>
      <c r="BF317" s="5" t="s">
        <v>238</v>
      </c>
      <c r="BH317" s="5" t="s">
        <v>1076</v>
      </c>
      <c r="BI317" s="6" t="s">
        <v>1077</v>
      </c>
      <c r="BJ317" s="5" t="s">
        <v>294</v>
      </c>
      <c r="BK317" s="5" t="s">
        <v>294</v>
      </c>
      <c r="BL317" s="5" t="s">
        <v>238</v>
      </c>
      <c r="BM317" s="7">
        <f>0</f>
        <v>0</v>
      </c>
      <c r="BN317" s="8">
        <f>-100435</f>
        <v>-100435</v>
      </c>
      <c r="BO317" s="5" t="s">
        <v>257</v>
      </c>
      <c r="BP317" s="5" t="s">
        <v>258</v>
      </c>
      <c r="BQ317" s="5" t="s">
        <v>238</v>
      </c>
      <c r="BR317" s="5" t="s">
        <v>238</v>
      </c>
      <c r="BS317" s="5" t="s">
        <v>238</v>
      </c>
      <c r="BT317" s="5" t="s">
        <v>238</v>
      </c>
      <c r="CC317" s="5" t="s">
        <v>258</v>
      </c>
      <c r="CD317" s="5" t="s">
        <v>238</v>
      </c>
      <c r="CE317" s="5" t="s">
        <v>238</v>
      </c>
      <c r="CI317" s="5" t="s">
        <v>259</v>
      </c>
      <c r="CJ317" s="5" t="s">
        <v>260</v>
      </c>
      <c r="CK317" s="5" t="s">
        <v>238</v>
      </c>
      <c r="CM317" s="5" t="s">
        <v>1078</v>
      </c>
      <c r="CN317" s="6" t="s">
        <v>262</v>
      </c>
      <c r="CO317" s="5" t="s">
        <v>263</v>
      </c>
      <c r="CP317" s="5" t="s">
        <v>264</v>
      </c>
      <c r="CQ317" s="5" t="s">
        <v>285</v>
      </c>
      <c r="CR317" s="5" t="s">
        <v>238</v>
      </c>
      <c r="CS317" s="5">
        <v>4.2000000000000003E-2</v>
      </c>
      <c r="CT317" s="5" t="s">
        <v>265</v>
      </c>
      <c r="CU317" s="5" t="s">
        <v>266</v>
      </c>
      <c r="CV317" s="5" t="s">
        <v>331</v>
      </c>
      <c r="CW317" s="7">
        <f>0</f>
        <v>0</v>
      </c>
      <c r="CX317" s="8">
        <f>2954000</f>
        <v>2954000</v>
      </c>
      <c r="CY317" s="8">
        <f>1</f>
        <v>1</v>
      </c>
      <c r="DA317" s="5" t="s">
        <v>238</v>
      </c>
      <c r="DB317" s="5" t="s">
        <v>238</v>
      </c>
      <c r="DD317" s="5" t="s">
        <v>238</v>
      </c>
      <c r="DE317" s="8">
        <f>0</f>
        <v>0</v>
      </c>
      <c r="DG317" s="5" t="s">
        <v>238</v>
      </c>
      <c r="DH317" s="5" t="s">
        <v>238</v>
      </c>
      <c r="DI317" s="5" t="s">
        <v>238</v>
      </c>
      <c r="DJ317" s="5" t="s">
        <v>238</v>
      </c>
      <c r="DK317" s="5" t="s">
        <v>271</v>
      </c>
      <c r="DL317" s="5" t="s">
        <v>272</v>
      </c>
      <c r="DM317" s="7">
        <f>14</f>
        <v>14</v>
      </c>
      <c r="DN317" s="5" t="s">
        <v>238</v>
      </c>
      <c r="DO317" s="5" t="s">
        <v>238</v>
      </c>
      <c r="DP317" s="5" t="s">
        <v>238</v>
      </c>
      <c r="DQ317" s="5" t="s">
        <v>238</v>
      </c>
      <c r="DT317" s="5" t="s">
        <v>831</v>
      </c>
      <c r="DU317" s="5" t="s">
        <v>310</v>
      </c>
      <c r="GL317" s="5" t="s">
        <v>1079</v>
      </c>
      <c r="HM317" s="5" t="s">
        <v>313</v>
      </c>
      <c r="HP317" s="5" t="s">
        <v>272</v>
      </c>
      <c r="HQ317" s="5" t="s">
        <v>272</v>
      </c>
      <c r="HR317" s="5" t="s">
        <v>238</v>
      </c>
      <c r="HS317" s="5" t="s">
        <v>238</v>
      </c>
      <c r="HT317" s="5" t="s">
        <v>238</v>
      </c>
      <c r="HU317" s="5" t="s">
        <v>238</v>
      </c>
      <c r="HV317" s="5" t="s">
        <v>238</v>
      </c>
      <c r="HW317" s="5" t="s">
        <v>238</v>
      </c>
      <c r="HX317" s="5" t="s">
        <v>238</v>
      </c>
      <c r="HY317" s="5" t="s">
        <v>238</v>
      </c>
      <c r="HZ317" s="5" t="s">
        <v>238</v>
      </c>
      <c r="IA317" s="5" t="s">
        <v>238</v>
      </c>
      <c r="IB317" s="5" t="s">
        <v>238</v>
      </c>
      <c r="IC317" s="5" t="s">
        <v>238</v>
      </c>
      <c r="ID317" s="5" t="s">
        <v>238</v>
      </c>
    </row>
    <row r="318" spans="1:238" x14ac:dyDescent="0.4">
      <c r="A318" s="5">
        <v>349</v>
      </c>
      <c r="B318" s="5">
        <v>1</v>
      </c>
      <c r="C318" s="5">
        <v>1</v>
      </c>
      <c r="D318" s="5" t="s">
        <v>595</v>
      </c>
      <c r="E318" s="5" t="s">
        <v>347</v>
      </c>
      <c r="F318" s="5" t="s">
        <v>282</v>
      </c>
      <c r="G318" s="5" t="s">
        <v>239</v>
      </c>
      <c r="H318" s="6" t="s">
        <v>596</v>
      </c>
      <c r="I318" s="5" t="s">
        <v>239</v>
      </c>
      <c r="J318" s="7">
        <f>29</f>
        <v>29</v>
      </c>
      <c r="K318" s="5" t="s">
        <v>270</v>
      </c>
      <c r="L318" s="8">
        <f>1</f>
        <v>1</v>
      </c>
      <c r="M318" s="8">
        <f>1740000</f>
        <v>1740000</v>
      </c>
      <c r="N318" s="6" t="s">
        <v>1153</v>
      </c>
      <c r="O318" s="5" t="s">
        <v>268</v>
      </c>
      <c r="P318" s="5" t="s">
        <v>755</v>
      </c>
      <c r="R318" s="8">
        <f>1739999</f>
        <v>1739999</v>
      </c>
      <c r="S318" s="5" t="s">
        <v>240</v>
      </c>
      <c r="T318" s="5" t="s">
        <v>237</v>
      </c>
      <c r="U318" s="5" t="s">
        <v>238</v>
      </c>
      <c r="V318" s="5" t="s">
        <v>238</v>
      </c>
      <c r="W318" s="5" t="s">
        <v>241</v>
      </c>
      <c r="X318" s="5" t="s">
        <v>337</v>
      </c>
      <c r="Y318" s="5" t="s">
        <v>238</v>
      </c>
      <c r="AB318" s="5" t="s">
        <v>238</v>
      </c>
      <c r="AD318" s="6" t="s">
        <v>238</v>
      </c>
      <c r="AG318" s="6" t="s">
        <v>246</v>
      </c>
      <c r="AH318" s="5" t="s">
        <v>247</v>
      </c>
      <c r="AI318" s="5" t="s">
        <v>248</v>
      </c>
      <c r="AY318" s="5" t="s">
        <v>250</v>
      </c>
      <c r="AZ318" s="5" t="s">
        <v>238</v>
      </c>
      <c r="BA318" s="5" t="s">
        <v>251</v>
      </c>
      <c r="BB318" s="5" t="s">
        <v>238</v>
      </c>
      <c r="BC318" s="5" t="s">
        <v>253</v>
      </c>
      <c r="BD318" s="5" t="s">
        <v>238</v>
      </c>
      <c r="BF318" s="5" t="s">
        <v>238</v>
      </c>
      <c r="BH318" s="5" t="s">
        <v>254</v>
      </c>
      <c r="BI318" s="6" t="s">
        <v>246</v>
      </c>
      <c r="BJ318" s="5" t="s">
        <v>255</v>
      </c>
      <c r="BK318" s="5" t="s">
        <v>256</v>
      </c>
      <c r="BL318" s="5" t="s">
        <v>238</v>
      </c>
      <c r="BM318" s="7">
        <f>0</f>
        <v>0</v>
      </c>
      <c r="BN318" s="8">
        <f>0</f>
        <v>0</v>
      </c>
      <c r="BO318" s="5" t="s">
        <v>257</v>
      </c>
      <c r="BP318" s="5" t="s">
        <v>258</v>
      </c>
      <c r="CD318" s="5" t="s">
        <v>238</v>
      </c>
      <c r="CE318" s="5" t="s">
        <v>238</v>
      </c>
      <c r="CI318" s="5" t="s">
        <v>527</v>
      </c>
      <c r="CJ318" s="5" t="s">
        <v>260</v>
      </c>
      <c r="CK318" s="5" t="s">
        <v>238</v>
      </c>
      <c r="CM318" s="5" t="s">
        <v>1020</v>
      </c>
      <c r="CN318" s="6" t="s">
        <v>262</v>
      </c>
      <c r="CO318" s="5" t="s">
        <v>263</v>
      </c>
      <c r="CP318" s="5" t="s">
        <v>264</v>
      </c>
      <c r="CQ318" s="5" t="s">
        <v>238</v>
      </c>
      <c r="CR318" s="5" t="s">
        <v>238</v>
      </c>
      <c r="CS318" s="5">
        <v>0</v>
      </c>
      <c r="CT318" s="5" t="s">
        <v>265</v>
      </c>
      <c r="CU318" s="5" t="s">
        <v>266</v>
      </c>
      <c r="CV318" s="5" t="s">
        <v>267</v>
      </c>
      <c r="CX318" s="8">
        <f>1740000</f>
        <v>1740000</v>
      </c>
      <c r="CY318" s="8">
        <f>0</f>
        <v>0</v>
      </c>
      <c r="DA318" s="5" t="s">
        <v>238</v>
      </c>
      <c r="DB318" s="5" t="s">
        <v>238</v>
      </c>
      <c r="DD318" s="5" t="s">
        <v>238</v>
      </c>
      <c r="DG318" s="5" t="s">
        <v>238</v>
      </c>
      <c r="DH318" s="5" t="s">
        <v>238</v>
      </c>
      <c r="DI318" s="5" t="s">
        <v>238</v>
      </c>
      <c r="DJ318" s="5" t="s">
        <v>238</v>
      </c>
      <c r="DK318" s="5" t="s">
        <v>271</v>
      </c>
      <c r="DL318" s="5" t="s">
        <v>272</v>
      </c>
      <c r="DM318" s="7">
        <f>29</f>
        <v>29</v>
      </c>
      <c r="DN318" s="5" t="s">
        <v>238</v>
      </c>
      <c r="DO318" s="5" t="s">
        <v>238</v>
      </c>
      <c r="DP318" s="5" t="s">
        <v>238</v>
      </c>
      <c r="DQ318" s="5" t="s">
        <v>238</v>
      </c>
      <c r="DT318" s="5" t="s">
        <v>597</v>
      </c>
      <c r="DU318" s="5" t="s">
        <v>271</v>
      </c>
      <c r="HM318" s="5" t="s">
        <v>271</v>
      </c>
      <c r="HP318" s="5" t="s">
        <v>272</v>
      </c>
      <c r="HQ318" s="5" t="s">
        <v>272</v>
      </c>
    </row>
    <row r="319" spans="1:238" x14ac:dyDescent="0.4">
      <c r="A319" s="5">
        <v>350</v>
      </c>
      <c r="B319" s="5">
        <v>1</v>
      </c>
      <c r="C319" s="5">
        <v>1</v>
      </c>
      <c r="D319" s="5" t="s">
        <v>595</v>
      </c>
      <c r="E319" s="5" t="s">
        <v>347</v>
      </c>
      <c r="F319" s="5" t="s">
        <v>282</v>
      </c>
      <c r="G319" s="5" t="s">
        <v>1497</v>
      </c>
      <c r="H319" s="6" t="s">
        <v>596</v>
      </c>
      <c r="I319" s="5" t="s">
        <v>1497</v>
      </c>
      <c r="J319" s="7">
        <f>446</f>
        <v>446</v>
      </c>
      <c r="K319" s="5" t="s">
        <v>270</v>
      </c>
      <c r="L319" s="8">
        <f>1</f>
        <v>1</v>
      </c>
      <c r="M319" s="8">
        <f>35680000</f>
        <v>35680000</v>
      </c>
      <c r="N319" s="6" t="s">
        <v>1608</v>
      </c>
      <c r="O319" s="5" t="s">
        <v>755</v>
      </c>
      <c r="P319" s="5" t="s">
        <v>1042</v>
      </c>
      <c r="R319" s="8">
        <f>35679999</f>
        <v>35679999</v>
      </c>
      <c r="S319" s="5" t="s">
        <v>240</v>
      </c>
      <c r="T319" s="5" t="s">
        <v>237</v>
      </c>
      <c r="U319" s="5" t="s">
        <v>238</v>
      </c>
      <c r="V319" s="5" t="s">
        <v>238</v>
      </c>
      <c r="W319" s="5" t="s">
        <v>241</v>
      </c>
      <c r="X319" s="5" t="s">
        <v>337</v>
      </c>
      <c r="Y319" s="5" t="s">
        <v>238</v>
      </c>
      <c r="AB319" s="5" t="s">
        <v>238</v>
      </c>
      <c r="AD319" s="6" t="s">
        <v>238</v>
      </c>
      <c r="AG319" s="6" t="s">
        <v>246</v>
      </c>
      <c r="AH319" s="5" t="s">
        <v>247</v>
      </c>
      <c r="AI319" s="5" t="s">
        <v>248</v>
      </c>
      <c r="AY319" s="5" t="s">
        <v>250</v>
      </c>
      <c r="AZ319" s="5" t="s">
        <v>238</v>
      </c>
      <c r="BA319" s="5" t="s">
        <v>251</v>
      </c>
      <c r="BB319" s="5" t="s">
        <v>238</v>
      </c>
      <c r="BC319" s="5" t="s">
        <v>253</v>
      </c>
      <c r="BD319" s="5" t="s">
        <v>238</v>
      </c>
      <c r="BF319" s="5" t="s">
        <v>238</v>
      </c>
      <c r="BH319" s="5" t="s">
        <v>254</v>
      </c>
      <c r="BI319" s="6" t="s">
        <v>246</v>
      </c>
      <c r="BJ319" s="5" t="s">
        <v>255</v>
      </c>
      <c r="BK319" s="5" t="s">
        <v>256</v>
      </c>
      <c r="BL319" s="5" t="s">
        <v>238</v>
      </c>
      <c r="BM319" s="7">
        <f>0</f>
        <v>0</v>
      </c>
      <c r="BN319" s="8">
        <f>0</f>
        <v>0</v>
      </c>
      <c r="BO319" s="5" t="s">
        <v>257</v>
      </c>
      <c r="BP319" s="5" t="s">
        <v>258</v>
      </c>
      <c r="CD319" s="5" t="s">
        <v>238</v>
      </c>
      <c r="CE319" s="5" t="s">
        <v>238</v>
      </c>
      <c r="CI319" s="5" t="s">
        <v>527</v>
      </c>
      <c r="CJ319" s="5" t="s">
        <v>260</v>
      </c>
      <c r="CK319" s="5" t="s">
        <v>238</v>
      </c>
      <c r="CM319" s="5" t="s">
        <v>699</v>
      </c>
      <c r="CN319" s="6" t="s">
        <v>262</v>
      </c>
      <c r="CO319" s="5" t="s">
        <v>263</v>
      </c>
      <c r="CP319" s="5" t="s">
        <v>264</v>
      </c>
      <c r="CQ319" s="5" t="s">
        <v>238</v>
      </c>
      <c r="CR319" s="5" t="s">
        <v>238</v>
      </c>
      <c r="CS319" s="5">
        <v>0</v>
      </c>
      <c r="CT319" s="5" t="s">
        <v>265</v>
      </c>
      <c r="CU319" s="5" t="s">
        <v>1493</v>
      </c>
      <c r="CV319" s="5" t="s">
        <v>649</v>
      </c>
      <c r="CX319" s="8">
        <f>35680000</f>
        <v>35680000</v>
      </c>
      <c r="CY319" s="8">
        <f>0</f>
        <v>0</v>
      </c>
      <c r="DA319" s="5" t="s">
        <v>238</v>
      </c>
      <c r="DB319" s="5" t="s">
        <v>238</v>
      </c>
      <c r="DD319" s="5" t="s">
        <v>238</v>
      </c>
      <c r="DG319" s="5" t="s">
        <v>238</v>
      </c>
      <c r="DH319" s="5" t="s">
        <v>238</v>
      </c>
      <c r="DI319" s="5" t="s">
        <v>238</v>
      </c>
      <c r="DJ319" s="5" t="s">
        <v>238</v>
      </c>
      <c r="DK319" s="5" t="s">
        <v>271</v>
      </c>
      <c r="DL319" s="5" t="s">
        <v>272</v>
      </c>
      <c r="DM319" s="7">
        <f>446</f>
        <v>446</v>
      </c>
      <c r="DN319" s="5" t="s">
        <v>238</v>
      </c>
      <c r="DO319" s="5" t="s">
        <v>238</v>
      </c>
      <c r="DP319" s="5" t="s">
        <v>238</v>
      </c>
      <c r="DQ319" s="5" t="s">
        <v>238</v>
      </c>
      <c r="DT319" s="5" t="s">
        <v>597</v>
      </c>
      <c r="DU319" s="5" t="s">
        <v>274</v>
      </c>
      <c r="HM319" s="5" t="s">
        <v>271</v>
      </c>
      <c r="HP319" s="5" t="s">
        <v>272</v>
      </c>
      <c r="HQ319" s="5" t="s">
        <v>272</v>
      </c>
    </row>
    <row r="320" spans="1:238" x14ac:dyDescent="0.4">
      <c r="A320" s="5">
        <v>351</v>
      </c>
      <c r="B320" s="5">
        <v>1</v>
      </c>
      <c r="C320" s="5">
        <v>1</v>
      </c>
      <c r="D320" s="5" t="s">
        <v>595</v>
      </c>
      <c r="E320" s="5" t="s">
        <v>347</v>
      </c>
      <c r="F320" s="5" t="s">
        <v>282</v>
      </c>
      <c r="G320" s="5" t="s">
        <v>239</v>
      </c>
      <c r="H320" s="6" t="s">
        <v>596</v>
      </c>
      <c r="I320" s="5" t="s">
        <v>239</v>
      </c>
      <c r="J320" s="7">
        <f>16</f>
        <v>16</v>
      </c>
      <c r="K320" s="5" t="s">
        <v>270</v>
      </c>
      <c r="L320" s="8">
        <f>1</f>
        <v>1</v>
      </c>
      <c r="M320" s="8">
        <f>1456000</f>
        <v>1456000</v>
      </c>
      <c r="N320" s="6" t="s">
        <v>1120</v>
      </c>
      <c r="O320" s="5" t="s">
        <v>268</v>
      </c>
      <c r="P320" s="5" t="s">
        <v>690</v>
      </c>
      <c r="R320" s="8">
        <f>1455999</f>
        <v>1455999</v>
      </c>
      <c r="S320" s="5" t="s">
        <v>240</v>
      </c>
      <c r="T320" s="5" t="s">
        <v>237</v>
      </c>
      <c r="U320" s="5" t="s">
        <v>238</v>
      </c>
      <c r="V320" s="5" t="s">
        <v>238</v>
      </c>
      <c r="W320" s="5" t="s">
        <v>241</v>
      </c>
      <c r="X320" s="5" t="s">
        <v>337</v>
      </c>
      <c r="Y320" s="5" t="s">
        <v>238</v>
      </c>
      <c r="AB320" s="5" t="s">
        <v>238</v>
      </c>
      <c r="AD320" s="6" t="s">
        <v>238</v>
      </c>
      <c r="AG320" s="6" t="s">
        <v>246</v>
      </c>
      <c r="AH320" s="5" t="s">
        <v>247</v>
      </c>
      <c r="AI320" s="5" t="s">
        <v>248</v>
      </c>
      <c r="AY320" s="5" t="s">
        <v>250</v>
      </c>
      <c r="AZ320" s="5" t="s">
        <v>238</v>
      </c>
      <c r="BA320" s="5" t="s">
        <v>251</v>
      </c>
      <c r="BB320" s="5" t="s">
        <v>238</v>
      </c>
      <c r="BC320" s="5" t="s">
        <v>253</v>
      </c>
      <c r="BD320" s="5" t="s">
        <v>238</v>
      </c>
      <c r="BF320" s="5" t="s">
        <v>238</v>
      </c>
      <c r="BH320" s="5" t="s">
        <v>254</v>
      </c>
      <c r="BI320" s="6" t="s">
        <v>246</v>
      </c>
      <c r="BJ320" s="5" t="s">
        <v>255</v>
      </c>
      <c r="BK320" s="5" t="s">
        <v>256</v>
      </c>
      <c r="BL320" s="5" t="s">
        <v>238</v>
      </c>
      <c r="BM320" s="7">
        <f>0</f>
        <v>0</v>
      </c>
      <c r="BN320" s="8">
        <f>0</f>
        <v>0</v>
      </c>
      <c r="BO320" s="5" t="s">
        <v>257</v>
      </c>
      <c r="BP320" s="5" t="s">
        <v>258</v>
      </c>
      <c r="CD320" s="5" t="s">
        <v>238</v>
      </c>
      <c r="CE320" s="5" t="s">
        <v>238</v>
      </c>
      <c r="CI320" s="5" t="s">
        <v>259</v>
      </c>
      <c r="CJ320" s="5" t="s">
        <v>260</v>
      </c>
      <c r="CK320" s="5" t="s">
        <v>238</v>
      </c>
      <c r="CM320" s="5" t="s">
        <v>689</v>
      </c>
      <c r="CN320" s="6" t="s">
        <v>262</v>
      </c>
      <c r="CO320" s="5" t="s">
        <v>263</v>
      </c>
      <c r="CP320" s="5" t="s">
        <v>264</v>
      </c>
      <c r="CQ320" s="5" t="s">
        <v>238</v>
      </c>
      <c r="CR320" s="5" t="s">
        <v>238</v>
      </c>
      <c r="CS320" s="5">
        <v>0</v>
      </c>
      <c r="CT320" s="5" t="s">
        <v>265</v>
      </c>
      <c r="CU320" s="5" t="s">
        <v>266</v>
      </c>
      <c r="CV320" s="5" t="s">
        <v>267</v>
      </c>
      <c r="CX320" s="8">
        <f>1456000</f>
        <v>1456000</v>
      </c>
      <c r="CY320" s="8">
        <f>0</f>
        <v>0</v>
      </c>
      <c r="DA320" s="5" t="s">
        <v>238</v>
      </c>
      <c r="DB320" s="5" t="s">
        <v>238</v>
      </c>
      <c r="DD320" s="5" t="s">
        <v>238</v>
      </c>
      <c r="DG320" s="5" t="s">
        <v>238</v>
      </c>
      <c r="DH320" s="5" t="s">
        <v>238</v>
      </c>
      <c r="DI320" s="5" t="s">
        <v>238</v>
      </c>
      <c r="DJ320" s="5" t="s">
        <v>238</v>
      </c>
      <c r="DK320" s="5" t="s">
        <v>271</v>
      </c>
      <c r="DL320" s="5" t="s">
        <v>272</v>
      </c>
      <c r="DM320" s="7">
        <f>16</f>
        <v>16</v>
      </c>
      <c r="DN320" s="5" t="s">
        <v>238</v>
      </c>
      <c r="DO320" s="5" t="s">
        <v>238</v>
      </c>
      <c r="DP320" s="5" t="s">
        <v>238</v>
      </c>
      <c r="DQ320" s="5" t="s">
        <v>238</v>
      </c>
      <c r="DT320" s="5" t="s">
        <v>597</v>
      </c>
      <c r="DU320" s="5" t="s">
        <v>356</v>
      </c>
      <c r="HM320" s="5" t="s">
        <v>271</v>
      </c>
      <c r="HP320" s="5" t="s">
        <v>272</v>
      </c>
      <c r="HQ320" s="5" t="s">
        <v>272</v>
      </c>
    </row>
    <row r="321" spans="1:238" x14ac:dyDescent="0.4">
      <c r="A321" s="5">
        <v>352</v>
      </c>
      <c r="B321" s="5">
        <v>1</v>
      </c>
      <c r="C321" s="5">
        <v>4</v>
      </c>
      <c r="D321" s="5" t="s">
        <v>595</v>
      </c>
      <c r="E321" s="5" t="s">
        <v>347</v>
      </c>
      <c r="F321" s="5" t="s">
        <v>282</v>
      </c>
      <c r="G321" s="5" t="s">
        <v>1660</v>
      </c>
      <c r="H321" s="6" t="s">
        <v>596</v>
      </c>
      <c r="I321" s="5" t="s">
        <v>1274</v>
      </c>
      <c r="J321" s="7">
        <f>12</f>
        <v>12</v>
      </c>
      <c r="K321" s="5" t="s">
        <v>270</v>
      </c>
      <c r="L321" s="8">
        <f>1</f>
        <v>1</v>
      </c>
      <c r="M321" s="8">
        <f>2196000</f>
        <v>2196000</v>
      </c>
      <c r="N321" s="6" t="s">
        <v>1636</v>
      </c>
      <c r="O321" s="5" t="s">
        <v>712</v>
      </c>
      <c r="P321" s="5" t="s">
        <v>611</v>
      </c>
      <c r="Q321" s="8">
        <f>109800</f>
        <v>109800</v>
      </c>
      <c r="R321" s="8">
        <f>2195999</f>
        <v>2195999</v>
      </c>
      <c r="S321" s="5" t="s">
        <v>240</v>
      </c>
      <c r="T321" s="5" t="s">
        <v>237</v>
      </c>
      <c r="U321" s="5" t="s">
        <v>238</v>
      </c>
      <c r="V321" s="5" t="s">
        <v>238</v>
      </c>
      <c r="W321" s="5" t="s">
        <v>241</v>
      </c>
      <c r="X321" s="5" t="s">
        <v>337</v>
      </c>
      <c r="Y321" s="5" t="s">
        <v>238</v>
      </c>
      <c r="AB321" s="5" t="s">
        <v>238</v>
      </c>
      <c r="AC321" s="6" t="s">
        <v>238</v>
      </c>
      <c r="AD321" s="6" t="s">
        <v>238</v>
      </c>
      <c r="AF321" s="6" t="s">
        <v>238</v>
      </c>
      <c r="AG321" s="6" t="s">
        <v>246</v>
      </c>
      <c r="AH321" s="5" t="s">
        <v>247</v>
      </c>
      <c r="AI321" s="5" t="s">
        <v>248</v>
      </c>
      <c r="AO321" s="5" t="s">
        <v>238</v>
      </c>
      <c r="AP321" s="5" t="s">
        <v>238</v>
      </c>
      <c r="AQ321" s="5" t="s">
        <v>238</v>
      </c>
      <c r="AR321" s="6" t="s">
        <v>238</v>
      </c>
      <c r="AS321" s="6" t="s">
        <v>238</v>
      </c>
      <c r="AT321" s="6" t="s">
        <v>238</v>
      </c>
      <c r="AW321" s="5" t="s">
        <v>304</v>
      </c>
      <c r="AX321" s="5" t="s">
        <v>304</v>
      </c>
      <c r="AY321" s="5" t="s">
        <v>250</v>
      </c>
      <c r="AZ321" s="5" t="s">
        <v>305</v>
      </c>
      <c r="BA321" s="5" t="s">
        <v>251</v>
      </c>
      <c r="BB321" s="5" t="s">
        <v>238</v>
      </c>
      <c r="BC321" s="5" t="s">
        <v>253</v>
      </c>
      <c r="BD321" s="5" t="s">
        <v>238</v>
      </c>
      <c r="BF321" s="5" t="s">
        <v>238</v>
      </c>
      <c r="BH321" s="5" t="s">
        <v>283</v>
      </c>
      <c r="BI321" s="6" t="s">
        <v>293</v>
      </c>
      <c r="BJ321" s="5" t="s">
        <v>294</v>
      </c>
      <c r="BK321" s="5" t="s">
        <v>294</v>
      </c>
      <c r="BL321" s="5" t="s">
        <v>238</v>
      </c>
      <c r="BM321" s="7">
        <f>0</f>
        <v>0</v>
      </c>
      <c r="BN321" s="8">
        <f>-109799</f>
        <v>-109799</v>
      </c>
      <c r="BO321" s="5" t="s">
        <v>257</v>
      </c>
      <c r="BP321" s="5" t="s">
        <v>258</v>
      </c>
      <c r="BQ321" s="5" t="s">
        <v>238</v>
      </c>
      <c r="BR321" s="5" t="s">
        <v>238</v>
      </c>
      <c r="BS321" s="5" t="s">
        <v>238</v>
      </c>
      <c r="BT321" s="5" t="s">
        <v>238</v>
      </c>
      <c r="CC321" s="5" t="s">
        <v>258</v>
      </c>
      <c r="CD321" s="5" t="s">
        <v>238</v>
      </c>
      <c r="CE321" s="5" t="s">
        <v>238</v>
      </c>
      <c r="CI321" s="5" t="s">
        <v>259</v>
      </c>
      <c r="CJ321" s="5" t="s">
        <v>260</v>
      </c>
      <c r="CK321" s="5" t="s">
        <v>238</v>
      </c>
      <c r="CM321" s="5" t="s">
        <v>1357</v>
      </c>
      <c r="CN321" s="6" t="s">
        <v>262</v>
      </c>
      <c r="CO321" s="5" t="s">
        <v>263</v>
      </c>
      <c r="CP321" s="5" t="s">
        <v>264</v>
      </c>
      <c r="CQ321" s="5" t="s">
        <v>285</v>
      </c>
      <c r="CR321" s="5" t="s">
        <v>238</v>
      </c>
      <c r="CS321" s="5">
        <v>0.05</v>
      </c>
      <c r="CT321" s="5" t="s">
        <v>265</v>
      </c>
      <c r="CU321" s="5" t="s">
        <v>1661</v>
      </c>
      <c r="CV321" s="5" t="s">
        <v>267</v>
      </c>
      <c r="CW321" s="7">
        <f>0</f>
        <v>0</v>
      </c>
      <c r="CX321" s="8">
        <f>2196000</f>
        <v>2196000</v>
      </c>
      <c r="CY321" s="8">
        <f>109800</f>
        <v>109800</v>
      </c>
      <c r="DA321" s="5" t="s">
        <v>238</v>
      </c>
      <c r="DB321" s="5" t="s">
        <v>238</v>
      </c>
      <c r="DD321" s="5" t="s">
        <v>238</v>
      </c>
      <c r="DE321" s="8">
        <f>0</f>
        <v>0</v>
      </c>
      <c r="DG321" s="5" t="s">
        <v>238</v>
      </c>
      <c r="DH321" s="5" t="s">
        <v>238</v>
      </c>
      <c r="DI321" s="5" t="s">
        <v>238</v>
      </c>
      <c r="DJ321" s="5" t="s">
        <v>238</v>
      </c>
      <c r="DK321" s="5" t="s">
        <v>271</v>
      </c>
      <c r="DL321" s="5" t="s">
        <v>272</v>
      </c>
      <c r="DM321" s="7">
        <f>12</f>
        <v>12</v>
      </c>
      <c r="DN321" s="5" t="s">
        <v>238</v>
      </c>
      <c r="DO321" s="5" t="s">
        <v>238</v>
      </c>
      <c r="DP321" s="5" t="s">
        <v>238</v>
      </c>
      <c r="DQ321" s="5" t="s">
        <v>238</v>
      </c>
      <c r="DT321" s="5" t="s">
        <v>597</v>
      </c>
      <c r="DU321" s="5" t="s">
        <v>310</v>
      </c>
      <c r="GL321" s="5" t="s">
        <v>1663</v>
      </c>
      <c r="HM321" s="5" t="s">
        <v>313</v>
      </c>
      <c r="HP321" s="5" t="s">
        <v>272</v>
      </c>
      <c r="HQ321" s="5" t="s">
        <v>272</v>
      </c>
      <c r="HR321" s="5" t="s">
        <v>238</v>
      </c>
      <c r="HS321" s="5" t="s">
        <v>238</v>
      </c>
      <c r="HT321" s="5" t="s">
        <v>238</v>
      </c>
      <c r="HU321" s="5" t="s">
        <v>238</v>
      </c>
      <c r="HV321" s="5" t="s">
        <v>238</v>
      </c>
      <c r="HW321" s="5" t="s">
        <v>238</v>
      </c>
      <c r="HX321" s="5" t="s">
        <v>238</v>
      </c>
      <c r="HY321" s="5" t="s">
        <v>238</v>
      </c>
      <c r="HZ321" s="5" t="s">
        <v>238</v>
      </c>
      <c r="IA321" s="5" t="s">
        <v>238</v>
      </c>
      <c r="IB321" s="5" t="s">
        <v>238</v>
      </c>
      <c r="IC321" s="5" t="s">
        <v>238</v>
      </c>
      <c r="ID321" s="5" t="s">
        <v>238</v>
      </c>
    </row>
    <row r="322" spans="1:238" x14ac:dyDescent="0.4">
      <c r="A322" s="5">
        <v>353</v>
      </c>
      <c r="B322" s="5">
        <v>1</v>
      </c>
      <c r="C322" s="5">
        <v>4</v>
      </c>
      <c r="D322" s="5" t="s">
        <v>595</v>
      </c>
      <c r="E322" s="5" t="s">
        <v>347</v>
      </c>
      <c r="F322" s="5" t="s">
        <v>282</v>
      </c>
      <c r="G322" s="5" t="s">
        <v>349</v>
      </c>
      <c r="H322" s="6" t="s">
        <v>596</v>
      </c>
      <c r="I322" s="5" t="s">
        <v>345</v>
      </c>
      <c r="J322" s="7">
        <f>0</f>
        <v>0</v>
      </c>
      <c r="K322" s="5" t="s">
        <v>270</v>
      </c>
      <c r="L322" s="8">
        <f>9544691</f>
        <v>9544691</v>
      </c>
      <c r="M322" s="8">
        <f>12411821</f>
        <v>12411821</v>
      </c>
      <c r="N322" s="6" t="s">
        <v>567</v>
      </c>
      <c r="O322" s="5" t="s">
        <v>319</v>
      </c>
      <c r="P322" s="5" t="s">
        <v>271</v>
      </c>
      <c r="Q322" s="8">
        <f>955710</f>
        <v>955710</v>
      </c>
      <c r="R322" s="8">
        <f>2867130</f>
        <v>2867130</v>
      </c>
      <c r="S322" s="5" t="s">
        <v>240</v>
      </c>
      <c r="T322" s="5" t="s">
        <v>287</v>
      </c>
      <c r="U322" s="5" t="s">
        <v>238</v>
      </c>
      <c r="V322" s="5" t="s">
        <v>238</v>
      </c>
      <c r="W322" s="5" t="s">
        <v>241</v>
      </c>
      <c r="X322" s="5" t="s">
        <v>238</v>
      </c>
      <c r="Y322" s="5" t="s">
        <v>238</v>
      </c>
      <c r="AB322" s="5" t="s">
        <v>238</v>
      </c>
      <c r="AC322" s="6" t="s">
        <v>238</v>
      </c>
      <c r="AD322" s="6" t="s">
        <v>238</v>
      </c>
      <c r="AF322" s="6" t="s">
        <v>238</v>
      </c>
      <c r="AG322" s="6" t="s">
        <v>246</v>
      </c>
      <c r="AH322" s="5" t="s">
        <v>247</v>
      </c>
      <c r="AI322" s="5" t="s">
        <v>248</v>
      </c>
      <c r="AO322" s="5" t="s">
        <v>238</v>
      </c>
      <c r="AP322" s="5" t="s">
        <v>238</v>
      </c>
      <c r="AQ322" s="5" t="s">
        <v>238</v>
      </c>
      <c r="AR322" s="6" t="s">
        <v>238</v>
      </c>
      <c r="AS322" s="6" t="s">
        <v>238</v>
      </c>
      <c r="AT322" s="6" t="s">
        <v>238</v>
      </c>
      <c r="AW322" s="5" t="s">
        <v>304</v>
      </c>
      <c r="AX322" s="5" t="s">
        <v>304</v>
      </c>
      <c r="AY322" s="5" t="s">
        <v>250</v>
      </c>
      <c r="AZ322" s="5" t="s">
        <v>305</v>
      </c>
      <c r="BA322" s="5" t="s">
        <v>251</v>
      </c>
      <c r="BB322" s="5" t="s">
        <v>238</v>
      </c>
      <c r="BC322" s="5" t="s">
        <v>253</v>
      </c>
      <c r="BD322" s="5" t="s">
        <v>238</v>
      </c>
      <c r="BF322" s="5" t="s">
        <v>238</v>
      </c>
      <c r="BH322" s="5" t="s">
        <v>283</v>
      </c>
      <c r="BI322" s="6" t="s">
        <v>293</v>
      </c>
      <c r="BJ322" s="5" t="s">
        <v>294</v>
      </c>
      <c r="BK322" s="5" t="s">
        <v>294</v>
      </c>
      <c r="BL322" s="5" t="s">
        <v>238</v>
      </c>
      <c r="BM322" s="7">
        <f>0</f>
        <v>0</v>
      </c>
      <c r="BN322" s="8">
        <f>-955710</f>
        <v>-955710</v>
      </c>
      <c r="BO322" s="5" t="s">
        <v>257</v>
      </c>
      <c r="BP322" s="5" t="s">
        <v>258</v>
      </c>
      <c r="BQ322" s="5" t="s">
        <v>238</v>
      </c>
      <c r="BR322" s="5" t="s">
        <v>238</v>
      </c>
      <c r="BS322" s="5" t="s">
        <v>238</v>
      </c>
      <c r="BT322" s="5" t="s">
        <v>238</v>
      </c>
      <c r="CC322" s="5" t="s">
        <v>258</v>
      </c>
      <c r="CD322" s="5" t="s">
        <v>238</v>
      </c>
      <c r="CE322" s="5" t="s">
        <v>238</v>
      </c>
      <c r="CI322" s="5" t="s">
        <v>259</v>
      </c>
      <c r="CJ322" s="5" t="s">
        <v>260</v>
      </c>
      <c r="CK322" s="5" t="s">
        <v>238</v>
      </c>
      <c r="CM322" s="5" t="s">
        <v>291</v>
      </c>
      <c r="CN322" s="6" t="s">
        <v>262</v>
      </c>
      <c r="CO322" s="5" t="s">
        <v>263</v>
      </c>
      <c r="CP322" s="5" t="s">
        <v>264</v>
      </c>
      <c r="CQ322" s="5" t="s">
        <v>285</v>
      </c>
      <c r="CR322" s="5" t="s">
        <v>238</v>
      </c>
      <c r="CS322" s="5">
        <v>7.6999999999999999E-2</v>
      </c>
      <c r="CT322" s="5" t="s">
        <v>265</v>
      </c>
      <c r="CU322" s="5" t="s">
        <v>351</v>
      </c>
      <c r="CV322" s="5" t="s">
        <v>352</v>
      </c>
      <c r="CW322" s="7">
        <f>0</f>
        <v>0</v>
      </c>
      <c r="CX322" s="8">
        <f>12411821</f>
        <v>12411821</v>
      </c>
      <c r="CY322" s="8">
        <f>10500401</f>
        <v>10500401</v>
      </c>
      <c r="DA322" s="5" t="s">
        <v>238</v>
      </c>
      <c r="DB322" s="5" t="s">
        <v>238</v>
      </c>
      <c r="DD322" s="5" t="s">
        <v>238</v>
      </c>
      <c r="DE322" s="8">
        <f>0</f>
        <v>0</v>
      </c>
      <c r="DG322" s="5" t="s">
        <v>238</v>
      </c>
      <c r="DH322" s="5" t="s">
        <v>238</v>
      </c>
      <c r="DI322" s="5" t="s">
        <v>238</v>
      </c>
      <c r="DJ322" s="5" t="s">
        <v>238</v>
      </c>
      <c r="DK322" s="5" t="s">
        <v>272</v>
      </c>
      <c r="DL322" s="5" t="s">
        <v>272</v>
      </c>
      <c r="DM322" s="8" t="s">
        <v>238</v>
      </c>
      <c r="DN322" s="5" t="s">
        <v>238</v>
      </c>
      <c r="DO322" s="5" t="s">
        <v>238</v>
      </c>
      <c r="DP322" s="5" t="s">
        <v>238</v>
      </c>
      <c r="DQ322" s="5" t="s">
        <v>238</v>
      </c>
      <c r="DT322" s="5" t="s">
        <v>597</v>
      </c>
      <c r="DU322" s="5" t="s">
        <v>379</v>
      </c>
      <c r="GL322" s="5" t="s">
        <v>598</v>
      </c>
      <c r="HM322" s="5" t="s">
        <v>356</v>
      </c>
      <c r="HP322" s="5" t="s">
        <v>272</v>
      </c>
      <c r="HQ322" s="5" t="s">
        <v>272</v>
      </c>
      <c r="HR322" s="5" t="s">
        <v>238</v>
      </c>
      <c r="HS322" s="5" t="s">
        <v>238</v>
      </c>
      <c r="HT322" s="5" t="s">
        <v>238</v>
      </c>
      <c r="HU322" s="5" t="s">
        <v>238</v>
      </c>
      <c r="HV322" s="5" t="s">
        <v>238</v>
      </c>
      <c r="HW322" s="5" t="s">
        <v>238</v>
      </c>
      <c r="HX322" s="5" t="s">
        <v>238</v>
      </c>
      <c r="HY322" s="5" t="s">
        <v>238</v>
      </c>
      <c r="HZ322" s="5" t="s">
        <v>238</v>
      </c>
      <c r="IA322" s="5" t="s">
        <v>238</v>
      </c>
      <c r="IB322" s="5" t="s">
        <v>238</v>
      </c>
      <c r="IC322" s="5" t="s">
        <v>238</v>
      </c>
      <c r="ID322" s="5" t="s">
        <v>238</v>
      </c>
    </row>
    <row r="323" spans="1:238" x14ac:dyDescent="0.4">
      <c r="A323" s="5">
        <v>354</v>
      </c>
      <c r="B323" s="5">
        <v>1</v>
      </c>
      <c r="C323" s="5">
        <v>1</v>
      </c>
      <c r="D323" s="5" t="s">
        <v>591</v>
      </c>
      <c r="E323" s="5" t="s">
        <v>347</v>
      </c>
      <c r="F323" s="5" t="s">
        <v>282</v>
      </c>
      <c r="G323" s="5" t="s">
        <v>1497</v>
      </c>
      <c r="H323" s="6" t="s">
        <v>592</v>
      </c>
      <c r="I323" s="5" t="s">
        <v>1497</v>
      </c>
      <c r="J323" s="7">
        <f>745</f>
        <v>745</v>
      </c>
      <c r="K323" s="5" t="s">
        <v>270</v>
      </c>
      <c r="L323" s="8">
        <f>1</f>
        <v>1</v>
      </c>
      <c r="M323" s="8">
        <f>59600000</f>
        <v>59600000</v>
      </c>
      <c r="N323" s="6" t="s">
        <v>1094</v>
      </c>
      <c r="O323" s="5" t="s">
        <v>755</v>
      </c>
      <c r="P323" s="5" t="s">
        <v>639</v>
      </c>
      <c r="R323" s="8">
        <f>59599999</f>
        <v>59599999</v>
      </c>
      <c r="S323" s="5" t="s">
        <v>240</v>
      </c>
      <c r="T323" s="5" t="s">
        <v>237</v>
      </c>
      <c r="U323" s="5" t="s">
        <v>238</v>
      </c>
      <c r="V323" s="5" t="s">
        <v>238</v>
      </c>
      <c r="W323" s="5" t="s">
        <v>241</v>
      </c>
      <c r="X323" s="5" t="s">
        <v>337</v>
      </c>
      <c r="Y323" s="5" t="s">
        <v>238</v>
      </c>
      <c r="AB323" s="5" t="s">
        <v>238</v>
      </c>
      <c r="AD323" s="6" t="s">
        <v>238</v>
      </c>
      <c r="AG323" s="6" t="s">
        <v>246</v>
      </c>
      <c r="AH323" s="5" t="s">
        <v>247</v>
      </c>
      <c r="AI323" s="5" t="s">
        <v>248</v>
      </c>
      <c r="AY323" s="5" t="s">
        <v>250</v>
      </c>
      <c r="AZ323" s="5" t="s">
        <v>238</v>
      </c>
      <c r="BA323" s="5" t="s">
        <v>251</v>
      </c>
      <c r="BB323" s="5" t="s">
        <v>238</v>
      </c>
      <c r="BC323" s="5" t="s">
        <v>253</v>
      </c>
      <c r="BD323" s="5" t="s">
        <v>238</v>
      </c>
      <c r="BF323" s="5" t="s">
        <v>238</v>
      </c>
      <c r="BH323" s="5" t="s">
        <v>254</v>
      </c>
      <c r="BI323" s="6" t="s">
        <v>246</v>
      </c>
      <c r="BJ323" s="5" t="s">
        <v>255</v>
      </c>
      <c r="BK323" s="5" t="s">
        <v>256</v>
      </c>
      <c r="BL323" s="5" t="s">
        <v>238</v>
      </c>
      <c r="BM323" s="7">
        <f>0</f>
        <v>0</v>
      </c>
      <c r="BN323" s="8">
        <f>0</f>
        <v>0</v>
      </c>
      <c r="BO323" s="5" t="s">
        <v>257</v>
      </c>
      <c r="BP323" s="5" t="s">
        <v>258</v>
      </c>
      <c r="CD323" s="5" t="s">
        <v>238</v>
      </c>
      <c r="CE323" s="5" t="s">
        <v>238</v>
      </c>
      <c r="CI323" s="5" t="s">
        <v>527</v>
      </c>
      <c r="CJ323" s="5" t="s">
        <v>260</v>
      </c>
      <c r="CK323" s="5" t="s">
        <v>238</v>
      </c>
      <c r="CM323" s="5" t="s">
        <v>1095</v>
      </c>
      <c r="CN323" s="6" t="s">
        <v>262</v>
      </c>
      <c r="CO323" s="5" t="s">
        <v>263</v>
      </c>
      <c r="CP323" s="5" t="s">
        <v>264</v>
      </c>
      <c r="CQ323" s="5" t="s">
        <v>238</v>
      </c>
      <c r="CR323" s="5" t="s">
        <v>238</v>
      </c>
      <c r="CS323" s="5">
        <v>0</v>
      </c>
      <c r="CT323" s="5" t="s">
        <v>265</v>
      </c>
      <c r="CU323" s="5" t="s">
        <v>1493</v>
      </c>
      <c r="CV323" s="5" t="s">
        <v>649</v>
      </c>
      <c r="CX323" s="8">
        <f>59600000</f>
        <v>59600000</v>
      </c>
      <c r="CY323" s="8">
        <f>0</f>
        <v>0</v>
      </c>
      <c r="DA323" s="5" t="s">
        <v>238</v>
      </c>
      <c r="DB323" s="5" t="s">
        <v>238</v>
      </c>
      <c r="DD323" s="5" t="s">
        <v>238</v>
      </c>
      <c r="DG323" s="5" t="s">
        <v>238</v>
      </c>
      <c r="DH323" s="5" t="s">
        <v>238</v>
      </c>
      <c r="DI323" s="5" t="s">
        <v>238</v>
      </c>
      <c r="DJ323" s="5" t="s">
        <v>238</v>
      </c>
      <c r="DK323" s="5" t="s">
        <v>271</v>
      </c>
      <c r="DL323" s="5" t="s">
        <v>272</v>
      </c>
      <c r="DM323" s="7">
        <f>745</f>
        <v>745</v>
      </c>
      <c r="DN323" s="5" t="s">
        <v>238</v>
      </c>
      <c r="DO323" s="5" t="s">
        <v>238</v>
      </c>
      <c r="DP323" s="5" t="s">
        <v>238</v>
      </c>
      <c r="DQ323" s="5" t="s">
        <v>238</v>
      </c>
      <c r="DT323" s="5" t="s">
        <v>593</v>
      </c>
      <c r="DU323" s="5" t="s">
        <v>271</v>
      </c>
      <c r="HM323" s="5" t="s">
        <v>271</v>
      </c>
      <c r="HP323" s="5" t="s">
        <v>272</v>
      </c>
      <c r="HQ323" s="5" t="s">
        <v>272</v>
      </c>
    </row>
    <row r="324" spans="1:238" x14ac:dyDescent="0.4">
      <c r="A324" s="5">
        <v>355</v>
      </c>
      <c r="B324" s="5">
        <v>1</v>
      </c>
      <c r="C324" s="5">
        <v>1</v>
      </c>
      <c r="D324" s="5" t="s">
        <v>591</v>
      </c>
      <c r="E324" s="5" t="s">
        <v>347</v>
      </c>
      <c r="F324" s="5" t="s">
        <v>282</v>
      </c>
      <c r="G324" s="5" t="s">
        <v>239</v>
      </c>
      <c r="H324" s="6" t="s">
        <v>592</v>
      </c>
      <c r="I324" s="5" t="s">
        <v>239</v>
      </c>
      <c r="J324" s="7">
        <f>43</f>
        <v>43</v>
      </c>
      <c r="K324" s="5" t="s">
        <v>270</v>
      </c>
      <c r="L324" s="8">
        <f>1</f>
        <v>1</v>
      </c>
      <c r="M324" s="8">
        <f>2580000</f>
        <v>2580000</v>
      </c>
      <c r="N324" s="6" t="s">
        <v>1094</v>
      </c>
      <c r="O324" s="5" t="s">
        <v>651</v>
      </c>
      <c r="P324" s="5" t="s">
        <v>639</v>
      </c>
      <c r="R324" s="8">
        <f>2579999</f>
        <v>2579999</v>
      </c>
      <c r="S324" s="5" t="s">
        <v>240</v>
      </c>
      <c r="T324" s="5" t="s">
        <v>237</v>
      </c>
      <c r="U324" s="5" t="s">
        <v>238</v>
      </c>
      <c r="V324" s="5" t="s">
        <v>238</v>
      </c>
      <c r="W324" s="5" t="s">
        <v>241</v>
      </c>
      <c r="X324" s="5" t="s">
        <v>337</v>
      </c>
      <c r="Y324" s="5" t="s">
        <v>238</v>
      </c>
      <c r="AB324" s="5" t="s">
        <v>238</v>
      </c>
      <c r="AD324" s="6" t="s">
        <v>238</v>
      </c>
      <c r="AG324" s="6" t="s">
        <v>246</v>
      </c>
      <c r="AH324" s="5" t="s">
        <v>247</v>
      </c>
      <c r="AI324" s="5" t="s">
        <v>248</v>
      </c>
      <c r="AY324" s="5" t="s">
        <v>250</v>
      </c>
      <c r="AZ324" s="5" t="s">
        <v>238</v>
      </c>
      <c r="BA324" s="5" t="s">
        <v>251</v>
      </c>
      <c r="BB324" s="5" t="s">
        <v>238</v>
      </c>
      <c r="BC324" s="5" t="s">
        <v>253</v>
      </c>
      <c r="BD324" s="5" t="s">
        <v>238</v>
      </c>
      <c r="BF324" s="5" t="s">
        <v>238</v>
      </c>
      <c r="BH324" s="5" t="s">
        <v>254</v>
      </c>
      <c r="BI324" s="6" t="s">
        <v>246</v>
      </c>
      <c r="BJ324" s="5" t="s">
        <v>255</v>
      </c>
      <c r="BK324" s="5" t="s">
        <v>256</v>
      </c>
      <c r="BL324" s="5" t="s">
        <v>238</v>
      </c>
      <c r="BM324" s="7">
        <f>0</f>
        <v>0</v>
      </c>
      <c r="BN324" s="8">
        <f>0</f>
        <v>0</v>
      </c>
      <c r="BO324" s="5" t="s">
        <v>257</v>
      </c>
      <c r="BP324" s="5" t="s">
        <v>258</v>
      </c>
      <c r="CD324" s="5" t="s">
        <v>238</v>
      </c>
      <c r="CE324" s="5" t="s">
        <v>238</v>
      </c>
      <c r="CI324" s="5" t="s">
        <v>527</v>
      </c>
      <c r="CJ324" s="5" t="s">
        <v>260</v>
      </c>
      <c r="CK324" s="5" t="s">
        <v>238</v>
      </c>
      <c r="CM324" s="5" t="s">
        <v>1095</v>
      </c>
      <c r="CN324" s="6" t="s">
        <v>262</v>
      </c>
      <c r="CO324" s="5" t="s">
        <v>263</v>
      </c>
      <c r="CP324" s="5" t="s">
        <v>264</v>
      </c>
      <c r="CQ324" s="5" t="s">
        <v>238</v>
      </c>
      <c r="CR324" s="5" t="s">
        <v>238</v>
      </c>
      <c r="CS324" s="5">
        <v>0</v>
      </c>
      <c r="CT324" s="5" t="s">
        <v>265</v>
      </c>
      <c r="CU324" s="5" t="s">
        <v>266</v>
      </c>
      <c r="CV324" s="5" t="s">
        <v>331</v>
      </c>
      <c r="CX324" s="8">
        <f>2580000</f>
        <v>2580000</v>
      </c>
      <c r="CY324" s="8">
        <f>0</f>
        <v>0</v>
      </c>
      <c r="DA324" s="5" t="s">
        <v>238</v>
      </c>
      <c r="DB324" s="5" t="s">
        <v>238</v>
      </c>
      <c r="DD324" s="5" t="s">
        <v>238</v>
      </c>
      <c r="DG324" s="5" t="s">
        <v>238</v>
      </c>
      <c r="DH324" s="5" t="s">
        <v>238</v>
      </c>
      <c r="DI324" s="5" t="s">
        <v>238</v>
      </c>
      <c r="DJ324" s="5" t="s">
        <v>238</v>
      </c>
      <c r="DK324" s="5" t="s">
        <v>271</v>
      </c>
      <c r="DL324" s="5" t="s">
        <v>272</v>
      </c>
      <c r="DM324" s="7">
        <f>43</f>
        <v>43</v>
      </c>
      <c r="DN324" s="5" t="s">
        <v>238</v>
      </c>
      <c r="DO324" s="5" t="s">
        <v>238</v>
      </c>
      <c r="DP324" s="5" t="s">
        <v>238</v>
      </c>
      <c r="DQ324" s="5" t="s">
        <v>238</v>
      </c>
      <c r="DT324" s="5" t="s">
        <v>593</v>
      </c>
      <c r="DU324" s="5" t="s">
        <v>274</v>
      </c>
      <c r="HM324" s="5" t="s">
        <v>271</v>
      </c>
      <c r="HP324" s="5" t="s">
        <v>272</v>
      </c>
      <c r="HQ324" s="5" t="s">
        <v>272</v>
      </c>
    </row>
    <row r="325" spans="1:238" x14ac:dyDescent="0.4">
      <c r="A325" s="5">
        <v>356</v>
      </c>
      <c r="B325" s="5">
        <v>1</v>
      </c>
      <c r="C325" s="5">
        <v>4</v>
      </c>
      <c r="D325" s="5" t="s">
        <v>591</v>
      </c>
      <c r="E325" s="5" t="s">
        <v>347</v>
      </c>
      <c r="F325" s="5" t="s">
        <v>282</v>
      </c>
      <c r="G325" s="5" t="s">
        <v>349</v>
      </c>
      <c r="H325" s="6" t="s">
        <v>592</v>
      </c>
      <c r="I325" s="5" t="s">
        <v>345</v>
      </c>
      <c r="J325" s="7">
        <f>0</f>
        <v>0</v>
      </c>
      <c r="K325" s="5" t="s">
        <v>270</v>
      </c>
      <c r="L325" s="8">
        <f>7168689</f>
        <v>7168689</v>
      </c>
      <c r="M325" s="8">
        <f>9322089</f>
        <v>9322089</v>
      </c>
      <c r="N325" s="6" t="s">
        <v>567</v>
      </c>
      <c r="O325" s="5" t="s">
        <v>319</v>
      </c>
      <c r="P325" s="5" t="s">
        <v>271</v>
      </c>
      <c r="Q325" s="8">
        <f>717800</f>
        <v>717800</v>
      </c>
      <c r="R325" s="8">
        <f>2153400</f>
        <v>2153400</v>
      </c>
      <c r="S325" s="5" t="s">
        <v>240</v>
      </c>
      <c r="T325" s="5" t="s">
        <v>287</v>
      </c>
      <c r="U325" s="5" t="s">
        <v>238</v>
      </c>
      <c r="V325" s="5" t="s">
        <v>238</v>
      </c>
      <c r="W325" s="5" t="s">
        <v>241</v>
      </c>
      <c r="X325" s="5" t="s">
        <v>238</v>
      </c>
      <c r="Y325" s="5" t="s">
        <v>238</v>
      </c>
      <c r="AB325" s="5" t="s">
        <v>238</v>
      </c>
      <c r="AC325" s="6" t="s">
        <v>238</v>
      </c>
      <c r="AD325" s="6" t="s">
        <v>238</v>
      </c>
      <c r="AF325" s="6" t="s">
        <v>238</v>
      </c>
      <c r="AG325" s="6" t="s">
        <v>246</v>
      </c>
      <c r="AH325" s="5" t="s">
        <v>247</v>
      </c>
      <c r="AI325" s="5" t="s">
        <v>248</v>
      </c>
      <c r="AO325" s="5" t="s">
        <v>238</v>
      </c>
      <c r="AP325" s="5" t="s">
        <v>238</v>
      </c>
      <c r="AQ325" s="5" t="s">
        <v>238</v>
      </c>
      <c r="AR325" s="6" t="s">
        <v>238</v>
      </c>
      <c r="AS325" s="6" t="s">
        <v>238</v>
      </c>
      <c r="AT325" s="6" t="s">
        <v>238</v>
      </c>
      <c r="AW325" s="5" t="s">
        <v>304</v>
      </c>
      <c r="AX325" s="5" t="s">
        <v>304</v>
      </c>
      <c r="AY325" s="5" t="s">
        <v>250</v>
      </c>
      <c r="AZ325" s="5" t="s">
        <v>305</v>
      </c>
      <c r="BA325" s="5" t="s">
        <v>251</v>
      </c>
      <c r="BB325" s="5" t="s">
        <v>238</v>
      </c>
      <c r="BC325" s="5" t="s">
        <v>253</v>
      </c>
      <c r="BD325" s="5" t="s">
        <v>238</v>
      </c>
      <c r="BF325" s="5" t="s">
        <v>238</v>
      </c>
      <c r="BH325" s="5" t="s">
        <v>283</v>
      </c>
      <c r="BI325" s="6" t="s">
        <v>293</v>
      </c>
      <c r="BJ325" s="5" t="s">
        <v>294</v>
      </c>
      <c r="BK325" s="5" t="s">
        <v>294</v>
      </c>
      <c r="BL325" s="5" t="s">
        <v>238</v>
      </c>
      <c r="BM325" s="7">
        <f>0</f>
        <v>0</v>
      </c>
      <c r="BN325" s="8">
        <f>-717800</f>
        <v>-717800</v>
      </c>
      <c r="BO325" s="5" t="s">
        <v>257</v>
      </c>
      <c r="BP325" s="5" t="s">
        <v>258</v>
      </c>
      <c r="BQ325" s="5" t="s">
        <v>238</v>
      </c>
      <c r="BR325" s="5" t="s">
        <v>238</v>
      </c>
      <c r="BS325" s="5" t="s">
        <v>238</v>
      </c>
      <c r="BT325" s="5" t="s">
        <v>238</v>
      </c>
      <c r="CC325" s="5" t="s">
        <v>258</v>
      </c>
      <c r="CD325" s="5" t="s">
        <v>238</v>
      </c>
      <c r="CE325" s="5" t="s">
        <v>238</v>
      </c>
      <c r="CI325" s="5" t="s">
        <v>259</v>
      </c>
      <c r="CJ325" s="5" t="s">
        <v>260</v>
      </c>
      <c r="CK325" s="5" t="s">
        <v>238</v>
      </c>
      <c r="CM325" s="5" t="s">
        <v>291</v>
      </c>
      <c r="CN325" s="6" t="s">
        <v>262</v>
      </c>
      <c r="CO325" s="5" t="s">
        <v>263</v>
      </c>
      <c r="CP325" s="5" t="s">
        <v>264</v>
      </c>
      <c r="CQ325" s="5" t="s">
        <v>285</v>
      </c>
      <c r="CR325" s="5" t="s">
        <v>238</v>
      </c>
      <c r="CS325" s="5">
        <v>7.6999999999999999E-2</v>
      </c>
      <c r="CT325" s="5" t="s">
        <v>265</v>
      </c>
      <c r="CU325" s="5" t="s">
        <v>351</v>
      </c>
      <c r="CV325" s="5" t="s">
        <v>352</v>
      </c>
      <c r="CW325" s="7">
        <f>0</f>
        <v>0</v>
      </c>
      <c r="CX325" s="8">
        <f>9322089</f>
        <v>9322089</v>
      </c>
      <c r="CY325" s="8">
        <f>7886489</f>
        <v>7886489</v>
      </c>
      <c r="DA325" s="5" t="s">
        <v>238</v>
      </c>
      <c r="DB325" s="5" t="s">
        <v>238</v>
      </c>
      <c r="DD325" s="5" t="s">
        <v>238</v>
      </c>
      <c r="DE325" s="8">
        <f>0</f>
        <v>0</v>
      </c>
      <c r="DG325" s="5" t="s">
        <v>238</v>
      </c>
      <c r="DH325" s="5" t="s">
        <v>238</v>
      </c>
      <c r="DI325" s="5" t="s">
        <v>238</v>
      </c>
      <c r="DJ325" s="5" t="s">
        <v>238</v>
      </c>
      <c r="DK325" s="5" t="s">
        <v>272</v>
      </c>
      <c r="DL325" s="5" t="s">
        <v>272</v>
      </c>
      <c r="DM325" s="8" t="s">
        <v>238</v>
      </c>
      <c r="DN325" s="5" t="s">
        <v>238</v>
      </c>
      <c r="DO325" s="5" t="s">
        <v>238</v>
      </c>
      <c r="DP325" s="5" t="s">
        <v>238</v>
      </c>
      <c r="DQ325" s="5" t="s">
        <v>238</v>
      </c>
      <c r="DT325" s="5" t="s">
        <v>593</v>
      </c>
      <c r="DU325" s="5" t="s">
        <v>356</v>
      </c>
      <c r="GL325" s="5" t="s">
        <v>594</v>
      </c>
      <c r="HM325" s="5" t="s">
        <v>356</v>
      </c>
      <c r="HP325" s="5" t="s">
        <v>272</v>
      </c>
      <c r="HQ325" s="5" t="s">
        <v>272</v>
      </c>
      <c r="HR325" s="5" t="s">
        <v>238</v>
      </c>
      <c r="HS325" s="5" t="s">
        <v>238</v>
      </c>
      <c r="HT325" s="5" t="s">
        <v>238</v>
      </c>
      <c r="HU325" s="5" t="s">
        <v>238</v>
      </c>
      <c r="HV325" s="5" t="s">
        <v>238</v>
      </c>
      <c r="HW325" s="5" t="s">
        <v>238</v>
      </c>
      <c r="HX325" s="5" t="s">
        <v>238</v>
      </c>
      <c r="HY325" s="5" t="s">
        <v>238</v>
      </c>
      <c r="HZ325" s="5" t="s">
        <v>238</v>
      </c>
      <c r="IA325" s="5" t="s">
        <v>238</v>
      </c>
      <c r="IB325" s="5" t="s">
        <v>238</v>
      </c>
      <c r="IC325" s="5" t="s">
        <v>238</v>
      </c>
      <c r="ID325" s="5" t="s">
        <v>238</v>
      </c>
    </row>
    <row r="326" spans="1:238" x14ac:dyDescent="0.4">
      <c r="A326" s="5">
        <v>357</v>
      </c>
      <c r="B326" s="5">
        <v>1</v>
      </c>
      <c r="C326" s="5">
        <v>1</v>
      </c>
      <c r="D326" s="5" t="s">
        <v>1525</v>
      </c>
      <c r="E326" s="5" t="s">
        <v>347</v>
      </c>
      <c r="F326" s="5" t="s">
        <v>282</v>
      </c>
      <c r="G326" s="5" t="s">
        <v>1497</v>
      </c>
      <c r="H326" s="6" t="s">
        <v>381</v>
      </c>
      <c r="I326" s="5" t="s">
        <v>1497</v>
      </c>
      <c r="J326" s="7">
        <f>455</f>
        <v>455</v>
      </c>
      <c r="K326" s="5" t="s">
        <v>270</v>
      </c>
      <c r="L326" s="8">
        <f>1</f>
        <v>1</v>
      </c>
      <c r="M326" s="8">
        <f>36400000</f>
        <v>36400000</v>
      </c>
      <c r="N326" s="6" t="s">
        <v>1494</v>
      </c>
      <c r="O326" s="5" t="s">
        <v>755</v>
      </c>
      <c r="P326" s="5" t="s">
        <v>1017</v>
      </c>
      <c r="R326" s="8">
        <f>36399999</f>
        <v>36399999</v>
      </c>
      <c r="S326" s="5" t="s">
        <v>240</v>
      </c>
      <c r="T326" s="5" t="s">
        <v>237</v>
      </c>
      <c r="U326" s="5" t="s">
        <v>238</v>
      </c>
      <c r="V326" s="5" t="s">
        <v>238</v>
      </c>
      <c r="W326" s="5" t="s">
        <v>241</v>
      </c>
      <c r="X326" s="5" t="s">
        <v>337</v>
      </c>
      <c r="Y326" s="5" t="s">
        <v>238</v>
      </c>
      <c r="AB326" s="5" t="s">
        <v>238</v>
      </c>
      <c r="AD326" s="6" t="s">
        <v>238</v>
      </c>
      <c r="AG326" s="6" t="s">
        <v>246</v>
      </c>
      <c r="AH326" s="5" t="s">
        <v>247</v>
      </c>
      <c r="AI326" s="5" t="s">
        <v>248</v>
      </c>
      <c r="AY326" s="5" t="s">
        <v>250</v>
      </c>
      <c r="AZ326" s="5" t="s">
        <v>238</v>
      </c>
      <c r="BA326" s="5" t="s">
        <v>251</v>
      </c>
      <c r="BB326" s="5" t="s">
        <v>238</v>
      </c>
      <c r="BC326" s="5" t="s">
        <v>253</v>
      </c>
      <c r="BD326" s="5" t="s">
        <v>238</v>
      </c>
      <c r="BF326" s="5" t="s">
        <v>1522</v>
      </c>
      <c r="BH326" s="5" t="s">
        <v>859</v>
      </c>
      <c r="BI326" s="6" t="s">
        <v>368</v>
      </c>
      <c r="BJ326" s="5" t="s">
        <v>255</v>
      </c>
      <c r="BK326" s="5" t="s">
        <v>256</v>
      </c>
      <c r="BL326" s="5" t="s">
        <v>238</v>
      </c>
      <c r="BM326" s="7">
        <f>0</f>
        <v>0</v>
      </c>
      <c r="BN326" s="8">
        <f>0</f>
        <v>0</v>
      </c>
      <c r="BO326" s="5" t="s">
        <v>257</v>
      </c>
      <c r="BP326" s="5" t="s">
        <v>258</v>
      </c>
      <c r="CD326" s="5" t="s">
        <v>238</v>
      </c>
      <c r="CE326" s="5" t="s">
        <v>238</v>
      </c>
      <c r="CI326" s="5" t="s">
        <v>527</v>
      </c>
      <c r="CJ326" s="5" t="s">
        <v>260</v>
      </c>
      <c r="CK326" s="5" t="s">
        <v>238</v>
      </c>
      <c r="CM326" s="5" t="s">
        <v>1016</v>
      </c>
      <c r="CN326" s="6" t="s">
        <v>262</v>
      </c>
      <c r="CO326" s="5" t="s">
        <v>263</v>
      </c>
      <c r="CP326" s="5" t="s">
        <v>264</v>
      </c>
      <c r="CQ326" s="5" t="s">
        <v>238</v>
      </c>
      <c r="CR326" s="5" t="s">
        <v>238</v>
      </c>
      <c r="CS326" s="5">
        <v>0</v>
      </c>
      <c r="CT326" s="5" t="s">
        <v>265</v>
      </c>
      <c r="CU326" s="5" t="s">
        <v>1493</v>
      </c>
      <c r="CV326" s="5" t="s">
        <v>649</v>
      </c>
      <c r="CX326" s="8">
        <f>36400000</f>
        <v>36400000</v>
      </c>
      <c r="CY326" s="8">
        <f>0</f>
        <v>0</v>
      </c>
      <c r="DA326" s="5" t="s">
        <v>238</v>
      </c>
      <c r="DB326" s="5" t="s">
        <v>238</v>
      </c>
      <c r="DD326" s="5" t="s">
        <v>238</v>
      </c>
      <c r="DG326" s="5" t="s">
        <v>238</v>
      </c>
      <c r="DH326" s="5" t="s">
        <v>238</v>
      </c>
      <c r="DI326" s="5" t="s">
        <v>238</v>
      </c>
      <c r="DJ326" s="5" t="s">
        <v>238</v>
      </c>
      <c r="DK326" s="5" t="s">
        <v>271</v>
      </c>
      <c r="DL326" s="5" t="s">
        <v>272</v>
      </c>
      <c r="DM326" s="7">
        <f>455</f>
        <v>455</v>
      </c>
      <c r="DN326" s="5" t="s">
        <v>238</v>
      </c>
      <c r="DO326" s="5" t="s">
        <v>238</v>
      </c>
      <c r="DP326" s="5" t="s">
        <v>238</v>
      </c>
      <c r="DQ326" s="5" t="s">
        <v>238</v>
      </c>
      <c r="DT326" s="5" t="s">
        <v>1527</v>
      </c>
      <c r="DU326" s="5" t="s">
        <v>271</v>
      </c>
      <c r="HM326" s="5" t="s">
        <v>271</v>
      </c>
      <c r="HP326" s="5" t="s">
        <v>272</v>
      </c>
      <c r="HQ326" s="5" t="s">
        <v>272</v>
      </c>
    </row>
    <row r="327" spans="1:238" x14ac:dyDescent="0.4">
      <c r="A327" s="5">
        <v>358</v>
      </c>
      <c r="B327" s="5">
        <v>1</v>
      </c>
      <c r="C327" s="5">
        <v>4</v>
      </c>
      <c r="D327" s="5" t="s">
        <v>1525</v>
      </c>
      <c r="E327" s="5" t="s">
        <v>347</v>
      </c>
      <c r="F327" s="5" t="s">
        <v>282</v>
      </c>
      <c r="G327" s="5" t="s">
        <v>1521</v>
      </c>
      <c r="H327" s="6" t="s">
        <v>381</v>
      </c>
      <c r="I327" s="5" t="s">
        <v>1497</v>
      </c>
      <c r="J327" s="7">
        <f>87</f>
        <v>87</v>
      </c>
      <c r="K327" s="5" t="s">
        <v>270</v>
      </c>
      <c r="L327" s="8">
        <f>3024990</f>
        <v>3024990</v>
      </c>
      <c r="M327" s="8">
        <f>15921000</f>
        <v>15921000</v>
      </c>
      <c r="N327" s="6" t="s">
        <v>1526</v>
      </c>
      <c r="O327" s="5" t="s">
        <v>755</v>
      </c>
      <c r="P327" s="5" t="s">
        <v>640</v>
      </c>
      <c r="Q327" s="8">
        <f>477630</f>
        <v>477630</v>
      </c>
      <c r="R327" s="8">
        <f>12896010</f>
        <v>12896010</v>
      </c>
      <c r="S327" s="5" t="s">
        <v>240</v>
      </c>
      <c r="T327" s="5" t="s">
        <v>237</v>
      </c>
      <c r="U327" s="5" t="s">
        <v>238</v>
      </c>
      <c r="V327" s="5" t="s">
        <v>238</v>
      </c>
      <c r="W327" s="5" t="s">
        <v>241</v>
      </c>
      <c r="X327" s="5" t="s">
        <v>337</v>
      </c>
      <c r="Y327" s="5" t="s">
        <v>238</v>
      </c>
      <c r="AB327" s="5" t="s">
        <v>238</v>
      </c>
      <c r="AC327" s="6" t="s">
        <v>238</v>
      </c>
      <c r="AD327" s="6" t="s">
        <v>238</v>
      </c>
      <c r="AF327" s="6" t="s">
        <v>238</v>
      </c>
      <c r="AG327" s="6" t="s">
        <v>246</v>
      </c>
      <c r="AH327" s="5" t="s">
        <v>247</v>
      </c>
      <c r="AI327" s="5" t="s">
        <v>248</v>
      </c>
      <c r="AO327" s="5" t="s">
        <v>238</v>
      </c>
      <c r="AP327" s="5" t="s">
        <v>238</v>
      </c>
      <c r="AQ327" s="5" t="s">
        <v>238</v>
      </c>
      <c r="AR327" s="6" t="s">
        <v>238</v>
      </c>
      <c r="AS327" s="6" t="s">
        <v>238</v>
      </c>
      <c r="AT327" s="6" t="s">
        <v>238</v>
      </c>
      <c r="AW327" s="5" t="s">
        <v>304</v>
      </c>
      <c r="AX327" s="5" t="s">
        <v>304</v>
      </c>
      <c r="AY327" s="5" t="s">
        <v>250</v>
      </c>
      <c r="AZ327" s="5" t="s">
        <v>305</v>
      </c>
      <c r="BA327" s="5" t="s">
        <v>251</v>
      </c>
      <c r="BB327" s="5" t="s">
        <v>238</v>
      </c>
      <c r="BC327" s="5" t="s">
        <v>253</v>
      </c>
      <c r="BD327" s="5" t="s">
        <v>238</v>
      </c>
      <c r="BF327" s="5" t="s">
        <v>238</v>
      </c>
      <c r="BH327" s="5" t="s">
        <v>283</v>
      </c>
      <c r="BI327" s="6" t="s">
        <v>293</v>
      </c>
      <c r="BJ327" s="5" t="s">
        <v>294</v>
      </c>
      <c r="BK327" s="5" t="s">
        <v>294</v>
      </c>
      <c r="BL327" s="5" t="s">
        <v>238</v>
      </c>
      <c r="BM327" s="7">
        <f>0</f>
        <v>0</v>
      </c>
      <c r="BN327" s="8">
        <f>-477630</f>
        <v>-477630</v>
      </c>
      <c r="BO327" s="5" t="s">
        <v>257</v>
      </c>
      <c r="BP327" s="5" t="s">
        <v>258</v>
      </c>
      <c r="BQ327" s="5" t="s">
        <v>238</v>
      </c>
      <c r="BR327" s="5" t="s">
        <v>238</v>
      </c>
      <c r="BS327" s="5" t="s">
        <v>238</v>
      </c>
      <c r="BT327" s="5" t="s">
        <v>238</v>
      </c>
      <c r="CC327" s="5" t="s">
        <v>258</v>
      </c>
      <c r="CD327" s="5" t="s">
        <v>238</v>
      </c>
      <c r="CE327" s="5" t="s">
        <v>238</v>
      </c>
      <c r="CI327" s="5" t="s">
        <v>259</v>
      </c>
      <c r="CJ327" s="5" t="s">
        <v>260</v>
      </c>
      <c r="CK327" s="5" t="s">
        <v>238</v>
      </c>
      <c r="CM327" s="5" t="s">
        <v>638</v>
      </c>
      <c r="CN327" s="6" t="s">
        <v>262</v>
      </c>
      <c r="CO327" s="5" t="s">
        <v>263</v>
      </c>
      <c r="CP327" s="5" t="s">
        <v>264</v>
      </c>
      <c r="CQ327" s="5" t="s">
        <v>285</v>
      </c>
      <c r="CR327" s="5" t="s">
        <v>238</v>
      </c>
      <c r="CS327" s="5">
        <v>0.03</v>
      </c>
      <c r="CT327" s="5" t="s">
        <v>265</v>
      </c>
      <c r="CU327" s="5" t="s">
        <v>1493</v>
      </c>
      <c r="CV327" s="5" t="s">
        <v>649</v>
      </c>
      <c r="CW327" s="7">
        <f>0</f>
        <v>0</v>
      </c>
      <c r="CX327" s="8">
        <f>15921000</f>
        <v>15921000</v>
      </c>
      <c r="CY327" s="8">
        <f>3502620</f>
        <v>3502620</v>
      </c>
      <c r="DA327" s="5" t="s">
        <v>238</v>
      </c>
      <c r="DB327" s="5" t="s">
        <v>238</v>
      </c>
      <c r="DD327" s="5" t="s">
        <v>238</v>
      </c>
      <c r="DE327" s="8">
        <f>0</f>
        <v>0</v>
      </c>
      <c r="DG327" s="5" t="s">
        <v>238</v>
      </c>
      <c r="DH327" s="5" t="s">
        <v>238</v>
      </c>
      <c r="DI327" s="5" t="s">
        <v>238</v>
      </c>
      <c r="DJ327" s="5" t="s">
        <v>238</v>
      </c>
      <c r="DK327" s="5" t="s">
        <v>271</v>
      </c>
      <c r="DL327" s="5" t="s">
        <v>272</v>
      </c>
      <c r="DM327" s="7">
        <f>87</f>
        <v>87</v>
      </c>
      <c r="DN327" s="5" t="s">
        <v>238</v>
      </c>
      <c r="DO327" s="5" t="s">
        <v>238</v>
      </c>
      <c r="DP327" s="5" t="s">
        <v>238</v>
      </c>
      <c r="DQ327" s="5" t="s">
        <v>238</v>
      </c>
      <c r="DT327" s="5" t="s">
        <v>1527</v>
      </c>
      <c r="DU327" s="5" t="s">
        <v>274</v>
      </c>
      <c r="GL327" s="5" t="s">
        <v>1528</v>
      </c>
      <c r="HM327" s="5" t="s">
        <v>313</v>
      </c>
      <c r="HP327" s="5" t="s">
        <v>272</v>
      </c>
      <c r="HQ327" s="5" t="s">
        <v>272</v>
      </c>
      <c r="HR327" s="5" t="s">
        <v>238</v>
      </c>
      <c r="HS327" s="5" t="s">
        <v>238</v>
      </c>
      <c r="HT327" s="5" t="s">
        <v>238</v>
      </c>
      <c r="HU327" s="5" t="s">
        <v>238</v>
      </c>
      <c r="HV327" s="5" t="s">
        <v>238</v>
      </c>
      <c r="HW327" s="5" t="s">
        <v>238</v>
      </c>
      <c r="HX327" s="5" t="s">
        <v>238</v>
      </c>
      <c r="HY327" s="5" t="s">
        <v>238</v>
      </c>
      <c r="HZ327" s="5" t="s">
        <v>238</v>
      </c>
      <c r="IA327" s="5" t="s">
        <v>238</v>
      </c>
      <c r="IB327" s="5" t="s">
        <v>238</v>
      </c>
      <c r="IC327" s="5" t="s">
        <v>238</v>
      </c>
      <c r="ID327" s="5" t="s">
        <v>238</v>
      </c>
    </row>
    <row r="328" spans="1:238" x14ac:dyDescent="0.4">
      <c r="A328" s="5">
        <v>359</v>
      </c>
      <c r="B328" s="5">
        <v>1</v>
      </c>
      <c r="C328" s="5">
        <v>4</v>
      </c>
      <c r="D328" s="5" t="s">
        <v>1525</v>
      </c>
      <c r="E328" s="5" t="s">
        <v>347</v>
      </c>
      <c r="F328" s="5" t="s">
        <v>282</v>
      </c>
      <c r="G328" s="5" t="s">
        <v>1521</v>
      </c>
      <c r="H328" s="6" t="s">
        <v>381</v>
      </c>
      <c r="I328" s="5" t="s">
        <v>1497</v>
      </c>
      <c r="J328" s="7">
        <f>87</f>
        <v>87</v>
      </c>
      <c r="K328" s="5" t="s">
        <v>270</v>
      </c>
      <c r="L328" s="8">
        <f>3024990</f>
        <v>3024990</v>
      </c>
      <c r="M328" s="8">
        <f>15921000</f>
        <v>15921000</v>
      </c>
      <c r="N328" s="6" t="s">
        <v>1526</v>
      </c>
      <c r="O328" s="5" t="s">
        <v>755</v>
      </c>
      <c r="P328" s="5" t="s">
        <v>640</v>
      </c>
      <c r="Q328" s="8">
        <f>477630</f>
        <v>477630</v>
      </c>
      <c r="R328" s="8">
        <f>12896010</f>
        <v>12896010</v>
      </c>
      <c r="S328" s="5" t="s">
        <v>240</v>
      </c>
      <c r="T328" s="5" t="s">
        <v>237</v>
      </c>
      <c r="U328" s="5" t="s">
        <v>238</v>
      </c>
      <c r="V328" s="5" t="s">
        <v>238</v>
      </c>
      <c r="W328" s="5" t="s">
        <v>241</v>
      </c>
      <c r="X328" s="5" t="s">
        <v>337</v>
      </c>
      <c r="Y328" s="5" t="s">
        <v>238</v>
      </c>
      <c r="AB328" s="5" t="s">
        <v>238</v>
      </c>
      <c r="AC328" s="6" t="s">
        <v>238</v>
      </c>
      <c r="AD328" s="6" t="s">
        <v>238</v>
      </c>
      <c r="AF328" s="6" t="s">
        <v>238</v>
      </c>
      <c r="AG328" s="6" t="s">
        <v>246</v>
      </c>
      <c r="AH328" s="5" t="s">
        <v>247</v>
      </c>
      <c r="AI328" s="5" t="s">
        <v>248</v>
      </c>
      <c r="AO328" s="5" t="s">
        <v>238</v>
      </c>
      <c r="AP328" s="5" t="s">
        <v>238</v>
      </c>
      <c r="AQ328" s="5" t="s">
        <v>238</v>
      </c>
      <c r="AR328" s="6" t="s">
        <v>238</v>
      </c>
      <c r="AS328" s="6" t="s">
        <v>238</v>
      </c>
      <c r="AT328" s="6" t="s">
        <v>238</v>
      </c>
      <c r="AW328" s="5" t="s">
        <v>304</v>
      </c>
      <c r="AX328" s="5" t="s">
        <v>304</v>
      </c>
      <c r="AY328" s="5" t="s">
        <v>250</v>
      </c>
      <c r="AZ328" s="5" t="s">
        <v>305</v>
      </c>
      <c r="BA328" s="5" t="s">
        <v>251</v>
      </c>
      <c r="BB328" s="5" t="s">
        <v>238</v>
      </c>
      <c r="BC328" s="5" t="s">
        <v>253</v>
      </c>
      <c r="BD328" s="5" t="s">
        <v>238</v>
      </c>
      <c r="BF328" s="5" t="s">
        <v>238</v>
      </c>
      <c r="BH328" s="5" t="s">
        <v>283</v>
      </c>
      <c r="BI328" s="6" t="s">
        <v>293</v>
      </c>
      <c r="BJ328" s="5" t="s">
        <v>294</v>
      </c>
      <c r="BK328" s="5" t="s">
        <v>294</v>
      </c>
      <c r="BL328" s="5" t="s">
        <v>238</v>
      </c>
      <c r="BM328" s="7">
        <f>0</f>
        <v>0</v>
      </c>
      <c r="BN328" s="8">
        <f>-477630</f>
        <v>-477630</v>
      </c>
      <c r="BO328" s="5" t="s">
        <v>257</v>
      </c>
      <c r="BP328" s="5" t="s">
        <v>258</v>
      </c>
      <c r="BQ328" s="5" t="s">
        <v>238</v>
      </c>
      <c r="BR328" s="5" t="s">
        <v>238</v>
      </c>
      <c r="BS328" s="5" t="s">
        <v>238</v>
      </c>
      <c r="BT328" s="5" t="s">
        <v>238</v>
      </c>
      <c r="CC328" s="5" t="s">
        <v>258</v>
      </c>
      <c r="CD328" s="5" t="s">
        <v>238</v>
      </c>
      <c r="CE328" s="5" t="s">
        <v>238</v>
      </c>
      <c r="CI328" s="5" t="s">
        <v>259</v>
      </c>
      <c r="CJ328" s="5" t="s">
        <v>260</v>
      </c>
      <c r="CK328" s="5" t="s">
        <v>238</v>
      </c>
      <c r="CM328" s="5" t="s">
        <v>638</v>
      </c>
      <c r="CN328" s="6" t="s">
        <v>262</v>
      </c>
      <c r="CO328" s="5" t="s">
        <v>263</v>
      </c>
      <c r="CP328" s="5" t="s">
        <v>264</v>
      </c>
      <c r="CQ328" s="5" t="s">
        <v>285</v>
      </c>
      <c r="CR328" s="5" t="s">
        <v>238</v>
      </c>
      <c r="CS328" s="5">
        <v>0.03</v>
      </c>
      <c r="CT328" s="5" t="s">
        <v>265</v>
      </c>
      <c r="CU328" s="5" t="s">
        <v>1493</v>
      </c>
      <c r="CV328" s="5" t="s">
        <v>649</v>
      </c>
      <c r="CW328" s="7">
        <f>0</f>
        <v>0</v>
      </c>
      <c r="CX328" s="8">
        <f>15921000</f>
        <v>15921000</v>
      </c>
      <c r="CY328" s="8">
        <f>3502620</f>
        <v>3502620</v>
      </c>
      <c r="DA328" s="5" t="s">
        <v>238</v>
      </c>
      <c r="DB328" s="5" t="s">
        <v>238</v>
      </c>
      <c r="DD328" s="5" t="s">
        <v>238</v>
      </c>
      <c r="DE328" s="8">
        <f>0</f>
        <v>0</v>
      </c>
      <c r="DG328" s="5" t="s">
        <v>238</v>
      </c>
      <c r="DH328" s="5" t="s">
        <v>238</v>
      </c>
      <c r="DI328" s="5" t="s">
        <v>238</v>
      </c>
      <c r="DJ328" s="5" t="s">
        <v>238</v>
      </c>
      <c r="DK328" s="5" t="s">
        <v>271</v>
      </c>
      <c r="DL328" s="5" t="s">
        <v>272</v>
      </c>
      <c r="DM328" s="7">
        <f>87</f>
        <v>87</v>
      </c>
      <c r="DN328" s="5" t="s">
        <v>238</v>
      </c>
      <c r="DO328" s="5" t="s">
        <v>238</v>
      </c>
      <c r="DP328" s="5" t="s">
        <v>238</v>
      </c>
      <c r="DQ328" s="5" t="s">
        <v>238</v>
      </c>
      <c r="DT328" s="5" t="s">
        <v>1527</v>
      </c>
      <c r="DU328" s="5" t="s">
        <v>356</v>
      </c>
      <c r="GL328" s="5" t="s">
        <v>1529</v>
      </c>
      <c r="HM328" s="5" t="s">
        <v>313</v>
      </c>
      <c r="HP328" s="5" t="s">
        <v>272</v>
      </c>
      <c r="HQ328" s="5" t="s">
        <v>272</v>
      </c>
      <c r="HR328" s="5" t="s">
        <v>238</v>
      </c>
      <c r="HS328" s="5" t="s">
        <v>238</v>
      </c>
      <c r="HT328" s="5" t="s">
        <v>238</v>
      </c>
      <c r="HU328" s="5" t="s">
        <v>238</v>
      </c>
      <c r="HV328" s="5" t="s">
        <v>238</v>
      </c>
      <c r="HW328" s="5" t="s">
        <v>238</v>
      </c>
      <c r="HX328" s="5" t="s">
        <v>238</v>
      </c>
      <c r="HY328" s="5" t="s">
        <v>238</v>
      </c>
      <c r="HZ328" s="5" t="s">
        <v>238</v>
      </c>
      <c r="IA328" s="5" t="s">
        <v>238</v>
      </c>
      <c r="IB328" s="5" t="s">
        <v>238</v>
      </c>
      <c r="IC328" s="5" t="s">
        <v>238</v>
      </c>
      <c r="ID328" s="5" t="s">
        <v>238</v>
      </c>
    </row>
    <row r="329" spans="1:238" x14ac:dyDescent="0.4">
      <c r="A329" s="5">
        <v>360</v>
      </c>
      <c r="B329" s="5">
        <v>1</v>
      </c>
      <c r="C329" s="5">
        <v>4</v>
      </c>
      <c r="D329" s="5" t="s">
        <v>1525</v>
      </c>
      <c r="E329" s="5" t="s">
        <v>347</v>
      </c>
      <c r="F329" s="5" t="s">
        <v>282</v>
      </c>
      <c r="G329" s="5" t="s">
        <v>1521</v>
      </c>
      <c r="H329" s="6" t="s">
        <v>381</v>
      </c>
      <c r="I329" s="5" t="s">
        <v>1497</v>
      </c>
      <c r="J329" s="7">
        <f>18</f>
        <v>18</v>
      </c>
      <c r="K329" s="5" t="s">
        <v>270</v>
      </c>
      <c r="L329" s="8">
        <f>1515240</f>
        <v>1515240</v>
      </c>
      <c r="M329" s="8">
        <f>3294000</f>
        <v>3294000</v>
      </c>
      <c r="N329" s="6" t="s">
        <v>1530</v>
      </c>
      <c r="O329" s="5" t="s">
        <v>755</v>
      </c>
      <c r="P329" s="5" t="s">
        <v>269</v>
      </c>
      <c r="Q329" s="8">
        <f>98820</f>
        <v>98820</v>
      </c>
      <c r="R329" s="8">
        <f>1778760</f>
        <v>1778760</v>
      </c>
      <c r="S329" s="5" t="s">
        <v>240</v>
      </c>
      <c r="T329" s="5" t="s">
        <v>237</v>
      </c>
      <c r="U329" s="5" t="s">
        <v>238</v>
      </c>
      <c r="V329" s="5" t="s">
        <v>238</v>
      </c>
      <c r="W329" s="5" t="s">
        <v>241</v>
      </c>
      <c r="X329" s="5" t="s">
        <v>337</v>
      </c>
      <c r="Y329" s="5" t="s">
        <v>238</v>
      </c>
      <c r="AB329" s="5" t="s">
        <v>238</v>
      </c>
      <c r="AC329" s="6" t="s">
        <v>238</v>
      </c>
      <c r="AD329" s="6" t="s">
        <v>238</v>
      </c>
      <c r="AF329" s="6" t="s">
        <v>238</v>
      </c>
      <c r="AG329" s="6" t="s">
        <v>246</v>
      </c>
      <c r="AH329" s="5" t="s">
        <v>247</v>
      </c>
      <c r="AI329" s="5" t="s">
        <v>248</v>
      </c>
      <c r="AO329" s="5" t="s">
        <v>238</v>
      </c>
      <c r="AP329" s="5" t="s">
        <v>238</v>
      </c>
      <c r="AQ329" s="5" t="s">
        <v>238</v>
      </c>
      <c r="AR329" s="6" t="s">
        <v>238</v>
      </c>
      <c r="AS329" s="6" t="s">
        <v>238</v>
      </c>
      <c r="AT329" s="6" t="s">
        <v>238</v>
      </c>
      <c r="AW329" s="5" t="s">
        <v>304</v>
      </c>
      <c r="AX329" s="5" t="s">
        <v>304</v>
      </c>
      <c r="AY329" s="5" t="s">
        <v>250</v>
      </c>
      <c r="AZ329" s="5" t="s">
        <v>305</v>
      </c>
      <c r="BA329" s="5" t="s">
        <v>251</v>
      </c>
      <c r="BB329" s="5" t="s">
        <v>238</v>
      </c>
      <c r="BC329" s="5" t="s">
        <v>253</v>
      </c>
      <c r="BD329" s="5" t="s">
        <v>238</v>
      </c>
      <c r="BF329" s="5" t="s">
        <v>238</v>
      </c>
      <c r="BH329" s="5" t="s">
        <v>283</v>
      </c>
      <c r="BI329" s="6" t="s">
        <v>293</v>
      </c>
      <c r="BJ329" s="5" t="s">
        <v>294</v>
      </c>
      <c r="BK329" s="5" t="s">
        <v>294</v>
      </c>
      <c r="BL329" s="5" t="s">
        <v>238</v>
      </c>
      <c r="BM329" s="7">
        <f>0</f>
        <v>0</v>
      </c>
      <c r="BN329" s="8">
        <f>-98820</f>
        <v>-98820</v>
      </c>
      <c r="BO329" s="5" t="s">
        <v>257</v>
      </c>
      <c r="BP329" s="5" t="s">
        <v>258</v>
      </c>
      <c r="BQ329" s="5" t="s">
        <v>238</v>
      </c>
      <c r="BR329" s="5" t="s">
        <v>238</v>
      </c>
      <c r="BS329" s="5" t="s">
        <v>238</v>
      </c>
      <c r="BT329" s="5" t="s">
        <v>238</v>
      </c>
      <c r="CC329" s="5" t="s">
        <v>258</v>
      </c>
      <c r="CD329" s="5" t="s">
        <v>238</v>
      </c>
      <c r="CE329" s="5" t="s">
        <v>238</v>
      </c>
      <c r="CI329" s="5" t="s">
        <v>259</v>
      </c>
      <c r="CJ329" s="5" t="s">
        <v>260</v>
      </c>
      <c r="CK329" s="5" t="s">
        <v>238</v>
      </c>
      <c r="CM329" s="5" t="s">
        <v>682</v>
      </c>
      <c r="CN329" s="6" t="s">
        <v>262</v>
      </c>
      <c r="CO329" s="5" t="s">
        <v>263</v>
      </c>
      <c r="CP329" s="5" t="s">
        <v>264</v>
      </c>
      <c r="CQ329" s="5" t="s">
        <v>285</v>
      </c>
      <c r="CR329" s="5" t="s">
        <v>238</v>
      </c>
      <c r="CS329" s="5">
        <v>0.03</v>
      </c>
      <c r="CT329" s="5" t="s">
        <v>265</v>
      </c>
      <c r="CU329" s="5" t="s">
        <v>1493</v>
      </c>
      <c r="CV329" s="5" t="s">
        <v>649</v>
      </c>
      <c r="CW329" s="7">
        <f>0</f>
        <v>0</v>
      </c>
      <c r="CX329" s="8">
        <f>3294000</f>
        <v>3294000</v>
      </c>
      <c r="CY329" s="8">
        <f>1614060</f>
        <v>1614060</v>
      </c>
      <c r="DA329" s="5" t="s">
        <v>238</v>
      </c>
      <c r="DB329" s="5" t="s">
        <v>238</v>
      </c>
      <c r="DD329" s="5" t="s">
        <v>238</v>
      </c>
      <c r="DE329" s="8">
        <f>0</f>
        <v>0</v>
      </c>
      <c r="DG329" s="5" t="s">
        <v>238</v>
      </c>
      <c r="DH329" s="5" t="s">
        <v>238</v>
      </c>
      <c r="DI329" s="5" t="s">
        <v>238</v>
      </c>
      <c r="DJ329" s="5" t="s">
        <v>238</v>
      </c>
      <c r="DK329" s="5" t="s">
        <v>271</v>
      </c>
      <c r="DL329" s="5" t="s">
        <v>272</v>
      </c>
      <c r="DM329" s="7">
        <f>18</f>
        <v>18</v>
      </c>
      <c r="DN329" s="5" t="s">
        <v>238</v>
      </c>
      <c r="DO329" s="5" t="s">
        <v>238</v>
      </c>
      <c r="DP329" s="5" t="s">
        <v>238</v>
      </c>
      <c r="DQ329" s="5" t="s">
        <v>238</v>
      </c>
      <c r="DT329" s="5" t="s">
        <v>1527</v>
      </c>
      <c r="DU329" s="5" t="s">
        <v>310</v>
      </c>
      <c r="GL329" s="5" t="s">
        <v>1531</v>
      </c>
      <c r="HM329" s="5" t="s">
        <v>313</v>
      </c>
      <c r="HP329" s="5" t="s">
        <v>272</v>
      </c>
      <c r="HQ329" s="5" t="s">
        <v>272</v>
      </c>
      <c r="HR329" s="5" t="s">
        <v>238</v>
      </c>
      <c r="HS329" s="5" t="s">
        <v>238</v>
      </c>
      <c r="HT329" s="5" t="s">
        <v>238</v>
      </c>
      <c r="HU329" s="5" t="s">
        <v>238</v>
      </c>
      <c r="HV329" s="5" t="s">
        <v>238</v>
      </c>
      <c r="HW329" s="5" t="s">
        <v>238</v>
      </c>
      <c r="HX329" s="5" t="s">
        <v>238</v>
      </c>
      <c r="HY329" s="5" t="s">
        <v>238</v>
      </c>
      <c r="HZ329" s="5" t="s">
        <v>238</v>
      </c>
      <c r="IA329" s="5" t="s">
        <v>238</v>
      </c>
      <c r="IB329" s="5" t="s">
        <v>238</v>
      </c>
      <c r="IC329" s="5" t="s">
        <v>238</v>
      </c>
      <c r="ID329" s="5" t="s">
        <v>238</v>
      </c>
    </row>
    <row r="330" spans="1:238" x14ac:dyDescent="0.4">
      <c r="A330" s="5">
        <v>361</v>
      </c>
      <c r="B330" s="5">
        <v>1</v>
      </c>
      <c r="C330" s="5">
        <v>4</v>
      </c>
      <c r="D330" s="5" t="s">
        <v>576</v>
      </c>
      <c r="E330" s="5" t="s">
        <v>347</v>
      </c>
      <c r="F330" s="5" t="s">
        <v>282</v>
      </c>
      <c r="G330" s="5" t="s">
        <v>1521</v>
      </c>
      <c r="H330" s="6" t="s">
        <v>369</v>
      </c>
      <c r="I330" s="5" t="s">
        <v>1497</v>
      </c>
      <c r="J330" s="7">
        <f>758</f>
        <v>758</v>
      </c>
      <c r="K330" s="5" t="s">
        <v>270</v>
      </c>
      <c r="L330" s="8">
        <f>1252160</f>
        <v>1252160</v>
      </c>
      <c r="M330" s="8">
        <f>17888000</f>
        <v>17888000</v>
      </c>
      <c r="N330" s="6" t="s">
        <v>1535</v>
      </c>
      <c r="O330" s="5" t="s">
        <v>755</v>
      </c>
      <c r="P330" s="5" t="s">
        <v>690</v>
      </c>
      <c r="Q330" s="8">
        <f>536640</f>
        <v>536640</v>
      </c>
      <c r="R330" s="8">
        <f>16635840</f>
        <v>16635840</v>
      </c>
      <c r="S330" s="5" t="s">
        <v>240</v>
      </c>
      <c r="T330" s="5" t="s">
        <v>237</v>
      </c>
      <c r="U330" s="5" t="s">
        <v>238</v>
      </c>
      <c r="V330" s="5" t="s">
        <v>238</v>
      </c>
      <c r="W330" s="5" t="s">
        <v>241</v>
      </c>
      <c r="X330" s="5" t="s">
        <v>337</v>
      </c>
      <c r="Y330" s="5" t="s">
        <v>238</v>
      </c>
      <c r="AB330" s="5" t="s">
        <v>238</v>
      </c>
      <c r="AC330" s="6" t="s">
        <v>238</v>
      </c>
      <c r="AD330" s="6" t="s">
        <v>238</v>
      </c>
      <c r="AF330" s="6" t="s">
        <v>238</v>
      </c>
      <c r="AG330" s="6" t="s">
        <v>246</v>
      </c>
      <c r="AH330" s="5" t="s">
        <v>247</v>
      </c>
      <c r="AI330" s="5" t="s">
        <v>248</v>
      </c>
      <c r="AO330" s="5" t="s">
        <v>238</v>
      </c>
      <c r="AP330" s="5" t="s">
        <v>238</v>
      </c>
      <c r="AQ330" s="5" t="s">
        <v>238</v>
      </c>
      <c r="AR330" s="6" t="s">
        <v>238</v>
      </c>
      <c r="AS330" s="6" t="s">
        <v>238</v>
      </c>
      <c r="AT330" s="6" t="s">
        <v>238</v>
      </c>
      <c r="AW330" s="5" t="s">
        <v>304</v>
      </c>
      <c r="AX330" s="5" t="s">
        <v>304</v>
      </c>
      <c r="AY330" s="5" t="s">
        <v>250</v>
      </c>
      <c r="AZ330" s="5" t="s">
        <v>305</v>
      </c>
      <c r="BA330" s="5" t="s">
        <v>251</v>
      </c>
      <c r="BB330" s="5" t="s">
        <v>238</v>
      </c>
      <c r="BC330" s="5" t="s">
        <v>253</v>
      </c>
      <c r="BD330" s="5" t="s">
        <v>238</v>
      </c>
      <c r="BF330" s="5" t="s">
        <v>238</v>
      </c>
      <c r="BH330" s="5" t="s">
        <v>283</v>
      </c>
      <c r="BI330" s="6" t="s">
        <v>293</v>
      </c>
      <c r="BJ330" s="5" t="s">
        <v>294</v>
      </c>
      <c r="BK330" s="5" t="s">
        <v>294</v>
      </c>
      <c r="BL330" s="5" t="s">
        <v>238</v>
      </c>
      <c r="BM330" s="7">
        <f>0</f>
        <v>0</v>
      </c>
      <c r="BN330" s="8">
        <f>-536640</f>
        <v>-536640</v>
      </c>
      <c r="BO330" s="5" t="s">
        <v>257</v>
      </c>
      <c r="BP330" s="5" t="s">
        <v>258</v>
      </c>
      <c r="BQ330" s="5" t="s">
        <v>238</v>
      </c>
      <c r="BR330" s="5" t="s">
        <v>238</v>
      </c>
      <c r="BS330" s="5" t="s">
        <v>238</v>
      </c>
      <c r="BT330" s="5" t="s">
        <v>238</v>
      </c>
      <c r="CC330" s="5" t="s">
        <v>258</v>
      </c>
      <c r="CD330" s="5" t="s">
        <v>238</v>
      </c>
      <c r="CE330" s="5" t="s">
        <v>238</v>
      </c>
      <c r="CI330" s="5" t="s">
        <v>259</v>
      </c>
      <c r="CJ330" s="5" t="s">
        <v>260</v>
      </c>
      <c r="CK330" s="5" t="s">
        <v>238</v>
      </c>
      <c r="CM330" s="5" t="s">
        <v>768</v>
      </c>
      <c r="CN330" s="6" t="s">
        <v>262</v>
      </c>
      <c r="CO330" s="5" t="s">
        <v>263</v>
      </c>
      <c r="CP330" s="5" t="s">
        <v>264</v>
      </c>
      <c r="CQ330" s="5" t="s">
        <v>285</v>
      </c>
      <c r="CR330" s="5" t="s">
        <v>238</v>
      </c>
      <c r="CS330" s="5">
        <v>0.03</v>
      </c>
      <c r="CT330" s="5" t="s">
        <v>265</v>
      </c>
      <c r="CU330" s="5" t="s">
        <v>1493</v>
      </c>
      <c r="CV330" s="5" t="s">
        <v>649</v>
      </c>
      <c r="CW330" s="7">
        <f>0</f>
        <v>0</v>
      </c>
      <c r="CX330" s="8">
        <f>17888000</f>
        <v>17888000</v>
      </c>
      <c r="CY330" s="8">
        <f>1788800</f>
        <v>1788800</v>
      </c>
      <c r="DA330" s="5" t="s">
        <v>238</v>
      </c>
      <c r="DB330" s="5" t="s">
        <v>238</v>
      </c>
      <c r="DD330" s="5" t="s">
        <v>238</v>
      </c>
      <c r="DE330" s="8">
        <f>0</f>
        <v>0</v>
      </c>
      <c r="DG330" s="5" t="s">
        <v>238</v>
      </c>
      <c r="DH330" s="5" t="s">
        <v>238</v>
      </c>
      <c r="DI330" s="5" t="s">
        <v>238</v>
      </c>
      <c r="DJ330" s="5" t="s">
        <v>238</v>
      </c>
      <c r="DK330" s="5" t="s">
        <v>271</v>
      </c>
      <c r="DL330" s="5" t="s">
        <v>272</v>
      </c>
      <c r="DM330" s="7">
        <f>758</f>
        <v>758</v>
      </c>
      <c r="DN330" s="5" t="s">
        <v>238</v>
      </c>
      <c r="DO330" s="5" t="s">
        <v>238</v>
      </c>
      <c r="DP330" s="5" t="s">
        <v>238</v>
      </c>
      <c r="DQ330" s="5" t="s">
        <v>238</v>
      </c>
      <c r="DT330" s="5" t="s">
        <v>577</v>
      </c>
      <c r="DU330" s="5" t="s">
        <v>271</v>
      </c>
      <c r="GL330" s="5" t="s">
        <v>1536</v>
      </c>
      <c r="HM330" s="5" t="s">
        <v>313</v>
      </c>
      <c r="HP330" s="5" t="s">
        <v>272</v>
      </c>
      <c r="HQ330" s="5" t="s">
        <v>272</v>
      </c>
      <c r="HR330" s="5" t="s">
        <v>238</v>
      </c>
      <c r="HS330" s="5" t="s">
        <v>238</v>
      </c>
      <c r="HT330" s="5" t="s">
        <v>238</v>
      </c>
      <c r="HU330" s="5" t="s">
        <v>238</v>
      </c>
      <c r="HV330" s="5" t="s">
        <v>238</v>
      </c>
      <c r="HW330" s="5" t="s">
        <v>238</v>
      </c>
      <c r="HX330" s="5" t="s">
        <v>238</v>
      </c>
      <c r="HY330" s="5" t="s">
        <v>238</v>
      </c>
      <c r="HZ330" s="5" t="s">
        <v>238</v>
      </c>
      <c r="IA330" s="5" t="s">
        <v>238</v>
      </c>
      <c r="IB330" s="5" t="s">
        <v>238</v>
      </c>
      <c r="IC330" s="5" t="s">
        <v>238</v>
      </c>
      <c r="ID330" s="5" t="s">
        <v>238</v>
      </c>
    </row>
    <row r="331" spans="1:238" x14ac:dyDescent="0.4">
      <c r="A331" s="5">
        <v>362</v>
      </c>
      <c r="B331" s="5">
        <v>1</v>
      </c>
      <c r="C331" s="5">
        <v>4</v>
      </c>
      <c r="D331" s="5" t="s">
        <v>576</v>
      </c>
      <c r="E331" s="5" t="s">
        <v>347</v>
      </c>
      <c r="F331" s="5" t="s">
        <v>282</v>
      </c>
      <c r="G331" s="5" t="s">
        <v>349</v>
      </c>
      <c r="H331" s="6" t="s">
        <v>369</v>
      </c>
      <c r="I331" s="5" t="s">
        <v>345</v>
      </c>
      <c r="J331" s="7">
        <f>0</f>
        <v>0</v>
      </c>
      <c r="K331" s="5" t="s">
        <v>270</v>
      </c>
      <c r="L331" s="8">
        <f>8184130</f>
        <v>8184130</v>
      </c>
      <c r="M331" s="8">
        <f>10642558</f>
        <v>10642558</v>
      </c>
      <c r="N331" s="6" t="s">
        <v>567</v>
      </c>
      <c r="O331" s="5" t="s">
        <v>319</v>
      </c>
      <c r="P331" s="5" t="s">
        <v>271</v>
      </c>
      <c r="Q331" s="8">
        <f>819476</f>
        <v>819476</v>
      </c>
      <c r="R331" s="8">
        <f>2458428</f>
        <v>2458428</v>
      </c>
      <c r="S331" s="5" t="s">
        <v>240</v>
      </c>
      <c r="T331" s="5" t="s">
        <v>287</v>
      </c>
      <c r="U331" s="5" t="s">
        <v>238</v>
      </c>
      <c r="V331" s="5" t="s">
        <v>238</v>
      </c>
      <c r="W331" s="5" t="s">
        <v>241</v>
      </c>
      <c r="X331" s="5" t="s">
        <v>238</v>
      </c>
      <c r="Y331" s="5" t="s">
        <v>238</v>
      </c>
      <c r="AB331" s="5" t="s">
        <v>238</v>
      </c>
      <c r="AC331" s="6" t="s">
        <v>238</v>
      </c>
      <c r="AD331" s="6" t="s">
        <v>238</v>
      </c>
      <c r="AF331" s="6" t="s">
        <v>238</v>
      </c>
      <c r="AG331" s="6" t="s">
        <v>246</v>
      </c>
      <c r="AH331" s="5" t="s">
        <v>247</v>
      </c>
      <c r="AI331" s="5" t="s">
        <v>248</v>
      </c>
      <c r="AO331" s="5" t="s">
        <v>238</v>
      </c>
      <c r="AP331" s="5" t="s">
        <v>238</v>
      </c>
      <c r="AQ331" s="5" t="s">
        <v>238</v>
      </c>
      <c r="AR331" s="6" t="s">
        <v>238</v>
      </c>
      <c r="AS331" s="6" t="s">
        <v>238</v>
      </c>
      <c r="AT331" s="6" t="s">
        <v>238</v>
      </c>
      <c r="AW331" s="5" t="s">
        <v>304</v>
      </c>
      <c r="AX331" s="5" t="s">
        <v>304</v>
      </c>
      <c r="AY331" s="5" t="s">
        <v>250</v>
      </c>
      <c r="AZ331" s="5" t="s">
        <v>305</v>
      </c>
      <c r="BA331" s="5" t="s">
        <v>251</v>
      </c>
      <c r="BB331" s="5" t="s">
        <v>238</v>
      </c>
      <c r="BC331" s="5" t="s">
        <v>253</v>
      </c>
      <c r="BD331" s="5" t="s">
        <v>238</v>
      </c>
      <c r="BF331" s="5" t="s">
        <v>238</v>
      </c>
      <c r="BH331" s="5" t="s">
        <v>283</v>
      </c>
      <c r="BI331" s="6" t="s">
        <v>293</v>
      </c>
      <c r="BJ331" s="5" t="s">
        <v>294</v>
      </c>
      <c r="BK331" s="5" t="s">
        <v>294</v>
      </c>
      <c r="BL331" s="5" t="s">
        <v>238</v>
      </c>
      <c r="BM331" s="7">
        <f>0</f>
        <v>0</v>
      </c>
      <c r="BN331" s="8">
        <f>-819476</f>
        <v>-819476</v>
      </c>
      <c r="BO331" s="5" t="s">
        <v>257</v>
      </c>
      <c r="BP331" s="5" t="s">
        <v>258</v>
      </c>
      <c r="BQ331" s="5" t="s">
        <v>238</v>
      </c>
      <c r="BR331" s="5" t="s">
        <v>238</v>
      </c>
      <c r="BS331" s="5" t="s">
        <v>238</v>
      </c>
      <c r="BT331" s="5" t="s">
        <v>238</v>
      </c>
      <c r="CC331" s="5" t="s">
        <v>258</v>
      </c>
      <c r="CD331" s="5" t="s">
        <v>238</v>
      </c>
      <c r="CE331" s="5" t="s">
        <v>238</v>
      </c>
      <c r="CI331" s="5" t="s">
        <v>259</v>
      </c>
      <c r="CJ331" s="5" t="s">
        <v>260</v>
      </c>
      <c r="CK331" s="5" t="s">
        <v>238</v>
      </c>
      <c r="CM331" s="5" t="s">
        <v>291</v>
      </c>
      <c r="CN331" s="6" t="s">
        <v>262</v>
      </c>
      <c r="CO331" s="5" t="s">
        <v>263</v>
      </c>
      <c r="CP331" s="5" t="s">
        <v>264</v>
      </c>
      <c r="CQ331" s="5" t="s">
        <v>285</v>
      </c>
      <c r="CR331" s="5" t="s">
        <v>238</v>
      </c>
      <c r="CS331" s="5">
        <v>7.6999999999999999E-2</v>
      </c>
      <c r="CT331" s="5" t="s">
        <v>265</v>
      </c>
      <c r="CU331" s="5" t="s">
        <v>351</v>
      </c>
      <c r="CV331" s="5" t="s">
        <v>352</v>
      </c>
      <c r="CW331" s="7">
        <f>0</f>
        <v>0</v>
      </c>
      <c r="CX331" s="8">
        <f>10642558</f>
        <v>10642558</v>
      </c>
      <c r="CY331" s="8">
        <f>9003606</f>
        <v>9003606</v>
      </c>
      <c r="DA331" s="5" t="s">
        <v>238</v>
      </c>
      <c r="DB331" s="5" t="s">
        <v>238</v>
      </c>
      <c r="DD331" s="5" t="s">
        <v>238</v>
      </c>
      <c r="DE331" s="8">
        <f>0</f>
        <v>0</v>
      </c>
      <c r="DG331" s="5" t="s">
        <v>238</v>
      </c>
      <c r="DH331" s="5" t="s">
        <v>238</v>
      </c>
      <c r="DI331" s="5" t="s">
        <v>238</v>
      </c>
      <c r="DJ331" s="5" t="s">
        <v>238</v>
      </c>
      <c r="DK331" s="5" t="s">
        <v>272</v>
      </c>
      <c r="DL331" s="5" t="s">
        <v>272</v>
      </c>
      <c r="DM331" s="8" t="s">
        <v>238</v>
      </c>
      <c r="DN331" s="5" t="s">
        <v>238</v>
      </c>
      <c r="DO331" s="5" t="s">
        <v>238</v>
      </c>
      <c r="DP331" s="5" t="s">
        <v>238</v>
      </c>
      <c r="DQ331" s="5" t="s">
        <v>238</v>
      </c>
      <c r="DT331" s="5" t="s">
        <v>577</v>
      </c>
      <c r="DU331" s="5" t="s">
        <v>274</v>
      </c>
      <c r="GL331" s="5" t="s">
        <v>578</v>
      </c>
      <c r="HM331" s="5" t="s">
        <v>356</v>
      </c>
      <c r="HP331" s="5" t="s">
        <v>272</v>
      </c>
      <c r="HQ331" s="5" t="s">
        <v>272</v>
      </c>
      <c r="HR331" s="5" t="s">
        <v>238</v>
      </c>
      <c r="HS331" s="5" t="s">
        <v>238</v>
      </c>
      <c r="HT331" s="5" t="s">
        <v>238</v>
      </c>
      <c r="HU331" s="5" t="s">
        <v>238</v>
      </c>
      <c r="HV331" s="5" t="s">
        <v>238</v>
      </c>
      <c r="HW331" s="5" t="s">
        <v>238</v>
      </c>
      <c r="HX331" s="5" t="s">
        <v>238</v>
      </c>
      <c r="HY331" s="5" t="s">
        <v>238</v>
      </c>
      <c r="HZ331" s="5" t="s">
        <v>238</v>
      </c>
      <c r="IA331" s="5" t="s">
        <v>238</v>
      </c>
      <c r="IB331" s="5" t="s">
        <v>238</v>
      </c>
      <c r="IC331" s="5" t="s">
        <v>238</v>
      </c>
      <c r="ID331" s="5" t="s">
        <v>238</v>
      </c>
    </row>
    <row r="332" spans="1:238" x14ac:dyDescent="0.4">
      <c r="A332" s="5">
        <v>364</v>
      </c>
      <c r="B332" s="5">
        <v>1</v>
      </c>
      <c r="C332" s="5">
        <v>1</v>
      </c>
      <c r="D332" s="5" t="s">
        <v>566</v>
      </c>
      <c r="E332" s="5" t="s">
        <v>347</v>
      </c>
      <c r="F332" s="5" t="s">
        <v>282</v>
      </c>
      <c r="G332" s="5" t="s">
        <v>239</v>
      </c>
      <c r="H332" s="6" t="s">
        <v>568</v>
      </c>
      <c r="I332" s="5" t="s">
        <v>239</v>
      </c>
      <c r="J332" s="7">
        <f>16</f>
        <v>16</v>
      </c>
      <c r="K332" s="5" t="s">
        <v>270</v>
      </c>
      <c r="L332" s="8">
        <f>1</f>
        <v>1</v>
      </c>
      <c r="M332" s="8">
        <f>960000</f>
        <v>960000</v>
      </c>
      <c r="N332" s="6" t="s">
        <v>1096</v>
      </c>
      <c r="O332" s="5" t="s">
        <v>268</v>
      </c>
      <c r="P332" s="5" t="s">
        <v>1098</v>
      </c>
      <c r="R332" s="8">
        <f>959999</f>
        <v>959999</v>
      </c>
      <c r="S332" s="5" t="s">
        <v>240</v>
      </c>
      <c r="T332" s="5" t="s">
        <v>237</v>
      </c>
      <c r="U332" s="5" t="s">
        <v>238</v>
      </c>
      <c r="V332" s="5" t="s">
        <v>238</v>
      </c>
      <c r="W332" s="5" t="s">
        <v>241</v>
      </c>
      <c r="X332" s="5" t="s">
        <v>337</v>
      </c>
      <c r="Y332" s="5" t="s">
        <v>238</v>
      </c>
      <c r="AB332" s="5" t="s">
        <v>238</v>
      </c>
      <c r="AD332" s="6" t="s">
        <v>238</v>
      </c>
      <c r="AG332" s="6" t="s">
        <v>246</v>
      </c>
      <c r="AH332" s="5" t="s">
        <v>247</v>
      </c>
      <c r="AI332" s="5" t="s">
        <v>248</v>
      </c>
      <c r="AY332" s="5" t="s">
        <v>250</v>
      </c>
      <c r="AZ332" s="5" t="s">
        <v>238</v>
      </c>
      <c r="BA332" s="5" t="s">
        <v>251</v>
      </c>
      <c r="BB332" s="5" t="s">
        <v>238</v>
      </c>
      <c r="BC332" s="5" t="s">
        <v>253</v>
      </c>
      <c r="BD332" s="5" t="s">
        <v>238</v>
      </c>
      <c r="BF332" s="5" t="s">
        <v>238</v>
      </c>
      <c r="BH332" s="5" t="s">
        <v>254</v>
      </c>
      <c r="BI332" s="6" t="s">
        <v>246</v>
      </c>
      <c r="BJ332" s="5" t="s">
        <v>255</v>
      </c>
      <c r="BK332" s="5" t="s">
        <v>256</v>
      </c>
      <c r="BL332" s="5" t="s">
        <v>238</v>
      </c>
      <c r="BM332" s="7">
        <f>0</f>
        <v>0</v>
      </c>
      <c r="BN332" s="8">
        <f>0</f>
        <v>0</v>
      </c>
      <c r="BO332" s="5" t="s">
        <v>257</v>
      </c>
      <c r="BP332" s="5" t="s">
        <v>258</v>
      </c>
      <c r="CD332" s="5" t="s">
        <v>238</v>
      </c>
      <c r="CE332" s="5" t="s">
        <v>238</v>
      </c>
      <c r="CI332" s="5" t="s">
        <v>527</v>
      </c>
      <c r="CJ332" s="5" t="s">
        <v>260</v>
      </c>
      <c r="CK332" s="5" t="s">
        <v>238</v>
      </c>
      <c r="CM332" s="5" t="s">
        <v>1097</v>
      </c>
      <c r="CN332" s="6" t="s">
        <v>262</v>
      </c>
      <c r="CO332" s="5" t="s">
        <v>263</v>
      </c>
      <c r="CP332" s="5" t="s">
        <v>264</v>
      </c>
      <c r="CQ332" s="5" t="s">
        <v>238</v>
      </c>
      <c r="CR332" s="5" t="s">
        <v>238</v>
      </c>
      <c r="CS332" s="5">
        <v>0</v>
      </c>
      <c r="CT332" s="5" t="s">
        <v>265</v>
      </c>
      <c r="CU332" s="5" t="s">
        <v>266</v>
      </c>
      <c r="CV332" s="5" t="s">
        <v>267</v>
      </c>
      <c r="CX332" s="8">
        <f>960000</f>
        <v>960000</v>
      </c>
      <c r="CY332" s="8">
        <f>0</f>
        <v>0</v>
      </c>
      <c r="DA332" s="5" t="s">
        <v>238</v>
      </c>
      <c r="DB332" s="5" t="s">
        <v>238</v>
      </c>
      <c r="DD332" s="5" t="s">
        <v>238</v>
      </c>
      <c r="DG332" s="5" t="s">
        <v>238</v>
      </c>
      <c r="DH332" s="5" t="s">
        <v>238</v>
      </c>
      <c r="DI332" s="5" t="s">
        <v>238</v>
      </c>
      <c r="DJ332" s="5" t="s">
        <v>238</v>
      </c>
      <c r="DK332" s="5" t="s">
        <v>271</v>
      </c>
      <c r="DL332" s="5" t="s">
        <v>272</v>
      </c>
      <c r="DM332" s="7">
        <f>16</f>
        <v>16</v>
      </c>
      <c r="DN332" s="5" t="s">
        <v>238</v>
      </c>
      <c r="DO332" s="5" t="s">
        <v>238</v>
      </c>
      <c r="DP332" s="5" t="s">
        <v>238</v>
      </c>
      <c r="DQ332" s="5" t="s">
        <v>238</v>
      </c>
      <c r="DT332" s="5" t="s">
        <v>569</v>
      </c>
      <c r="DU332" s="5" t="s">
        <v>271</v>
      </c>
      <c r="HM332" s="5" t="s">
        <v>271</v>
      </c>
      <c r="HP332" s="5" t="s">
        <v>272</v>
      </c>
      <c r="HQ332" s="5" t="s">
        <v>272</v>
      </c>
    </row>
    <row r="333" spans="1:238" x14ac:dyDescent="0.4">
      <c r="A333" s="5">
        <v>365</v>
      </c>
      <c r="B333" s="5">
        <v>1</v>
      </c>
      <c r="C333" s="5">
        <v>4</v>
      </c>
      <c r="D333" s="5" t="s">
        <v>566</v>
      </c>
      <c r="E333" s="5" t="s">
        <v>347</v>
      </c>
      <c r="F333" s="5" t="s">
        <v>282</v>
      </c>
      <c r="G333" s="5" t="s">
        <v>1521</v>
      </c>
      <c r="H333" s="6" t="s">
        <v>568</v>
      </c>
      <c r="I333" s="5" t="s">
        <v>1497</v>
      </c>
      <c r="J333" s="7">
        <f>260</f>
        <v>260</v>
      </c>
      <c r="K333" s="5" t="s">
        <v>270</v>
      </c>
      <c r="L333" s="8">
        <f>2966600</f>
        <v>2966600</v>
      </c>
      <c r="M333" s="8">
        <f>42380000</f>
        <v>42380000</v>
      </c>
      <c r="N333" s="6" t="s">
        <v>1535</v>
      </c>
      <c r="O333" s="5" t="s">
        <v>755</v>
      </c>
      <c r="P333" s="5" t="s">
        <v>690</v>
      </c>
      <c r="Q333" s="8">
        <f>1271400</f>
        <v>1271400</v>
      </c>
      <c r="R333" s="8">
        <f>39413400</f>
        <v>39413400</v>
      </c>
      <c r="S333" s="5" t="s">
        <v>240</v>
      </c>
      <c r="T333" s="5" t="s">
        <v>237</v>
      </c>
      <c r="U333" s="5" t="s">
        <v>238</v>
      </c>
      <c r="V333" s="5" t="s">
        <v>238</v>
      </c>
      <c r="W333" s="5" t="s">
        <v>241</v>
      </c>
      <c r="X333" s="5" t="s">
        <v>337</v>
      </c>
      <c r="Y333" s="5" t="s">
        <v>238</v>
      </c>
      <c r="AB333" s="5" t="s">
        <v>238</v>
      </c>
      <c r="AC333" s="6" t="s">
        <v>238</v>
      </c>
      <c r="AD333" s="6" t="s">
        <v>238</v>
      </c>
      <c r="AF333" s="6" t="s">
        <v>238</v>
      </c>
      <c r="AG333" s="6" t="s">
        <v>246</v>
      </c>
      <c r="AH333" s="5" t="s">
        <v>247</v>
      </c>
      <c r="AI333" s="5" t="s">
        <v>248</v>
      </c>
      <c r="AO333" s="5" t="s">
        <v>238</v>
      </c>
      <c r="AP333" s="5" t="s">
        <v>238</v>
      </c>
      <c r="AQ333" s="5" t="s">
        <v>238</v>
      </c>
      <c r="AR333" s="6" t="s">
        <v>238</v>
      </c>
      <c r="AS333" s="6" t="s">
        <v>238</v>
      </c>
      <c r="AT333" s="6" t="s">
        <v>238</v>
      </c>
      <c r="AW333" s="5" t="s">
        <v>304</v>
      </c>
      <c r="AX333" s="5" t="s">
        <v>304</v>
      </c>
      <c r="AY333" s="5" t="s">
        <v>250</v>
      </c>
      <c r="AZ333" s="5" t="s">
        <v>305</v>
      </c>
      <c r="BA333" s="5" t="s">
        <v>251</v>
      </c>
      <c r="BB333" s="5" t="s">
        <v>238</v>
      </c>
      <c r="BC333" s="5" t="s">
        <v>253</v>
      </c>
      <c r="BD333" s="5" t="s">
        <v>238</v>
      </c>
      <c r="BF333" s="5" t="s">
        <v>238</v>
      </c>
      <c r="BH333" s="5" t="s">
        <v>283</v>
      </c>
      <c r="BI333" s="6" t="s">
        <v>293</v>
      </c>
      <c r="BJ333" s="5" t="s">
        <v>294</v>
      </c>
      <c r="BK333" s="5" t="s">
        <v>294</v>
      </c>
      <c r="BL333" s="5" t="s">
        <v>238</v>
      </c>
      <c r="BM333" s="7">
        <f>0</f>
        <v>0</v>
      </c>
      <c r="BN333" s="8">
        <f>-1271400</f>
        <v>-1271400</v>
      </c>
      <c r="BO333" s="5" t="s">
        <v>257</v>
      </c>
      <c r="BP333" s="5" t="s">
        <v>258</v>
      </c>
      <c r="BQ333" s="5" t="s">
        <v>238</v>
      </c>
      <c r="BR333" s="5" t="s">
        <v>238</v>
      </c>
      <c r="BS333" s="5" t="s">
        <v>238</v>
      </c>
      <c r="BT333" s="5" t="s">
        <v>238</v>
      </c>
      <c r="CC333" s="5" t="s">
        <v>258</v>
      </c>
      <c r="CD333" s="5" t="s">
        <v>238</v>
      </c>
      <c r="CE333" s="5" t="s">
        <v>238</v>
      </c>
      <c r="CI333" s="5" t="s">
        <v>259</v>
      </c>
      <c r="CJ333" s="5" t="s">
        <v>260</v>
      </c>
      <c r="CK333" s="5" t="s">
        <v>238</v>
      </c>
      <c r="CM333" s="5" t="s">
        <v>768</v>
      </c>
      <c r="CN333" s="6" t="s">
        <v>262</v>
      </c>
      <c r="CO333" s="5" t="s">
        <v>263</v>
      </c>
      <c r="CP333" s="5" t="s">
        <v>264</v>
      </c>
      <c r="CQ333" s="5" t="s">
        <v>285</v>
      </c>
      <c r="CR333" s="5" t="s">
        <v>238</v>
      </c>
      <c r="CS333" s="5">
        <v>0.03</v>
      </c>
      <c r="CT333" s="5" t="s">
        <v>265</v>
      </c>
      <c r="CU333" s="5" t="s">
        <v>1493</v>
      </c>
      <c r="CV333" s="5" t="s">
        <v>649</v>
      </c>
      <c r="CW333" s="7">
        <f>0</f>
        <v>0</v>
      </c>
      <c r="CX333" s="8">
        <f>42380000</f>
        <v>42380000</v>
      </c>
      <c r="CY333" s="8">
        <f>4238000</f>
        <v>4238000</v>
      </c>
      <c r="DA333" s="5" t="s">
        <v>238</v>
      </c>
      <c r="DB333" s="5" t="s">
        <v>238</v>
      </c>
      <c r="DD333" s="5" t="s">
        <v>238</v>
      </c>
      <c r="DE333" s="8">
        <f>0</f>
        <v>0</v>
      </c>
      <c r="DG333" s="5" t="s">
        <v>238</v>
      </c>
      <c r="DH333" s="5" t="s">
        <v>238</v>
      </c>
      <c r="DI333" s="5" t="s">
        <v>238</v>
      </c>
      <c r="DJ333" s="5" t="s">
        <v>238</v>
      </c>
      <c r="DK333" s="5" t="s">
        <v>271</v>
      </c>
      <c r="DL333" s="5" t="s">
        <v>272</v>
      </c>
      <c r="DM333" s="7">
        <f>260</f>
        <v>260</v>
      </c>
      <c r="DN333" s="5" t="s">
        <v>238</v>
      </c>
      <c r="DO333" s="5" t="s">
        <v>238</v>
      </c>
      <c r="DP333" s="5" t="s">
        <v>238</v>
      </c>
      <c r="DQ333" s="5" t="s">
        <v>238</v>
      </c>
      <c r="DT333" s="5" t="s">
        <v>569</v>
      </c>
      <c r="DU333" s="5" t="s">
        <v>274</v>
      </c>
      <c r="GL333" s="5" t="s">
        <v>1605</v>
      </c>
      <c r="HM333" s="5" t="s">
        <v>313</v>
      </c>
      <c r="HP333" s="5" t="s">
        <v>272</v>
      </c>
      <c r="HQ333" s="5" t="s">
        <v>272</v>
      </c>
      <c r="HR333" s="5" t="s">
        <v>238</v>
      </c>
      <c r="HS333" s="5" t="s">
        <v>238</v>
      </c>
      <c r="HT333" s="5" t="s">
        <v>238</v>
      </c>
      <c r="HU333" s="5" t="s">
        <v>238</v>
      </c>
      <c r="HV333" s="5" t="s">
        <v>238</v>
      </c>
      <c r="HW333" s="5" t="s">
        <v>238</v>
      </c>
      <c r="HX333" s="5" t="s">
        <v>238</v>
      </c>
      <c r="HY333" s="5" t="s">
        <v>238</v>
      </c>
      <c r="HZ333" s="5" t="s">
        <v>238</v>
      </c>
      <c r="IA333" s="5" t="s">
        <v>238</v>
      </c>
      <c r="IB333" s="5" t="s">
        <v>238</v>
      </c>
      <c r="IC333" s="5" t="s">
        <v>238</v>
      </c>
      <c r="ID333" s="5" t="s">
        <v>238</v>
      </c>
    </row>
    <row r="334" spans="1:238" x14ac:dyDescent="0.4">
      <c r="A334" s="5">
        <v>366</v>
      </c>
      <c r="B334" s="5">
        <v>1</v>
      </c>
      <c r="C334" s="5">
        <v>4</v>
      </c>
      <c r="D334" s="5" t="s">
        <v>566</v>
      </c>
      <c r="E334" s="5" t="s">
        <v>347</v>
      </c>
      <c r="F334" s="5" t="s">
        <v>282</v>
      </c>
      <c r="G334" s="5" t="s">
        <v>1521</v>
      </c>
      <c r="H334" s="6" t="s">
        <v>568</v>
      </c>
      <c r="I334" s="5" t="s">
        <v>1497</v>
      </c>
      <c r="J334" s="7">
        <f>155</f>
        <v>155</v>
      </c>
      <c r="K334" s="5" t="s">
        <v>270</v>
      </c>
      <c r="L334" s="8">
        <f>1768550</f>
        <v>1768550</v>
      </c>
      <c r="M334" s="8">
        <f>25265000</f>
        <v>25265000</v>
      </c>
      <c r="N334" s="6" t="s">
        <v>1535</v>
      </c>
      <c r="O334" s="5" t="s">
        <v>755</v>
      </c>
      <c r="P334" s="5" t="s">
        <v>690</v>
      </c>
      <c r="Q334" s="8">
        <f>757950</f>
        <v>757950</v>
      </c>
      <c r="R334" s="8">
        <f>23496450</f>
        <v>23496450</v>
      </c>
      <c r="S334" s="5" t="s">
        <v>240</v>
      </c>
      <c r="T334" s="5" t="s">
        <v>237</v>
      </c>
      <c r="U334" s="5" t="s">
        <v>238</v>
      </c>
      <c r="V334" s="5" t="s">
        <v>238</v>
      </c>
      <c r="W334" s="5" t="s">
        <v>241</v>
      </c>
      <c r="X334" s="5" t="s">
        <v>337</v>
      </c>
      <c r="Y334" s="5" t="s">
        <v>238</v>
      </c>
      <c r="AB334" s="5" t="s">
        <v>238</v>
      </c>
      <c r="AC334" s="6" t="s">
        <v>238</v>
      </c>
      <c r="AD334" s="6" t="s">
        <v>238</v>
      </c>
      <c r="AF334" s="6" t="s">
        <v>238</v>
      </c>
      <c r="AG334" s="6" t="s">
        <v>246</v>
      </c>
      <c r="AH334" s="5" t="s">
        <v>247</v>
      </c>
      <c r="AI334" s="5" t="s">
        <v>248</v>
      </c>
      <c r="AO334" s="5" t="s">
        <v>238</v>
      </c>
      <c r="AP334" s="5" t="s">
        <v>238</v>
      </c>
      <c r="AQ334" s="5" t="s">
        <v>238</v>
      </c>
      <c r="AR334" s="6" t="s">
        <v>238</v>
      </c>
      <c r="AS334" s="6" t="s">
        <v>238</v>
      </c>
      <c r="AT334" s="6" t="s">
        <v>238</v>
      </c>
      <c r="AW334" s="5" t="s">
        <v>304</v>
      </c>
      <c r="AX334" s="5" t="s">
        <v>304</v>
      </c>
      <c r="AY334" s="5" t="s">
        <v>250</v>
      </c>
      <c r="AZ334" s="5" t="s">
        <v>305</v>
      </c>
      <c r="BA334" s="5" t="s">
        <v>251</v>
      </c>
      <c r="BB334" s="5" t="s">
        <v>238</v>
      </c>
      <c r="BC334" s="5" t="s">
        <v>253</v>
      </c>
      <c r="BD334" s="5" t="s">
        <v>238</v>
      </c>
      <c r="BF334" s="5" t="s">
        <v>238</v>
      </c>
      <c r="BH334" s="5" t="s">
        <v>283</v>
      </c>
      <c r="BI334" s="6" t="s">
        <v>293</v>
      </c>
      <c r="BJ334" s="5" t="s">
        <v>294</v>
      </c>
      <c r="BK334" s="5" t="s">
        <v>294</v>
      </c>
      <c r="BL334" s="5" t="s">
        <v>238</v>
      </c>
      <c r="BM334" s="7">
        <f>0</f>
        <v>0</v>
      </c>
      <c r="BN334" s="8">
        <f>-757950</f>
        <v>-757950</v>
      </c>
      <c r="BO334" s="5" t="s">
        <v>257</v>
      </c>
      <c r="BP334" s="5" t="s">
        <v>258</v>
      </c>
      <c r="BQ334" s="5" t="s">
        <v>238</v>
      </c>
      <c r="BR334" s="5" t="s">
        <v>238</v>
      </c>
      <c r="BS334" s="5" t="s">
        <v>238</v>
      </c>
      <c r="BT334" s="5" t="s">
        <v>238</v>
      </c>
      <c r="CC334" s="5" t="s">
        <v>258</v>
      </c>
      <c r="CD334" s="5" t="s">
        <v>238</v>
      </c>
      <c r="CE334" s="5" t="s">
        <v>238</v>
      </c>
      <c r="CI334" s="5" t="s">
        <v>259</v>
      </c>
      <c r="CJ334" s="5" t="s">
        <v>260</v>
      </c>
      <c r="CK334" s="5" t="s">
        <v>238</v>
      </c>
      <c r="CM334" s="5" t="s">
        <v>768</v>
      </c>
      <c r="CN334" s="6" t="s">
        <v>262</v>
      </c>
      <c r="CO334" s="5" t="s">
        <v>263</v>
      </c>
      <c r="CP334" s="5" t="s">
        <v>264</v>
      </c>
      <c r="CQ334" s="5" t="s">
        <v>285</v>
      </c>
      <c r="CR334" s="5" t="s">
        <v>238</v>
      </c>
      <c r="CS334" s="5">
        <v>0.03</v>
      </c>
      <c r="CT334" s="5" t="s">
        <v>265</v>
      </c>
      <c r="CU334" s="5" t="s">
        <v>1493</v>
      </c>
      <c r="CV334" s="5" t="s">
        <v>649</v>
      </c>
      <c r="CW334" s="7">
        <f>0</f>
        <v>0</v>
      </c>
      <c r="CX334" s="8">
        <f>25265000</f>
        <v>25265000</v>
      </c>
      <c r="CY334" s="8">
        <f>2526500</f>
        <v>2526500</v>
      </c>
      <c r="DA334" s="5" t="s">
        <v>238</v>
      </c>
      <c r="DB334" s="5" t="s">
        <v>238</v>
      </c>
      <c r="DD334" s="5" t="s">
        <v>238</v>
      </c>
      <c r="DE334" s="8">
        <f>0</f>
        <v>0</v>
      </c>
      <c r="DG334" s="5" t="s">
        <v>238</v>
      </c>
      <c r="DH334" s="5" t="s">
        <v>238</v>
      </c>
      <c r="DI334" s="5" t="s">
        <v>238</v>
      </c>
      <c r="DJ334" s="5" t="s">
        <v>238</v>
      </c>
      <c r="DK334" s="5" t="s">
        <v>271</v>
      </c>
      <c r="DL334" s="5" t="s">
        <v>272</v>
      </c>
      <c r="DM334" s="7">
        <f>155</f>
        <v>155</v>
      </c>
      <c r="DN334" s="5" t="s">
        <v>238</v>
      </c>
      <c r="DO334" s="5" t="s">
        <v>238</v>
      </c>
      <c r="DP334" s="5" t="s">
        <v>238</v>
      </c>
      <c r="DQ334" s="5" t="s">
        <v>238</v>
      </c>
      <c r="DT334" s="5" t="s">
        <v>569</v>
      </c>
      <c r="DU334" s="5" t="s">
        <v>356</v>
      </c>
      <c r="GL334" s="5" t="s">
        <v>1606</v>
      </c>
      <c r="HM334" s="5" t="s">
        <v>313</v>
      </c>
      <c r="HP334" s="5" t="s">
        <v>272</v>
      </c>
      <c r="HQ334" s="5" t="s">
        <v>272</v>
      </c>
      <c r="HR334" s="5" t="s">
        <v>238</v>
      </c>
      <c r="HS334" s="5" t="s">
        <v>238</v>
      </c>
      <c r="HT334" s="5" t="s">
        <v>238</v>
      </c>
      <c r="HU334" s="5" t="s">
        <v>238</v>
      </c>
      <c r="HV334" s="5" t="s">
        <v>238</v>
      </c>
      <c r="HW334" s="5" t="s">
        <v>238</v>
      </c>
      <c r="HX334" s="5" t="s">
        <v>238</v>
      </c>
      <c r="HY334" s="5" t="s">
        <v>238</v>
      </c>
      <c r="HZ334" s="5" t="s">
        <v>238</v>
      </c>
      <c r="IA334" s="5" t="s">
        <v>238</v>
      </c>
      <c r="IB334" s="5" t="s">
        <v>238</v>
      </c>
      <c r="IC334" s="5" t="s">
        <v>238</v>
      </c>
      <c r="ID334" s="5" t="s">
        <v>238</v>
      </c>
    </row>
    <row r="335" spans="1:238" x14ac:dyDescent="0.4">
      <c r="A335" s="5">
        <v>367</v>
      </c>
      <c r="B335" s="5">
        <v>1</v>
      </c>
      <c r="C335" s="5">
        <v>4</v>
      </c>
      <c r="D335" s="5" t="s">
        <v>566</v>
      </c>
      <c r="E335" s="5" t="s">
        <v>347</v>
      </c>
      <c r="F335" s="5" t="s">
        <v>282</v>
      </c>
      <c r="G335" s="5" t="s">
        <v>349</v>
      </c>
      <c r="H335" s="6" t="s">
        <v>568</v>
      </c>
      <c r="I335" s="5" t="s">
        <v>345</v>
      </c>
      <c r="J335" s="7">
        <f>0</f>
        <v>0</v>
      </c>
      <c r="K335" s="5" t="s">
        <v>270</v>
      </c>
      <c r="L335" s="8">
        <f>6453005</f>
        <v>6453005</v>
      </c>
      <c r="M335" s="8">
        <f>8391422</f>
        <v>8391422</v>
      </c>
      <c r="N335" s="6" t="s">
        <v>567</v>
      </c>
      <c r="O335" s="5" t="s">
        <v>319</v>
      </c>
      <c r="P335" s="5" t="s">
        <v>271</v>
      </c>
      <c r="Q335" s="8">
        <f>646139</f>
        <v>646139</v>
      </c>
      <c r="R335" s="8">
        <f>1938417</f>
        <v>1938417</v>
      </c>
      <c r="S335" s="5" t="s">
        <v>240</v>
      </c>
      <c r="T335" s="5" t="s">
        <v>287</v>
      </c>
      <c r="U335" s="5" t="s">
        <v>238</v>
      </c>
      <c r="V335" s="5" t="s">
        <v>238</v>
      </c>
      <c r="W335" s="5" t="s">
        <v>241</v>
      </c>
      <c r="X335" s="5" t="s">
        <v>238</v>
      </c>
      <c r="Y335" s="5" t="s">
        <v>238</v>
      </c>
      <c r="AB335" s="5" t="s">
        <v>238</v>
      </c>
      <c r="AC335" s="6" t="s">
        <v>238</v>
      </c>
      <c r="AD335" s="6" t="s">
        <v>238</v>
      </c>
      <c r="AF335" s="6" t="s">
        <v>238</v>
      </c>
      <c r="AG335" s="6" t="s">
        <v>246</v>
      </c>
      <c r="AH335" s="5" t="s">
        <v>247</v>
      </c>
      <c r="AI335" s="5" t="s">
        <v>248</v>
      </c>
      <c r="AO335" s="5" t="s">
        <v>238</v>
      </c>
      <c r="AP335" s="5" t="s">
        <v>238</v>
      </c>
      <c r="AQ335" s="5" t="s">
        <v>238</v>
      </c>
      <c r="AR335" s="6" t="s">
        <v>238</v>
      </c>
      <c r="AS335" s="6" t="s">
        <v>238</v>
      </c>
      <c r="AT335" s="6" t="s">
        <v>238</v>
      </c>
      <c r="AW335" s="5" t="s">
        <v>304</v>
      </c>
      <c r="AX335" s="5" t="s">
        <v>304</v>
      </c>
      <c r="AY335" s="5" t="s">
        <v>250</v>
      </c>
      <c r="AZ335" s="5" t="s">
        <v>305</v>
      </c>
      <c r="BA335" s="5" t="s">
        <v>251</v>
      </c>
      <c r="BB335" s="5" t="s">
        <v>238</v>
      </c>
      <c r="BC335" s="5" t="s">
        <v>253</v>
      </c>
      <c r="BD335" s="5" t="s">
        <v>238</v>
      </c>
      <c r="BF335" s="5" t="s">
        <v>238</v>
      </c>
      <c r="BH335" s="5" t="s">
        <v>283</v>
      </c>
      <c r="BI335" s="6" t="s">
        <v>293</v>
      </c>
      <c r="BJ335" s="5" t="s">
        <v>294</v>
      </c>
      <c r="BK335" s="5" t="s">
        <v>294</v>
      </c>
      <c r="BL335" s="5" t="s">
        <v>238</v>
      </c>
      <c r="BM335" s="7">
        <f>0</f>
        <v>0</v>
      </c>
      <c r="BN335" s="8">
        <f>-646139</f>
        <v>-646139</v>
      </c>
      <c r="BO335" s="5" t="s">
        <v>257</v>
      </c>
      <c r="BP335" s="5" t="s">
        <v>258</v>
      </c>
      <c r="BQ335" s="5" t="s">
        <v>238</v>
      </c>
      <c r="BR335" s="5" t="s">
        <v>238</v>
      </c>
      <c r="BS335" s="5" t="s">
        <v>238</v>
      </c>
      <c r="BT335" s="5" t="s">
        <v>238</v>
      </c>
      <c r="CC335" s="5" t="s">
        <v>258</v>
      </c>
      <c r="CD335" s="5" t="s">
        <v>238</v>
      </c>
      <c r="CE335" s="5" t="s">
        <v>238</v>
      </c>
      <c r="CI335" s="5" t="s">
        <v>259</v>
      </c>
      <c r="CJ335" s="5" t="s">
        <v>260</v>
      </c>
      <c r="CK335" s="5" t="s">
        <v>238</v>
      </c>
      <c r="CM335" s="5" t="s">
        <v>291</v>
      </c>
      <c r="CN335" s="6" t="s">
        <v>262</v>
      </c>
      <c r="CO335" s="5" t="s">
        <v>263</v>
      </c>
      <c r="CP335" s="5" t="s">
        <v>264</v>
      </c>
      <c r="CQ335" s="5" t="s">
        <v>285</v>
      </c>
      <c r="CR335" s="5" t="s">
        <v>238</v>
      </c>
      <c r="CS335" s="5">
        <v>7.6999999999999999E-2</v>
      </c>
      <c r="CT335" s="5" t="s">
        <v>265</v>
      </c>
      <c r="CU335" s="5" t="s">
        <v>351</v>
      </c>
      <c r="CV335" s="5" t="s">
        <v>352</v>
      </c>
      <c r="CW335" s="7">
        <f>0</f>
        <v>0</v>
      </c>
      <c r="CX335" s="8">
        <f>8391422</f>
        <v>8391422</v>
      </c>
      <c r="CY335" s="8">
        <f>7099144</f>
        <v>7099144</v>
      </c>
      <c r="DA335" s="5" t="s">
        <v>238</v>
      </c>
      <c r="DB335" s="5" t="s">
        <v>238</v>
      </c>
      <c r="DD335" s="5" t="s">
        <v>238</v>
      </c>
      <c r="DE335" s="8">
        <f>0</f>
        <v>0</v>
      </c>
      <c r="DG335" s="5" t="s">
        <v>238</v>
      </c>
      <c r="DH335" s="5" t="s">
        <v>238</v>
      </c>
      <c r="DI335" s="5" t="s">
        <v>238</v>
      </c>
      <c r="DJ335" s="5" t="s">
        <v>238</v>
      </c>
      <c r="DK335" s="5" t="s">
        <v>272</v>
      </c>
      <c r="DL335" s="5" t="s">
        <v>272</v>
      </c>
      <c r="DM335" s="8" t="s">
        <v>238</v>
      </c>
      <c r="DN335" s="5" t="s">
        <v>238</v>
      </c>
      <c r="DO335" s="5" t="s">
        <v>238</v>
      </c>
      <c r="DP335" s="5" t="s">
        <v>238</v>
      </c>
      <c r="DQ335" s="5" t="s">
        <v>238</v>
      </c>
      <c r="DT335" s="5" t="s">
        <v>569</v>
      </c>
      <c r="DU335" s="5" t="s">
        <v>310</v>
      </c>
      <c r="GL335" s="5" t="s">
        <v>570</v>
      </c>
      <c r="HM335" s="5" t="s">
        <v>356</v>
      </c>
      <c r="HP335" s="5" t="s">
        <v>272</v>
      </c>
      <c r="HQ335" s="5" t="s">
        <v>272</v>
      </c>
      <c r="HR335" s="5" t="s">
        <v>238</v>
      </c>
      <c r="HS335" s="5" t="s">
        <v>238</v>
      </c>
      <c r="HT335" s="5" t="s">
        <v>238</v>
      </c>
      <c r="HU335" s="5" t="s">
        <v>238</v>
      </c>
      <c r="HV335" s="5" t="s">
        <v>238</v>
      </c>
      <c r="HW335" s="5" t="s">
        <v>238</v>
      </c>
      <c r="HX335" s="5" t="s">
        <v>238</v>
      </c>
      <c r="HY335" s="5" t="s">
        <v>238</v>
      </c>
      <c r="HZ335" s="5" t="s">
        <v>238</v>
      </c>
      <c r="IA335" s="5" t="s">
        <v>238</v>
      </c>
      <c r="IB335" s="5" t="s">
        <v>238</v>
      </c>
      <c r="IC335" s="5" t="s">
        <v>238</v>
      </c>
      <c r="ID335" s="5" t="s">
        <v>238</v>
      </c>
    </row>
    <row r="336" spans="1:238" x14ac:dyDescent="0.4">
      <c r="A336" s="5">
        <v>372</v>
      </c>
      <c r="B336" s="5">
        <v>1</v>
      </c>
      <c r="C336" s="5">
        <v>1</v>
      </c>
      <c r="D336" s="5" t="s">
        <v>561</v>
      </c>
      <c r="E336" s="5" t="s">
        <v>347</v>
      </c>
      <c r="F336" s="5" t="s">
        <v>282</v>
      </c>
      <c r="G336" s="5" t="s">
        <v>3027</v>
      </c>
      <c r="H336" s="6" t="s">
        <v>563</v>
      </c>
      <c r="I336" s="5" t="s">
        <v>3027</v>
      </c>
      <c r="J336" s="7">
        <f>99</f>
        <v>99</v>
      </c>
      <c r="K336" s="5" t="s">
        <v>270</v>
      </c>
      <c r="L336" s="8">
        <f>1</f>
        <v>1</v>
      </c>
      <c r="M336" s="8">
        <f>16137000</f>
        <v>16137000</v>
      </c>
      <c r="N336" s="6" t="s">
        <v>1099</v>
      </c>
      <c r="O336" s="5" t="s">
        <v>268</v>
      </c>
      <c r="P336" s="5" t="s">
        <v>631</v>
      </c>
      <c r="R336" s="8">
        <f>16136999</f>
        <v>16136999</v>
      </c>
      <c r="S336" s="5" t="s">
        <v>240</v>
      </c>
      <c r="T336" s="5" t="s">
        <v>237</v>
      </c>
      <c r="U336" s="5" t="s">
        <v>238</v>
      </c>
      <c r="V336" s="5" t="s">
        <v>238</v>
      </c>
      <c r="W336" s="5" t="s">
        <v>241</v>
      </c>
      <c r="X336" s="5" t="s">
        <v>337</v>
      </c>
      <c r="Y336" s="5" t="s">
        <v>238</v>
      </c>
      <c r="AB336" s="5" t="s">
        <v>238</v>
      </c>
      <c r="AD336" s="6" t="s">
        <v>238</v>
      </c>
      <c r="AG336" s="6" t="s">
        <v>246</v>
      </c>
      <c r="AH336" s="5" t="s">
        <v>247</v>
      </c>
      <c r="AI336" s="5" t="s">
        <v>248</v>
      </c>
      <c r="AY336" s="5" t="s">
        <v>250</v>
      </c>
      <c r="AZ336" s="5" t="s">
        <v>238</v>
      </c>
      <c r="BA336" s="5" t="s">
        <v>251</v>
      </c>
      <c r="BB336" s="5" t="s">
        <v>238</v>
      </c>
      <c r="BC336" s="5" t="s">
        <v>253</v>
      </c>
      <c r="BD336" s="5" t="s">
        <v>238</v>
      </c>
      <c r="BF336" s="5" t="s">
        <v>238</v>
      </c>
      <c r="BH336" s="5" t="s">
        <v>254</v>
      </c>
      <c r="BI336" s="6" t="s">
        <v>246</v>
      </c>
      <c r="BJ336" s="5" t="s">
        <v>255</v>
      </c>
      <c r="BK336" s="5" t="s">
        <v>256</v>
      </c>
      <c r="BL336" s="5" t="s">
        <v>238</v>
      </c>
      <c r="BM336" s="7">
        <f>0</f>
        <v>0</v>
      </c>
      <c r="BN336" s="8">
        <f>0</f>
        <v>0</v>
      </c>
      <c r="BO336" s="5" t="s">
        <v>257</v>
      </c>
      <c r="BP336" s="5" t="s">
        <v>258</v>
      </c>
      <c r="CD336" s="5" t="s">
        <v>238</v>
      </c>
      <c r="CE336" s="5" t="s">
        <v>238</v>
      </c>
      <c r="CI336" s="5" t="s">
        <v>259</v>
      </c>
      <c r="CJ336" s="5" t="s">
        <v>260</v>
      </c>
      <c r="CK336" s="5" t="s">
        <v>238</v>
      </c>
      <c r="CM336" s="5" t="s">
        <v>330</v>
      </c>
      <c r="CN336" s="6" t="s">
        <v>262</v>
      </c>
      <c r="CO336" s="5" t="s">
        <v>263</v>
      </c>
      <c r="CP336" s="5" t="s">
        <v>264</v>
      </c>
      <c r="CQ336" s="5" t="s">
        <v>238</v>
      </c>
      <c r="CR336" s="5" t="s">
        <v>238</v>
      </c>
      <c r="CS336" s="5">
        <v>0</v>
      </c>
      <c r="CT336" s="5" t="s">
        <v>265</v>
      </c>
      <c r="CU336" s="5" t="s">
        <v>351</v>
      </c>
      <c r="CV336" s="5" t="s">
        <v>394</v>
      </c>
      <c r="CX336" s="8">
        <f>16137000</f>
        <v>16137000</v>
      </c>
      <c r="CY336" s="8">
        <f>0</f>
        <v>0</v>
      </c>
      <c r="DA336" s="5" t="s">
        <v>238</v>
      </c>
      <c r="DB336" s="5" t="s">
        <v>238</v>
      </c>
      <c r="DD336" s="5" t="s">
        <v>238</v>
      </c>
      <c r="DG336" s="5" t="s">
        <v>238</v>
      </c>
      <c r="DH336" s="5" t="s">
        <v>238</v>
      </c>
      <c r="DI336" s="5" t="s">
        <v>238</v>
      </c>
      <c r="DJ336" s="5" t="s">
        <v>238</v>
      </c>
      <c r="DK336" s="5" t="s">
        <v>271</v>
      </c>
      <c r="DL336" s="5" t="s">
        <v>272</v>
      </c>
      <c r="DM336" s="7">
        <f>99</f>
        <v>99</v>
      </c>
      <c r="DN336" s="5" t="s">
        <v>238</v>
      </c>
      <c r="DO336" s="5" t="s">
        <v>238</v>
      </c>
      <c r="DP336" s="5" t="s">
        <v>238</v>
      </c>
      <c r="DQ336" s="5" t="s">
        <v>238</v>
      </c>
      <c r="DT336" s="5" t="s">
        <v>564</v>
      </c>
      <c r="DU336" s="5" t="s">
        <v>271</v>
      </c>
      <c r="HM336" s="5" t="s">
        <v>271</v>
      </c>
      <c r="HP336" s="5" t="s">
        <v>272</v>
      </c>
      <c r="HQ336" s="5" t="s">
        <v>272</v>
      </c>
    </row>
    <row r="337" spans="1:238" x14ac:dyDescent="0.4">
      <c r="A337" s="5">
        <v>373</v>
      </c>
      <c r="B337" s="5">
        <v>1</v>
      </c>
      <c r="C337" s="5">
        <v>4</v>
      </c>
      <c r="D337" s="5" t="s">
        <v>561</v>
      </c>
      <c r="E337" s="5" t="s">
        <v>347</v>
      </c>
      <c r="F337" s="5" t="s">
        <v>282</v>
      </c>
      <c r="G337" s="5" t="s">
        <v>1499</v>
      </c>
      <c r="H337" s="6" t="s">
        <v>563</v>
      </c>
      <c r="I337" s="5" t="s">
        <v>1314</v>
      </c>
      <c r="J337" s="7">
        <f>6511</f>
        <v>6511</v>
      </c>
      <c r="K337" s="5" t="s">
        <v>270</v>
      </c>
      <c r="L337" s="8">
        <f>994822920</f>
        <v>994822920</v>
      </c>
      <c r="M337" s="8">
        <f>1275414000</f>
        <v>1275414000</v>
      </c>
      <c r="N337" s="6" t="s">
        <v>1509</v>
      </c>
      <c r="O337" s="5" t="s">
        <v>898</v>
      </c>
      <c r="P337" s="5" t="s">
        <v>354</v>
      </c>
      <c r="Q337" s="8">
        <f>28059108</f>
        <v>28059108</v>
      </c>
      <c r="R337" s="8">
        <f>280591080</f>
        <v>280591080</v>
      </c>
      <c r="S337" s="5" t="s">
        <v>240</v>
      </c>
      <c r="T337" s="5" t="s">
        <v>237</v>
      </c>
      <c r="U337" s="5" t="s">
        <v>238</v>
      </c>
      <c r="V337" s="5" t="s">
        <v>238</v>
      </c>
      <c r="W337" s="5" t="s">
        <v>241</v>
      </c>
      <c r="X337" s="5" t="s">
        <v>337</v>
      </c>
      <c r="Y337" s="5" t="s">
        <v>238</v>
      </c>
      <c r="AB337" s="5" t="s">
        <v>238</v>
      </c>
      <c r="AC337" s="6" t="s">
        <v>238</v>
      </c>
      <c r="AD337" s="6" t="s">
        <v>238</v>
      </c>
      <c r="AF337" s="6" t="s">
        <v>238</v>
      </c>
      <c r="AG337" s="6" t="s">
        <v>246</v>
      </c>
      <c r="AH337" s="5" t="s">
        <v>247</v>
      </c>
      <c r="AI337" s="5" t="s">
        <v>248</v>
      </c>
      <c r="AO337" s="5" t="s">
        <v>238</v>
      </c>
      <c r="AP337" s="5" t="s">
        <v>238</v>
      </c>
      <c r="AQ337" s="5" t="s">
        <v>238</v>
      </c>
      <c r="AR337" s="6" t="s">
        <v>238</v>
      </c>
      <c r="AS337" s="6" t="s">
        <v>238</v>
      </c>
      <c r="AT337" s="6" t="s">
        <v>238</v>
      </c>
      <c r="AW337" s="5" t="s">
        <v>304</v>
      </c>
      <c r="AX337" s="5" t="s">
        <v>304</v>
      </c>
      <c r="AY337" s="5" t="s">
        <v>250</v>
      </c>
      <c r="AZ337" s="5" t="s">
        <v>305</v>
      </c>
      <c r="BA337" s="5" t="s">
        <v>251</v>
      </c>
      <c r="BB337" s="5" t="s">
        <v>238</v>
      </c>
      <c r="BC337" s="5" t="s">
        <v>253</v>
      </c>
      <c r="BD337" s="5" t="s">
        <v>238</v>
      </c>
      <c r="BF337" s="5" t="s">
        <v>238</v>
      </c>
      <c r="BH337" s="5" t="s">
        <v>283</v>
      </c>
      <c r="BI337" s="6" t="s">
        <v>293</v>
      </c>
      <c r="BJ337" s="5" t="s">
        <v>294</v>
      </c>
      <c r="BK337" s="5" t="s">
        <v>294</v>
      </c>
      <c r="BL337" s="5" t="s">
        <v>238</v>
      </c>
      <c r="BM337" s="7">
        <f>0</f>
        <v>0</v>
      </c>
      <c r="BN337" s="8">
        <f>-28059108</f>
        <v>-28059108</v>
      </c>
      <c r="BO337" s="5" t="s">
        <v>257</v>
      </c>
      <c r="BP337" s="5" t="s">
        <v>258</v>
      </c>
      <c r="BQ337" s="5" t="s">
        <v>238</v>
      </c>
      <c r="BR337" s="5" t="s">
        <v>238</v>
      </c>
      <c r="BS337" s="5" t="s">
        <v>238</v>
      </c>
      <c r="BT337" s="5" t="s">
        <v>238</v>
      </c>
      <c r="CC337" s="5" t="s">
        <v>258</v>
      </c>
      <c r="CD337" s="5" t="s">
        <v>238</v>
      </c>
      <c r="CE337" s="5" t="s">
        <v>238</v>
      </c>
      <c r="CI337" s="5" t="s">
        <v>259</v>
      </c>
      <c r="CJ337" s="5" t="s">
        <v>260</v>
      </c>
      <c r="CK337" s="5" t="s">
        <v>238</v>
      </c>
      <c r="CM337" s="5" t="s">
        <v>670</v>
      </c>
      <c r="CN337" s="6" t="s">
        <v>262</v>
      </c>
      <c r="CO337" s="5" t="s">
        <v>263</v>
      </c>
      <c r="CP337" s="5" t="s">
        <v>264</v>
      </c>
      <c r="CQ337" s="5" t="s">
        <v>285</v>
      </c>
      <c r="CR337" s="5" t="s">
        <v>238</v>
      </c>
      <c r="CS337" s="5">
        <v>2.1999999999999999E-2</v>
      </c>
      <c r="CT337" s="5" t="s">
        <v>265</v>
      </c>
      <c r="CU337" s="5" t="s">
        <v>1493</v>
      </c>
      <c r="CV337" s="5" t="s">
        <v>308</v>
      </c>
      <c r="CW337" s="7">
        <f>0</f>
        <v>0</v>
      </c>
      <c r="CX337" s="8">
        <f>1275414000</f>
        <v>1275414000</v>
      </c>
      <c r="CY337" s="8">
        <f>1022882028</f>
        <v>1022882028</v>
      </c>
      <c r="DA337" s="5" t="s">
        <v>238</v>
      </c>
      <c r="DB337" s="5" t="s">
        <v>238</v>
      </c>
      <c r="DD337" s="5" t="s">
        <v>238</v>
      </c>
      <c r="DE337" s="8">
        <f>0</f>
        <v>0</v>
      </c>
      <c r="DG337" s="5" t="s">
        <v>238</v>
      </c>
      <c r="DH337" s="5" t="s">
        <v>238</v>
      </c>
      <c r="DI337" s="5" t="s">
        <v>238</v>
      </c>
      <c r="DJ337" s="5" t="s">
        <v>238</v>
      </c>
      <c r="DK337" s="5" t="s">
        <v>356</v>
      </c>
      <c r="DL337" s="5" t="s">
        <v>272</v>
      </c>
      <c r="DM337" s="7">
        <f>6511</f>
        <v>6511</v>
      </c>
      <c r="DN337" s="5" t="s">
        <v>238</v>
      </c>
      <c r="DO337" s="5" t="s">
        <v>238</v>
      </c>
      <c r="DP337" s="5" t="s">
        <v>238</v>
      </c>
      <c r="DQ337" s="5" t="s">
        <v>238</v>
      </c>
      <c r="DT337" s="5" t="s">
        <v>564</v>
      </c>
      <c r="DU337" s="5" t="s">
        <v>274</v>
      </c>
      <c r="GL337" s="5" t="s">
        <v>1510</v>
      </c>
      <c r="HM337" s="5" t="s">
        <v>313</v>
      </c>
      <c r="HP337" s="5" t="s">
        <v>272</v>
      </c>
      <c r="HQ337" s="5" t="s">
        <v>272</v>
      </c>
      <c r="HR337" s="5" t="s">
        <v>238</v>
      </c>
      <c r="HS337" s="5" t="s">
        <v>238</v>
      </c>
      <c r="HT337" s="5" t="s">
        <v>238</v>
      </c>
      <c r="HU337" s="5" t="s">
        <v>238</v>
      </c>
      <c r="HV337" s="5" t="s">
        <v>238</v>
      </c>
      <c r="HW337" s="5" t="s">
        <v>238</v>
      </c>
      <c r="HX337" s="5" t="s">
        <v>238</v>
      </c>
      <c r="HY337" s="5" t="s">
        <v>238</v>
      </c>
      <c r="HZ337" s="5" t="s">
        <v>238</v>
      </c>
      <c r="IA337" s="5" t="s">
        <v>238</v>
      </c>
      <c r="IB337" s="5" t="s">
        <v>238</v>
      </c>
      <c r="IC337" s="5" t="s">
        <v>238</v>
      </c>
      <c r="ID337" s="5" t="s">
        <v>238</v>
      </c>
    </row>
    <row r="338" spans="1:238" x14ac:dyDescent="0.4">
      <c r="A338" s="5">
        <v>374</v>
      </c>
      <c r="B338" s="5">
        <v>1</v>
      </c>
      <c r="C338" s="5">
        <v>4</v>
      </c>
      <c r="D338" s="5" t="s">
        <v>561</v>
      </c>
      <c r="E338" s="5" t="s">
        <v>347</v>
      </c>
      <c r="F338" s="5" t="s">
        <v>282</v>
      </c>
      <c r="G338" s="5" t="s">
        <v>1666</v>
      </c>
      <c r="H338" s="6" t="s">
        <v>563</v>
      </c>
      <c r="I338" s="5" t="s">
        <v>1308</v>
      </c>
      <c r="J338" s="7">
        <f>1595</f>
        <v>1595</v>
      </c>
      <c r="K338" s="5" t="s">
        <v>270</v>
      </c>
      <c r="L338" s="8">
        <f>312364500</f>
        <v>312364500</v>
      </c>
      <c r="M338" s="8">
        <f>446235000</f>
        <v>446235000</v>
      </c>
      <c r="N338" s="6" t="s">
        <v>1509</v>
      </c>
      <c r="O338" s="5" t="s">
        <v>755</v>
      </c>
      <c r="P338" s="5" t="s">
        <v>354</v>
      </c>
      <c r="Q338" s="8">
        <f>13387050</f>
        <v>13387050</v>
      </c>
      <c r="R338" s="8">
        <f>133870500</f>
        <v>133870500</v>
      </c>
      <c r="S338" s="5" t="s">
        <v>240</v>
      </c>
      <c r="T338" s="5" t="s">
        <v>237</v>
      </c>
      <c r="U338" s="5" t="s">
        <v>238</v>
      </c>
      <c r="V338" s="5" t="s">
        <v>238</v>
      </c>
      <c r="W338" s="5" t="s">
        <v>241</v>
      </c>
      <c r="X338" s="5" t="s">
        <v>337</v>
      </c>
      <c r="Y338" s="5" t="s">
        <v>238</v>
      </c>
      <c r="AB338" s="5" t="s">
        <v>238</v>
      </c>
      <c r="AC338" s="6" t="s">
        <v>238</v>
      </c>
      <c r="AD338" s="6" t="s">
        <v>238</v>
      </c>
      <c r="AF338" s="6" t="s">
        <v>238</v>
      </c>
      <c r="AG338" s="6" t="s">
        <v>246</v>
      </c>
      <c r="AH338" s="5" t="s">
        <v>247</v>
      </c>
      <c r="AI338" s="5" t="s">
        <v>248</v>
      </c>
      <c r="AO338" s="5" t="s">
        <v>238</v>
      </c>
      <c r="AP338" s="5" t="s">
        <v>238</v>
      </c>
      <c r="AQ338" s="5" t="s">
        <v>238</v>
      </c>
      <c r="AR338" s="6" t="s">
        <v>238</v>
      </c>
      <c r="AS338" s="6" t="s">
        <v>238</v>
      </c>
      <c r="AT338" s="6" t="s">
        <v>238</v>
      </c>
      <c r="AW338" s="5" t="s">
        <v>304</v>
      </c>
      <c r="AX338" s="5" t="s">
        <v>304</v>
      </c>
      <c r="AY338" s="5" t="s">
        <v>250</v>
      </c>
      <c r="AZ338" s="5" t="s">
        <v>305</v>
      </c>
      <c r="BA338" s="5" t="s">
        <v>251</v>
      </c>
      <c r="BB338" s="5" t="s">
        <v>238</v>
      </c>
      <c r="BC338" s="5" t="s">
        <v>253</v>
      </c>
      <c r="BD338" s="5" t="s">
        <v>238</v>
      </c>
      <c r="BF338" s="5" t="s">
        <v>238</v>
      </c>
      <c r="BH338" s="5" t="s">
        <v>283</v>
      </c>
      <c r="BI338" s="6" t="s">
        <v>293</v>
      </c>
      <c r="BJ338" s="5" t="s">
        <v>294</v>
      </c>
      <c r="BK338" s="5" t="s">
        <v>294</v>
      </c>
      <c r="BL338" s="5" t="s">
        <v>238</v>
      </c>
      <c r="BM338" s="7">
        <f>0</f>
        <v>0</v>
      </c>
      <c r="BN338" s="8">
        <f>-13387050</f>
        <v>-13387050</v>
      </c>
      <c r="BO338" s="5" t="s">
        <v>257</v>
      </c>
      <c r="BP338" s="5" t="s">
        <v>258</v>
      </c>
      <c r="BQ338" s="5" t="s">
        <v>238</v>
      </c>
      <c r="BR338" s="5" t="s">
        <v>238</v>
      </c>
      <c r="BS338" s="5" t="s">
        <v>238</v>
      </c>
      <c r="BT338" s="5" t="s">
        <v>238</v>
      </c>
      <c r="CC338" s="5" t="s">
        <v>258</v>
      </c>
      <c r="CD338" s="5" t="s">
        <v>238</v>
      </c>
      <c r="CE338" s="5" t="s">
        <v>238</v>
      </c>
      <c r="CI338" s="5" t="s">
        <v>259</v>
      </c>
      <c r="CJ338" s="5" t="s">
        <v>260</v>
      </c>
      <c r="CK338" s="5" t="s">
        <v>238</v>
      </c>
      <c r="CM338" s="5" t="s">
        <v>670</v>
      </c>
      <c r="CN338" s="6" t="s">
        <v>262</v>
      </c>
      <c r="CO338" s="5" t="s">
        <v>263</v>
      </c>
      <c r="CP338" s="5" t="s">
        <v>264</v>
      </c>
      <c r="CQ338" s="5" t="s">
        <v>285</v>
      </c>
      <c r="CR338" s="5" t="s">
        <v>238</v>
      </c>
      <c r="CS338" s="5">
        <v>0.03</v>
      </c>
      <c r="CT338" s="5" t="s">
        <v>265</v>
      </c>
      <c r="CU338" s="5" t="s">
        <v>1330</v>
      </c>
      <c r="CV338" s="5" t="s">
        <v>649</v>
      </c>
      <c r="CW338" s="7">
        <f>0</f>
        <v>0</v>
      </c>
      <c r="CX338" s="8">
        <f>446235000</f>
        <v>446235000</v>
      </c>
      <c r="CY338" s="8">
        <f>325751550</f>
        <v>325751550</v>
      </c>
      <c r="DA338" s="5" t="s">
        <v>238</v>
      </c>
      <c r="DB338" s="5" t="s">
        <v>238</v>
      </c>
      <c r="DD338" s="5" t="s">
        <v>238</v>
      </c>
      <c r="DE338" s="8">
        <f>0</f>
        <v>0</v>
      </c>
      <c r="DG338" s="5" t="s">
        <v>238</v>
      </c>
      <c r="DH338" s="5" t="s">
        <v>238</v>
      </c>
      <c r="DI338" s="5" t="s">
        <v>238</v>
      </c>
      <c r="DJ338" s="5" t="s">
        <v>238</v>
      </c>
      <c r="DK338" s="5" t="s">
        <v>271</v>
      </c>
      <c r="DL338" s="5" t="s">
        <v>272</v>
      </c>
      <c r="DM338" s="7">
        <f>1595</f>
        <v>1595</v>
      </c>
      <c r="DN338" s="5" t="s">
        <v>238</v>
      </c>
      <c r="DO338" s="5" t="s">
        <v>238</v>
      </c>
      <c r="DP338" s="5" t="s">
        <v>238</v>
      </c>
      <c r="DQ338" s="5" t="s">
        <v>238</v>
      </c>
      <c r="DT338" s="5" t="s">
        <v>564</v>
      </c>
      <c r="DU338" s="5" t="s">
        <v>356</v>
      </c>
      <c r="GL338" s="5" t="s">
        <v>1750</v>
      </c>
      <c r="HM338" s="5" t="s">
        <v>313</v>
      </c>
      <c r="HP338" s="5" t="s">
        <v>272</v>
      </c>
      <c r="HQ338" s="5" t="s">
        <v>272</v>
      </c>
      <c r="HR338" s="5" t="s">
        <v>238</v>
      </c>
      <c r="HS338" s="5" t="s">
        <v>238</v>
      </c>
      <c r="HT338" s="5" t="s">
        <v>238</v>
      </c>
      <c r="HU338" s="5" t="s">
        <v>238</v>
      </c>
      <c r="HV338" s="5" t="s">
        <v>238</v>
      </c>
      <c r="HW338" s="5" t="s">
        <v>238</v>
      </c>
      <c r="HX338" s="5" t="s">
        <v>238</v>
      </c>
      <c r="HY338" s="5" t="s">
        <v>238</v>
      </c>
      <c r="HZ338" s="5" t="s">
        <v>238</v>
      </c>
      <c r="IA338" s="5" t="s">
        <v>238</v>
      </c>
      <c r="IB338" s="5" t="s">
        <v>238</v>
      </c>
      <c r="IC338" s="5" t="s">
        <v>238</v>
      </c>
      <c r="ID338" s="5" t="s">
        <v>238</v>
      </c>
    </row>
    <row r="339" spans="1:238" x14ac:dyDescent="0.4">
      <c r="A339" s="5">
        <v>375</v>
      </c>
      <c r="B339" s="5">
        <v>1</v>
      </c>
      <c r="C339" s="5">
        <v>1</v>
      </c>
      <c r="D339" s="5" t="s">
        <v>561</v>
      </c>
      <c r="E339" s="5" t="s">
        <v>347</v>
      </c>
      <c r="F339" s="5" t="s">
        <v>282</v>
      </c>
      <c r="G339" s="5" t="s">
        <v>239</v>
      </c>
      <c r="H339" s="6" t="s">
        <v>563</v>
      </c>
      <c r="I339" s="5" t="s">
        <v>1081</v>
      </c>
      <c r="J339" s="7">
        <f>19</f>
        <v>19</v>
      </c>
      <c r="K339" s="5" t="s">
        <v>270</v>
      </c>
      <c r="L339" s="8">
        <f>1</f>
        <v>1</v>
      </c>
      <c r="M339" s="8">
        <f>1520000</f>
        <v>1520000</v>
      </c>
      <c r="N339" s="6" t="s">
        <v>1082</v>
      </c>
      <c r="O339" s="5" t="s">
        <v>268</v>
      </c>
      <c r="P339" s="5" t="s">
        <v>1040</v>
      </c>
      <c r="R339" s="8">
        <f>1519999</f>
        <v>1519999</v>
      </c>
      <c r="S339" s="5" t="s">
        <v>240</v>
      </c>
      <c r="T339" s="5" t="s">
        <v>237</v>
      </c>
      <c r="U339" s="5" t="s">
        <v>238</v>
      </c>
      <c r="V339" s="5" t="s">
        <v>238</v>
      </c>
      <c r="W339" s="5" t="s">
        <v>241</v>
      </c>
      <c r="X339" s="5" t="s">
        <v>337</v>
      </c>
      <c r="Y339" s="5" t="s">
        <v>238</v>
      </c>
      <c r="AB339" s="5" t="s">
        <v>238</v>
      </c>
      <c r="AD339" s="6" t="s">
        <v>238</v>
      </c>
      <c r="AG339" s="6" t="s">
        <v>246</v>
      </c>
      <c r="AH339" s="5" t="s">
        <v>247</v>
      </c>
      <c r="AI339" s="5" t="s">
        <v>248</v>
      </c>
      <c r="AY339" s="5" t="s">
        <v>250</v>
      </c>
      <c r="AZ339" s="5" t="s">
        <v>238</v>
      </c>
      <c r="BA339" s="5" t="s">
        <v>251</v>
      </c>
      <c r="BB339" s="5" t="s">
        <v>238</v>
      </c>
      <c r="BC339" s="5" t="s">
        <v>253</v>
      </c>
      <c r="BD339" s="5" t="s">
        <v>238</v>
      </c>
      <c r="BF339" s="5" t="s">
        <v>238</v>
      </c>
      <c r="BH339" s="5" t="s">
        <v>798</v>
      </c>
      <c r="BI339" s="6" t="s">
        <v>562</v>
      </c>
      <c r="BJ339" s="5" t="s">
        <v>255</v>
      </c>
      <c r="BK339" s="5" t="s">
        <v>256</v>
      </c>
      <c r="BL339" s="5" t="s">
        <v>238</v>
      </c>
      <c r="BM339" s="7">
        <f>0</f>
        <v>0</v>
      </c>
      <c r="BN339" s="8">
        <f>0</f>
        <v>0</v>
      </c>
      <c r="BO339" s="5" t="s">
        <v>257</v>
      </c>
      <c r="BP339" s="5" t="s">
        <v>258</v>
      </c>
      <c r="CD339" s="5" t="s">
        <v>238</v>
      </c>
      <c r="CE339" s="5" t="s">
        <v>238</v>
      </c>
      <c r="CI339" s="5" t="s">
        <v>259</v>
      </c>
      <c r="CJ339" s="5" t="s">
        <v>260</v>
      </c>
      <c r="CK339" s="5" t="s">
        <v>238</v>
      </c>
      <c r="CM339" s="5" t="s">
        <v>958</v>
      </c>
      <c r="CN339" s="6" t="s">
        <v>262</v>
      </c>
      <c r="CO339" s="5" t="s">
        <v>263</v>
      </c>
      <c r="CP339" s="5" t="s">
        <v>264</v>
      </c>
      <c r="CQ339" s="5" t="s">
        <v>238</v>
      </c>
      <c r="CR339" s="5" t="s">
        <v>238</v>
      </c>
      <c r="CS339" s="5">
        <v>0</v>
      </c>
      <c r="CT339" s="5" t="s">
        <v>265</v>
      </c>
      <c r="CU339" s="5" t="s">
        <v>266</v>
      </c>
      <c r="CV339" s="5" t="s">
        <v>267</v>
      </c>
      <c r="CX339" s="8">
        <f>1520000</f>
        <v>1520000</v>
      </c>
      <c r="CY339" s="8">
        <f>0</f>
        <v>0</v>
      </c>
      <c r="DA339" s="5" t="s">
        <v>238</v>
      </c>
      <c r="DB339" s="5" t="s">
        <v>238</v>
      </c>
      <c r="DD339" s="5" t="s">
        <v>238</v>
      </c>
      <c r="DG339" s="5" t="s">
        <v>238</v>
      </c>
      <c r="DH339" s="5" t="s">
        <v>238</v>
      </c>
      <c r="DI339" s="5" t="s">
        <v>238</v>
      </c>
      <c r="DJ339" s="5" t="s">
        <v>238</v>
      </c>
      <c r="DK339" s="5" t="s">
        <v>271</v>
      </c>
      <c r="DL339" s="5" t="s">
        <v>272</v>
      </c>
      <c r="DM339" s="7">
        <f>19</f>
        <v>19</v>
      </c>
      <c r="DN339" s="5" t="s">
        <v>238</v>
      </c>
      <c r="DO339" s="5" t="s">
        <v>238</v>
      </c>
      <c r="DP339" s="5" t="s">
        <v>238</v>
      </c>
      <c r="DQ339" s="5" t="s">
        <v>238</v>
      </c>
      <c r="DT339" s="5" t="s">
        <v>564</v>
      </c>
      <c r="DU339" s="5" t="s">
        <v>310</v>
      </c>
      <c r="HM339" s="5" t="s">
        <v>271</v>
      </c>
      <c r="HP339" s="5" t="s">
        <v>272</v>
      </c>
      <c r="HQ339" s="5" t="s">
        <v>272</v>
      </c>
    </row>
    <row r="340" spans="1:238" x14ac:dyDescent="0.4">
      <c r="A340" s="5">
        <v>376</v>
      </c>
      <c r="B340" s="5">
        <v>1</v>
      </c>
      <c r="C340" s="5">
        <v>1</v>
      </c>
      <c r="D340" s="5" t="s">
        <v>561</v>
      </c>
      <c r="E340" s="5" t="s">
        <v>347</v>
      </c>
      <c r="F340" s="5" t="s">
        <v>282</v>
      </c>
      <c r="G340" s="5" t="s">
        <v>239</v>
      </c>
      <c r="H340" s="6" t="s">
        <v>563</v>
      </c>
      <c r="I340" s="5" t="s">
        <v>1080</v>
      </c>
      <c r="J340" s="7">
        <f>12</f>
        <v>12</v>
      </c>
      <c r="K340" s="5" t="s">
        <v>270</v>
      </c>
      <c r="L340" s="8">
        <f>1</f>
        <v>1</v>
      </c>
      <c r="M340" s="8">
        <f>960000</f>
        <v>960000</v>
      </c>
      <c r="N340" s="6" t="s">
        <v>645</v>
      </c>
      <c r="O340" s="5" t="s">
        <v>268</v>
      </c>
      <c r="P340" s="5" t="s">
        <v>658</v>
      </c>
      <c r="R340" s="8">
        <f>959999</f>
        <v>959999</v>
      </c>
      <c r="S340" s="5" t="s">
        <v>240</v>
      </c>
      <c r="T340" s="5" t="s">
        <v>237</v>
      </c>
      <c r="U340" s="5" t="s">
        <v>238</v>
      </c>
      <c r="V340" s="5" t="s">
        <v>238</v>
      </c>
      <c r="W340" s="5" t="s">
        <v>241</v>
      </c>
      <c r="X340" s="5" t="s">
        <v>337</v>
      </c>
      <c r="Y340" s="5" t="s">
        <v>238</v>
      </c>
      <c r="AB340" s="5" t="s">
        <v>238</v>
      </c>
      <c r="AD340" s="6" t="s">
        <v>238</v>
      </c>
      <c r="AG340" s="6" t="s">
        <v>562</v>
      </c>
      <c r="AH340" s="5" t="s">
        <v>247</v>
      </c>
      <c r="AI340" s="5" t="s">
        <v>248</v>
      </c>
      <c r="AY340" s="5" t="s">
        <v>250</v>
      </c>
      <c r="AZ340" s="5" t="s">
        <v>238</v>
      </c>
      <c r="BA340" s="5" t="s">
        <v>251</v>
      </c>
      <c r="BB340" s="5" t="s">
        <v>238</v>
      </c>
      <c r="BC340" s="5" t="s">
        <v>253</v>
      </c>
      <c r="BD340" s="5" t="s">
        <v>238</v>
      </c>
      <c r="BF340" s="5" t="s">
        <v>238</v>
      </c>
      <c r="BH340" s="5" t="s">
        <v>798</v>
      </c>
      <c r="BI340" s="6" t="s">
        <v>562</v>
      </c>
      <c r="BJ340" s="5" t="s">
        <v>255</v>
      </c>
      <c r="BK340" s="5" t="s">
        <v>256</v>
      </c>
      <c r="BL340" s="5" t="s">
        <v>238</v>
      </c>
      <c r="BM340" s="7">
        <f>0</f>
        <v>0</v>
      </c>
      <c r="BN340" s="8">
        <f>0</f>
        <v>0</v>
      </c>
      <c r="BO340" s="5" t="s">
        <v>257</v>
      </c>
      <c r="BP340" s="5" t="s">
        <v>258</v>
      </c>
      <c r="CD340" s="5" t="s">
        <v>238</v>
      </c>
      <c r="CE340" s="5" t="s">
        <v>238</v>
      </c>
      <c r="CI340" s="5" t="s">
        <v>259</v>
      </c>
      <c r="CJ340" s="5" t="s">
        <v>260</v>
      </c>
      <c r="CK340" s="5" t="s">
        <v>238</v>
      </c>
      <c r="CM340" s="5" t="s">
        <v>648</v>
      </c>
      <c r="CN340" s="6" t="s">
        <v>262</v>
      </c>
      <c r="CO340" s="5" t="s">
        <v>263</v>
      </c>
      <c r="CP340" s="5" t="s">
        <v>264</v>
      </c>
      <c r="CQ340" s="5" t="s">
        <v>238</v>
      </c>
      <c r="CR340" s="5" t="s">
        <v>238</v>
      </c>
      <c r="CS340" s="5">
        <v>0</v>
      </c>
      <c r="CT340" s="5" t="s">
        <v>265</v>
      </c>
      <c r="CU340" s="5" t="s">
        <v>266</v>
      </c>
      <c r="CV340" s="5" t="s">
        <v>267</v>
      </c>
      <c r="CX340" s="8">
        <f>960000</f>
        <v>960000</v>
      </c>
      <c r="CY340" s="8">
        <f>0</f>
        <v>0</v>
      </c>
      <c r="DA340" s="5" t="s">
        <v>238</v>
      </c>
      <c r="DB340" s="5" t="s">
        <v>238</v>
      </c>
      <c r="DD340" s="5" t="s">
        <v>238</v>
      </c>
      <c r="DG340" s="5" t="s">
        <v>238</v>
      </c>
      <c r="DH340" s="5" t="s">
        <v>238</v>
      </c>
      <c r="DI340" s="5" t="s">
        <v>238</v>
      </c>
      <c r="DJ340" s="5" t="s">
        <v>238</v>
      </c>
      <c r="DK340" s="5" t="s">
        <v>271</v>
      </c>
      <c r="DL340" s="5" t="s">
        <v>272</v>
      </c>
      <c r="DM340" s="7">
        <f>12</f>
        <v>12</v>
      </c>
      <c r="DN340" s="5" t="s">
        <v>238</v>
      </c>
      <c r="DO340" s="5" t="s">
        <v>238</v>
      </c>
      <c r="DP340" s="5" t="s">
        <v>238</v>
      </c>
      <c r="DQ340" s="5" t="s">
        <v>238</v>
      </c>
      <c r="DT340" s="5" t="s">
        <v>564</v>
      </c>
      <c r="DU340" s="5" t="s">
        <v>379</v>
      </c>
      <c r="HM340" s="5" t="s">
        <v>271</v>
      </c>
      <c r="HP340" s="5" t="s">
        <v>272</v>
      </c>
      <c r="HQ340" s="5" t="s">
        <v>272</v>
      </c>
    </row>
    <row r="341" spans="1:238" x14ac:dyDescent="0.4">
      <c r="A341" s="5">
        <v>377</v>
      </c>
      <c r="B341" s="5">
        <v>1</v>
      </c>
      <c r="C341" s="5">
        <v>4</v>
      </c>
      <c r="D341" s="5" t="s">
        <v>561</v>
      </c>
      <c r="E341" s="5" t="s">
        <v>347</v>
      </c>
      <c r="F341" s="5" t="s">
        <v>282</v>
      </c>
      <c r="G341" s="5" t="s">
        <v>349</v>
      </c>
      <c r="H341" s="6" t="s">
        <v>563</v>
      </c>
      <c r="I341" s="5" t="s">
        <v>345</v>
      </c>
      <c r="J341" s="7">
        <f>0</f>
        <v>0</v>
      </c>
      <c r="K341" s="5" t="s">
        <v>270</v>
      </c>
      <c r="L341" s="8">
        <f>51419005</f>
        <v>51419005</v>
      </c>
      <c r="M341" s="8">
        <f>66864763</f>
        <v>66864763</v>
      </c>
      <c r="N341" s="6" t="s">
        <v>348</v>
      </c>
      <c r="O341" s="5" t="s">
        <v>319</v>
      </c>
      <c r="P341" s="5" t="s">
        <v>271</v>
      </c>
      <c r="Q341" s="8">
        <f>5148586</f>
        <v>5148586</v>
      </c>
      <c r="R341" s="8">
        <f>15445758</f>
        <v>15445758</v>
      </c>
      <c r="S341" s="5" t="s">
        <v>240</v>
      </c>
      <c r="T341" s="5" t="s">
        <v>287</v>
      </c>
      <c r="U341" s="5" t="s">
        <v>238</v>
      </c>
      <c r="V341" s="5" t="s">
        <v>238</v>
      </c>
      <c r="W341" s="5" t="s">
        <v>241</v>
      </c>
      <c r="X341" s="5" t="s">
        <v>238</v>
      </c>
      <c r="Y341" s="5" t="s">
        <v>238</v>
      </c>
      <c r="AB341" s="5" t="s">
        <v>238</v>
      </c>
      <c r="AC341" s="6" t="s">
        <v>238</v>
      </c>
      <c r="AD341" s="6" t="s">
        <v>238</v>
      </c>
      <c r="AF341" s="6" t="s">
        <v>238</v>
      </c>
      <c r="AG341" s="6" t="s">
        <v>562</v>
      </c>
      <c r="AH341" s="5" t="s">
        <v>247</v>
      </c>
      <c r="AI341" s="5" t="s">
        <v>248</v>
      </c>
      <c r="AO341" s="5" t="s">
        <v>238</v>
      </c>
      <c r="AP341" s="5" t="s">
        <v>238</v>
      </c>
      <c r="AQ341" s="5" t="s">
        <v>238</v>
      </c>
      <c r="AR341" s="6" t="s">
        <v>238</v>
      </c>
      <c r="AS341" s="6" t="s">
        <v>238</v>
      </c>
      <c r="AT341" s="6" t="s">
        <v>238</v>
      </c>
      <c r="AW341" s="5" t="s">
        <v>304</v>
      </c>
      <c r="AX341" s="5" t="s">
        <v>304</v>
      </c>
      <c r="AY341" s="5" t="s">
        <v>250</v>
      </c>
      <c r="AZ341" s="5" t="s">
        <v>305</v>
      </c>
      <c r="BA341" s="5" t="s">
        <v>251</v>
      </c>
      <c r="BB341" s="5" t="s">
        <v>238</v>
      </c>
      <c r="BC341" s="5" t="s">
        <v>253</v>
      </c>
      <c r="BD341" s="5" t="s">
        <v>238</v>
      </c>
      <c r="BF341" s="5" t="s">
        <v>238</v>
      </c>
      <c r="BH341" s="5" t="s">
        <v>283</v>
      </c>
      <c r="BI341" s="6" t="s">
        <v>293</v>
      </c>
      <c r="BJ341" s="5" t="s">
        <v>294</v>
      </c>
      <c r="BK341" s="5" t="s">
        <v>294</v>
      </c>
      <c r="BL341" s="5" t="s">
        <v>238</v>
      </c>
      <c r="BM341" s="7">
        <f>0</f>
        <v>0</v>
      </c>
      <c r="BN341" s="8">
        <f>-5148586</f>
        <v>-5148586</v>
      </c>
      <c r="BO341" s="5" t="s">
        <v>257</v>
      </c>
      <c r="BP341" s="5" t="s">
        <v>258</v>
      </c>
      <c r="BQ341" s="5" t="s">
        <v>238</v>
      </c>
      <c r="BR341" s="5" t="s">
        <v>238</v>
      </c>
      <c r="BS341" s="5" t="s">
        <v>238</v>
      </c>
      <c r="BT341" s="5" t="s">
        <v>238</v>
      </c>
      <c r="CC341" s="5" t="s">
        <v>258</v>
      </c>
      <c r="CD341" s="5" t="s">
        <v>238</v>
      </c>
      <c r="CE341" s="5" t="s">
        <v>238</v>
      </c>
      <c r="CI341" s="5" t="s">
        <v>259</v>
      </c>
      <c r="CJ341" s="5" t="s">
        <v>260</v>
      </c>
      <c r="CK341" s="5" t="s">
        <v>238</v>
      </c>
      <c r="CM341" s="5" t="s">
        <v>291</v>
      </c>
      <c r="CN341" s="6" t="s">
        <v>262</v>
      </c>
      <c r="CO341" s="5" t="s">
        <v>263</v>
      </c>
      <c r="CP341" s="5" t="s">
        <v>264</v>
      </c>
      <c r="CQ341" s="5" t="s">
        <v>285</v>
      </c>
      <c r="CR341" s="5" t="s">
        <v>238</v>
      </c>
      <c r="CS341" s="5">
        <v>7.6999999999999999E-2</v>
      </c>
      <c r="CT341" s="5" t="s">
        <v>265</v>
      </c>
      <c r="CU341" s="5" t="s">
        <v>351</v>
      </c>
      <c r="CV341" s="5" t="s">
        <v>352</v>
      </c>
      <c r="CW341" s="7">
        <f>0</f>
        <v>0</v>
      </c>
      <c r="CX341" s="8">
        <f>66864763</f>
        <v>66864763</v>
      </c>
      <c r="CY341" s="8">
        <f>56567591</f>
        <v>56567591</v>
      </c>
      <c r="DA341" s="5" t="s">
        <v>238</v>
      </c>
      <c r="DB341" s="5" t="s">
        <v>238</v>
      </c>
      <c r="DD341" s="5" t="s">
        <v>238</v>
      </c>
      <c r="DE341" s="8">
        <f>0</f>
        <v>0</v>
      </c>
      <c r="DG341" s="5" t="s">
        <v>238</v>
      </c>
      <c r="DH341" s="5" t="s">
        <v>238</v>
      </c>
      <c r="DI341" s="5" t="s">
        <v>238</v>
      </c>
      <c r="DJ341" s="5" t="s">
        <v>238</v>
      </c>
      <c r="DK341" s="5" t="s">
        <v>272</v>
      </c>
      <c r="DL341" s="5" t="s">
        <v>272</v>
      </c>
      <c r="DM341" s="8" t="s">
        <v>238</v>
      </c>
      <c r="DN341" s="5" t="s">
        <v>238</v>
      </c>
      <c r="DO341" s="5" t="s">
        <v>238</v>
      </c>
      <c r="DP341" s="5" t="s">
        <v>238</v>
      </c>
      <c r="DQ341" s="5" t="s">
        <v>238</v>
      </c>
      <c r="DT341" s="5" t="s">
        <v>564</v>
      </c>
      <c r="DU341" s="5" t="s">
        <v>313</v>
      </c>
      <c r="GL341" s="5" t="s">
        <v>565</v>
      </c>
      <c r="HM341" s="5" t="s">
        <v>356</v>
      </c>
      <c r="HP341" s="5" t="s">
        <v>272</v>
      </c>
      <c r="HQ341" s="5" t="s">
        <v>272</v>
      </c>
      <c r="HR341" s="5" t="s">
        <v>238</v>
      </c>
      <c r="HS341" s="5" t="s">
        <v>238</v>
      </c>
      <c r="HT341" s="5" t="s">
        <v>238</v>
      </c>
      <c r="HU341" s="5" t="s">
        <v>238</v>
      </c>
      <c r="HV341" s="5" t="s">
        <v>238</v>
      </c>
      <c r="HW341" s="5" t="s">
        <v>238</v>
      </c>
      <c r="HX341" s="5" t="s">
        <v>238</v>
      </c>
      <c r="HY341" s="5" t="s">
        <v>238</v>
      </c>
      <c r="HZ341" s="5" t="s">
        <v>238</v>
      </c>
      <c r="IA341" s="5" t="s">
        <v>238</v>
      </c>
      <c r="IB341" s="5" t="s">
        <v>238</v>
      </c>
      <c r="IC341" s="5" t="s">
        <v>238</v>
      </c>
      <c r="ID341" s="5" t="s">
        <v>238</v>
      </c>
    </row>
    <row r="342" spans="1:238" x14ac:dyDescent="0.4">
      <c r="A342" s="5">
        <v>378</v>
      </c>
      <c r="B342" s="5">
        <v>1</v>
      </c>
      <c r="C342" s="5">
        <v>4</v>
      </c>
      <c r="D342" s="5" t="s">
        <v>548</v>
      </c>
      <c r="E342" s="5" t="s">
        <v>347</v>
      </c>
      <c r="F342" s="5" t="s">
        <v>282</v>
      </c>
      <c r="G342" s="5" t="s">
        <v>1499</v>
      </c>
      <c r="H342" s="6" t="s">
        <v>549</v>
      </c>
      <c r="I342" s="5" t="s">
        <v>1314</v>
      </c>
      <c r="J342" s="7">
        <f>2157.93</f>
        <v>2157.9299999999998</v>
      </c>
      <c r="K342" s="5" t="s">
        <v>270</v>
      </c>
      <c r="L342" s="8">
        <f>339619650</f>
        <v>339619650</v>
      </c>
      <c r="M342" s="8">
        <f>506895000</f>
        <v>506895000</v>
      </c>
      <c r="N342" s="6" t="s">
        <v>316</v>
      </c>
      <c r="O342" s="5" t="s">
        <v>898</v>
      </c>
      <c r="P342" s="5" t="s">
        <v>319</v>
      </c>
      <c r="Q342" s="8">
        <f>11151690</f>
        <v>11151690</v>
      </c>
      <c r="R342" s="8">
        <f>167275350</f>
        <v>167275350</v>
      </c>
      <c r="S342" s="5" t="s">
        <v>240</v>
      </c>
      <c r="T342" s="5" t="s">
        <v>237</v>
      </c>
      <c r="U342" s="5" t="s">
        <v>238</v>
      </c>
      <c r="V342" s="5" t="s">
        <v>238</v>
      </c>
      <c r="W342" s="5" t="s">
        <v>241</v>
      </c>
      <c r="X342" s="5" t="s">
        <v>337</v>
      </c>
      <c r="Y342" s="5" t="s">
        <v>238</v>
      </c>
      <c r="AB342" s="5" t="s">
        <v>238</v>
      </c>
      <c r="AC342" s="6" t="s">
        <v>238</v>
      </c>
      <c r="AD342" s="6" t="s">
        <v>238</v>
      </c>
      <c r="AF342" s="6" t="s">
        <v>238</v>
      </c>
      <c r="AG342" s="6" t="s">
        <v>562</v>
      </c>
      <c r="AH342" s="5" t="s">
        <v>247</v>
      </c>
      <c r="AI342" s="5" t="s">
        <v>248</v>
      </c>
      <c r="AO342" s="5" t="s">
        <v>238</v>
      </c>
      <c r="AP342" s="5" t="s">
        <v>238</v>
      </c>
      <c r="AQ342" s="5" t="s">
        <v>238</v>
      </c>
      <c r="AR342" s="6" t="s">
        <v>238</v>
      </c>
      <c r="AS342" s="6" t="s">
        <v>238</v>
      </c>
      <c r="AT342" s="6" t="s">
        <v>238</v>
      </c>
      <c r="AW342" s="5" t="s">
        <v>304</v>
      </c>
      <c r="AX342" s="5" t="s">
        <v>304</v>
      </c>
      <c r="AY342" s="5" t="s">
        <v>250</v>
      </c>
      <c r="AZ342" s="5" t="s">
        <v>305</v>
      </c>
      <c r="BA342" s="5" t="s">
        <v>251</v>
      </c>
      <c r="BB342" s="5" t="s">
        <v>238</v>
      </c>
      <c r="BC342" s="5" t="s">
        <v>253</v>
      </c>
      <c r="BD342" s="5" t="s">
        <v>238</v>
      </c>
      <c r="BF342" s="5" t="s">
        <v>1495</v>
      </c>
      <c r="BH342" s="5" t="s">
        <v>283</v>
      </c>
      <c r="BI342" s="6" t="s">
        <v>293</v>
      </c>
      <c r="BJ342" s="5" t="s">
        <v>294</v>
      </c>
      <c r="BK342" s="5" t="s">
        <v>294</v>
      </c>
      <c r="BL342" s="5" t="s">
        <v>238</v>
      </c>
      <c r="BM342" s="7">
        <f>0</f>
        <v>0</v>
      </c>
      <c r="BN342" s="8">
        <f>-11151690</f>
        <v>-11151690</v>
      </c>
      <c r="BO342" s="5" t="s">
        <v>257</v>
      </c>
      <c r="BP342" s="5" t="s">
        <v>258</v>
      </c>
      <c r="BQ342" s="5" t="s">
        <v>238</v>
      </c>
      <c r="BR342" s="5" t="s">
        <v>238</v>
      </c>
      <c r="BS342" s="5" t="s">
        <v>238</v>
      </c>
      <c r="BT342" s="5" t="s">
        <v>238</v>
      </c>
      <c r="CC342" s="5" t="s">
        <v>258</v>
      </c>
      <c r="CD342" s="5" t="s">
        <v>238</v>
      </c>
      <c r="CE342" s="5" t="s">
        <v>238</v>
      </c>
      <c r="CI342" s="5" t="s">
        <v>259</v>
      </c>
      <c r="CJ342" s="5" t="s">
        <v>260</v>
      </c>
      <c r="CK342" s="5" t="s">
        <v>238</v>
      </c>
      <c r="CM342" s="5" t="s">
        <v>318</v>
      </c>
      <c r="CN342" s="6" t="s">
        <v>262</v>
      </c>
      <c r="CO342" s="5" t="s">
        <v>263</v>
      </c>
      <c r="CP342" s="5" t="s">
        <v>264</v>
      </c>
      <c r="CQ342" s="5" t="s">
        <v>285</v>
      </c>
      <c r="CR342" s="5" t="s">
        <v>238</v>
      </c>
      <c r="CS342" s="5">
        <v>2.1999999999999999E-2</v>
      </c>
      <c r="CT342" s="5" t="s">
        <v>265</v>
      </c>
      <c r="CU342" s="5" t="s">
        <v>1493</v>
      </c>
      <c r="CV342" s="5" t="s">
        <v>308</v>
      </c>
      <c r="CW342" s="7">
        <f>0</f>
        <v>0</v>
      </c>
      <c r="CX342" s="8">
        <f>506895000</f>
        <v>506895000</v>
      </c>
      <c r="CY342" s="8">
        <f>350771340</f>
        <v>350771340</v>
      </c>
      <c r="DA342" s="5" t="s">
        <v>238</v>
      </c>
      <c r="DB342" s="5" t="s">
        <v>238</v>
      </c>
      <c r="DD342" s="5" t="s">
        <v>238</v>
      </c>
      <c r="DE342" s="8">
        <f>0</f>
        <v>0</v>
      </c>
      <c r="DG342" s="5" t="s">
        <v>238</v>
      </c>
      <c r="DH342" s="5" t="s">
        <v>238</v>
      </c>
      <c r="DI342" s="5" t="s">
        <v>238</v>
      </c>
      <c r="DJ342" s="5" t="s">
        <v>238</v>
      </c>
      <c r="DK342" s="5" t="s">
        <v>356</v>
      </c>
      <c r="DL342" s="5" t="s">
        <v>272</v>
      </c>
      <c r="DM342" s="7">
        <f>2157.93</f>
        <v>2157.9299999999998</v>
      </c>
      <c r="DN342" s="5" t="s">
        <v>238</v>
      </c>
      <c r="DO342" s="5" t="s">
        <v>238</v>
      </c>
      <c r="DP342" s="5" t="s">
        <v>238</v>
      </c>
      <c r="DQ342" s="5" t="s">
        <v>238</v>
      </c>
      <c r="DT342" s="5" t="s">
        <v>550</v>
      </c>
      <c r="DU342" s="5" t="s">
        <v>271</v>
      </c>
      <c r="GL342" s="5" t="s">
        <v>1602</v>
      </c>
      <c r="HM342" s="5" t="s">
        <v>313</v>
      </c>
      <c r="HP342" s="5" t="s">
        <v>272</v>
      </c>
      <c r="HQ342" s="5" t="s">
        <v>272</v>
      </c>
      <c r="HR342" s="5" t="s">
        <v>238</v>
      </c>
      <c r="HS342" s="5" t="s">
        <v>238</v>
      </c>
      <c r="HT342" s="5" t="s">
        <v>238</v>
      </c>
      <c r="HU342" s="5" t="s">
        <v>238</v>
      </c>
      <c r="HV342" s="5" t="s">
        <v>238</v>
      </c>
      <c r="HW342" s="5" t="s">
        <v>238</v>
      </c>
      <c r="HX342" s="5" t="s">
        <v>238</v>
      </c>
      <c r="HY342" s="5" t="s">
        <v>238</v>
      </c>
      <c r="HZ342" s="5" t="s">
        <v>238</v>
      </c>
      <c r="IA342" s="5" t="s">
        <v>238</v>
      </c>
      <c r="IB342" s="5" t="s">
        <v>238</v>
      </c>
      <c r="IC342" s="5" t="s">
        <v>238</v>
      </c>
      <c r="ID342" s="5" t="s">
        <v>238</v>
      </c>
    </row>
    <row r="343" spans="1:238" x14ac:dyDescent="0.4">
      <c r="A343" s="5">
        <v>379</v>
      </c>
      <c r="B343" s="5">
        <v>1</v>
      </c>
      <c r="C343" s="5">
        <v>4</v>
      </c>
      <c r="D343" s="5" t="s">
        <v>548</v>
      </c>
      <c r="E343" s="5" t="s">
        <v>347</v>
      </c>
      <c r="F343" s="5" t="s">
        <v>282</v>
      </c>
      <c r="G343" s="5" t="s">
        <v>1499</v>
      </c>
      <c r="H343" s="6" t="s">
        <v>549</v>
      </c>
      <c r="I343" s="5" t="s">
        <v>1314</v>
      </c>
      <c r="J343" s="7">
        <f>536.71</f>
        <v>536.71</v>
      </c>
      <c r="K343" s="5" t="s">
        <v>270</v>
      </c>
      <c r="L343" s="8">
        <f>84393200</f>
        <v>84393200</v>
      </c>
      <c r="M343" s="8">
        <f>125960000</f>
        <v>125960000</v>
      </c>
      <c r="N343" s="6" t="s">
        <v>316</v>
      </c>
      <c r="O343" s="5" t="s">
        <v>898</v>
      </c>
      <c r="P343" s="5" t="s">
        <v>319</v>
      </c>
      <c r="Q343" s="8">
        <f>2771120</f>
        <v>2771120</v>
      </c>
      <c r="R343" s="8">
        <f>41566800</f>
        <v>41566800</v>
      </c>
      <c r="S343" s="5" t="s">
        <v>240</v>
      </c>
      <c r="T343" s="5" t="s">
        <v>237</v>
      </c>
      <c r="U343" s="5" t="s">
        <v>238</v>
      </c>
      <c r="V343" s="5" t="s">
        <v>238</v>
      </c>
      <c r="W343" s="5" t="s">
        <v>241</v>
      </c>
      <c r="X343" s="5" t="s">
        <v>337</v>
      </c>
      <c r="Y343" s="5" t="s">
        <v>238</v>
      </c>
      <c r="AB343" s="5" t="s">
        <v>238</v>
      </c>
      <c r="AC343" s="6" t="s">
        <v>238</v>
      </c>
      <c r="AD343" s="6" t="s">
        <v>238</v>
      </c>
      <c r="AF343" s="6" t="s">
        <v>238</v>
      </c>
      <c r="AG343" s="6" t="s">
        <v>246</v>
      </c>
      <c r="AH343" s="5" t="s">
        <v>247</v>
      </c>
      <c r="AI343" s="5" t="s">
        <v>248</v>
      </c>
      <c r="AO343" s="5" t="s">
        <v>238</v>
      </c>
      <c r="AP343" s="5" t="s">
        <v>238</v>
      </c>
      <c r="AQ343" s="5" t="s">
        <v>238</v>
      </c>
      <c r="AR343" s="6" t="s">
        <v>238</v>
      </c>
      <c r="AS343" s="6" t="s">
        <v>238</v>
      </c>
      <c r="AT343" s="6" t="s">
        <v>238</v>
      </c>
      <c r="AW343" s="5" t="s">
        <v>304</v>
      </c>
      <c r="AX343" s="5" t="s">
        <v>304</v>
      </c>
      <c r="AY343" s="5" t="s">
        <v>250</v>
      </c>
      <c r="AZ343" s="5" t="s">
        <v>305</v>
      </c>
      <c r="BA343" s="5" t="s">
        <v>251</v>
      </c>
      <c r="BB343" s="5" t="s">
        <v>238</v>
      </c>
      <c r="BC343" s="5" t="s">
        <v>253</v>
      </c>
      <c r="BD343" s="5" t="s">
        <v>238</v>
      </c>
      <c r="BF343" s="5" t="s">
        <v>238</v>
      </c>
      <c r="BH343" s="5" t="s">
        <v>283</v>
      </c>
      <c r="BI343" s="6" t="s">
        <v>293</v>
      </c>
      <c r="BJ343" s="5" t="s">
        <v>294</v>
      </c>
      <c r="BK343" s="5" t="s">
        <v>294</v>
      </c>
      <c r="BL343" s="5" t="s">
        <v>238</v>
      </c>
      <c r="BM343" s="7">
        <f>0</f>
        <v>0</v>
      </c>
      <c r="BN343" s="8">
        <f>-2771120</f>
        <v>-2771120</v>
      </c>
      <c r="BO343" s="5" t="s">
        <v>257</v>
      </c>
      <c r="BP343" s="5" t="s">
        <v>258</v>
      </c>
      <c r="BQ343" s="5" t="s">
        <v>238</v>
      </c>
      <c r="BR343" s="5" t="s">
        <v>238</v>
      </c>
      <c r="BS343" s="5" t="s">
        <v>238</v>
      </c>
      <c r="BT343" s="5" t="s">
        <v>238</v>
      </c>
      <c r="CC343" s="5" t="s">
        <v>258</v>
      </c>
      <c r="CD343" s="5" t="s">
        <v>238</v>
      </c>
      <c r="CE343" s="5" t="s">
        <v>238</v>
      </c>
      <c r="CI343" s="5" t="s">
        <v>259</v>
      </c>
      <c r="CJ343" s="5" t="s">
        <v>260</v>
      </c>
      <c r="CK343" s="5" t="s">
        <v>238</v>
      </c>
      <c r="CM343" s="5" t="s">
        <v>318</v>
      </c>
      <c r="CN343" s="6" t="s">
        <v>262</v>
      </c>
      <c r="CO343" s="5" t="s">
        <v>263</v>
      </c>
      <c r="CP343" s="5" t="s">
        <v>264</v>
      </c>
      <c r="CQ343" s="5" t="s">
        <v>285</v>
      </c>
      <c r="CR343" s="5" t="s">
        <v>238</v>
      </c>
      <c r="CS343" s="5">
        <v>2.1999999999999999E-2</v>
      </c>
      <c r="CT343" s="5" t="s">
        <v>265</v>
      </c>
      <c r="CU343" s="5" t="s">
        <v>1493</v>
      </c>
      <c r="CV343" s="5" t="s">
        <v>308</v>
      </c>
      <c r="CW343" s="7">
        <f>0</f>
        <v>0</v>
      </c>
      <c r="CX343" s="8">
        <f>125960000</f>
        <v>125960000</v>
      </c>
      <c r="CY343" s="8">
        <f>87164320</f>
        <v>87164320</v>
      </c>
      <c r="DA343" s="5" t="s">
        <v>238</v>
      </c>
      <c r="DB343" s="5" t="s">
        <v>238</v>
      </c>
      <c r="DD343" s="5" t="s">
        <v>238</v>
      </c>
      <c r="DE343" s="8">
        <f>0</f>
        <v>0</v>
      </c>
      <c r="DG343" s="5" t="s">
        <v>238</v>
      </c>
      <c r="DH343" s="5" t="s">
        <v>238</v>
      </c>
      <c r="DI343" s="5" t="s">
        <v>238</v>
      </c>
      <c r="DJ343" s="5" t="s">
        <v>238</v>
      </c>
      <c r="DK343" s="5" t="s">
        <v>271</v>
      </c>
      <c r="DL343" s="5" t="s">
        <v>272</v>
      </c>
      <c r="DM343" s="7">
        <f>536.71</f>
        <v>536.71</v>
      </c>
      <c r="DN343" s="5" t="s">
        <v>238</v>
      </c>
      <c r="DO343" s="5" t="s">
        <v>238</v>
      </c>
      <c r="DP343" s="5" t="s">
        <v>238</v>
      </c>
      <c r="DQ343" s="5" t="s">
        <v>238</v>
      </c>
      <c r="DT343" s="5" t="s">
        <v>550</v>
      </c>
      <c r="DU343" s="5" t="s">
        <v>274</v>
      </c>
      <c r="GL343" s="5" t="s">
        <v>1601</v>
      </c>
      <c r="HM343" s="5" t="s">
        <v>313</v>
      </c>
      <c r="HP343" s="5" t="s">
        <v>272</v>
      </c>
      <c r="HQ343" s="5" t="s">
        <v>272</v>
      </c>
      <c r="HR343" s="5" t="s">
        <v>238</v>
      </c>
      <c r="HS343" s="5" t="s">
        <v>238</v>
      </c>
      <c r="HT343" s="5" t="s">
        <v>238</v>
      </c>
      <c r="HU343" s="5" t="s">
        <v>238</v>
      </c>
      <c r="HV343" s="5" t="s">
        <v>238</v>
      </c>
      <c r="HW343" s="5" t="s">
        <v>238</v>
      </c>
      <c r="HX343" s="5" t="s">
        <v>238</v>
      </c>
      <c r="HY343" s="5" t="s">
        <v>238</v>
      </c>
      <c r="HZ343" s="5" t="s">
        <v>238</v>
      </c>
      <c r="IA343" s="5" t="s">
        <v>238</v>
      </c>
      <c r="IB343" s="5" t="s">
        <v>238</v>
      </c>
      <c r="IC343" s="5" t="s">
        <v>238</v>
      </c>
      <c r="ID343" s="5" t="s">
        <v>238</v>
      </c>
    </row>
    <row r="344" spans="1:238" x14ac:dyDescent="0.4">
      <c r="A344" s="5">
        <v>380</v>
      </c>
      <c r="B344" s="5">
        <v>1</v>
      </c>
      <c r="C344" s="5">
        <v>4</v>
      </c>
      <c r="D344" s="5" t="s">
        <v>548</v>
      </c>
      <c r="E344" s="5" t="s">
        <v>347</v>
      </c>
      <c r="F344" s="5" t="s">
        <v>282</v>
      </c>
      <c r="G344" s="5" t="s">
        <v>1666</v>
      </c>
      <c r="H344" s="6" t="s">
        <v>549</v>
      </c>
      <c r="I344" s="5" t="s">
        <v>1308</v>
      </c>
      <c r="J344" s="7">
        <f>827.48</f>
        <v>827.48</v>
      </c>
      <c r="K344" s="5" t="s">
        <v>270</v>
      </c>
      <c r="L344" s="8">
        <f>116940180</f>
        <v>116940180</v>
      </c>
      <c r="M344" s="8">
        <f>201621000</f>
        <v>201621000</v>
      </c>
      <c r="N344" s="6" t="s">
        <v>392</v>
      </c>
      <c r="O344" s="5" t="s">
        <v>755</v>
      </c>
      <c r="P344" s="5" t="s">
        <v>395</v>
      </c>
      <c r="Q344" s="8">
        <f>6048630</f>
        <v>6048630</v>
      </c>
      <c r="R344" s="8">
        <f>84680820</f>
        <v>84680820</v>
      </c>
      <c r="S344" s="5" t="s">
        <v>240</v>
      </c>
      <c r="T344" s="5" t="s">
        <v>237</v>
      </c>
      <c r="U344" s="5" t="s">
        <v>238</v>
      </c>
      <c r="V344" s="5" t="s">
        <v>238</v>
      </c>
      <c r="W344" s="5" t="s">
        <v>241</v>
      </c>
      <c r="X344" s="5" t="s">
        <v>337</v>
      </c>
      <c r="Y344" s="5" t="s">
        <v>238</v>
      </c>
      <c r="AB344" s="5" t="s">
        <v>238</v>
      </c>
      <c r="AC344" s="6" t="s">
        <v>238</v>
      </c>
      <c r="AD344" s="6" t="s">
        <v>238</v>
      </c>
      <c r="AF344" s="6" t="s">
        <v>238</v>
      </c>
      <c r="AG344" s="6" t="s">
        <v>246</v>
      </c>
      <c r="AH344" s="5" t="s">
        <v>247</v>
      </c>
      <c r="AI344" s="5" t="s">
        <v>248</v>
      </c>
      <c r="AO344" s="5" t="s">
        <v>238</v>
      </c>
      <c r="AP344" s="5" t="s">
        <v>238</v>
      </c>
      <c r="AQ344" s="5" t="s">
        <v>238</v>
      </c>
      <c r="AR344" s="6" t="s">
        <v>238</v>
      </c>
      <c r="AS344" s="6" t="s">
        <v>238</v>
      </c>
      <c r="AT344" s="6" t="s">
        <v>238</v>
      </c>
      <c r="AW344" s="5" t="s">
        <v>304</v>
      </c>
      <c r="AX344" s="5" t="s">
        <v>304</v>
      </c>
      <c r="AY344" s="5" t="s">
        <v>250</v>
      </c>
      <c r="AZ344" s="5" t="s">
        <v>305</v>
      </c>
      <c r="BA344" s="5" t="s">
        <v>251</v>
      </c>
      <c r="BB344" s="5" t="s">
        <v>238</v>
      </c>
      <c r="BC344" s="5" t="s">
        <v>253</v>
      </c>
      <c r="BD344" s="5" t="s">
        <v>238</v>
      </c>
      <c r="BF344" s="5" t="s">
        <v>238</v>
      </c>
      <c r="BH344" s="5" t="s">
        <v>283</v>
      </c>
      <c r="BI344" s="6" t="s">
        <v>293</v>
      </c>
      <c r="BJ344" s="5" t="s">
        <v>294</v>
      </c>
      <c r="BK344" s="5" t="s">
        <v>294</v>
      </c>
      <c r="BL344" s="5" t="s">
        <v>238</v>
      </c>
      <c r="BM344" s="7">
        <f>0</f>
        <v>0</v>
      </c>
      <c r="BN344" s="8">
        <f>-6048630</f>
        <v>-6048630</v>
      </c>
      <c r="BO344" s="5" t="s">
        <v>257</v>
      </c>
      <c r="BP344" s="5" t="s">
        <v>258</v>
      </c>
      <c r="BQ344" s="5" t="s">
        <v>238</v>
      </c>
      <c r="BR344" s="5" t="s">
        <v>238</v>
      </c>
      <c r="BS344" s="5" t="s">
        <v>238</v>
      </c>
      <c r="BT344" s="5" t="s">
        <v>238</v>
      </c>
      <c r="CC344" s="5" t="s">
        <v>258</v>
      </c>
      <c r="CD344" s="5" t="s">
        <v>238</v>
      </c>
      <c r="CE344" s="5" t="s">
        <v>238</v>
      </c>
      <c r="CI344" s="5" t="s">
        <v>259</v>
      </c>
      <c r="CJ344" s="5" t="s">
        <v>260</v>
      </c>
      <c r="CK344" s="5" t="s">
        <v>238</v>
      </c>
      <c r="CM344" s="5" t="s">
        <v>393</v>
      </c>
      <c r="CN344" s="6" t="s">
        <v>262</v>
      </c>
      <c r="CO344" s="5" t="s">
        <v>263</v>
      </c>
      <c r="CP344" s="5" t="s">
        <v>264</v>
      </c>
      <c r="CQ344" s="5" t="s">
        <v>285</v>
      </c>
      <c r="CR344" s="5" t="s">
        <v>238</v>
      </c>
      <c r="CS344" s="5">
        <v>0.03</v>
      </c>
      <c r="CT344" s="5" t="s">
        <v>265</v>
      </c>
      <c r="CU344" s="5" t="s">
        <v>1330</v>
      </c>
      <c r="CV344" s="5" t="s">
        <v>649</v>
      </c>
      <c r="CW344" s="7">
        <f>0</f>
        <v>0</v>
      </c>
      <c r="CX344" s="8">
        <f>201621000</f>
        <v>201621000</v>
      </c>
      <c r="CY344" s="8">
        <f>122988810</f>
        <v>122988810</v>
      </c>
      <c r="DA344" s="5" t="s">
        <v>238</v>
      </c>
      <c r="DB344" s="5" t="s">
        <v>238</v>
      </c>
      <c r="DD344" s="5" t="s">
        <v>238</v>
      </c>
      <c r="DE344" s="8">
        <f>0</f>
        <v>0</v>
      </c>
      <c r="DG344" s="5" t="s">
        <v>238</v>
      </c>
      <c r="DH344" s="5" t="s">
        <v>238</v>
      </c>
      <c r="DI344" s="5" t="s">
        <v>238</v>
      </c>
      <c r="DJ344" s="5" t="s">
        <v>238</v>
      </c>
      <c r="DK344" s="5" t="s">
        <v>271</v>
      </c>
      <c r="DL344" s="5" t="s">
        <v>272</v>
      </c>
      <c r="DM344" s="7">
        <f>827.48</f>
        <v>827.48</v>
      </c>
      <c r="DN344" s="5" t="s">
        <v>238</v>
      </c>
      <c r="DO344" s="5" t="s">
        <v>238</v>
      </c>
      <c r="DP344" s="5" t="s">
        <v>238</v>
      </c>
      <c r="DQ344" s="5" t="s">
        <v>238</v>
      </c>
      <c r="DT344" s="5" t="s">
        <v>550</v>
      </c>
      <c r="DU344" s="5" t="s">
        <v>356</v>
      </c>
      <c r="GL344" s="5" t="s">
        <v>1757</v>
      </c>
      <c r="HM344" s="5" t="s">
        <v>313</v>
      </c>
      <c r="HP344" s="5" t="s">
        <v>272</v>
      </c>
      <c r="HQ344" s="5" t="s">
        <v>272</v>
      </c>
      <c r="HR344" s="5" t="s">
        <v>238</v>
      </c>
      <c r="HS344" s="5" t="s">
        <v>238</v>
      </c>
      <c r="HT344" s="5" t="s">
        <v>238</v>
      </c>
      <c r="HU344" s="5" t="s">
        <v>238</v>
      </c>
      <c r="HV344" s="5" t="s">
        <v>238</v>
      </c>
      <c r="HW344" s="5" t="s">
        <v>238</v>
      </c>
      <c r="HX344" s="5" t="s">
        <v>238</v>
      </c>
      <c r="HY344" s="5" t="s">
        <v>238</v>
      </c>
      <c r="HZ344" s="5" t="s">
        <v>238</v>
      </c>
      <c r="IA344" s="5" t="s">
        <v>238</v>
      </c>
      <c r="IB344" s="5" t="s">
        <v>238</v>
      </c>
      <c r="IC344" s="5" t="s">
        <v>238</v>
      </c>
      <c r="ID344" s="5" t="s">
        <v>238</v>
      </c>
    </row>
    <row r="345" spans="1:238" x14ac:dyDescent="0.4">
      <c r="A345" s="5">
        <v>381</v>
      </c>
      <c r="B345" s="5">
        <v>1</v>
      </c>
      <c r="C345" s="5">
        <v>4</v>
      </c>
      <c r="D345" s="5" t="s">
        <v>548</v>
      </c>
      <c r="E345" s="5" t="s">
        <v>347</v>
      </c>
      <c r="F345" s="5" t="s">
        <v>282</v>
      </c>
      <c r="G345" s="5" t="s">
        <v>349</v>
      </c>
      <c r="H345" s="6" t="s">
        <v>549</v>
      </c>
      <c r="I345" s="5" t="s">
        <v>345</v>
      </c>
      <c r="J345" s="7">
        <f>0</f>
        <v>0</v>
      </c>
      <c r="K345" s="5" t="s">
        <v>270</v>
      </c>
      <c r="L345" s="8">
        <f>19652974</f>
        <v>19652974</v>
      </c>
      <c r="M345" s="8">
        <f>25556533</f>
        <v>25556533</v>
      </c>
      <c r="N345" s="6" t="s">
        <v>348</v>
      </c>
      <c r="O345" s="5" t="s">
        <v>319</v>
      </c>
      <c r="P345" s="5" t="s">
        <v>271</v>
      </c>
      <c r="Q345" s="8">
        <f>1967853</f>
        <v>1967853</v>
      </c>
      <c r="R345" s="8">
        <f>5903559</f>
        <v>5903559</v>
      </c>
      <c r="S345" s="5" t="s">
        <v>240</v>
      </c>
      <c r="T345" s="5" t="s">
        <v>287</v>
      </c>
      <c r="U345" s="5" t="s">
        <v>238</v>
      </c>
      <c r="V345" s="5" t="s">
        <v>238</v>
      </c>
      <c r="W345" s="5" t="s">
        <v>241</v>
      </c>
      <c r="X345" s="5" t="s">
        <v>238</v>
      </c>
      <c r="Y345" s="5" t="s">
        <v>238</v>
      </c>
      <c r="AB345" s="5" t="s">
        <v>238</v>
      </c>
      <c r="AC345" s="6" t="s">
        <v>238</v>
      </c>
      <c r="AD345" s="6" t="s">
        <v>238</v>
      </c>
      <c r="AF345" s="6" t="s">
        <v>238</v>
      </c>
      <c r="AG345" s="6" t="s">
        <v>246</v>
      </c>
      <c r="AH345" s="5" t="s">
        <v>247</v>
      </c>
      <c r="AI345" s="5" t="s">
        <v>248</v>
      </c>
      <c r="AO345" s="5" t="s">
        <v>238</v>
      </c>
      <c r="AP345" s="5" t="s">
        <v>238</v>
      </c>
      <c r="AQ345" s="5" t="s">
        <v>238</v>
      </c>
      <c r="AR345" s="6" t="s">
        <v>238</v>
      </c>
      <c r="AS345" s="6" t="s">
        <v>238</v>
      </c>
      <c r="AT345" s="6" t="s">
        <v>238</v>
      </c>
      <c r="AW345" s="5" t="s">
        <v>304</v>
      </c>
      <c r="AX345" s="5" t="s">
        <v>304</v>
      </c>
      <c r="AY345" s="5" t="s">
        <v>250</v>
      </c>
      <c r="AZ345" s="5" t="s">
        <v>305</v>
      </c>
      <c r="BA345" s="5" t="s">
        <v>251</v>
      </c>
      <c r="BB345" s="5" t="s">
        <v>238</v>
      </c>
      <c r="BC345" s="5" t="s">
        <v>253</v>
      </c>
      <c r="BD345" s="5" t="s">
        <v>238</v>
      </c>
      <c r="BF345" s="5" t="s">
        <v>238</v>
      </c>
      <c r="BH345" s="5" t="s">
        <v>283</v>
      </c>
      <c r="BI345" s="6" t="s">
        <v>293</v>
      </c>
      <c r="BJ345" s="5" t="s">
        <v>294</v>
      </c>
      <c r="BK345" s="5" t="s">
        <v>294</v>
      </c>
      <c r="BL345" s="5" t="s">
        <v>238</v>
      </c>
      <c r="BM345" s="7">
        <f>0</f>
        <v>0</v>
      </c>
      <c r="BN345" s="8">
        <f>-1967853</f>
        <v>-1967853</v>
      </c>
      <c r="BO345" s="5" t="s">
        <v>257</v>
      </c>
      <c r="BP345" s="5" t="s">
        <v>258</v>
      </c>
      <c r="BQ345" s="5" t="s">
        <v>238</v>
      </c>
      <c r="BR345" s="5" t="s">
        <v>238</v>
      </c>
      <c r="BS345" s="5" t="s">
        <v>238</v>
      </c>
      <c r="BT345" s="5" t="s">
        <v>238</v>
      </c>
      <c r="CC345" s="5" t="s">
        <v>258</v>
      </c>
      <c r="CD345" s="5" t="s">
        <v>238</v>
      </c>
      <c r="CE345" s="5" t="s">
        <v>238</v>
      </c>
      <c r="CI345" s="5" t="s">
        <v>259</v>
      </c>
      <c r="CJ345" s="5" t="s">
        <v>260</v>
      </c>
      <c r="CK345" s="5" t="s">
        <v>238</v>
      </c>
      <c r="CM345" s="5" t="s">
        <v>291</v>
      </c>
      <c r="CN345" s="6" t="s">
        <v>262</v>
      </c>
      <c r="CO345" s="5" t="s">
        <v>263</v>
      </c>
      <c r="CP345" s="5" t="s">
        <v>264</v>
      </c>
      <c r="CQ345" s="5" t="s">
        <v>285</v>
      </c>
      <c r="CR345" s="5" t="s">
        <v>238</v>
      </c>
      <c r="CS345" s="5">
        <v>7.6999999999999999E-2</v>
      </c>
      <c r="CT345" s="5" t="s">
        <v>265</v>
      </c>
      <c r="CU345" s="5" t="s">
        <v>351</v>
      </c>
      <c r="CV345" s="5" t="s">
        <v>352</v>
      </c>
      <c r="CW345" s="7">
        <f>0</f>
        <v>0</v>
      </c>
      <c r="CX345" s="8">
        <f>25556533</f>
        <v>25556533</v>
      </c>
      <c r="CY345" s="8">
        <f>21620827</f>
        <v>21620827</v>
      </c>
      <c r="DA345" s="5" t="s">
        <v>238</v>
      </c>
      <c r="DB345" s="5" t="s">
        <v>238</v>
      </c>
      <c r="DD345" s="5" t="s">
        <v>238</v>
      </c>
      <c r="DE345" s="8">
        <f>0</f>
        <v>0</v>
      </c>
      <c r="DG345" s="5" t="s">
        <v>238</v>
      </c>
      <c r="DH345" s="5" t="s">
        <v>238</v>
      </c>
      <c r="DI345" s="5" t="s">
        <v>238</v>
      </c>
      <c r="DJ345" s="5" t="s">
        <v>238</v>
      </c>
      <c r="DK345" s="5" t="s">
        <v>272</v>
      </c>
      <c r="DL345" s="5" t="s">
        <v>272</v>
      </c>
      <c r="DM345" s="8" t="s">
        <v>238</v>
      </c>
      <c r="DN345" s="5" t="s">
        <v>238</v>
      </c>
      <c r="DO345" s="5" t="s">
        <v>238</v>
      </c>
      <c r="DP345" s="5" t="s">
        <v>238</v>
      </c>
      <c r="DQ345" s="5" t="s">
        <v>238</v>
      </c>
      <c r="DT345" s="5" t="s">
        <v>550</v>
      </c>
      <c r="DU345" s="5" t="s">
        <v>310</v>
      </c>
      <c r="GL345" s="5" t="s">
        <v>551</v>
      </c>
      <c r="HM345" s="5" t="s">
        <v>356</v>
      </c>
      <c r="HP345" s="5" t="s">
        <v>272</v>
      </c>
      <c r="HQ345" s="5" t="s">
        <v>272</v>
      </c>
      <c r="HR345" s="5" t="s">
        <v>238</v>
      </c>
      <c r="HS345" s="5" t="s">
        <v>238</v>
      </c>
      <c r="HT345" s="5" t="s">
        <v>238</v>
      </c>
      <c r="HU345" s="5" t="s">
        <v>238</v>
      </c>
      <c r="HV345" s="5" t="s">
        <v>238</v>
      </c>
      <c r="HW345" s="5" t="s">
        <v>238</v>
      </c>
      <c r="HX345" s="5" t="s">
        <v>238</v>
      </c>
      <c r="HY345" s="5" t="s">
        <v>238</v>
      </c>
      <c r="HZ345" s="5" t="s">
        <v>238</v>
      </c>
      <c r="IA345" s="5" t="s">
        <v>238</v>
      </c>
      <c r="IB345" s="5" t="s">
        <v>238</v>
      </c>
      <c r="IC345" s="5" t="s">
        <v>238</v>
      </c>
      <c r="ID345" s="5" t="s">
        <v>238</v>
      </c>
    </row>
    <row r="346" spans="1:238" x14ac:dyDescent="0.4">
      <c r="A346" s="5">
        <v>382</v>
      </c>
      <c r="B346" s="5">
        <v>1</v>
      </c>
      <c r="C346" s="5">
        <v>1</v>
      </c>
      <c r="D346" s="5" t="s">
        <v>534</v>
      </c>
      <c r="E346" s="5" t="s">
        <v>347</v>
      </c>
      <c r="F346" s="5" t="s">
        <v>282</v>
      </c>
      <c r="G346" s="5" t="s">
        <v>1314</v>
      </c>
      <c r="H346" s="6" t="s">
        <v>535</v>
      </c>
      <c r="I346" s="5" t="s">
        <v>1314</v>
      </c>
      <c r="J346" s="7">
        <f>3197</f>
        <v>3197</v>
      </c>
      <c r="K346" s="5" t="s">
        <v>270</v>
      </c>
      <c r="L346" s="8">
        <f>1</f>
        <v>1</v>
      </c>
      <c r="M346" s="8">
        <f>431595000</f>
        <v>431595000</v>
      </c>
      <c r="N346" s="6" t="s">
        <v>1496</v>
      </c>
      <c r="O346" s="5" t="s">
        <v>898</v>
      </c>
      <c r="P346" s="5" t="s">
        <v>898</v>
      </c>
      <c r="R346" s="8">
        <f>431594999</f>
        <v>431594999</v>
      </c>
      <c r="S346" s="5" t="s">
        <v>240</v>
      </c>
      <c r="T346" s="5" t="s">
        <v>237</v>
      </c>
      <c r="U346" s="5" t="s">
        <v>238</v>
      </c>
      <c r="V346" s="5" t="s">
        <v>238</v>
      </c>
      <c r="W346" s="5" t="s">
        <v>241</v>
      </c>
      <c r="X346" s="5" t="s">
        <v>337</v>
      </c>
      <c r="Y346" s="5" t="s">
        <v>238</v>
      </c>
      <c r="AB346" s="5" t="s">
        <v>238</v>
      </c>
      <c r="AD346" s="6" t="s">
        <v>238</v>
      </c>
      <c r="AG346" s="6" t="s">
        <v>246</v>
      </c>
      <c r="AH346" s="5" t="s">
        <v>247</v>
      </c>
      <c r="AI346" s="5" t="s">
        <v>248</v>
      </c>
      <c r="AY346" s="5" t="s">
        <v>250</v>
      </c>
      <c r="AZ346" s="5" t="s">
        <v>238</v>
      </c>
      <c r="BA346" s="5" t="s">
        <v>251</v>
      </c>
      <c r="BB346" s="5" t="s">
        <v>238</v>
      </c>
      <c r="BC346" s="5" t="s">
        <v>253</v>
      </c>
      <c r="BD346" s="5" t="s">
        <v>238</v>
      </c>
      <c r="BF346" s="5" t="s">
        <v>238</v>
      </c>
      <c r="BH346" s="5" t="s">
        <v>697</v>
      </c>
      <c r="BI346" s="6" t="s">
        <v>698</v>
      </c>
      <c r="BJ346" s="5" t="s">
        <v>255</v>
      </c>
      <c r="BK346" s="5" t="s">
        <v>294</v>
      </c>
      <c r="BL346" s="5" t="s">
        <v>238</v>
      </c>
      <c r="BM346" s="7">
        <f>0</f>
        <v>0</v>
      </c>
      <c r="BN346" s="8">
        <f>0</f>
        <v>0</v>
      </c>
      <c r="BO346" s="5" t="s">
        <v>257</v>
      </c>
      <c r="BP346" s="5" t="s">
        <v>258</v>
      </c>
      <c r="CD346" s="5" t="s">
        <v>238</v>
      </c>
      <c r="CE346" s="5" t="s">
        <v>238</v>
      </c>
      <c r="CI346" s="5" t="s">
        <v>527</v>
      </c>
      <c r="CJ346" s="5" t="s">
        <v>260</v>
      </c>
      <c r="CK346" s="5" t="s">
        <v>238</v>
      </c>
      <c r="CM346" s="5" t="s">
        <v>1097</v>
      </c>
      <c r="CN346" s="6" t="s">
        <v>262</v>
      </c>
      <c r="CO346" s="5" t="s">
        <v>263</v>
      </c>
      <c r="CP346" s="5" t="s">
        <v>264</v>
      </c>
      <c r="CQ346" s="5" t="s">
        <v>238</v>
      </c>
      <c r="CR346" s="5" t="s">
        <v>238</v>
      </c>
      <c r="CS346" s="5">
        <v>0</v>
      </c>
      <c r="CT346" s="5" t="s">
        <v>265</v>
      </c>
      <c r="CU346" s="5" t="s">
        <v>1493</v>
      </c>
      <c r="CV346" s="5" t="s">
        <v>308</v>
      </c>
      <c r="CX346" s="8">
        <f>431595000</f>
        <v>431595000</v>
      </c>
      <c r="CY346" s="8">
        <f>0</f>
        <v>0</v>
      </c>
      <c r="DA346" s="5" t="s">
        <v>238</v>
      </c>
      <c r="DB346" s="5" t="s">
        <v>238</v>
      </c>
      <c r="DD346" s="5" t="s">
        <v>238</v>
      </c>
      <c r="DG346" s="5" t="s">
        <v>238</v>
      </c>
      <c r="DH346" s="5" t="s">
        <v>238</v>
      </c>
      <c r="DI346" s="5" t="s">
        <v>238</v>
      </c>
      <c r="DJ346" s="5" t="s">
        <v>238</v>
      </c>
      <c r="DK346" s="5" t="s">
        <v>356</v>
      </c>
      <c r="DL346" s="5" t="s">
        <v>272</v>
      </c>
      <c r="DM346" s="7">
        <f>3197</f>
        <v>3197</v>
      </c>
      <c r="DN346" s="5" t="s">
        <v>238</v>
      </c>
      <c r="DO346" s="5" t="s">
        <v>238</v>
      </c>
      <c r="DP346" s="5" t="s">
        <v>238</v>
      </c>
      <c r="DQ346" s="5" t="s">
        <v>238</v>
      </c>
      <c r="DT346" s="5" t="s">
        <v>536</v>
      </c>
      <c r="DU346" s="5" t="s">
        <v>271</v>
      </c>
      <c r="HM346" s="5" t="s">
        <v>310</v>
      </c>
      <c r="HP346" s="5" t="s">
        <v>272</v>
      </c>
      <c r="HQ346" s="5" t="s">
        <v>272</v>
      </c>
    </row>
    <row r="347" spans="1:238" x14ac:dyDescent="0.4">
      <c r="A347" s="5">
        <v>383</v>
      </c>
      <c r="B347" s="5">
        <v>1</v>
      </c>
      <c r="C347" s="5">
        <v>4</v>
      </c>
      <c r="D347" s="5" t="s">
        <v>534</v>
      </c>
      <c r="E347" s="5" t="s">
        <v>347</v>
      </c>
      <c r="F347" s="5" t="s">
        <v>282</v>
      </c>
      <c r="G347" s="5" t="s">
        <v>2455</v>
      </c>
      <c r="H347" s="6" t="s">
        <v>535</v>
      </c>
      <c r="I347" s="5" t="s">
        <v>2433</v>
      </c>
      <c r="J347" s="7">
        <f>94</f>
        <v>94</v>
      </c>
      <c r="K347" s="5" t="s">
        <v>270</v>
      </c>
      <c r="L347" s="8">
        <f>1</f>
        <v>1</v>
      </c>
      <c r="M347" s="8">
        <f>16262000</f>
        <v>16262000</v>
      </c>
      <c r="N347" s="6" t="s">
        <v>2454</v>
      </c>
      <c r="O347" s="5" t="s">
        <v>650</v>
      </c>
      <c r="P347" s="5" t="s">
        <v>690</v>
      </c>
      <c r="Q347" s="8">
        <f>536646</f>
        <v>536646</v>
      </c>
      <c r="R347" s="8">
        <f>16261999</f>
        <v>16261999</v>
      </c>
      <c r="S347" s="5" t="s">
        <v>240</v>
      </c>
      <c r="T347" s="5" t="s">
        <v>237</v>
      </c>
      <c r="U347" s="5" t="s">
        <v>238</v>
      </c>
      <c r="V347" s="5" t="s">
        <v>238</v>
      </c>
      <c r="W347" s="5" t="s">
        <v>241</v>
      </c>
      <c r="X347" s="5" t="s">
        <v>337</v>
      </c>
      <c r="Y347" s="5" t="s">
        <v>238</v>
      </c>
      <c r="AB347" s="5" t="s">
        <v>238</v>
      </c>
      <c r="AC347" s="6" t="s">
        <v>238</v>
      </c>
      <c r="AD347" s="6" t="s">
        <v>238</v>
      </c>
      <c r="AF347" s="6" t="s">
        <v>238</v>
      </c>
      <c r="AG347" s="6" t="s">
        <v>246</v>
      </c>
      <c r="AH347" s="5" t="s">
        <v>247</v>
      </c>
      <c r="AI347" s="5" t="s">
        <v>248</v>
      </c>
      <c r="AO347" s="5" t="s">
        <v>238</v>
      </c>
      <c r="AP347" s="5" t="s">
        <v>238</v>
      </c>
      <c r="AQ347" s="5" t="s">
        <v>238</v>
      </c>
      <c r="AR347" s="6" t="s">
        <v>238</v>
      </c>
      <c r="AS347" s="6" t="s">
        <v>238</v>
      </c>
      <c r="AT347" s="6" t="s">
        <v>238</v>
      </c>
      <c r="AW347" s="5" t="s">
        <v>304</v>
      </c>
      <c r="AX347" s="5" t="s">
        <v>304</v>
      </c>
      <c r="AY347" s="5" t="s">
        <v>250</v>
      </c>
      <c r="AZ347" s="5" t="s">
        <v>305</v>
      </c>
      <c r="BA347" s="5" t="s">
        <v>251</v>
      </c>
      <c r="BB347" s="5" t="s">
        <v>238</v>
      </c>
      <c r="BC347" s="5" t="s">
        <v>253</v>
      </c>
      <c r="BD347" s="5" t="s">
        <v>238</v>
      </c>
      <c r="BF347" s="5" t="s">
        <v>238</v>
      </c>
      <c r="BH347" s="5" t="s">
        <v>283</v>
      </c>
      <c r="BI347" s="6" t="s">
        <v>293</v>
      </c>
      <c r="BJ347" s="5" t="s">
        <v>294</v>
      </c>
      <c r="BK347" s="5" t="s">
        <v>294</v>
      </c>
      <c r="BL347" s="5" t="s">
        <v>238</v>
      </c>
      <c r="BM347" s="7">
        <f>0</f>
        <v>0</v>
      </c>
      <c r="BN347" s="8">
        <f>-162619</f>
        <v>-162619</v>
      </c>
      <c r="BO347" s="5" t="s">
        <v>257</v>
      </c>
      <c r="BP347" s="5" t="s">
        <v>258</v>
      </c>
      <c r="BQ347" s="5" t="s">
        <v>238</v>
      </c>
      <c r="BR347" s="5" t="s">
        <v>238</v>
      </c>
      <c r="BS347" s="5" t="s">
        <v>238</v>
      </c>
      <c r="BT347" s="5" t="s">
        <v>238</v>
      </c>
      <c r="CC347" s="5" t="s">
        <v>258</v>
      </c>
      <c r="CD347" s="5" t="s">
        <v>238</v>
      </c>
      <c r="CE347" s="5" t="s">
        <v>238</v>
      </c>
      <c r="CI347" s="5" t="s">
        <v>259</v>
      </c>
      <c r="CJ347" s="5" t="s">
        <v>260</v>
      </c>
      <c r="CK347" s="5" t="s">
        <v>238</v>
      </c>
      <c r="CM347" s="5" t="s">
        <v>768</v>
      </c>
      <c r="CN347" s="6" t="s">
        <v>262</v>
      </c>
      <c r="CO347" s="5" t="s">
        <v>263</v>
      </c>
      <c r="CP347" s="5" t="s">
        <v>264</v>
      </c>
      <c r="CQ347" s="5" t="s">
        <v>285</v>
      </c>
      <c r="CR347" s="5" t="s">
        <v>238</v>
      </c>
      <c r="CS347" s="5">
        <v>3.3000000000000002E-2</v>
      </c>
      <c r="CT347" s="5" t="s">
        <v>265</v>
      </c>
      <c r="CU347" s="5" t="s">
        <v>2381</v>
      </c>
      <c r="CV347" s="5" t="s">
        <v>649</v>
      </c>
      <c r="CW347" s="7">
        <f>0</f>
        <v>0</v>
      </c>
      <c r="CX347" s="8">
        <f>16262000</f>
        <v>16262000</v>
      </c>
      <c r="CY347" s="8">
        <f>162620</f>
        <v>162620</v>
      </c>
      <c r="DA347" s="5" t="s">
        <v>238</v>
      </c>
      <c r="DB347" s="5" t="s">
        <v>238</v>
      </c>
      <c r="DD347" s="5" t="s">
        <v>238</v>
      </c>
      <c r="DE347" s="8">
        <f>0</f>
        <v>0</v>
      </c>
      <c r="DG347" s="5" t="s">
        <v>238</v>
      </c>
      <c r="DH347" s="5" t="s">
        <v>238</v>
      </c>
      <c r="DI347" s="5" t="s">
        <v>238</v>
      </c>
      <c r="DJ347" s="5" t="s">
        <v>238</v>
      </c>
      <c r="DK347" s="5" t="s">
        <v>271</v>
      </c>
      <c r="DL347" s="5" t="s">
        <v>272</v>
      </c>
      <c r="DM347" s="7">
        <f>94</f>
        <v>94</v>
      </c>
      <c r="DN347" s="5" t="s">
        <v>238</v>
      </c>
      <c r="DO347" s="5" t="s">
        <v>238</v>
      </c>
      <c r="DP347" s="5" t="s">
        <v>238</v>
      </c>
      <c r="DQ347" s="5" t="s">
        <v>238</v>
      </c>
      <c r="DT347" s="5" t="s">
        <v>536</v>
      </c>
      <c r="DU347" s="5" t="s">
        <v>274</v>
      </c>
      <c r="GL347" s="5" t="s">
        <v>2456</v>
      </c>
      <c r="HM347" s="5" t="s">
        <v>313</v>
      </c>
      <c r="HP347" s="5" t="s">
        <v>272</v>
      </c>
      <c r="HQ347" s="5" t="s">
        <v>272</v>
      </c>
      <c r="HR347" s="5" t="s">
        <v>238</v>
      </c>
      <c r="HS347" s="5" t="s">
        <v>238</v>
      </c>
      <c r="HT347" s="5" t="s">
        <v>238</v>
      </c>
      <c r="HU347" s="5" t="s">
        <v>238</v>
      </c>
      <c r="HV347" s="5" t="s">
        <v>238</v>
      </c>
      <c r="HW347" s="5" t="s">
        <v>238</v>
      </c>
      <c r="HX347" s="5" t="s">
        <v>238</v>
      </c>
      <c r="HY347" s="5" t="s">
        <v>238</v>
      </c>
      <c r="HZ347" s="5" t="s">
        <v>238</v>
      </c>
      <c r="IA347" s="5" t="s">
        <v>238</v>
      </c>
      <c r="IB347" s="5" t="s">
        <v>238</v>
      </c>
      <c r="IC347" s="5" t="s">
        <v>238</v>
      </c>
      <c r="ID347" s="5" t="s">
        <v>238</v>
      </c>
    </row>
    <row r="348" spans="1:238" x14ac:dyDescent="0.4">
      <c r="A348" s="5">
        <v>384</v>
      </c>
      <c r="B348" s="5">
        <v>1</v>
      </c>
      <c r="C348" s="5">
        <v>1</v>
      </c>
      <c r="D348" s="5" t="s">
        <v>534</v>
      </c>
      <c r="E348" s="5" t="s">
        <v>347</v>
      </c>
      <c r="F348" s="5" t="s">
        <v>282</v>
      </c>
      <c r="G348" s="5" t="s">
        <v>1308</v>
      </c>
      <c r="H348" s="6" t="s">
        <v>535</v>
      </c>
      <c r="I348" s="5" t="s">
        <v>1308</v>
      </c>
      <c r="J348" s="7">
        <f>728</f>
        <v>728</v>
      </c>
      <c r="K348" s="5" t="s">
        <v>270</v>
      </c>
      <c r="L348" s="8">
        <f>1</f>
        <v>1</v>
      </c>
      <c r="M348" s="8">
        <f>58240000</f>
        <v>58240000</v>
      </c>
      <c r="N348" s="6" t="s">
        <v>1776</v>
      </c>
      <c r="O348" s="5" t="s">
        <v>755</v>
      </c>
      <c r="P348" s="5" t="s">
        <v>861</v>
      </c>
      <c r="R348" s="8">
        <f>58239999</f>
        <v>58239999</v>
      </c>
      <c r="S348" s="5" t="s">
        <v>240</v>
      </c>
      <c r="T348" s="5" t="s">
        <v>237</v>
      </c>
      <c r="U348" s="5" t="s">
        <v>238</v>
      </c>
      <c r="V348" s="5" t="s">
        <v>238</v>
      </c>
      <c r="W348" s="5" t="s">
        <v>241</v>
      </c>
      <c r="X348" s="5" t="s">
        <v>337</v>
      </c>
      <c r="Y348" s="5" t="s">
        <v>238</v>
      </c>
      <c r="AB348" s="5" t="s">
        <v>238</v>
      </c>
      <c r="AD348" s="6" t="s">
        <v>238</v>
      </c>
      <c r="AG348" s="6" t="s">
        <v>246</v>
      </c>
      <c r="AH348" s="5" t="s">
        <v>247</v>
      </c>
      <c r="AI348" s="5" t="s">
        <v>248</v>
      </c>
      <c r="AY348" s="5" t="s">
        <v>250</v>
      </c>
      <c r="AZ348" s="5" t="s">
        <v>238</v>
      </c>
      <c r="BA348" s="5" t="s">
        <v>251</v>
      </c>
      <c r="BB348" s="5" t="s">
        <v>238</v>
      </c>
      <c r="BC348" s="5" t="s">
        <v>253</v>
      </c>
      <c r="BD348" s="5" t="s">
        <v>238</v>
      </c>
      <c r="BF348" s="5" t="s">
        <v>238</v>
      </c>
      <c r="BH348" s="5" t="s">
        <v>254</v>
      </c>
      <c r="BI348" s="6" t="s">
        <v>246</v>
      </c>
      <c r="BJ348" s="5" t="s">
        <v>255</v>
      </c>
      <c r="BK348" s="5" t="s">
        <v>256</v>
      </c>
      <c r="BL348" s="5" t="s">
        <v>238</v>
      </c>
      <c r="BM348" s="7">
        <f>0</f>
        <v>0</v>
      </c>
      <c r="BN348" s="8">
        <f>0</f>
        <v>0</v>
      </c>
      <c r="BO348" s="5" t="s">
        <v>257</v>
      </c>
      <c r="BP348" s="5" t="s">
        <v>258</v>
      </c>
      <c r="CD348" s="5" t="s">
        <v>238</v>
      </c>
      <c r="CE348" s="5" t="s">
        <v>238</v>
      </c>
      <c r="CI348" s="5" t="s">
        <v>527</v>
      </c>
      <c r="CJ348" s="5" t="s">
        <v>260</v>
      </c>
      <c r="CK348" s="5" t="s">
        <v>238</v>
      </c>
      <c r="CM348" s="5" t="s">
        <v>860</v>
      </c>
      <c r="CN348" s="6" t="s">
        <v>262</v>
      </c>
      <c r="CO348" s="5" t="s">
        <v>263</v>
      </c>
      <c r="CP348" s="5" t="s">
        <v>264</v>
      </c>
      <c r="CQ348" s="5" t="s">
        <v>238</v>
      </c>
      <c r="CR348" s="5" t="s">
        <v>238</v>
      </c>
      <c r="CS348" s="5">
        <v>0</v>
      </c>
      <c r="CT348" s="5" t="s">
        <v>265</v>
      </c>
      <c r="CU348" s="5" t="s">
        <v>1330</v>
      </c>
      <c r="CV348" s="5" t="s">
        <v>649</v>
      </c>
      <c r="CX348" s="8">
        <f>58240000</f>
        <v>58240000</v>
      </c>
      <c r="CY348" s="8">
        <f>0</f>
        <v>0</v>
      </c>
      <c r="DA348" s="5" t="s">
        <v>238</v>
      </c>
      <c r="DB348" s="5" t="s">
        <v>238</v>
      </c>
      <c r="DD348" s="5" t="s">
        <v>238</v>
      </c>
      <c r="DG348" s="5" t="s">
        <v>238</v>
      </c>
      <c r="DH348" s="5" t="s">
        <v>238</v>
      </c>
      <c r="DI348" s="5" t="s">
        <v>238</v>
      </c>
      <c r="DJ348" s="5" t="s">
        <v>238</v>
      </c>
      <c r="DK348" s="5" t="s">
        <v>271</v>
      </c>
      <c r="DL348" s="5" t="s">
        <v>272</v>
      </c>
      <c r="DM348" s="7">
        <f>728</f>
        <v>728</v>
      </c>
      <c r="DN348" s="5" t="s">
        <v>238</v>
      </c>
      <c r="DO348" s="5" t="s">
        <v>238</v>
      </c>
      <c r="DP348" s="5" t="s">
        <v>238</v>
      </c>
      <c r="DQ348" s="5" t="s">
        <v>238</v>
      </c>
      <c r="DT348" s="5" t="s">
        <v>536</v>
      </c>
      <c r="DU348" s="5" t="s">
        <v>356</v>
      </c>
      <c r="HM348" s="5" t="s">
        <v>271</v>
      </c>
      <c r="HP348" s="5" t="s">
        <v>272</v>
      </c>
      <c r="HQ348" s="5" t="s">
        <v>272</v>
      </c>
    </row>
    <row r="349" spans="1:238" x14ac:dyDescent="0.4">
      <c r="A349" s="5">
        <v>385</v>
      </c>
      <c r="B349" s="5">
        <v>1</v>
      </c>
      <c r="C349" s="5">
        <v>1</v>
      </c>
      <c r="D349" s="5" t="s">
        <v>534</v>
      </c>
      <c r="E349" s="5" t="s">
        <v>347</v>
      </c>
      <c r="F349" s="5" t="s">
        <v>282</v>
      </c>
      <c r="G349" s="5" t="s">
        <v>239</v>
      </c>
      <c r="H349" s="6" t="s">
        <v>535</v>
      </c>
      <c r="I349" s="5" t="s">
        <v>239</v>
      </c>
      <c r="J349" s="7">
        <f>20</f>
        <v>20</v>
      </c>
      <c r="K349" s="5" t="s">
        <v>270</v>
      </c>
      <c r="L349" s="8">
        <f>1</f>
        <v>1</v>
      </c>
      <c r="M349" s="8">
        <f>1200000</f>
        <v>1200000</v>
      </c>
      <c r="N349" s="6" t="s">
        <v>1072</v>
      </c>
      <c r="O349" s="5" t="s">
        <v>268</v>
      </c>
      <c r="P349" s="5" t="s">
        <v>1074</v>
      </c>
      <c r="R349" s="8">
        <f>1199999</f>
        <v>1199999</v>
      </c>
      <c r="S349" s="5" t="s">
        <v>240</v>
      </c>
      <c r="T349" s="5" t="s">
        <v>237</v>
      </c>
      <c r="U349" s="5" t="s">
        <v>238</v>
      </c>
      <c r="V349" s="5" t="s">
        <v>238</v>
      </c>
      <c r="W349" s="5" t="s">
        <v>241</v>
      </c>
      <c r="X349" s="5" t="s">
        <v>337</v>
      </c>
      <c r="Y349" s="5" t="s">
        <v>238</v>
      </c>
      <c r="AB349" s="5" t="s">
        <v>238</v>
      </c>
      <c r="AD349" s="6" t="s">
        <v>238</v>
      </c>
      <c r="AG349" s="6" t="s">
        <v>246</v>
      </c>
      <c r="AH349" s="5" t="s">
        <v>247</v>
      </c>
      <c r="AI349" s="5" t="s">
        <v>248</v>
      </c>
      <c r="AY349" s="5" t="s">
        <v>250</v>
      </c>
      <c r="AZ349" s="5" t="s">
        <v>238</v>
      </c>
      <c r="BA349" s="5" t="s">
        <v>251</v>
      </c>
      <c r="BB349" s="5" t="s">
        <v>238</v>
      </c>
      <c r="BC349" s="5" t="s">
        <v>253</v>
      </c>
      <c r="BD349" s="5" t="s">
        <v>238</v>
      </c>
      <c r="BF349" s="5" t="s">
        <v>238</v>
      </c>
      <c r="BH349" s="5" t="s">
        <v>859</v>
      </c>
      <c r="BI349" s="6" t="s">
        <v>368</v>
      </c>
      <c r="BJ349" s="5" t="s">
        <v>255</v>
      </c>
      <c r="BK349" s="5" t="s">
        <v>256</v>
      </c>
      <c r="BL349" s="5" t="s">
        <v>238</v>
      </c>
      <c r="BM349" s="7">
        <f>0</f>
        <v>0</v>
      </c>
      <c r="BN349" s="8">
        <f>0</f>
        <v>0</v>
      </c>
      <c r="BO349" s="5" t="s">
        <v>257</v>
      </c>
      <c r="BP349" s="5" t="s">
        <v>258</v>
      </c>
      <c r="CD349" s="5" t="s">
        <v>238</v>
      </c>
      <c r="CE349" s="5" t="s">
        <v>238</v>
      </c>
      <c r="CI349" s="5" t="s">
        <v>527</v>
      </c>
      <c r="CJ349" s="5" t="s">
        <v>260</v>
      </c>
      <c r="CK349" s="5" t="s">
        <v>238</v>
      </c>
      <c r="CM349" s="5" t="s">
        <v>1073</v>
      </c>
      <c r="CN349" s="6" t="s">
        <v>262</v>
      </c>
      <c r="CO349" s="5" t="s">
        <v>263</v>
      </c>
      <c r="CP349" s="5" t="s">
        <v>264</v>
      </c>
      <c r="CQ349" s="5" t="s">
        <v>238</v>
      </c>
      <c r="CR349" s="5" t="s">
        <v>238</v>
      </c>
      <c r="CS349" s="5">
        <v>0</v>
      </c>
      <c r="CT349" s="5" t="s">
        <v>265</v>
      </c>
      <c r="CU349" s="5" t="s">
        <v>266</v>
      </c>
      <c r="CV349" s="5" t="s">
        <v>267</v>
      </c>
      <c r="CX349" s="8">
        <f>1200000</f>
        <v>1200000</v>
      </c>
      <c r="CY349" s="8">
        <f>0</f>
        <v>0</v>
      </c>
      <c r="DA349" s="5" t="s">
        <v>238</v>
      </c>
      <c r="DB349" s="5" t="s">
        <v>238</v>
      </c>
      <c r="DD349" s="5" t="s">
        <v>238</v>
      </c>
      <c r="DG349" s="5" t="s">
        <v>238</v>
      </c>
      <c r="DH349" s="5" t="s">
        <v>238</v>
      </c>
      <c r="DI349" s="5" t="s">
        <v>238</v>
      </c>
      <c r="DJ349" s="5" t="s">
        <v>238</v>
      </c>
      <c r="DK349" s="5" t="s">
        <v>271</v>
      </c>
      <c r="DL349" s="5" t="s">
        <v>272</v>
      </c>
      <c r="DM349" s="7">
        <f>20</f>
        <v>20</v>
      </c>
      <c r="DN349" s="5" t="s">
        <v>238</v>
      </c>
      <c r="DO349" s="5" t="s">
        <v>238</v>
      </c>
      <c r="DP349" s="5" t="s">
        <v>238</v>
      </c>
      <c r="DQ349" s="5" t="s">
        <v>238</v>
      </c>
      <c r="DT349" s="5" t="s">
        <v>536</v>
      </c>
      <c r="DU349" s="5" t="s">
        <v>310</v>
      </c>
      <c r="HM349" s="5" t="s">
        <v>271</v>
      </c>
      <c r="HP349" s="5" t="s">
        <v>272</v>
      </c>
      <c r="HQ349" s="5" t="s">
        <v>272</v>
      </c>
    </row>
    <row r="350" spans="1:238" x14ac:dyDescent="0.4">
      <c r="A350" s="5">
        <v>386</v>
      </c>
      <c r="B350" s="5">
        <v>1</v>
      </c>
      <c r="C350" s="5">
        <v>4</v>
      </c>
      <c r="D350" s="5" t="s">
        <v>534</v>
      </c>
      <c r="E350" s="5" t="s">
        <v>347</v>
      </c>
      <c r="F350" s="5" t="s">
        <v>282</v>
      </c>
      <c r="G350" s="5" t="s">
        <v>375</v>
      </c>
      <c r="H350" s="6" t="s">
        <v>535</v>
      </c>
      <c r="I350" s="5" t="s">
        <v>373</v>
      </c>
      <c r="J350" s="7">
        <f>0</f>
        <v>0</v>
      </c>
      <c r="K350" s="5" t="s">
        <v>270</v>
      </c>
      <c r="L350" s="8">
        <f>634774</f>
        <v>634774</v>
      </c>
      <c r="M350" s="8">
        <f>954544</f>
        <v>954544</v>
      </c>
      <c r="N350" s="6" t="s">
        <v>374</v>
      </c>
      <c r="O350" s="5" t="s">
        <v>268</v>
      </c>
      <c r="P350" s="5" t="s">
        <v>356</v>
      </c>
      <c r="Q350" s="8">
        <f>63954</f>
        <v>63954</v>
      </c>
      <c r="R350" s="8">
        <f>319770</f>
        <v>319770</v>
      </c>
      <c r="S350" s="5" t="s">
        <v>240</v>
      </c>
      <c r="T350" s="5" t="s">
        <v>287</v>
      </c>
      <c r="U350" s="5" t="s">
        <v>238</v>
      </c>
      <c r="V350" s="5" t="s">
        <v>238</v>
      </c>
      <c r="W350" s="5" t="s">
        <v>241</v>
      </c>
      <c r="X350" s="5" t="s">
        <v>337</v>
      </c>
      <c r="Y350" s="5" t="s">
        <v>238</v>
      </c>
      <c r="AB350" s="5" t="s">
        <v>238</v>
      </c>
      <c r="AC350" s="6" t="s">
        <v>238</v>
      </c>
      <c r="AD350" s="6" t="s">
        <v>238</v>
      </c>
      <c r="AF350" s="6" t="s">
        <v>238</v>
      </c>
      <c r="AG350" s="6" t="s">
        <v>246</v>
      </c>
      <c r="AH350" s="5" t="s">
        <v>247</v>
      </c>
      <c r="AI350" s="5" t="s">
        <v>248</v>
      </c>
      <c r="AO350" s="5" t="s">
        <v>238</v>
      </c>
      <c r="AP350" s="5" t="s">
        <v>238</v>
      </c>
      <c r="AQ350" s="5" t="s">
        <v>238</v>
      </c>
      <c r="AR350" s="6" t="s">
        <v>238</v>
      </c>
      <c r="AS350" s="6" t="s">
        <v>238</v>
      </c>
      <c r="AT350" s="6" t="s">
        <v>238</v>
      </c>
      <c r="AW350" s="5" t="s">
        <v>304</v>
      </c>
      <c r="AX350" s="5" t="s">
        <v>304</v>
      </c>
      <c r="AY350" s="5" t="s">
        <v>250</v>
      </c>
      <c r="AZ350" s="5" t="s">
        <v>305</v>
      </c>
      <c r="BA350" s="5" t="s">
        <v>251</v>
      </c>
      <c r="BB350" s="5" t="s">
        <v>238</v>
      </c>
      <c r="BC350" s="5" t="s">
        <v>253</v>
      </c>
      <c r="BD350" s="5" t="s">
        <v>238</v>
      </c>
      <c r="BF350" s="5" t="s">
        <v>238</v>
      </c>
      <c r="BH350" s="5" t="s">
        <v>283</v>
      </c>
      <c r="BI350" s="6" t="s">
        <v>293</v>
      </c>
      <c r="BJ350" s="5" t="s">
        <v>294</v>
      </c>
      <c r="BK350" s="5" t="s">
        <v>294</v>
      </c>
      <c r="BL350" s="5" t="s">
        <v>238</v>
      </c>
      <c r="BM350" s="7">
        <f>0</f>
        <v>0</v>
      </c>
      <c r="BN350" s="8">
        <f>-63954</f>
        <v>-63954</v>
      </c>
      <c r="BO350" s="5" t="s">
        <v>257</v>
      </c>
      <c r="BP350" s="5" t="s">
        <v>258</v>
      </c>
      <c r="BQ350" s="5" t="s">
        <v>238</v>
      </c>
      <c r="BR350" s="5" t="s">
        <v>238</v>
      </c>
      <c r="BS350" s="5" t="s">
        <v>238</v>
      </c>
      <c r="BT350" s="5" t="s">
        <v>238</v>
      </c>
      <c r="CC350" s="5" t="s">
        <v>258</v>
      </c>
      <c r="CD350" s="5" t="s">
        <v>238</v>
      </c>
      <c r="CE350" s="5" t="s">
        <v>238</v>
      </c>
      <c r="CI350" s="5" t="s">
        <v>259</v>
      </c>
      <c r="CJ350" s="5" t="s">
        <v>260</v>
      </c>
      <c r="CK350" s="5" t="s">
        <v>238</v>
      </c>
      <c r="CM350" s="5" t="s">
        <v>376</v>
      </c>
      <c r="CN350" s="6" t="s">
        <v>262</v>
      </c>
      <c r="CO350" s="5" t="s">
        <v>263</v>
      </c>
      <c r="CP350" s="5" t="s">
        <v>264</v>
      </c>
      <c r="CQ350" s="5" t="s">
        <v>285</v>
      </c>
      <c r="CR350" s="5" t="s">
        <v>238</v>
      </c>
      <c r="CS350" s="5">
        <v>6.7000000000000004E-2</v>
      </c>
      <c r="CT350" s="5" t="s">
        <v>265</v>
      </c>
      <c r="CU350" s="5" t="s">
        <v>351</v>
      </c>
      <c r="CV350" s="5" t="s">
        <v>365</v>
      </c>
      <c r="CW350" s="7">
        <f>0</f>
        <v>0</v>
      </c>
      <c r="CX350" s="8">
        <f>954544</f>
        <v>954544</v>
      </c>
      <c r="CY350" s="8">
        <f>698728</f>
        <v>698728</v>
      </c>
      <c r="DA350" s="5" t="s">
        <v>238</v>
      </c>
      <c r="DB350" s="5" t="s">
        <v>238</v>
      </c>
      <c r="DD350" s="5" t="s">
        <v>238</v>
      </c>
      <c r="DE350" s="8">
        <f>0</f>
        <v>0</v>
      </c>
      <c r="DG350" s="5" t="s">
        <v>238</v>
      </c>
      <c r="DH350" s="5" t="s">
        <v>238</v>
      </c>
      <c r="DI350" s="5" t="s">
        <v>238</v>
      </c>
      <c r="DJ350" s="5" t="s">
        <v>238</v>
      </c>
      <c r="DK350" s="5" t="s">
        <v>272</v>
      </c>
      <c r="DL350" s="5" t="s">
        <v>272</v>
      </c>
      <c r="DM350" s="8" t="s">
        <v>238</v>
      </c>
      <c r="DN350" s="5" t="s">
        <v>238</v>
      </c>
      <c r="DO350" s="5" t="s">
        <v>238</v>
      </c>
      <c r="DP350" s="5" t="s">
        <v>238</v>
      </c>
      <c r="DQ350" s="5" t="s">
        <v>238</v>
      </c>
      <c r="DT350" s="5" t="s">
        <v>536</v>
      </c>
      <c r="DU350" s="5" t="s">
        <v>379</v>
      </c>
      <c r="GL350" s="5" t="s">
        <v>541</v>
      </c>
      <c r="HM350" s="5" t="s">
        <v>379</v>
      </c>
      <c r="HP350" s="5" t="s">
        <v>272</v>
      </c>
      <c r="HQ350" s="5" t="s">
        <v>272</v>
      </c>
      <c r="HR350" s="5" t="s">
        <v>238</v>
      </c>
      <c r="HS350" s="5" t="s">
        <v>238</v>
      </c>
      <c r="HT350" s="5" t="s">
        <v>238</v>
      </c>
      <c r="HU350" s="5" t="s">
        <v>238</v>
      </c>
      <c r="HV350" s="5" t="s">
        <v>238</v>
      </c>
      <c r="HW350" s="5" t="s">
        <v>238</v>
      </c>
      <c r="HX350" s="5" t="s">
        <v>238</v>
      </c>
      <c r="HY350" s="5" t="s">
        <v>238</v>
      </c>
      <c r="HZ350" s="5" t="s">
        <v>238</v>
      </c>
      <c r="IA350" s="5" t="s">
        <v>238</v>
      </c>
      <c r="IB350" s="5" t="s">
        <v>238</v>
      </c>
      <c r="IC350" s="5" t="s">
        <v>238</v>
      </c>
      <c r="ID350" s="5" t="s">
        <v>238</v>
      </c>
    </row>
    <row r="351" spans="1:238" x14ac:dyDescent="0.4">
      <c r="A351" s="5">
        <v>387</v>
      </c>
      <c r="B351" s="5">
        <v>1</v>
      </c>
      <c r="C351" s="5">
        <v>4</v>
      </c>
      <c r="D351" s="5" t="s">
        <v>534</v>
      </c>
      <c r="E351" s="5" t="s">
        <v>347</v>
      </c>
      <c r="F351" s="5" t="s">
        <v>282</v>
      </c>
      <c r="G351" s="5" t="s">
        <v>349</v>
      </c>
      <c r="H351" s="6" t="s">
        <v>535</v>
      </c>
      <c r="I351" s="5" t="s">
        <v>538</v>
      </c>
      <c r="J351" s="7">
        <f>0</f>
        <v>0</v>
      </c>
      <c r="K351" s="5" t="s">
        <v>270</v>
      </c>
      <c r="L351" s="8">
        <f>1388631</f>
        <v>1388631</v>
      </c>
      <c r="M351" s="8">
        <f>1737960</f>
        <v>1737960</v>
      </c>
      <c r="N351" s="6" t="s">
        <v>539</v>
      </c>
      <c r="O351" s="5" t="s">
        <v>268</v>
      </c>
      <c r="P351" s="5" t="s">
        <v>271</v>
      </c>
      <c r="Q351" s="8">
        <f>116443</f>
        <v>116443</v>
      </c>
      <c r="R351" s="8">
        <f>349329</f>
        <v>349329</v>
      </c>
      <c r="S351" s="5" t="s">
        <v>240</v>
      </c>
      <c r="T351" s="5" t="s">
        <v>287</v>
      </c>
      <c r="U351" s="5" t="s">
        <v>238</v>
      </c>
      <c r="V351" s="5" t="s">
        <v>238</v>
      </c>
      <c r="W351" s="5" t="s">
        <v>241</v>
      </c>
      <c r="X351" s="5" t="s">
        <v>238</v>
      </c>
      <c r="Y351" s="5" t="s">
        <v>238</v>
      </c>
      <c r="AB351" s="5" t="s">
        <v>238</v>
      </c>
      <c r="AC351" s="6" t="s">
        <v>238</v>
      </c>
      <c r="AD351" s="6" t="s">
        <v>238</v>
      </c>
      <c r="AF351" s="6" t="s">
        <v>238</v>
      </c>
      <c r="AG351" s="6" t="s">
        <v>246</v>
      </c>
      <c r="AH351" s="5" t="s">
        <v>247</v>
      </c>
      <c r="AI351" s="5" t="s">
        <v>248</v>
      </c>
      <c r="AO351" s="5" t="s">
        <v>238</v>
      </c>
      <c r="AP351" s="5" t="s">
        <v>238</v>
      </c>
      <c r="AQ351" s="5" t="s">
        <v>238</v>
      </c>
      <c r="AR351" s="6" t="s">
        <v>238</v>
      </c>
      <c r="AS351" s="6" t="s">
        <v>238</v>
      </c>
      <c r="AT351" s="6" t="s">
        <v>238</v>
      </c>
      <c r="AW351" s="5" t="s">
        <v>304</v>
      </c>
      <c r="AX351" s="5" t="s">
        <v>304</v>
      </c>
      <c r="AY351" s="5" t="s">
        <v>250</v>
      </c>
      <c r="AZ351" s="5" t="s">
        <v>305</v>
      </c>
      <c r="BA351" s="5" t="s">
        <v>251</v>
      </c>
      <c r="BB351" s="5" t="s">
        <v>238</v>
      </c>
      <c r="BC351" s="5" t="s">
        <v>253</v>
      </c>
      <c r="BD351" s="5" t="s">
        <v>238</v>
      </c>
      <c r="BF351" s="5" t="s">
        <v>238</v>
      </c>
      <c r="BH351" s="5" t="s">
        <v>283</v>
      </c>
      <c r="BI351" s="6" t="s">
        <v>293</v>
      </c>
      <c r="BJ351" s="5" t="s">
        <v>294</v>
      </c>
      <c r="BK351" s="5" t="s">
        <v>294</v>
      </c>
      <c r="BL351" s="5" t="s">
        <v>238</v>
      </c>
      <c r="BM351" s="7">
        <f>0</f>
        <v>0</v>
      </c>
      <c r="BN351" s="8">
        <f>-116443</f>
        <v>-116443</v>
      </c>
      <c r="BO351" s="5" t="s">
        <v>257</v>
      </c>
      <c r="BP351" s="5" t="s">
        <v>258</v>
      </c>
      <c r="BQ351" s="5" t="s">
        <v>238</v>
      </c>
      <c r="BR351" s="5" t="s">
        <v>238</v>
      </c>
      <c r="BS351" s="5" t="s">
        <v>238</v>
      </c>
      <c r="BT351" s="5" t="s">
        <v>238</v>
      </c>
      <c r="CC351" s="5" t="s">
        <v>258</v>
      </c>
      <c r="CD351" s="5" t="s">
        <v>238</v>
      </c>
      <c r="CE351" s="5" t="s">
        <v>238</v>
      </c>
      <c r="CI351" s="5" t="s">
        <v>259</v>
      </c>
      <c r="CJ351" s="5" t="s">
        <v>260</v>
      </c>
      <c r="CK351" s="5" t="s">
        <v>238</v>
      </c>
      <c r="CM351" s="5" t="s">
        <v>291</v>
      </c>
      <c r="CN351" s="6" t="s">
        <v>262</v>
      </c>
      <c r="CO351" s="5" t="s">
        <v>263</v>
      </c>
      <c r="CP351" s="5" t="s">
        <v>264</v>
      </c>
      <c r="CQ351" s="5" t="s">
        <v>285</v>
      </c>
      <c r="CR351" s="5" t="s">
        <v>238</v>
      </c>
      <c r="CS351" s="5">
        <v>6.7000000000000004E-2</v>
      </c>
      <c r="CT351" s="5" t="s">
        <v>265</v>
      </c>
      <c r="CU351" s="5" t="s">
        <v>351</v>
      </c>
      <c r="CV351" s="5" t="s">
        <v>365</v>
      </c>
      <c r="CW351" s="7">
        <f>0</f>
        <v>0</v>
      </c>
      <c r="CX351" s="8">
        <f>1737960</f>
        <v>1737960</v>
      </c>
      <c r="CY351" s="8">
        <f>1505074</f>
        <v>1505074</v>
      </c>
      <c r="DA351" s="5" t="s">
        <v>238</v>
      </c>
      <c r="DB351" s="5" t="s">
        <v>238</v>
      </c>
      <c r="DD351" s="5" t="s">
        <v>238</v>
      </c>
      <c r="DE351" s="8">
        <f>0</f>
        <v>0</v>
      </c>
      <c r="DG351" s="5" t="s">
        <v>238</v>
      </c>
      <c r="DH351" s="5" t="s">
        <v>238</v>
      </c>
      <c r="DI351" s="5" t="s">
        <v>238</v>
      </c>
      <c r="DJ351" s="5" t="s">
        <v>238</v>
      </c>
      <c r="DK351" s="5" t="s">
        <v>272</v>
      </c>
      <c r="DL351" s="5" t="s">
        <v>272</v>
      </c>
      <c r="DM351" s="8" t="s">
        <v>238</v>
      </c>
      <c r="DN351" s="5" t="s">
        <v>238</v>
      </c>
      <c r="DO351" s="5" t="s">
        <v>238</v>
      </c>
      <c r="DP351" s="5" t="s">
        <v>238</v>
      </c>
      <c r="DQ351" s="5" t="s">
        <v>238</v>
      </c>
      <c r="DT351" s="5" t="s">
        <v>536</v>
      </c>
      <c r="DU351" s="5" t="s">
        <v>313</v>
      </c>
      <c r="GL351" s="5" t="s">
        <v>540</v>
      </c>
      <c r="HM351" s="5" t="s">
        <v>356</v>
      </c>
      <c r="HP351" s="5" t="s">
        <v>272</v>
      </c>
      <c r="HQ351" s="5" t="s">
        <v>272</v>
      </c>
      <c r="HR351" s="5" t="s">
        <v>238</v>
      </c>
      <c r="HS351" s="5" t="s">
        <v>238</v>
      </c>
      <c r="HT351" s="5" t="s">
        <v>238</v>
      </c>
      <c r="HU351" s="5" t="s">
        <v>238</v>
      </c>
      <c r="HV351" s="5" t="s">
        <v>238</v>
      </c>
      <c r="HW351" s="5" t="s">
        <v>238</v>
      </c>
      <c r="HX351" s="5" t="s">
        <v>238</v>
      </c>
      <c r="HY351" s="5" t="s">
        <v>238</v>
      </c>
      <c r="HZ351" s="5" t="s">
        <v>238</v>
      </c>
      <c r="IA351" s="5" t="s">
        <v>238</v>
      </c>
      <c r="IB351" s="5" t="s">
        <v>238</v>
      </c>
      <c r="IC351" s="5" t="s">
        <v>238</v>
      </c>
      <c r="ID351" s="5" t="s">
        <v>238</v>
      </c>
    </row>
    <row r="352" spans="1:238" x14ac:dyDescent="0.4">
      <c r="A352" s="5">
        <v>388</v>
      </c>
      <c r="B352" s="5">
        <v>1</v>
      </c>
      <c r="C352" s="5">
        <v>4</v>
      </c>
      <c r="D352" s="5" t="s">
        <v>534</v>
      </c>
      <c r="E352" s="5" t="s">
        <v>347</v>
      </c>
      <c r="F352" s="5" t="s">
        <v>282</v>
      </c>
      <c r="G352" s="5" t="s">
        <v>349</v>
      </c>
      <c r="H352" s="6" t="s">
        <v>535</v>
      </c>
      <c r="I352" s="5" t="s">
        <v>345</v>
      </c>
      <c r="J352" s="7">
        <f>0</f>
        <v>0</v>
      </c>
      <c r="K352" s="5" t="s">
        <v>270</v>
      </c>
      <c r="L352" s="8">
        <f>19024211</f>
        <v>19024211</v>
      </c>
      <c r="M352" s="8">
        <f>24738893</f>
        <v>24738893</v>
      </c>
      <c r="N352" s="6" t="s">
        <v>348</v>
      </c>
      <c r="O352" s="5" t="s">
        <v>319</v>
      </c>
      <c r="P352" s="5" t="s">
        <v>271</v>
      </c>
      <c r="Q352" s="8">
        <f>1904894</f>
        <v>1904894</v>
      </c>
      <c r="R352" s="8">
        <f>5714682</f>
        <v>5714682</v>
      </c>
      <c r="S352" s="5" t="s">
        <v>240</v>
      </c>
      <c r="T352" s="5" t="s">
        <v>287</v>
      </c>
      <c r="U352" s="5" t="s">
        <v>238</v>
      </c>
      <c r="V352" s="5" t="s">
        <v>238</v>
      </c>
      <c r="W352" s="5" t="s">
        <v>241</v>
      </c>
      <c r="X352" s="5" t="s">
        <v>238</v>
      </c>
      <c r="Y352" s="5" t="s">
        <v>238</v>
      </c>
      <c r="AB352" s="5" t="s">
        <v>238</v>
      </c>
      <c r="AC352" s="6" t="s">
        <v>238</v>
      </c>
      <c r="AD352" s="6" t="s">
        <v>238</v>
      </c>
      <c r="AF352" s="6" t="s">
        <v>238</v>
      </c>
      <c r="AG352" s="6" t="s">
        <v>246</v>
      </c>
      <c r="AH352" s="5" t="s">
        <v>247</v>
      </c>
      <c r="AI352" s="5" t="s">
        <v>248</v>
      </c>
      <c r="AO352" s="5" t="s">
        <v>238</v>
      </c>
      <c r="AP352" s="5" t="s">
        <v>238</v>
      </c>
      <c r="AQ352" s="5" t="s">
        <v>238</v>
      </c>
      <c r="AR352" s="6" t="s">
        <v>238</v>
      </c>
      <c r="AS352" s="6" t="s">
        <v>238</v>
      </c>
      <c r="AT352" s="6" t="s">
        <v>238</v>
      </c>
      <c r="AW352" s="5" t="s">
        <v>304</v>
      </c>
      <c r="AX352" s="5" t="s">
        <v>304</v>
      </c>
      <c r="AY352" s="5" t="s">
        <v>250</v>
      </c>
      <c r="AZ352" s="5" t="s">
        <v>305</v>
      </c>
      <c r="BA352" s="5" t="s">
        <v>251</v>
      </c>
      <c r="BB352" s="5" t="s">
        <v>238</v>
      </c>
      <c r="BC352" s="5" t="s">
        <v>253</v>
      </c>
      <c r="BD352" s="5" t="s">
        <v>238</v>
      </c>
      <c r="BF352" s="5" t="s">
        <v>238</v>
      </c>
      <c r="BH352" s="5" t="s">
        <v>283</v>
      </c>
      <c r="BI352" s="6" t="s">
        <v>293</v>
      </c>
      <c r="BJ352" s="5" t="s">
        <v>294</v>
      </c>
      <c r="BK352" s="5" t="s">
        <v>294</v>
      </c>
      <c r="BL352" s="5" t="s">
        <v>238</v>
      </c>
      <c r="BM352" s="7">
        <f>0</f>
        <v>0</v>
      </c>
      <c r="BN352" s="8">
        <f>-1904894</f>
        <v>-1904894</v>
      </c>
      <c r="BO352" s="5" t="s">
        <v>257</v>
      </c>
      <c r="BP352" s="5" t="s">
        <v>258</v>
      </c>
      <c r="BQ352" s="5" t="s">
        <v>238</v>
      </c>
      <c r="BR352" s="5" t="s">
        <v>238</v>
      </c>
      <c r="BS352" s="5" t="s">
        <v>238</v>
      </c>
      <c r="BT352" s="5" t="s">
        <v>238</v>
      </c>
      <c r="CC352" s="5" t="s">
        <v>258</v>
      </c>
      <c r="CD352" s="5" t="s">
        <v>238</v>
      </c>
      <c r="CE352" s="5" t="s">
        <v>238</v>
      </c>
      <c r="CI352" s="5" t="s">
        <v>259</v>
      </c>
      <c r="CJ352" s="5" t="s">
        <v>260</v>
      </c>
      <c r="CK352" s="5" t="s">
        <v>238</v>
      </c>
      <c r="CM352" s="5" t="s">
        <v>291</v>
      </c>
      <c r="CN352" s="6" t="s">
        <v>262</v>
      </c>
      <c r="CO352" s="5" t="s">
        <v>263</v>
      </c>
      <c r="CP352" s="5" t="s">
        <v>264</v>
      </c>
      <c r="CQ352" s="5" t="s">
        <v>285</v>
      </c>
      <c r="CR352" s="5" t="s">
        <v>238</v>
      </c>
      <c r="CS352" s="5">
        <v>7.6999999999999999E-2</v>
      </c>
      <c r="CT352" s="5" t="s">
        <v>265</v>
      </c>
      <c r="CU352" s="5" t="s">
        <v>351</v>
      </c>
      <c r="CV352" s="5" t="s">
        <v>352</v>
      </c>
      <c r="CW352" s="7">
        <f>0</f>
        <v>0</v>
      </c>
      <c r="CX352" s="8">
        <f>24738893</f>
        <v>24738893</v>
      </c>
      <c r="CY352" s="8">
        <f>20929105</f>
        <v>20929105</v>
      </c>
      <c r="DA352" s="5" t="s">
        <v>238</v>
      </c>
      <c r="DB352" s="5" t="s">
        <v>238</v>
      </c>
      <c r="DD352" s="5" t="s">
        <v>238</v>
      </c>
      <c r="DE352" s="8">
        <f>0</f>
        <v>0</v>
      </c>
      <c r="DG352" s="5" t="s">
        <v>238</v>
      </c>
      <c r="DH352" s="5" t="s">
        <v>238</v>
      </c>
      <c r="DI352" s="5" t="s">
        <v>238</v>
      </c>
      <c r="DJ352" s="5" t="s">
        <v>238</v>
      </c>
      <c r="DK352" s="5" t="s">
        <v>272</v>
      </c>
      <c r="DL352" s="5" t="s">
        <v>272</v>
      </c>
      <c r="DM352" s="8" t="s">
        <v>238</v>
      </c>
      <c r="DN352" s="5" t="s">
        <v>238</v>
      </c>
      <c r="DO352" s="5" t="s">
        <v>238</v>
      </c>
      <c r="DP352" s="5" t="s">
        <v>238</v>
      </c>
      <c r="DQ352" s="5" t="s">
        <v>238</v>
      </c>
      <c r="DT352" s="5" t="s">
        <v>536</v>
      </c>
      <c r="DU352" s="5" t="s">
        <v>389</v>
      </c>
      <c r="GL352" s="5" t="s">
        <v>537</v>
      </c>
      <c r="HM352" s="5" t="s">
        <v>356</v>
      </c>
      <c r="HP352" s="5" t="s">
        <v>272</v>
      </c>
      <c r="HQ352" s="5" t="s">
        <v>272</v>
      </c>
      <c r="HR352" s="5" t="s">
        <v>238</v>
      </c>
      <c r="HS352" s="5" t="s">
        <v>238</v>
      </c>
      <c r="HT352" s="5" t="s">
        <v>238</v>
      </c>
      <c r="HU352" s="5" t="s">
        <v>238</v>
      </c>
      <c r="HV352" s="5" t="s">
        <v>238</v>
      </c>
      <c r="HW352" s="5" t="s">
        <v>238</v>
      </c>
      <c r="HX352" s="5" t="s">
        <v>238</v>
      </c>
      <c r="HY352" s="5" t="s">
        <v>238</v>
      </c>
      <c r="HZ352" s="5" t="s">
        <v>238</v>
      </c>
      <c r="IA352" s="5" t="s">
        <v>238</v>
      </c>
      <c r="IB352" s="5" t="s">
        <v>238</v>
      </c>
      <c r="IC352" s="5" t="s">
        <v>238</v>
      </c>
      <c r="ID352" s="5" t="s">
        <v>238</v>
      </c>
    </row>
    <row r="353" spans="1:238" x14ac:dyDescent="0.4">
      <c r="A353" s="5">
        <v>389</v>
      </c>
      <c r="B353" s="5">
        <v>1</v>
      </c>
      <c r="C353" s="5">
        <v>1</v>
      </c>
      <c r="D353" s="5" t="s">
        <v>515</v>
      </c>
      <c r="E353" s="5" t="s">
        <v>347</v>
      </c>
      <c r="F353" s="5" t="s">
        <v>282</v>
      </c>
      <c r="G353" s="5" t="s">
        <v>3027</v>
      </c>
      <c r="H353" s="6" t="s">
        <v>516</v>
      </c>
      <c r="I353" s="5" t="s">
        <v>3027</v>
      </c>
      <c r="J353" s="7">
        <f>94</f>
        <v>94</v>
      </c>
      <c r="K353" s="5" t="s">
        <v>270</v>
      </c>
      <c r="L353" s="8">
        <f>1</f>
        <v>1</v>
      </c>
      <c r="M353" s="8">
        <f>9682000</f>
        <v>9682000</v>
      </c>
      <c r="N353" s="6" t="s">
        <v>1082</v>
      </c>
      <c r="O353" s="5" t="s">
        <v>268</v>
      </c>
      <c r="P353" s="5" t="s">
        <v>1040</v>
      </c>
      <c r="R353" s="8">
        <f>9681999</f>
        <v>9681999</v>
      </c>
      <c r="S353" s="5" t="s">
        <v>240</v>
      </c>
      <c r="T353" s="5" t="s">
        <v>237</v>
      </c>
      <c r="U353" s="5" t="s">
        <v>238</v>
      </c>
      <c r="V353" s="5" t="s">
        <v>238</v>
      </c>
      <c r="W353" s="5" t="s">
        <v>241</v>
      </c>
      <c r="X353" s="5" t="s">
        <v>337</v>
      </c>
      <c r="Y353" s="5" t="s">
        <v>238</v>
      </c>
      <c r="AB353" s="5" t="s">
        <v>238</v>
      </c>
      <c r="AD353" s="6" t="s">
        <v>238</v>
      </c>
      <c r="AG353" s="6" t="s">
        <v>246</v>
      </c>
      <c r="AH353" s="5" t="s">
        <v>247</v>
      </c>
      <c r="AI353" s="5" t="s">
        <v>248</v>
      </c>
      <c r="AY353" s="5" t="s">
        <v>250</v>
      </c>
      <c r="AZ353" s="5" t="s">
        <v>238</v>
      </c>
      <c r="BA353" s="5" t="s">
        <v>251</v>
      </c>
      <c r="BB353" s="5" t="s">
        <v>238</v>
      </c>
      <c r="BC353" s="5" t="s">
        <v>253</v>
      </c>
      <c r="BD353" s="5" t="s">
        <v>238</v>
      </c>
      <c r="BF353" s="5" t="s">
        <v>238</v>
      </c>
      <c r="BH353" s="5" t="s">
        <v>254</v>
      </c>
      <c r="BI353" s="6" t="s">
        <v>246</v>
      </c>
      <c r="BJ353" s="5" t="s">
        <v>255</v>
      </c>
      <c r="BK353" s="5" t="s">
        <v>256</v>
      </c>
      <c r="BL353" s="5" t="s">
        <v>238</v>
      </c>
      <c r="BM353" s="7">
        <f>0</f>
        <v>0</v>
      </c>
      <c r="BN353" s="8">
        <f>0</f>
        <v>0</v>
      </c>
      <c r="BO353" s="5" t="s">
        <v>257</v>
      </c>
      <c r="BP353" s="5" t="s">
        <v>258</v>
      </c>
      <c r="CD353" s="5" t="s">
        <v>238</v>
      </c>
      <c r="CE353" s="5" t="s">
        <v>238</v>
      </c>
      <c r="CI353" s="5" t="s">
        <v>259</v>
      </c>
      <c r="CJ353" s="5" t="s">
        <v>260</v>
      </c>
      <c r="CK353" s="5" t="s">
        <v>238</v>
      </c>
      <c r="CM353" s="5" t="s">
        <v>958</v>
      </c>
      <c r="CN353" s="6" t="s">
        <v>262</v>
      </c>
      <c r="CO353" s="5" t="s">
        <v>263</v>
      </c>
      <c r="CP353" s="5" t="s">
        <v>264</v>
      </c>
      <c r="CQ353" s="5" t="s">
        <v>238</v>
      </c>
      <c r="CR353" s="5" t="s">
        <v>238</v>
      </c>
      <c r="CS353" s="5">
        <v>0</v>
      </c>
      <c r="CT353" s="5" t="s">
        <v>265</v>
      </c>
      <c r="CU353" s="5" t="s">
        <v>351</v>
      </c>
      <c r="CV353" s="5" t="s">
        <v>394</v>
      </c>
      <c r="CX353" s="8">
        <f>9682000</f>
        <v>9682000</v>
      </c>
      <c r="CY353" s="8">
        <f>0</f>
        <v>0</v>
      </c>
      <c r="DA353" s="5" t="s">
        <v>238</v>
      </c>
      <c r="DB353" s="5" t="s">
        <v>238</v>
      </c>
      <c r="DD353" s="5" t="s">
        <v>238</v>
      </c>
      <c r="DG353" s="5" t="s">
        <v>238</v>
      </c>
      <c r="DH353" s="5" t="s">
        <v>238</v>
      </c>
      <c r="DI353" s="5" t="s">
        <v>238</v>
      </c>
      <c r="DJ353" s="5" t="s">
        <v>238</v>
      </c>
      <c r="DK353" s="5" t="s">
        <v>271</v>
      </c>
      <c r="DL353" s="5" t="s">
        <v>272</v>
      </c>
      <c r="DM353" s="7">
        <f>94</f>
        <v>94</v>
      </c>
      <c r="DN353" s="5" t="s">
        <v>238</v>
      </c>
      <c r="DO353" s="5" t="s">
        <v>238</v>
      </c>
      <c r="DP353" s="5" t="s">
        <v>238</v>
      </c>
      <c r="DQ353" s="5" t="s">
        <v>238</v>
      </c>
      <c r="DT353" s="5" t="s">
        <v>517</v>
      </c>
      <c r="DU353" s="5" t="s">
        <v>271</v>
      </c>
      <c r="HM353" s="5" t="s">
        <v>271</v>
      </c>
      <c r="HP353" s="5" t="s">
        <v>272</v>
      </c>
      <c r="HQ353" s="5" t="s">
        <v>272</v>
      </c>
    </row>
    <row r="354" spans="1:238" x14ac:dyDescent="0.4">
      <c r="A354" s="5">
        <v>390</v>
      </c>
      <c r="B354" s="5">
        <v>1</v>
      </c>
      <c r="C354" s="5">
        <v>4</v>
      </c>
      <c r="D354" s="5" t="s">
        <v>515</v>
      </c>
      <c r="E354" s="5" t="s">
        <v>347</v>
      </c>
      <c r="F354" s="5" t="s">
        <v>282</v>
      </c>
      <c r="G354" s="5" t="s">
        <v>1499</v>
      </c>
      <c r="H354" s="6" t="s">
        <v>516</v>
      </c>
      <c r="I354" s="5" t="s">
        <v>1314</v>
      </c>
      <c r="J354" s="7">
        <f>4005</f>
        <v>4005</v>
      </c>
      <c r="K354" s="5" t="s">
        <v>270</v>
      </c>
      <c r="L354" s="8">
        <f>5406750</f>
        <v>5406750</v>
      </c>
      <c r="M354" s="8">
        <f>540675000</f>
        <v>540675000</v>
      </c>
      <c r="N354" s="6" t="s">
        <v>1355</v>
      </c>
      <c r="O354" s="5" t="s">
        <v>898</v>
      </c>
      <c r="P354" s="5" t="s">
        <v>1017</v>
      </c>
      <c r="Q354" s="8">
        <f>11894850</f>
        <v>11894850</v>
      </c>
      <c r="R354" s="8">
        <f>535268250</f>
        <v>535268250</v>
      </c>
      <c r="S354" s="5" t="s">
        <v>240</v>
      </c>
      <c r="T354" s="5" t="s">
        <v>237</v>
      </c>
      <c r="U354" s="5" t="s">
        <v>238</v>
      </c>
      <c r="V354" s="5" t="s">
        <v>238</v>
      </c>
      <c r="W354" s="5" t="s">
        <v>241</v>
      </c>
      <c r="X354" s="5" t="s">
        <v>337</v>
      </c>
      <c r="Y354" s="5" t="s">
        <v>238</v>
      </c>
      <c r="AB354" s="5" t="s">
        <v>238</v>
      </c>
      <c r="AC354" s="6" t="s">
        <v>238</v>
      </c>
      <c r="AD354" s="6" t="s">
        <v>238</v>
      </c>
      <c r="AF354" s="6" t="s">
        <v>238</v>
      </c>
      <c r="AG354" s="6" t="s">
        <v>246</v>
      </c>
      <c r="AH354" s="5" t="s">
        <v>247</v>
      </c>
      <c r="AI354" s="5" t="s">
        <v>248</v>
      </c>
      <c r="AO354" s="5" t="s">
        <v>238</v>
      </c>
      <c r="AP354" s="5" t="s">
        <v>238</v>
      </c>
      <c r="AQ354" s="5" t="s">
        <v>238</v>
      </c>
      <c r="AR354" s="6" t="s">
        <v>238</v>
      </c>
      <c r="AS354" s="6" t="s">
        <v>238</v>
      </c>
      <c r="AT354" s="6" t="s">
        <v>238</v>
      </c>
      <c r="AW354" s="5" t="s">
        <v>304</v>
      </c>
      <c r="AX354" s="5" t="s">
        <v>304</v>
      </c>
      <c r="AY354" s="5" t="s">
        <v>250</v>
      </c>
      <c r="AZ354" s="5" t="s">
        <v>305</v>
      </c>
      <c r="BA354" s="5" t="s">
        <v>251</v>
      </c>
      <c r="BB354" s="5" t="s">
        <v>238</v>
      </c>
      <c r="BC354" s="5" t="s">
        <v>253</v>
      </c>
      <c r="BD354" s="5" t="s">
        <v>238</v>
      </c>
      <c r="BF354" s="5" t="s">
        <v>238</v>
      </c>
      <c r="BH354" s="5" t="s">
        <v>283</v>
      </c>
      <c r="BI354" s="6" t="s">
        <v>293</v>
      </c>
      <c r="BJ354" s="5" t="s">
        <v>294</v>
      </c>
      <c r="BK354" s="5" t="s">
        <v>294</v>
      </c>
      <c r="BL354" s="5" t="s">
        <v>238</v>
      </c>
      <c r="BM354" s="7">
        <f>0</f>
        <v>0</v>
      </c>
      <c r="BN354" s="8">
        <f>-11894850</f>
        <v>-11894850</v>
      </c>
      <c r="BO354" s="5" t="s">
        <v>257</v>
      </c>
      <c r="BP354" s="5" t="s">
        <v>258</v>
      </c>
      <c r="BQ354" s="5" t="s">
        <v>238</v>
      </c>
      <c r="BR354" s="5" t="s">
        <v>238</v>
      </c>
      <c r="BS354" s="5" t="s">
        <v>238</v>
      </c>
      <c r="BT354" s="5" t="s">
        <v>238</v>
      </c>
      <c r="CC354" s="5" t="s">
        <v>258</v>
      </c>
      <c r="CD354" s="5" t="s">
        <v>238</v>
      </c>
      <c r="CE354" s="5" t="s">
        <v>238</v>
      </c>
      <c r="CI354" s="5" t="s">
        <v>527</v>
      </c>
      <c r="CJ354" s="5" t="s">
        <v>260</v>
      </c>
      <c r="CK354" s="5" t="s">
        <v>238</v>
      </c>
      <c r="CM354" s="5" t="s">
        <v>1095</v>
      </c>
      <c r="CN354" s="6" t="s">
        <v>262</v>
      </c>
      <c r="CO354" s="5" t="s">
        <v>263</v>
      </c>
      <c r="CP354" s="5" t="s">
        <v>264</v>
      </c>
      <c r="CQ354" s="5" t="s">
        <v>285</v>
      </c>
      <c r="CR354" s="5" t="s">
        <v>238</v>
      </c>
      <c r="CS354" s="5">
        <v>2.1999999999999999E-2</v>
      </c>
      <c r="CT354" s="5" t="s">
        <v>265</v>
      </c>
      <c r="CU354" s="5" t="s">
        <v>1493</v>
      </c>
      <c r="CV354" s="5" t="s">
        <v>308</v>
      </c>
      <c r="CW354" s="7">
        <f>0</f>
        <v>0</v>
      </c>
      <c r="CX354" s="8">
        <f>540675000</f>
        <v>540675000</v>
      </c>
      <c r="CY354" s="8">
        <f>17301600</f>
        <v>17301600</v>
      </c>
      <c r="DA354" s="5" t="s">
        <v>238</v>
      </c>
      <c r="DB354" s="5" t="s">
        <v>238</v>
      </c>
      <c r="DD354" s="5" t="s">
        <v>238</v>
      </c>
      <c r="DE354" s="8">
        <f>0</f>
        <v>0</v>
      </c>
      <c r="DG354" s="5" t="s">
        <v>238</v>
      </c>
      <c r="DH354" s="5" t="s">
        <v>238</v>
      </c>
      <c r="DI354" s="5" t="s">
        <v>238</v>
      </c>
      <c r="DJ354" s="5" t="s">
        <v>238</v>
      </c>
      <c r="DK354" s="5" t="s">
        <v>310</v>
      </c>
      <c r="DL354" s="5" t="s">
        <v>272</v>
      </c>
      <c r="DM354" s="7">
        <f>4005</f>
        <v>4005</v>
      </c>
      <c r="DN354" s="5" t="s">
        <v>238</v>
      </c>
      <c r="DO354" s="5" t="s">
        <v>238</v>
      </c>
      <c r="DP354" s="5" t="s">
        <v>238</v>
      </c>
      <c r="DQ354" s="5" t="s">
        <v>238</v>
      </c>
      <c r="DT354" s="5" t="s">
        <v>517</v>
      </c>
      <c r="DU354" s="5" t="s">
        <v>274</v>
      </c>
      <c r="GL354" s="5" t="s">
        <v>1568</v>
      </c>
      <c r="HM354" s="5" t="s">
        <v>313</v>
      </c>
      <c r="HP354" s="5" t="s">
        <v>272</v>
      </c>
      <c r="HQ354" s="5" t="s">
        <v>272</v>
      </c>
      <c r="HR354" s="5" t="s">
        <v>238</v>
      </c>
      <c r="HS354" s="5" t="s">
        <v>238</v>
      </c>
      <c r="HT354" s="5" t="s">
        <v>238</v>
      </c>
      <c r="HU354" s="5" t="s">
        <v>238</v>
      </c>
      <c r="HV354" s="5" t="s">
        <v>238</v>
      </c>
      <c r="HW354" s="5" t="s">
        <v>238</v>
      </c>
      <c r="HX354" s="5" t="s">
        <v>238</v>
      </c>
      <c r="HY354" s="5" t="s">
        <v>238</v>
      </c>
      <c r="HZ354" s="5" t="s">
        <v>238</v>
      </c>
      <c r="IA354" s="5" t="s">
        <v>238</v>
      </c>
      <c r="IB354" s="5" t="s">
        <v>238</v>
      </c>
      <c r="IC354" s="5" t="s">
        <v>238</v>
      </c>
      <c r="ID354" s="5" t="s">
        <v>238</v>
      </c>
    </row>
    <row r="355" spans="1:238" x14ac:dyDescent="0.4">
      <c r="A355" s="5">
        <v>391</v>
      </c>
      <c r="B355" s="5">
        <v>1</v>
      </c>
      <c r="C355" s="5">
        <v>4</v>
      </c>
      <c r="D355" s="5" t="s">
        <v>515</v>
      </c>
      <c r="E355" s="5" t="s">
        <v>347</v>
      </c>
      <c r="F355" s="5" t="s">
        <v>282</v>
      </c>
      <c r="G355" s="5" t="s">
        <v>1666</v>
      </c>
      <c r="H355" s="6" t="s">
        <v>516</v>
      </c>
      <c r="I355" s="5" t="s">
        <v>1308</v>
      </c>
      <c r="J355" s="7">
        <f>960</f>
        <v>960</v>
      </c>
      <c r="K355" s="5" t="s">
        <v>270</v>
      </c>
      <c r="L355" s="8">
        <f>6998400</f>
        <v>6998400</v>
      </c>
      <c r="M355" s="8">
        <f>129600000</f>
        <v>129600000</v>
      </c>
      <c r="N355" s="6" t="s">
        <v>953</v>
      </c>
      <c r="O355" s="5" t="s">
        <v>898</v>
      </c>
      <c r="P355" s="5" t="s">
        <v>965</v>
      </c>
      <c r="Q355" s="8">
        <f>2851200</f>
        <v>2851200</v>
      </c>
      <c r="R355" s="8">
        <f>122601600</f>
        <v>122601600</v>
      </c>
      <c r="S355" s="5" t="s">
        <v>240</v>
      </c>
      <c r="T355" s="5" t="s">
        <v>237</v>
      </c>
      <c r="U355" s="5" t="s">
        <v>238</v>
      </c>
      <c r="V355" s="5" t="s">
        <v>238</v>
      </c>
      <c r="W355" s="5" t="s">
        <v>241</v>
      </c>
      <c r="X355" s="5" t="s">
        <v>337</v>
      </c>
      <c r="Y355" s="5" t="s">
        <v>238</v>
      </c>
      <c r="AB355" s="5" t="s">
        <v>238</v>
      </c>
      <c r="AC355" s="6" t="s">
        <v>238</v>
      </c>
      <c r="AD355" s="6" t="s">
        <v>238</v>
      </c>
      <c r="AF355" s="6" t="s">
        <v>238</v>
      </c>
      <c r="AG355" s="6" t="s">
        <v>246</v>
      </c>
      <c r="AH355" s="5" t="s">
        <v>247</v>
      </c>
      <c r="AI355" s="5" t="s">
        <v>248</v>
      </c>
      <c r="AO355" s="5" t="s">
        <v>238</v>
      </c>
      <c r="AP355" s="5" t="s">
        <v>238</v>
      </c>
      <c r="AQ355" s="5" t="s">
        <v>238</v>
      </c>
      <c r="AR355" s="6" t="s">
        <v>238</v>
      </c>
      <c r="AS355" s="6" t="s">
        <v>238</v>
      </c>
      <c r="AT355" s="6" t="s">
        <v>238</v>
      </c>
      <c r="AW355" s="5" t="s">
        <v>304</v>
      </c>
      <c r="AX355" s="5" t="s">
        <v>304</v>
      </c>
      <c r="AY355" s="5" t="s">
        <v>250</v>
      </c>
      <c r="AZ355" s="5" t="s">
        <v>305</v>
      </c>
      <c r="BA355" s="5" t="s">
        <v>251</v>
      </c>
      <c r="BB355" s="5" t="s">
        <v>238</v>
      </c>
      <c r="BC355" s="5" t="s">
        <v>253</v>
      </c>
      <c r="BD355" s="5" t="s">
        <v>238</v>
      </c>
      <c r="BF355" s="5" t="s">
        <v>238</v>
      </c>
      <c r="BH355" s="5" t="s">
        <v>283</v>
      </c>
      <c r="BI355" s="6" t="s">
        <v>293</v>
      </c>
      <c r="BJ355" s="5" t="s">
        <v>294</v>
      </c>
      <c r="BK355" s="5" t="s">
        <v>294</v>
      </c>
      <c r="BL355" s="5" t="s">
        <v>238</v>
      </c>
      <c r="BM355" s="7">
        <f>0</f>
        <v>0</v>
      </c>
      <c r="BN355" s="8">
        <f>-2851200</f>
        <v>-2851200</v>
      </c>
      <c r="BO355" s="5" t="s">
        <v>257</v>
      </c>
      <c r="BP355" s="5" t="s">
        <v>258</v>
      </c>
      <c r="BQ355" s="5" t="s">
        <v>238</v>
      </c>
      <c r="BR355" s="5" t="s">
        <v>238</v>
      </c>
      <c r="BS355" s="5" t="s">
        <v>238</v>
      </c>
      <c r="BT355" s="5" t="s">
        <v>238</v>
      </c>
      <c r="CC355" s="5" t="s">
        <v>258</v>
      </c>
      <c r="CD355" s="5" t="s">
        <v>238</v>
      </c>
      <c r="CE355" s="5" t="s">
        <v>238</v>
      </c>
      <c r="CI355" s="5" t="s">
        <v>527</v>
      </c>
      <c r="CJ355" s="5" t="s">
        <v>260</v>
      </c>
      <c r="CK355" s="5" t="s">
        <v>238</v>
      </c>
      <c r="CM355" s="5" t="s">
        <v>865</v>
      </c>
      <c r="CN355" s="6" t="s">
        <v>262</v>
      </c>
      <c r="CO355" s="5" t="s">
        <v>263</v>
      </c>
      <c r="CP355" s="5" t="s">
        <v>264</v>
      </c>
      <c r="CQ355" s="5" t="s">
        <v>285</v>
      </c>
      <c r="CR355" s="5" t="s">
        <v>238</v>
      </c>
      <c r="CS355" s="5">
        <v>2.1999999999999999E-2</v>
      </c>
      <c r="CT355" s="5" t="s">
        <v>265</v>
      </c>
      <c r="CU355" s="5" t="s">
        <v>1330</v>
      </c>
      <c r="CV355" s="5" t="s">
        <v>308</v>
      </c>
      <c r="CW355" s="7">
        <f>0</f>
        <v>0</v>
      </c>
      <c r="CX355" s="8">
        <f>129600000</f>
        <v>129600000</v>
      </c>
      <c r="CY355" s="8">
        <f>9849600</f>
        <v>9849600</v>
      </c>
      <c r="DA355" s="5" t="s">
        <v>238</v>
      </c>
      <c r="DB355" s="5" t="s">
        <v>238</v>
      </c>
      <c r="DD355" s="5" t="s">
        <v>238</v>
      </c>
      <c r="DE355" s="8">
        <f>0</f>
        <v>0</v>
      </c>
      <c r="DG355" s="5" t="s">
        <v>238</v>
      </c>
      <c r="DH355" s="5" t="s">
        <v>238</v>
      </c>
      <c r="DI355" s="5" t="s">
        <v>238</v>
      </c>
      <c r="DJ355" s="5" t="s">
        <v>238</v>
      </c>
      <c r="DK355" s="5" t="s">
        <v>271</v>
      </c>
      <c r="DL355" s="5" t="s">
        <v>272</v>
      </c>
      <c r="DM355" s="7">
        <f>960</f>
        <v>960</v>
      </c>
      <c r="DN355" s="5" t="s">
        <v>238</v>
      </c>
      <c r="DO355" s="5" t="s">
        <v>238</v>
      </c>
      <c r="DP355" s="5" t="s">
        <v>238</v>
      </c>
      <c r="DQ355" s="5" t="s">
        <v>238</v>
      </c>
      <c r="DT355" s="5" t="s">
        <v>517</v>
      </c>
      <c r="DU355" s="5" t="s">
        <v>356</v>
      </c>
      <c r="GL355" s="5" t="s">
        <v>1767</v>
      </c>
      <c r="HM355" s="5" t="s">
        <v>313</v>
      </c>
      <c r="HP355" s="5" t="s">
        <v>272</v>
      </c>
      <c r="HQ355" s="5" t="s">
        <v>272</v>
      </c>
      <c r="HR355" s="5" t="s">
        <v>238</v>
      </c>
      <c r="HS355" s="5" t="s">
        <v>238</v>
      </c>
      <c r="HT355" s="5" t="s">
        <v>238</v>
      </c>
      <c r="HU355" s="5" t="s">
        <v>238</v>
      </c>
      <c r="HV355" s="5" t="s">
        <v>238</v>
      </c>
      <c r="HW355" s="5" t="s">
        <v>238</v>
      </c>
      <c r="HX355" s="5" t="s">
        <v>238</v>
      </c>
      <c r="HY355" s="5" t="s">
        <v>238</v>
      </c>
      <c r="HZ355" s="5" t="s">
        <v>238</v>
      </c>
      <c r="IA355" s="5" t="s">
        <v>238</v>
      </c>
      <c r="IB355" s="5" t="s">
        <v>238</v>
      </c>
      <c r="IC355" s="5" t="s">
        <v>238</v>
      </c>
      <c r="ID355" s="5" t="s">
        <v>238</v>
      </c>
    </row>
    <row r="356" spans="1:238" x14ac:dyDescent="0.4">
      <c r="A356" s="5">
        <v>392</v>
      </c>
      <c r="B356" s="5">
        <v>1</v>
      </c>
      <c r="C356" s="5">
        <v>4</v>
      </c>
      <c r="D356" s="5" t="s">
        <v>515</v>
      </c>
      <c r="E356" s="5" t="s">
        <v>347</v>
      </c>
      <c r="F356" s="5" t="s">
        <v>282</v>
      </c>
      <c r="G356" s="5" t="s">
        <v>521</v>
      </c>
      <c r="H356" s="6" t="s">
        <v>516</v>
      </c>
      <c r="I356" s="5" t="s">
        <v>519</v>
      </c>
      <c r="J356" s="7">
        <f>0</f>
        <v>0</v>
      </c>
      <c r="K356" s="5" t="s">
        <v>270</v>
      </c>
      <c r="L356" s="8">
        <f>20380315</f>
        <v>20380315</v>
      </c>
      <c r="M356" s="8">
        <f>33138720</f>
        <v>33138720</v>
      </c>
      <c r="N356" s="6" t="s">
        <v>520</v>
      </c>
      <c r="O356" s="5" t="s">
        <v>319</v>
      </c>
      <c r="P356" s="5" t="s">
        <v>356</v>
      </c>
      <c r="Q356" s="8">
        <f>2551681</f>
        <v>2551681</v>
      </c>
      <c r="R356" s="8">
        <f>12758405</f>
        <v>12758405</v>
      </c>
      <c r="S356" s="5" t="s">
        <v>240</v>
      </c>
      <c r="T356" s="5" t="s">
        <v>287</v>
      </c>
      <c r="U356" s="5" t="s">
        <v>238</v>
      </c>
      <c r="V356" s="5" t="s">
        <v>238</v>
      </c>
      <c r="W356" s="5" t="s">
        <v>241</v>
      </c>
      <c r="X356" s="5" t="s">
        <v>337</v>
      </c>
      <c r="Y356" s="5" t="s">
        <v>238</v>
      </c>
      <c r="AB356" s="5" t="s">
        <v>238</v>
      </c>
      <c r="AC356" s="6" t="s">
        <v>238</v>
      </c>
      <c r="AD356" s="6" t="s">
        <v>238</v>
      </c>
      <c r="AF356" s="6" t="s">
        <v>238</v>
      </c>
      <c r="AG356" s="6" t="s">
        <v>246</v>
      </c>
      <c r="AH356" s="5" t="s">
        <v>247</v>
      </c>
      <c r="AI356" s="5" t="s">
        <v>248</v>
      </c>
      <c r="AO356" s="5" t="s">
        <v>238</v>
      </c>
      <c r="AP356" s="5" t="s">
        <v>238</v>
      </c>
      <c r="AQ356" s="5" t="s">
        <v>238</v>
      </c>
      <c r="AR356" s="6" t="s">
        <v>238</v>
      </c>
      <c r="AS356" s="6" t="s">
        <v>238</v>
      </c>
      <c r="AT356" s="6" t="s">
        <v>238</v>
      </c>
      <c r="AW356" s="5" t="s">
        <v>304</v>
      </c>
      <c r="AX356" s="5" t="s">
        <v>304</v>
      </c>
      <c r="AY356" s="5" t="s">
        <v>250</v>
      </c>
      <c r="AZ356" s="5" t="s">
        <v>305</v>
      </c>
      <c r="BA356" s="5" t="s">
        <v>251</v>
      </c>
      <c r="BB356" s="5" t="s">
        <v>238</v>
      </c>
      <c r="BC356" s="5" t="s">
        <v>253</v>
      </c>
      <c r="BD356" s="5" t="s">
        <v>238</v>
      </c>
      <c r="BF356" s="5" t="s">
        <v>238</v>
      </c>
      <c r="BH356" s="5" t="s">
        <v>283</v>
      </c>
      <c r="BI356" s="6" t="s">
        <v>293</v>
      </c>
      <c r="BJ356" s="5" t="s">
        <v>294</v>
      </c>
      <c r="BK356" s="5" t="s">
        <v>294</v>
      </c>
      <c r="BL356" s="5" t="s">
        <v>238</v>
      </c>
      <c r="BM356" s="7">
        <f>0</f>
        <v>0</v>
      </c>
      <c r="BN356" s="8">
        <f>-2551681</f>
        <v>-2551681</v>
      </c>
      <c r="BO356" s="5" t="s">
        <v>257</v>
      </c>
      <c r="BP356" s="5" t="s">
        <v>258</v>
      </c>
      <c r="BQ356" s="5" t="s">
        <v>238</v>
      </c>
      <c r="BR356" s="5" t="s">
        <v>238</v>
      </c>
      <c r="BS356" s="5" t="s">
        <v>238</v>
      </c>
      <c r="BT356" s="5" t="s">
        <v>238</v>
      </c>
      <c r="CC356" s="5" t="s">
        <v>258</v>
      </c>
      <c r="CD356" s="5" t="s">
        <v>238</v>
      </c>
      <c r="CE356" s="5" t="s">
        <v>238</v>
      </c>
      <c r="CI356" s="5" t="s">
        <v>259</v>
      </c>
      <c r="CJ356" s="5" t="s">
        <v>260</v>
      </c>
      <c r="CK356" s="5" t="s">
        <v>238</v>
      </c>
      <c r="CM356" s="5" t="s">
        <v>376</v>
      </c>
      <c r="CN356" s="6" t="s">
        <v>262</v>
      </c>
      <c r="CO356" s="5" t="s">
        <v>263</v>
      </c>
      <c r="CP356" s="5" t="s">
        <v>264</v>
      </c>
      <c r="CQ356" s="5" t="s">
        <v>285</v>
      </c>
      <c r="CR356" s="5" t="s">
        <v>238</v>
      </c>
      <c r="CS356" s="5">
        <v>7.6999999999999999E-2</v>
      </c>
      <c r="CT356" s="5" t="s">
        <v>265</v>
      </c>
      <c r="CU356" s="5" t="s">
        <v>351</v>
      </c>
      <c r="CV356" s="5" t="s">
        <v>352</v>
      </c>
      <c r="CW356" s="7">
        <f>0</f>
        <v>0</v>
      </c>
      <c r="CX356" s="8">
        <f>33138720</f>
        <v>33138720</v>
      </c>
      <c r="CY356" s="8">
        <f>22931996</f>
        <v>22931996</v>
      </c>
      <c r="DA356" s="5" t="s">
        <v>238</v>
      </c>
      <c r="DB356" s="5" t="s">
        <v>238</v>
      </c>
      <c r="DD356" s="5" t="s">
        <v>238</v>
      </c>
      <c r="DE356" s="8">
        <f>0</f>
        <v>0</v>
      </c>
      <c r="DG356" s="5" t="s">
        <v>238</v>
      </c>
      <c r="DH356" s="5" t="s">
        <v>238</v>
      </c>
      <c r="DI356" s="5" t="s">
        <v>238</v>
      </c>
      <c r="DJ356" s="5" t="s">
        <v>238</v>
      </c>
      <c r="DK356" s="5" t="s">
        <v>272</v>
      </c>
      <c r="DL356" s="5" t="s">
        <v>272</v>
      </c>
      <c r="DM356" s="8" t="s">
        <v>238</v>
      </c>
      <c r="DN356" s="5" t="s">
        <v>238</v>
      </c>
      <c r="DO356" s="5" t="s">
        <v>238</v>
      </c>
      <c r="DP356" s="5" t="s">
        <v>238</v>
      </c>
      <c r="DQ356" s="5" t="s">
        <v>238</v>
      </c>
      <c r="DT356" s="5" t="s">
        <v>517</v>
      </c>
      <c r="DU356" s="5" t="s">
        <v>310</v>
      </c>
      <c r="GL356" s="5" t="s">
        <v>522</v>
      </c>
      <c r="HM356" s="5" t="s">
        <v>379</v>
      </c>
      <c r="HP356" s="5" t="s">
        <v>272</v>
      </c>
      <c r="HQ356" s="5" t="s">
        <v>272</v>
      </c>
      <c r="HR356" s="5" t="s">
        <v>238</v>
      </c>
      <c r="HS356" s="5" t="s">
        <v>238</v>
      </c>
      <c r="HT356" s="5" t="s">
        <v>238</v>
      </c>
      <c r="HU356" s="5" t="s">
        <v>238</v>
      </c>
      <c r="HV356" s="5" t="s">
        <v>238</v>
      </c>
      <c r="HW356" s="5" t="s">
        <v>238</v>
      </c>
      <c r="HX356" s="5" t="s">
        <v>238</v>
      </c>
      <c r="HY356" s="5" t="s">
        <v>238</v>
      </c>
      <c r="HZ356" s="5" t="s">
        <v>238</v>
      </c>
      <c r="IA356" s="5" t="s">
        <v>238</v>
      </c>
      <c r="IB356" s="5" t="s">
        <v>238</v>
      </c>
      <c r="IC356" s="5" t="s">
        <v>238</v>
      </c>
      <c r="ID356" s="5" t="s">
        <v>238</v>
      </c>
    </row>
    <row r="357" spans="1:238" x14ac:dyDescent="0.4">
      <c r="A357" s="5">
        <v>393</v>
      </c>
      <c r="B357" s="5">
        <v>1</v>
      </c>
      <c r="C357" s="5">
        <v>4</v>
      </c>
      <c r="D357" s="5" t="s">
        <v>515</v>
      </c>
      <c r="E357" s="5" t="s">
        <v>347</v>
      </c>
      <c r="F357" s="5" t="s">
        <v>282</v>
      </c>
      <c r="G357" s="5" t="s">
        <v>349</v>
      </c>
      <c r="H357" s="6" t="s">
        <v>516</v>
      </c>
      <c r="I357" s="5" t="s">
        <v>345</v>
      </c>
      <c r="J357" s="7">
        <f>0</f>
        <v>0</v>
      </c>
      <c r="K357" s="5" t="s">
        <v>270</v>
      </c>
      <c r="L357" s="8">
        <f>35691107</f>
        <v>35691107</v>
      </c>
      <c r="M357" s="8">
        <f>46412360</f>
        <v>46412360</v>
      </c>
      <c r="N357" s="6" t="s">
        <v>348</v>
      </c>
      <c r="O357" s="5" t="s">
        <v>319</v>
      </c>
      <c r="P357" s="5" t="s">
        <v>271</v>
      </c>
      <c r="Q357" s="8">
        <f>3573751</f>
        <v>3573751</v>
      </c>
      <c r="R357" s="8">
        <f>10721253</f>
        <v>10721253</v>
      </c>
      <c r="S357" s="5" t="s">
        <v>240</v>
      </c>
      <c r="T357" s="5" t="s">
        <v>287</v>
      </c>
      <c r="U357" s="5" t="s">
        <v>238</v>
      </c>
      <c r="V357" s="5" t="s">
        <v>238</v>
      </c>
      <c r="W357" s="5" t="s">
        <v>241</v>
      </c>
      <c r="X357" s="5" t="s">
        <v>238</v>
      </c>
      <c r="Y357" s="5" t="s">
        <v>238</v>
      </c>
      <c r="AB357" s="5" t="s">
        <v>238</v>
      </c>
      <c r="AC357" s="6" t="s">
        <v>238</v>
      </c>
      <c r="AD357" s="6" t="s">
        <v>238</v>
      </c>
      <c r="AF357" s="6" t="s">
        <v>238</v>
      </c>
      <c r="AG357" s="6" t="s">
        <v>246</v>
      </c>
      <c r="AH357" s="5" t="s">
        <v>247</v>
      </c>
      <c r="AI357" s="5" t="s">
        <v>248</v>
      </c>
      <c r="AO357" s="5" t="s">
        <v>238</v>
      </c>
      <c r="AP357" s="5" t="s">
        <v>238</v>
      </c>
      <c r="AQ357" s="5" t="s">
        <v>238</v>
      </c>
      <c r="AR357" s="6" t="s">
        <v>238</v>
      </c>
      <c r="AS357" s="6" t="s">
        <v>238</v>
      </c>
      <c r="AT357" s="6" t="s">
        <v>238</v>
      </c>
      <c r="AW357" s="5" t="s">
        <v>304</v>
      </c>
      <c r="AX357" s="5" t="s">
        <v>304</v>
      </c>
      <c r="AY357" s="5" t="s">
        <v>250</v>
      </c>
      <c r="AZ357" s="5" t="s">
        <v>305</v>
      </c>
      <c r="BA357" s="5" t="s">
        <v>251</v>
      </c>
      <c r="BB357" s="5" t="s">
        <v>238</v>
      </c>
      <c r="BC357" s="5" t="s">
        <v>253</v>
      </c>
      <c r="BD357" s="5" t="s">
        <v>238</v>
      </c>
      <c r="BF357" s="5" t="s">
        <v>238</v>
      </c>
      <c r="BH357" s="5" t="s">
        <v>283</v>
      </c>
      <c r="BI357" s="6" t="s">
        <v>293</v>
      </c>
      <c r="BJ357" s="5" t="s">
        <v>294</v>
      </c>
      <c r="BK357" s="5" t="s">
        <v>294</v>
      </c>
      <c r="BL357" s="5" t="s">
        <v>238</v>
      </c>
      <c r="BM357" s="7">
        <f>0</f>
        <v>0</v>
      </c>
      <c r="BN357" s="8">
        <f>-3573751</f>
        <v>-3573751</v>
      </c>
      <c r="BO357" s="5" t="s">
        <v>257</v>
      </c>
      <c r="BP357" s="5" t="s">
        <v>258</v>
      </c>
      <c r="BQ357" s="5" t="s">
        <v>238</v>
      </c>
      <c r="BR357" s="5" t="s">
        <v>238</v>
      </c>
      <c r="BS357" s="5" t="s">
        <v>238</v>
      </c>
      <c r="BT357" s="5" t="s">
        <v>238</v>
      </c>
      <c r="CC357" s="5" t="s">
        <v>258</v>
      </c>
      <c r="CD357" s="5" t="s">
        <v>238</v>
      </c>
      <c r="CE357" s="5" t="s">
        <v>238</v>
      </c>
      <c r="CI357" s="5" t="s">
        <v>259</v>
      </c>
      <c r="CJ357" s="5" t="s">
        <v>260</v>
      </c>
      <c r="CK357" s="5" t="s">
        <v>238</v>
      </c>
      <c r="CM357" s="5" t="s">
        <v>291</v>
      </c>
      <c r="CN357" s="6" t="s">
        <v>262</v>
      </c>
      <c r="CO357" s="5" t="s">
        <v>263</v>
      </c>
      <c r="CP357" s="5" t="s">
        <v>264</v>
      </c>
      <c r="CQ357" s="5" t="s">
        <v>285</v>
      </c>
      <c r="CR357" s="5" t="s">
        <v>238</v>
      </c>
      <c r="CS357" s="5">
        <v>7.6999999999999999E-2</v>
      </c>
      <c r="CT357" s="5" t="s">
        <v>265</v>
      </c>
      <c r="CU357" s="5" t="s">
        <v>351</v>
      </c>
      <c r="CV357" s="5" t="s">
        <v>352</v>
      </c>
      <c r="CW357" s="7">
        <f>0</f>
        <v>0</v>
      </c>
      <c r="CX357" s="8">
        <f>46412360</f>
        <v>46412360</v>
      </c>
      <c r="CY357" s="8">
        <f>39264858</f>
        <v>39264858</v>
      </c>
      <c r="DA357" s="5" t="s">
        <v>238</v>
      </c>
      <c r="DB357" s="5" t="s">
        <v>238</v>
      </c>
      <c r="DD357" s="5" t="s">
        <v>238</v>
      </c>
      <c r="DE357" s="8">
        <f>0</f>
        <v>0</v>
      </c>
      <c r="DG357" s="5" t="s">
        <v>238</v>
      </c>
      <c r="DH357" s="5" t="s">
        <v>238</v>
      </c>
      <c r="DI357" s="5" t="s">
        <v>238</v>
      </c>
      <c r="DJ357" s="5" t="s">
        <v>238</v>
      </c>
      <c r="DK357" s="5" t="s">
        <v>272</v>
      </c>
      <c r="DL357" s="5" t="s">
        <v>272</v>
      </c>
      <c r="DM357" s="8" t="s">
        <v>238</v>
      </c>
      <c r="DN357" s="5" t="s">
        <v>238</v>
      </c>
      <c r="DO357" s="5" t="s">
        <v>238</v>
      </c>
      <c r="DP357" s="5" t="s">
        <v>238</v>
      </c>
      <c r="DQ357" s="5" t="s">
        <v>238</v>
      </c>
      <c r="DT357" s="5" t="s">
        <v>517</v>
      </c>
      <c r="DU357" s="5" t="s">
        <v>379</v>
      </c>
      <c r="GL357" s="5" t="s">
        <v>518</v>
      </c>
      <c r="HM357" s="5" t="s">
        <v>356</v>
      </c>
      <c r="HP357" s="5" t="s">
        <v>272</v>
      </c>
      <c r="HQ357" s="5" t="s">
        <v>272</v>
      </c>
      <c r="HR357" s="5" t="s">
        <v>238</v>
      </c>
      <c r="HS357" s="5" t="s">
        <v>238</v>
      </c>
      <c r="HT357" s="5" t="s">
        <v>238</v>
      </c>
      <c r="HU357" s="5" t="s">
        <v>238</v>
      </c>
      <c r="HV357" s="5" t="s">
        <v>238</v>
      </c>
      <c r="HW357" s="5" t="s">
        <v>238</v>
      </c>
      <c r="HX357" s="5" t="s">
        <v>238</v>
      </c>
      <c r="HY357" s="5" t="s">
        <v>238</v>
      </c>
      <c r="HZ357" s="5" t="s">
        <v>238</v>
      </c>
      <c r="IA357" s="5" t="s">
        <v>238</v>
      </c>
      <c r="IB357" s="5" t="s">
        <v>238</v>
      </c>
      <c r="IC357" s="5" t="s">
        <v>238</v>
      </c>
      <c r="ID357" s="5" t="s">
        <v>238</v>
      </c>
    </row>
    <row r="358" spans="1:238" x14ac:dyDescent="0.4">
      <c r="A358" s="5">
        <v>394</v>
      </c>
      <c r="B358" s="5">
        <v>1</v>
      </c>
      <c r="C358" s="5">
        <v>4</v>
      </c>
      <c r="D358" s="5" t="s">
        <v>515</v>
      </c>
      <c r="E358" s="5" t="s">
        <v>347</v>
      </c>
      <c r="F358" s="5" t="s">
        <v>282</v>
      </c>
      <c r="G358" s="5" t="s">
        <v>349</v>
      </c>
      <c r="H358" s="6" t="s">
        <v>516</v>
      </c>
      <c r="I358" s="5" t="s">
        <v>1762</v>
      </c>
      <c r="J358" s="7">
        <f>0</f>
        <v>0</v>
      </c>
      <c r="K358" s="5" t="s">
        <v>270</v>
      </c>
      <c r="L358" s="8">
        <f>20164430</f>
        <v>20164430</v>
      </c>
      <c r="M358" s="8">
        <f>21092500</f>
        <v>21092500</v>
      </c>
      <c r="N358" s="6" t="s">
        <v>1763</v>
      </c>
      <c r="O358" s="5" t="s">
        <v>898</v>
      </c>
      <c r="P358" s="5" t="s">
        <v>272</v>
      </c>
      <c r="Q358" s="8">
        <f>21092499</f>
        <v>21092499</v>
      </c>
      <c r="R358" s="8">
        <f>928070</f>
        <v>928070</v>
      </c>
      <c r="S358" s="5" t="s">
        <v>240</v>
      </c>
      <c r="T358" s="5" t="s">
        <v>287</v>
      </c>
      <c r="U358" s="5" t="s">
        <v>238</v>
      </c>
      <c r="V358" s="5" t="s">
        <v>238</v>
      </c>
      <c r="W358" s="5" t="s">
        <v>241</v>
      </c>
      <c r="X358" s="5" t="s">
        <v>238</v>
      </c>
      <c r="Y358" s="5" t="s">
        <v>238</v>
      </c>
      <c r="AB358" s="5" t="s">
        <v>238</v>
      </c>
      <c r="AC358" s="6" t="s">
        <v>238</v>
      </c>
      <c r="AD358" s="6" t="s">
        <v>238</v>
      </c>
      <c r="AF358" s="6" t="s">
        <v>238</v>
      </c>
      <c r="AG358" s="6" t="s">
        <v>246</v>
      </c>
      <c r="AH358" s="5" t="s">
        <v>247</v>
      </c>
      <c r="AI358" s="5" t="s">
        <v>248</v>
      </c>
      <c r="AO358" s="5" t="s">
        <v>238</v>
      </c>
      <c r="AP358" s="5" t="s">
        <v>238</v>
      </c>
      <c r="AQ358" s="5" t="s">
        <v>238</v>
      </c>
      <c r="AR358" s="6" t="s">
        <v>238</v>
      </c>
      <c r="AS358" s="6" t="s">
        <v>238</v>
      </c>
      <c r="AT358" s="6" t="s">
        <v>238</v>
      </c>
      <c r="AW358" s="5" t="s">
        <v>304</v>
      </c>
      <c r="AX358" s="5" t="s">
        <v>304</v>
      </c>
      <c r="AY358" s="5" t="s">
        <v>250</v>
      </c>
      <c r="AZ358" s="5" t="s">
        <v>305</v>
      </c>
      <c r="BA358" s="5" t="s">
        <v>251</v>
      </c>
      <c r="BB358" s="5" t="s">
        <v>238</v>
      </c>
      <c r="BC358" s="5" t="s">
        <v>253</v>
      </c>
      <c r="BD358" s="5" t="s">
        <v>238</v>
      </c>
      <c r="BF358" s="5" t="s">
        <v>238</v>
      </c>
      <c r="BH358" s="5" t="s">
        <v>283</v>
      </c>
      <c r="BI358" s="6" t="s">
        <v>293</v>
      </c>
      <c r="BJ358" s="5" t="s">
        <v>294</v>
      </c>
      <c r="BK358" s="5" t="s">
        <v>294</v>
      </c>
      <c r="BL358" s="5" t="s">
        <v>238</v>
      </c>
      <c r="BM358" s="7">
        <f>0</f>
        <v>0</v>
      </c>
      <c r="BN358" s="8">
        <f>-464035</f>
        <v>-464035</v>
      </c>
      <c r="BO358" s="5" t="s">
        <v>257</v>
      </c>
      <c r="BP358" s="5" t="s">
        <v>258</v>
      </c>
      <c r="BQ358" s="5" t="s">
        <v>238</v>
      </c>
      <c r="BR358" s="5" t="s">
        <v>238</v>
      </c>
      <c r="BS358" s="5" t="s">
        <v>238</v>
      </c>
      <c r="BT358" s="5" t="s">
        <v>238</v>
      </c>
      <c r="CC358" s="5" t="s">
        <v>258</v>
      </c>
      <c r="CD358" s="5" t="s">
        <v>238</v>
      </c>
      <c r="CE358" s="5" t="s">
        <v>238</v>
      </c>
      <c r="CI358" s="5" t="s">
        <v>259</v>
      </c>
      <c r="CJ358" s="5" t="s">
        <v>260</v>
      </c>
      <c r="CK358" s="5" t="s">
        <v>238</v>
      </c>
      <c r="CM358" s="5" t="s">
        <v>408</v>
      </c>
      <c r="CN358" s="6" t="s">
        <v>262</v>
      </c>
      <c r="CO358" s="5" t="s">
        <v>263</v>
      </c>
      <c r="CP358" s="5" t="s">
        <v>264</v>
      </c>
      <c r="CQ358" s="5" t="s">
        <v>285</v>
      </c>
      <c r="CR358" s="5" t="s">
        <v>238</v>
      </c>
      <c r="CS358" s="5">
        <v>2.1999999999999999E-2</v>
      </c>
      <c r="CT358" s="5" t="s">
        <v>265</v>
      </c>
      <c r="CU358" s="5" t="s">
        <v>1330</v>
      </c>
      <c r="CV358" s="5" t="s">
        <v>308</v>
      </c>
      <c r="CW358" s="7">
        <f>0</f>
        <v>0</v>
      </c>
      <c r="CX358" s="8">
        <f>21092500</f>
        <v>21092500</v>
      </c>
      <c r="CY358" s="8">
        <f>20628465</f>
        <v>20628465</v>
      </c>
      <c r="DA358" s="5" t="s">
        <v>238</v>
      </c>
      <c r="DB358" s="5" t="s">
        <v>238</v>
      </c>
      <c r="DD358" s="5" t="s">
        <v>238</v>
      </c>
      <c r="DE358" s="8">
        <f>0</f>
        <v>0</v>
      </c>
      <c r="DG358" s="5" t="s">
        <v>238</v>
      </c>
      <c r="DH358" s="5" t="s">
        <v>238</v>
      </c>
      <c r="DI358" s="5" t="s">
        <v>238</v>
      </c>
      <c r="DJ358" s="5" t="s">
        <v>238</v>
      </c>
      <c r="DK358" s="5" t="s">
        <v>272</v>
      </c>
      <c r="DL358" s="5" t="s">
        <v>272</v>
      </c>
      <c r="DM358" s="8" t="s">
        <v>238</v>
      </c>
      <c r="DN358" s="5" t="s">
        <v>238</v>
      </c>
      <c r="DO358" s="5" t="s">
        <v>238</v>
      </c>
      <c r="DP358" s="5" t="s">
        <v>238</v>
      </c>
      <c r="DQ358" s="5" t="s">
        <v>238</v>
      </c>
      <c r="DT358" s="5" t="s">
        <v>517</v>
      </c>
      <c r="DU358" s="5" t="s">
        <v>313</v>
      </c>
      <c r="GL358" s="5" t="s">
        <v>1764</v>
      </c>
      <c r="HM358" s="5" t="s">
        <v>274</v>
      </c>
      <c r="HP358" s="5" t="s">
        <v>272</v>
      </c>
      <c r="HQ358" s="5" t="s">
        <v>272</v>
      </c>
      <c r="HR358" s="5" t="s">
        <v>238</v>
      </c>
      <c r="HS358" s="5" t="s">
        <v>238</v>
      </c>
      <c r="HT358" s="5" t="s">
        <v>238</v>
      </c>
      <c r="HU358" s="5" t="s">
        <v>238</v>
      </c>
      <c r="HV358" s="5" t="s">
        <v>238</v>
      </c>
      <c r="HW358" s="5" t="s">
        <v>238</v>
      </c>
      <c r="HX358" s="5" t="s">
        <v>238</v>
      </c>
      <c r="HY358" s="5" t="s">
        <v>238</v>
      </c>
      <c r="HZ358" s="5" t="s">
        <v>238</v>
      </c>
      <c r="IA358" s="5" t="s">
        <v>238</v>
      </c>
      <c r="IB358" s="5" t="s">
        <v>238</v>
      </c>
      <c r="IC358" s="5" t="s">
        <v>238</v>
      </c>
      <c r="ID358" s="5" t="s">
        <v>238</v>
      </c>
    </row>
    <row r="359" spans="1:238" x14ac:dyDescent="0.4">
      <c r="A359" s="5">
        <v>395</v>
      </c>
      <c r="B359" s="5">
        <v>1</v>
      </c>
      <c r="C359" s="5">
        <v>1</v>
      </c>
      <c r="D359" s="5" t="s">
        <v>497</v>
      </c>
      <c r="E359" s="5" t="s">
        <v>347</v>
      </c>
      <c r="F359" s="5" t="s">
        <v>282</v>
      </c>
      <c r="G359" s="5" t="s">
        <v>1314</v>
      </c>
      <c r="H359" s="6" t="s">
        <v>498</v>
      </c>
      <c r="I359" s="5" t="s">
        <v>1314</v>
      </c>
      <c r="J359" s="7">
        <f>2634</f>
        <v>2634</v>
      </c>
      <c r="K359" s="5" t="s">
        <v>270</v>
      </c>
      <c r="L359" s="8">
        <f>1</f>
        <v>1</v>
      </c>
      <c r="M359" s="8">
        <f>355590000</f>
        <v>355590000</v>
      </c>
      <c r="N359" s="6" t="s">
        <v>1494</v>
      </c>
      <c r="O359" s="5" t="s">
        <v>898</v>
      </c>
      <c r="P359" s="5" t="s">
        <v>898</v>
      </c>
      <c r="R359" s="8">
        <f>355589999</f>
        <v>355589999</v>
      </c>
      <c r="S359" s="5" t="s">
        <v>240</v>
      </c>
      <c r="T359" s="5" t="s">
        <v>237</v>
      </c>
      <c r="U359" s="5" t="s">
        <v>238</v>
      </c>
      <c r="V359" s="5" t="s">
        <v>238</v>
      </c>
      <c r="W359" s="5" t="s">
        <v>241</v>
      </c>
      <c r="X359" s="5" t="s">
        <v>337</v>
      </c>
      <c r="Y359" s="5" t="s">
        <v>238</v>
      </c>
      <c r="AB359" s="5" t="s">
        <v>238</v>
      </c>
      <c r="AD359" s="6" t="s">
        <v>238</v>
      </c>
      <c r="AG359" s="6" t="s">
        <v>246</v>
      </c>
      <c r="AH359" s="5" t="s">
        <v>247</v>
      </c>
      <c r="AI359" s="5" t="s">
        <v>248</v>
      </c>
      <c r="AY359" s="5" t="s">
        <v>250</v>
      </c>
      <c r="AZ359" s="5" t="s">
        <v>238</v>
      </c>
      <c r="BA359" s="5" t="s">
        <v>251</v>
      </c>
      <c r="BB359" s="5" t="s">
        <v>238</v>
      </c>
      <c r="BC359" s="5" t="s">
        <v>253</v>
      </c>
      <c r="BD359" s="5" t="s">
        <v>238</v>
      </c>
      <c r="BF359" s="5" t="s">
        <v>1495</v>
      </c>
      <c r="BH359" s="5" t="s">
        <v>254</v>
      </c>
      <c r="BI359" s="6" t="s">
        <v>246</v>
      </c>
      <c r="BJ359" s="5" t="s">
        <v>255</v>
      </c>
      <c r="BK359" s="5" t="s">
        <v>294</v>
      </c>
      <c r="BL359" s="5" t="s">
        <v>238</v>
      </c>
      <c r="BM359" s="7">
        <f>0</f>
        <v>0</v>
      </c>
      <c r="BN359" s="8">
        <f>0</f>
        <v>0</v>
      </c>
      <c r="BO359" s="5" t="s">
        <v>257</v>
      </c>
      <c r="BP359" s="5" t="s">
        <v>258</v>
      </c>
      <c r="CD359" s="5" t="s">
        <v>238</v>
      </c>
      <c r="CE359" s="5" t="s">
        <v>238</v>
      </c>
      <c r="CI359" s="5" t="s">
        <v>527</v>
      </c>
      <c r="CJ359" s="5" t="s">
        <v>260</v>
      </c>
      <c r="CK359" s="5" t="s">
        <v>238</v>
      </c>
      <c r="CM359" s="5" t="s">
        <v>1016</v>
      </c>
      <c r="CN359" s="6" t="s">
        <v>262</v>
      </c>
      <c r="CO359" s="5" t="s">
        <v>263</v>
      </c>
      <c r="CP359" s="5" t="s">
        <v>264</v>
      </c>
      <c r="CQ359" s="5" t="s">
        <v>238</v>
      </c>
      <c r="CR359" s="5" t="s">
        <v>238</v>
      </c>
      <c r="CS359" s="5">
        <v>0</v>
      </c>
      <c r="CT359" s="5" t="s">
        <v>265</v>
      </c>
      <c r="CU359" s="5" t="s">
        <v>1493</v>
      </c>
      <c r="CV359" s="5" t="s">
        <v>308</v>
      </c>
      <c r="CX359" s="8">
        <f>355590000</f>
        <v>355590000</v>
      </c>
      <c r="CY359" s="8">
        <f>0</f>
        <v>0</v>
      </c>
      <c r="DA359" s="5" t="s">
        <v>238</v>
      </c>
      <c r="DB359" s="5" t="s">
        <v>238</v>
      </c>
      <c r="DD359" s="5" t="s">
        <v>238</v>
      </c>
      <c r="DG359" s="5" t="s">
        <v>238</v>
      </c>
      <c r="DH359" s="5" t="s">
        <v>238</v>
      </c>
      <c r="DI359" s="5" t="s">
        <v>238</v>
      </c>
      <c r="DJ359" s="5" t="s">
        <v>238</v>
      </c>
      <c r="DK359" s="5" t="s">
        <v>356</v>
      </c>
      <c r="DL359" s="5" t="s">
        <v>272</v>
      </c>
      <c r="DM359" s="7">
        <f>2634</f>
        <v>2634</v>
      </c>
      <c r="DN359" s="5" t="s">
        <v>238</v>
      </c>
      <c r="DO359" s="5" t="s">
        <v>238</v>
      </c>
      <c r="DP359" s="5" t="s">
        <v>238</v>
      </c>
      <c r="DQ359" s="5" t="s">
        <v>238</v>
      </c>
      <c r="DT359" s="5" t="s">
        <v>499</v>
      </c>
      <c r="DU359" s="5" t="s">
        <v>271</v>
      </c>
      <c r="HM359" s="5" t="s">
        <v>379</v>
      </c>
      <c r="HP359" s="5" t="s">
        <v>272</v>
      </c>
      <c r="HQ359" s="5" t="s">
        <v>272</v>
      </c>
    </row>
    <row r="360" spans="1:238" x14ac:dyDescent="0.4">
      <c r="A360" s="5">
        <v>396</v>
      </c>
      <c r="B360" s="5">
        <v>1</v>
      </c>
      <c r="C360" s="5">
        <v>4</v>
      </c>
      <c r="D360" s="5" t="s">
        <v>497</v>
      </c>
      <c r="E360" s="5" t="s">
        <v>347</v>
      </c>
      <c r="F360" s="5" t="s">
        <v>282</v>
      </c>
      <c r="G360" s="5" t="s">
        <v>1666</v>
      </c>
      <c r="H360" s="6" t="s">
        <v>498</v>
      </c>
      <c r="I360" s="5" t="s">
        <v>1308</v>
      </c>
      <c r="J360" s="7">
        <f>902</f>
        <v>902</v>
      </c>
      <c r="K360" s="5" t="s">
        <v>270</v>
      </c>
      <c r="L360" s="8">
        <f>70536400</f>
        <v>70536400</v>
      </c>
      <c r="M360" s="8">
        <f>207460000</f>
        <v>207460000</v>
      </c>
      <c r="N360" s="6" t="s">
        <v>1752</v>
      </c>
      <c r="O360" s="5" t="s">
        <v>898</v>
      </c>
      <c r="P360" s="5" t="s">
        <v>1091</v>
      </c>
      <c r="Q360" s="8">
        <f>4564120</f>
        <v>4564120</v>
      </c>
      <c r="R360" s="8">
        <f>136923600</f>
        <v>136923600</v>
      </c>
      <c r="S360" s="5" t="s">
        <v>240</v>
      </c>
      <c r="T360" s="5" t="s">
        <v>237</v>
      </c>
      <c r="U360" s="5" t="s">
        <v>238</v>
      </c>
      <c r="V360" s="5" t="s">
        <v>238</v>
      </c>
      <c r="W360" s="5" t="s">
        <v>241</v>
      </c>
      <c r="X360" s="5" t="s">
        <v>337</v>
      </c>
      <c r="Y360" s="5" t="s">
        <v>238</v>
      </c>
      <c r="AB360" s="5" t="s">
        <v>238</v>
      </c>
      <c r="AC360" s="6" t="s">
        <v>238</v>
      </c>
      <c r="AD360" s="6" t="s">
        <v>238</v>
      </c>
      <c r="AF360" s="6" t="s">
        <v>238</v>
      </c>
      <c r="AG360" s="6" t="s">
        <v>246</v>
      </c>
      <c r="AH360" s="5" t="s">
        <v>247</v>
      </c>
      <c r="AI360" s="5" t="s">
        <v>248</v>
      </c>
      <c r="AO360" s="5" t="s">
        <v>238</v>
      </c>
      <c r="AP360" s="5" t="s">
        <v>238</v>
      </c>
      <c r="AQ360" s="5" t="s">
        <v>238</v>
      </c>
      <c r="AR360" s="6" t="s">
        <v>238</v>
      </c>
      <c r="AS360" s="6" t="s">
        <v>238</v>
      </c>
      <c r="AT360" s="6" t="s">
        <v>238</v>
      </c>
      <c r="AW360" s="5" t="s">
        <v>304</v>
      </c>
      <c r="AX360" s="5" t="s">
        <v>304</v>
      </c>
      <c r="AY360" s="5" t="s">
        <v>250</v>
      </c>
      <c r="AZ360" s="5" t="s">
        <v>305</v>
      </c>
      <c r="BA360" s="5" t="s">
        <v>251</v>
      </c>
      <c r="BB360" s="5" t="s">
        <v>238</v>
      </c>
      <c r="BC360" s="5" t="s">
        <v>253</v>
      </c>
      <c r="BD360" s="5" t="s">
        <v>238</v>
      </c>
      <c r="BF360" s="5" t="s">
        <v>238</v>
      </c>
      <c r="BH360" s="5" t="s">
        <v>283</v>
      </c>
      <c r="BI360" s="6" t="s">
        <v>293</v>
      </c>
      <c r="BJ360" s="5" t="s">
        <v>294</v>
      </c>
      <c r="BK360" s="5" t="s">
        <v>294</v>
      </c>
      <c r="BL360" s="5" t="s">
        <v>238</v>
      </c>
      <c r="BM360" s="7">
        <f>0</f>
        <v>0</v>
      </c>
      <c r="BN360" s="8">
        <f>-4564120</f>
        <v>-4564120</v>
      </c>
      <c r="BO360" s="5" t="s">
        <v>257</v>
      </c>
      <c r="BP360" s="5" t="s">
        <v>258</v>
      </c>
      <c r="BQ360" s="5" t="s">
        <v>238</v>
      </c>
      <c r="BR360" s="5" t="s">
        <v>238</v>
      </c>
      <c r="BS360" s="5" t="s">
        <v>238</v>
      </c>
      <c r="BT360" s="5" t="s">
        <v>238</v>
      </c>
      <c r="CC360" s="5" t="s">
        <v>258</v>
      </c>
      <c r="CD360" s="5" t="s">
        <v>238</v>
      </c>
      <c r="CE360" s="5" t="s">
        <v>238</v>
      </c>
      <c r="CI360" s="5" t="s">
        <v>259</v>
      </c>
      <c r="CJ360" s="5" t="s">
        <v>260</v>
      </c>
      <c r="CK360" s="5" t="s">
        <v>238</v>
      </c>
      <c r="CM360" s="5" t="s">
        <v>958</v>
      </c>
      <c r="CN360" s="6" t="s">
        <v>262</v>
      </c>
      <c r="CO360" s="5" t="s">
        <v>263</v>
      </c>
      <c r="CP360" s="5" t="s">
        <v>264</v>
      </c>
      <c r="CQ360" s="5" t="s">
        <v>285</v>
      </c>
      <c r="CR360" s="5" t="s">
        <v>238</v>
      </c>
      <c r="CS360" s="5">
        <v>2.1999999999999999E-2</v>
      </c>
      <c r="CT360" s="5" t="s">
        <v>265</v>
      </c>
      <c r="CU360" s="5" t="s">
        <v>1330</v>
      </c>
      <c r="CV360" s="5" t="s">
        <v>308</v>
      </c>
      <c r="CW360" s="7">
        <f>0</f>
        <v>0</v>
      </c>
      <c r="CX360" s="8">
        <f>207460000</f>
        <v>207460000</v>
      </c>
      <c r="CY360" s="8">
        <f>75100520</f>
        <v>75100520</v>
      </c>
      <c r="DA360" s="5" t="s">
        <v>238</v>
      </c>
      <c r="DB360" s="5" t="s">
        <v>238</v>
      </c>
      <c r="DD360" s="5" t="s">
        <v>238</v>
      </c>
      <c r="DE360" s="8">
        <f>0</f>
        <v>0</v>
      </c>
      <c r="DG360" s="5" t="s">
        <v>238</v>
      </c>
      <c r="DH360" s="5" t="s">
        <v>238</v>
      </c>
      <c r="DI360" s="5" t="s">
        <v>238</v>
      </c>
      <c r="DJ360" s="5" t="s">
        <v>238</v>
      </c>
      <c r="DK360" s="5" t="s">
        <v>271</v>
      </c>
      <c r="DL360" s="5" t="s">
        <v>272</v>
      </c>
      <c r="DM360" s="7">
        <f>902</f>
        <v>902</v>
      </c>
      <c r="DN360" s="5" t="s">
        <v>238</v>
      </c>
      <c r="DO360" s="5" t="s">
        <v>238</v>
      </c>
      <c r="DP360" s="5" t="s">
        <v>238</v>
      </c>
      <c r="DQ360" s="5" t="s">
        <v>238</v>
      </c>
      <c r="DT360" s="5" t="s">
        <v>499</v>
      </c>
      <c r="DU360" s="5" t="s">
        <v>274</v>
      </c>
      <c r="GL360" s="5" t="s">
        <v>1753</v>
      </c>
      <c r="HM360" s="5" t="s">
        <v>313</v>
      </c>
      <c r="HP360" s="5" t="s">
        <v>272</v>
      </c>
      <c r="HQ360" s="5" t="s">
        <v>272</v>
      </c>
      <c r="HR360" s="5" t="s">
        <v>238</v>
      </c>
      <c r="HS360" s="5" t="s">
        <v>238</v>
      </c>
      <c r="HT360" s="5" t="s">
        <v>238</v>
      </c>
      <c r="HU360" s="5" t="s">
        <v>238</v>
      </c>
      <c r="HV360" s="5" t="s">
        <v>238</v>
      </c>
      <c r="HW360" s="5" t="s">
        <v>238</v>
      </c>
      <c r="HX360" s="5" t="s">
        <v>238</v>
      </c>
      <c r="HY360" s="5" t="s">
        <v>238</v>
      </c>
      <c r="HZ360" s="5" t="s">
        <v>238</v>
      </c>
      <c r="IA360" s="5" t="s">
        <v>238</v>
      </c>
      <c r="IB360" s="5" t="s">
        <v>238</v>
      </c>
      <c r="IC360" s="5" t="s">
        <v>238</v>
      </c>
      <c r="ID360" s="5" t="s">
        <v>238</v>
      </c>
    </row>
    <row r="361" spans="1:238" x14ac:dyDescent="0.4">
      <c r="A361" s="5">
        <v>397</v>
      </c>
      <c r="B361" s="5">
        <v>1</v>
      </c>
      <c r="C361" s="5">
        <v>1</v>
      </c>
      <c r="D361" s="5" t="s">
        <v>497</v>
      </c>
      <c r="E361" s="5" t="s">
        <v>347</v>
      </c>
      <c r="F361" s="5" t="s">
        <v>282</v>
      </c>
      <c r="G361" s="5" t="s">
        <v>3027</v>
      </c>
      <c r="H361" s="6" t="s">
        <v>498</v>
      </c>
      <c r="I361" s="5" t="s">
        <v>3027</v>
      </c>
      <c r="J361" s="7">
        <f>35</f>
        <v>35</v>
      </c>
      <c r="K361" s="5" t="s">
        <v>270</v>
      </c>
      <c r="L361" s="8">
        <f>1</f>
        <v>1</v>
      </c>
      <c r="M361" s="8">
        <f>5705000</f>
        <v>5705000</v>
      </c>
      <c r="N361" s="6" t="s">
        <v>1069</v>
      </c>
      <c r="O361" s="5" t="s">
        <v>268</v>
      </c>
      <c r="P361" s="5" t="s">
        <v>784</v>
      </c>
      <c r="R361" s="8">
        <f>5704999</f>
        <v>5704999</v>
      </c>
      <c r="S361" s="5" t="s">
        <v>240</v>
      </c>
      <c r="T361" s="5" t="s">
        <v>237</v>
      </c>
      <c r="U361" s="5" t="s">
        <v>238</v>
      </c>
      <c r="V361" s="5" t="s">
        <v>238</v>
      </c>
      <c r="W361" s="5" t="s">
        <v>241</v>
      </c>
      <c r="X361" s="5" t="s">
        <v>337</v>
      </c>
      <c r="Y361" s="5" t="s">
        <v>238</v>
      </c>
      <c r="AB361" s="5" t="s">
        <v>238</v>
      </c>
      <c r="AD361" s="6" t="s">
        <v>238</v>
      </c>
      <c r="AG361" s="6" t="s">
        <v>246</v>
      </c>
      <c r="AH361" s="5" t="s">
        <v>247</v>
      </c>
      <c r="AI361" s="5" t="s">
        <v>248</v>
      </c>
      <c r="AY361" s="5" t="s">
        <v>250</v>
      </c>
      <c r="AZ361" s="5" t="s">
        <v>238</v>
      </c>
      <c r="BA361" s="5" t="s">
        <v>251</v>
      </c>
      <c r="BB361" s="5" t="s">
        <v>238</v>
      </c>
      <c r="BC361" s="5" t="s">
        <v>253</v>
      </c>
      <c r="BD361" s="5" t="s">
        <v>238</v>
      </c>
      <c r="BF361" s="5" t="s">
        <v>238</v>
      </c>
      <c r="BH361" s="5" t="s">
        <v>254</v>
      </c>
      <c r="BI361" s="6" t="s">
        <v>246</v>
      </c>
      <c r="BJ361" s="5" t="s">
        <v>255</v>
      </c>
      <c r="BK361" s="5" t="s">
        <v>256</v>
      </c>
      <c r="BL361" s="5" t="s">
        <v>238</v>
      </c>
      <c r="BM361" s="7">
        <f>0</f>
        <v>0</v>
      </c>
      <c r="BN361" s="8">
        <f>0</f>
        <v>0</v>
      </c>
      <c r="BO361" s="5" t="s">
        <v>257</v>
      </c>
      <c r="BP361" s="5" t="s">
        <v>258</v>
      </c>
      <c r="CD361" s="5" t="s">
        <v>238</v>
      </c>
      <c r="CE361" s="5" t="s">
        <v>238</v>
      </c>
      <c r="CI361" s="5" t="s">
        <v>259</v>
      </c>
      <c r="CJ361" s="5" t="s">
        <v>260</v>
      </c>
      <c r="CK361" s="5" t="s">
        <v>238</v>
      </c>
      <c r="CM361" s="5" t="s">
        <v>1064</v>
      </c>
      <c r="CN361" s="6" t="s">
        <v>262</v>
      </c>
      <c r="CO361" s="5" t="s">
        <v>263</v>
      </c>
      <c r="CP361" s="5" t="s">
        <v>264</v>
      </c>
      <c r="CQ361" s="5" t="s">
        <v>238</v>
      </c>
      <c r="CR361" s="5" t="s">
        <v>238</v>
      </c>
      <c r="CS361" s="5">
        <v>0</v>
      </c>
      <c r="CT361" s="5" t="s">
        <v>265</v>
      </c>
      <c r="CU361" s="5" t="s">
        <v>351</v>
      </c>
      <c r="CV361" s="5" t="s">
        <v>394</v>
      </c>
      <c r="CX361" s="8">
        <f>5705000</f>
        <v>5705000</v>
      </c>
      <c r="CY361" s="8">
        <f>0</f>
        <v>0</v>
      </c>
      <c r="DA361" s="5" t="s">
        <v>238</v>
      </c>
      <c r="DB361" s="5" t="s">
        <v>238</v>
      </c>
      <c r="DD361" s="5" t="s">
        <v>238</v>
      </c>
      <c r="DG361" s="5" t="s">
        <v>238</v>
      </c>
      <c r="DH361" s="5" t="s">
        <v>238</v>
      </c>
      <c r="DI361" s="5" t="s">
        <v>238</v>
      </c>
      <c r="DJ361" s="5" t="s">
        <v>238</v>
      </c>
      <c r="DK361" s="5" t="s">
        <v>271</v>
      </c>
      <c r="DL361" s="5" t="s">
        <v>272</v>
      </c>
      <c r="DM361" s="7">
        <f>35</f>
        <v>35</v>
      </c>
      <c r="DN361" s="5" t="s">
        <v>238</v>
      </c>
      <c r="DO361" s="5" t="s">
        <v>238</v>
      </c>
      <c r="DP361" s="5" t="s">
        <v>238</v>
      </c>
      <c r="DQ361" s="5" t="s">
        <v>238</v>
      </c>
      <c r="DT361" s="5" t="s">
        <v>499</v>
      </c>
      <c r="DU361" s="5" t="s">
        <v>356</v>
      </c>
      <c r="HM361" s="5" t="s">
        <v>271</v>
      </c>
      <c r="HP361" s="5" t="s">
        <v>272</v>
      </c>
      <c r="HQ361" s="5" t="s">
        <v>272</v>
      </c>
    </row>
    <row r="362" spans="1:238" x14ac:dyDescent="0.4">
      <c r="A362" s="5">
        <v>398</v>
      </c>
      <c r="B362" s="5">
        <v>1</v>
      </c>
      <c r="C362" s="5">
        <v>1</v>
      </c>
      <c r="D362" s="5" t="s">
        <v>497</v>
      </c>
      <c r="E362" s="5" t="s">
        <v>347</v>
      </c>
      <c r="F362" s="5" t="s">
        <v>282</v>
      </c>
      <c r="G362" s="5" t="s">
        <v>2433</v>
      </c>
      <c r="H362" s="6" t="s">
        <v>498</v>
      </c>
      <c r="I362" s="5" t="s">
        <v>2433</v>
      </c>
      <c r="J362" s="7">
        <f>12</f>
        <v>12</v>
      </c>
      <c r="K362" s="5" t="s">
        <v>270</v>
      </c>
      <c r="L362" s="8">
        <f>1</f>
        <v>1</v>
      </c>
      <c r="M362" s="8">
        <f>1092000</f>
        <v>1092000</v>
      </c>
      <c r="N362" s="6" t="s">
        <v>1069</v>
      </c>
      <c r="O362" s="5" t="s">
        <v>268</v>
      </c>
      <c r="P362" s="5" t="s">
        <v>784</v>
      </c>
      <c r="R362" s="8">
        <f>1091999</f>
        <v>1091999</v>
      </c>
      <c r="S362" s="5" t="s">
        <v>240</v>
      </c>
      <c r="T362" s="5" t="s">
        <v>237</v>
      </c>
      <c r="U362" s="5" t="s">
        <v>238</v>
      </c>
      <c r="V362" s="5" t="s">
        <v>238</v>
      </c>
      <c r="W362" s="5" t="s">
        <v>241</v>
      </c>
      <c r="X362" s="5" t="s">
        <v>337</v>
      </c>
      <c r="Y362" s="5" t="s">
        <v>238</v>
      </c>
      <c r="AB362" s="5" t="s">
        <v>238</v>
      </c>
      <c r="AD362" s="6" t="s">
        <v>238</v>
      </c>
      <c r="AG362" s="6" t="s">
        <v>246</v>
      </c>
      <c r="AH362" s="5" t="s">
        <v>247</v>
      </c>
      <c r="AI362" s="5" t="s">
        <v>248</v>
      </c>
      <c r="AY362" s="5" t="s">
        <v>250</v>
      </c>
      <c r="AZ362" s="5" t="s">
        <v>238</v>
      </c>
      <c r="BA362" s="5" t="s">
        <v>251</v>
      </c>
      <c r="BB362" s="5" t="s">
        <v>238</v>
      </c>
      <c r="BC362" s="5" t="s">
        <v>253</v>
      </c>
      <c r="BD362" s="5" t="s">
        <v>238</v>
      </c>
      <c r="BF362" s="5" t="s">
        <v>238</v>
      </c>
      <c r="BH362" s="5" t="s">
        <v>254</v>
      </c>
      <c r="BI362" s="6" t="s">
        <v>246</v>
      </c>
      <c r="BJ362" s="5" t="s">
        <v>255</v>
      </c>
      <c r="BK362" s="5" t="s">
        <v>256</v>
      </c>
      <c r="BL362" s="5" t="s">
        <v>238</v>
      </c>
      <c r="BM362" s="7">
        <f>0</f>
        <v>0</v>
      </c>
      <c r="BN362" s="8">
        <f>0</f>
        <v>0</v>
      </c>
      <c r="BO362" s="5" t="s">
        <v>257</v>
      </c>
      <c r="BP362" s="5" t="s">
        <v>258</v>
      </c>
      <c r="CD362" s="5" t="s">
        <v>238</v>
      </c>
      <c r="CE362" s="5" t="s">
        <v>238</v>
      </c>
      <c r="CI362" s="5" t="s">
        <v>259</v>
      </c>
      <c r="CJ362" s="5" t="s">
        <v>260</v>
      </c>
      <c r="CK362" s="5" t="s">
        <v>238</v>
      </c>
      <c r="CM362" s="5" t="s">
        <v>1064</v>
      </c>
      <c r="CN362" s="6" t="s">
        <v>262</v>
      </c>
      <c r="CO362" s="5" t="s">
        <v>263</v>
      </c>
      <c r="CP362" s="5" t="s">
        <v>264</v>
      </c>
      <c r="CQ362" s="5" t="s">
        <v>238</v>
      </c>
      <c r="CR362" s="5" t="s">
        <v>238</v>
      </c>
      <c r="CS362" s="5">
        <v>0</v>
      </c>
      <c r="CT362" s="5" t="s">
        <v>265</v>
      </c>
      <c r="CU362" s="5" t="s">
        <v>2381</v>
      </c>
      <c r="CV362" s="5" t="s">
        <v>267</v>
      </c>
      <c r="CX362" s="8">
        <f>1092000</f>
        <v>1092000</v>
      </c>
      <c r="CY362" s="8">
        <f>0</f>
        <v>0</v>
      </c>
      <c r="DA362" s="5" t="s">
        <v>238</v>
      </c>
      <c r="DB362" s="5" t="s">
        <v>238</v>
      </c>
      <c r="DD362" s="5" t="s">
        <v>238</v>
      </c>
      <c r="DG362" s="5" t="s">
        <v>238</v>
      </c>
      <c r="DH362" s="5" t="s">
        <v>238</v>
      </c>
      <c r="DI362" s="5" t="s">
        <v>238</v>
      </c>
      <c r="DJ362" s="5" t="s">
        <v>238</v>
      </c>
      <c r="DK362" s="5" t="s">
        <v>271</v>
      </c>
      <c r="DL362" s="5" t="s">
        <v>272</v>
      </c>
      <c r="DM362" s="7">
        <f>12</f>
        <v>12</v>
      </c>
      <c r="DN362" s="5" t="s">
        <v>238</v>
      </c>
      <c r="DO362" s="5" t="s">
        <v>238</v>
      </c>
      <c r="DP362" s="5" t="s">
        <v>238</v>
      </c>
      <c r="DQ362" s="5" t="s">
        <v>238</v>
      </c>
      <c r="DT362" s="5" t="s">
        <v>499</v>
      </c>
      <c r="DU362" s="5" t="s">
        <v>310</v>
      </c>
      <c r="HM362" s="5" t="s">
        <v>271</v>
      </c>
      <c r="HP362" s="5" t="s">
        <v>272</v>
      </c>
      <c r="HQ362" s="5" t="s">
        <v>272</v>
      </c>
    </row>
    <row r="363" spans="1:238" x14ac:dyDescent="0.4">
      <c r="A363" s="5">
        <v>399</v>
      </c>
      <c r="B363" s="5">
        <v>1</v>
      </c>
      <c r="C363" s="5">
        <v>1</v>
      </c>
      <c r="D363" s="5" t="s">
        <v>497</v>
      </c>
      <c r="E363" s="5" t="s">
        <v>347</v>
      </c>
      <c r="F363" s="5" t="s">
        <v>282</v>
      </c>
      <c r="G363" s="5" t="s">
        <v>1309</v>
      </c>
      <c r="H363" s="6" t="s">
        <v>498</v>
      </c>
      <c r="I363" s="5" t="s">
        <v>1309</v>
      </c>
      <c r="J363" s="7">
        <f>2</f>
        <v>2</v>
      </c>
      <c r="K363" s="5" t="s">
        <v>270</v>
      </c>
      <c r="L363" s="8">
        <f>1</f>
        <v>1</v>
      </c>
      <c r="M363" s="8">
        <f>180000</f>
        <v>180000</v>
      </c>
      <c r="N363" s="6" t="s">
        <v>2202</v>
      </c>
      <c r="O363" s="5" t="s">
        <v>268</v>
      </c>
      <c r="P363" s="5" t="s">
        <v>965</v>
      </c>
      <c r="R363" s="8">
        <f>179999</f>
        <v>179999</v>
      </c>
      <c r="S363" s="5" t="s">
        <v>240</v>
      </c>
      <c r="T363" s="5" t="s">
        <v>237</v>
      </c>
      <c r="U363" s="5" t="s">
        <v>238</v>
      </c>
      <c r="V363" s="5" t="s">
        <v>238</v>
      </c>
      <c r="W363" s="5" t="s">
        <v>241</v>
      </c>
      <c r="X363" s="5" t="s">
        <v>337</v>
      </c>
      <c r="Y363" s="5" t="s">
        <v>238</v>
      </c>
      <c r="AB363" s="5" t="s">
        <v>238</v>
      </c>
      <c r="AD363" s="6" t="s">
        <v>238</v>
      </c>
      <c r="AG363" s="6" t="s">
        <v>246</v>
      </c>
      <c r="AH363" s="5" t="s">
        <v>247</v>
      </c>
      <c r="AI363" s="5" t="s">
        <v>248</v>
      </c>
      <c r="AY363" s="5" t="s">
        <v>250</v>
      </c>
      <c r="AZ363" s="5" t="s">
        <v>238</v>
      </c>
      <c r="BA363" s="5" t="s">
        <v>251</v>
      </c>
      <c r="BB363" s="5" t="s">
        <v>238</v>
      </c>
      <c r="BC363" s="5" t="s">
        <v>253</v>
      </c>
      <c r="BD363" s="5" t="s">
        <v>238</v>
      </c>
      <c r="BF363" s="5" t="s">
        <v>238</v>
      </c>
      <c r="BH363" s="5" t="s">
        <v>859</v>
      </c>
      <c r="BI363" s="6" t="s">
        <v>368</v>
      </c>
      <c r="BJ363" s="5" t="s">
        <v>255</v>
      </c>
      <c r="BK363" s="5" t="s">
        <v>256</v>
      </c>
      <c r="BL363" s="5" t="s">
        <v>238</v>
      </c>
      <c r="BM363" s="7">
        <f>0</f>
        <v>0</v>
      </c>
      <c r="BN363" s="8">
        <f>0</f>
        <v>0</v>
      </c>
      <c r="BO363" s="5" t="s">
        <v>257</v>
      </c>
      <c r="BP363" s="5" t="s">
        <v>258</v>
      </c>
      <c r="CD363" s="5" t="s">
        <v>238</v>
      </c>
      <c r="CE363" s="5" t="s">
        <v>238</v>
      </c>
      <c r="CI363" s="5" t="s">
        <v>527</v>
      </c>
      <c r="CJ363" s="5" t="s">
        <v>260</v>
      </c>
      <c r="CK363" s="5" t="s">
        <v>238</v>
      </c>
      <c r="CM363" s="5" t="s">
        <v>964</v>
      </c>
      <c r="CN363" s="6" t="s">
        <v>262</v>
      </c>
      <c r="CO363" s="5" t="s">
        <v>263</v>
      </c>
      <c r="CP363" s="5" t="s">
        <v>264</v>
      </c>
      <c r="CQ363" s="5" t="s">
        <v>238</v>
      </c>
      <c r="CR363" s="5" t="s">
        <v>238</v>
      </c>
      <c r="CS363" s="5">
        <v>0</v>
      </c>
      <c r="CT363" s="5" t="s">
        <v>265</v>
      </c>
      <c r="CU363" s="5" t="s">
        <v>1342</v>
      </c>
      <c r="CV363" s="5" t="s">
        <v>267</v>
      </c>
      <c r="CX363" s="8">
        <f>180000</f>
        <v>180000</v>
      </c>
      <c r="CY363" s="8">
        <f>0</f>
        <v>0</v>
      </c>
      <c r="DA363" s="5" t="s">
        <v>238</v>
      </c>
      <c r="DB363" s="5" t="s">
        <v>238</v>
      </c>
      <c r="DD363" s="5" t="s">
        <v>238</v>
      </c>
      <c r="DG363" s="5" t="s">
        <v>238</v>
      </c>
      <c r="DH363" s="5" t="s">
        <v>238</v>
      </c>
      <c r="DI363" s="5" t="s">
        <v>238</v>
      </c>
      <c r="DJ363" s="5" t="s">
        <v>238</v>
      </c>
      <c r="DK363" s="5" t="s">
        <v>271</v>
      </c>
      <c r="DL363" s="5" t="s">
        <v>272</v>
      </c>
      <c r="DM363" s="7">
        <f>2</f>
        <v>2</v>
      </c>
      <c r="DN363" s="5" t="s">
        <v>238</v>
      </c>
      <c r="DO363" s="5" t="s">
        <v>238</v>
      </c>
      <c r="DP363" s="5" t="s">
        <v>238</v>
      </c>
      <c r="DQ363" s="5" t="s">
        <v>238</v>
      </c>
      <c r="DT363" s="5" t="s">
        <v>499</v>
      </c>
      <c r="DU363" s="5" t="s">
        <v>379</v>
      </c>
      <c r="HM363" s="5" t="s">
        <v>271</v>
      </c>
      <c r="HP363" s="5" t="s">
        <v>272</v>
      </c>
      <c r="HQ363" s="5" t="s">
        <v>272</v>
      </c>
    </row>
    <row r="364" spans="1:238" x14ac:dyDescent="0.4">
      <c r="A364" s="5">
        <v>400</v>
      </c>
      <c r="B364" s="5">
        <v>1</v>
      </c>
      <c r="C364" s="5">
        <v>1</v>
      </c>
      <c r="D364" s="5" t="s">
        <v>497</v>
      </c>
      <c r="E364" s="5" t="s">
        <v>347</v>
      </c>
      <c r="F364" s="5" t="s">
        <v>282</v>
      </c>
      <c r="G364" s="5" t="s">
        <v>239</v>
      </c>
      <c r="H364" s="6" t="s">
        <v>498</v>
      </c>
      <c r="I364" s="5" t="s">
        <v>239</v>
      </c>
      <c r="J364" s="7">
        <f>18</f>
        <v>18</v>
      </c>
      <c r="K364" s="5" t="s">
        <v>270</v>
      </c>
      <c r="L364" s="8">
        <f>1</f>
        <v>1</v>
      </c>
      <c r="M364" s="8">
        <f>2196000</f>
        <v>2196000</v>
      </c>
      <c r="N364" s="6" t="s">
        <v>1069</v>
      </c>
      <c r="O364" s="5" t="s">
        <v>651</v>
      </c>
      <c r="P364" s="5" t="s">
        <v>784</v>
      </c>
      <c r="R364" s="8">
        <f>2195999</f>
        <v>2195999</v>
      </c>
      <c r="S364" s="5" t="s">
        <v>240</v>
      </c>
      <c r="T364" s="5" t="s">
        <v>237</v>
      </c>
      <c r="U364" s="5" t="s">
        <v>238</v>
      </c>
      <c r="V364" s="5" t="s">
        <v>238</v>
      </c>
      <c r="W364" s="5" t="s">
        <v>241</v>
      </c>
      <c r="X364" s="5" t="s">
        <v>337</v>
      </c>
      <c r="Y364" s="5" t="s">
        <v>238</v>
      </c>
      <c r="AB364" s="5" t="s">
        <v>238</v>
      </c>
      <c r="AD364" s="6" t="s">
        <v>238</v>
      </c>
      <c r="AG364" s="6" t="s">
        <v>246</v>
      </c>
      <c r="AH364" s="5" t="s">
        <v>247</v>
      </c>
      <c r="AI364" s="5" t="s">
        <v>248</v>
      </c>
      <c r="AY364" s="5" t="s">
        <v>250</v>
      </c>
      <c r="AZ364" s="5" t="s">
        <v>238</v>
      </c>
      <c r="BA364" s="5" t="s">
        <v>251</v>
      </c>
      <c r="BB364" s="5" t="s">
        <v>238</v>
      </c>
      <c r="BC364" s="5" t="s">
        <v>253</v>
      </c>
      <c r="BD364" s="5" t="s">
        <v>238</v>
      </c>
      <c r="BF364" s="5" t="s">
        <v>238</v>
      </c>
      <c r="BH364" s="5" t="s">
        <v>697</v>
      </c>
      <c r="BI364" s="6" t="s">
        <v>698</v>
      </c>
      <c r="BJ364" s="5" t="s">
        <v>255</v>
      </c>
      <c r="BK364" s="5" t="s">
        <v>256</v>
      </c>
      <c r="BL364" s="5" t="s">
        <v>238</v>
      </c>
      <c r="BM364" s="7">
        <f>0</f>
        <v>0</v>
      </c>
      <c r="BN364" s="8">
        <f>0</f>
        <v>0</v>
      </c>
      <c r="BO364" s="5" t="s">
        <v>257</v>
      </c>
      <c r="BP364" s="5" t="s">
        <v>258</v>
      </c>
      <c r="CD364" s="5" t="s">
        <v>238</v>
      </c>
      <c r="CE364" s="5" t="s">
        <v>238</v>
      </c>
      <c r="CI364" s="5" t="s">
        <v>259</v>
      </c>
      <c r="CJ364" s="5" t="s">
        <v>260</v>
      </c>
      <c r="CK364" s="5" t="s">
        <v>238</v>
      </c>
      <c r="CM364" s="5" t="s">
        <v>1064</v>
      </c>
      <c r="CN364" s="6" t="s">
        <v>262</v>
      </c>
      <c r="CO364" s="5" t="s">
        <v>263</v>
      </c>
      <c r="CP364" s="5" t="s">
        <v>264</v>
      </c>
      <c r="CQ364" s="5" t="s">
        <v>238</v>
      </c>
      <c r="CR364" s="5" t="s">
        <v>238</v>
      </c>
      <c r="CS364" s="5">
        <v>0</v>
      </c>
      <c r="CT364" s="5" t="s">
        <v>265</v>
      </c>
      <c r="CU364" s="5" t="s">
        <v>266</v>
      </c>
      <c r="CV364" s="5" t="s">
        <v>331</v>
      </c>
      <c r="CX364" s="8">
        <f>2196000</f>
        <v>2196000</v>
      </c>
      <c r="CY364" s="8">
        <f>0</f>
        <v>0</v>
      </c>
      <c r="DA364" s="5" t="s">
        <v>238</v>
      </c>
      <c r="DB364" s="5" t="s">
        <v>238</v>
      </c>
      <c r="DD364" s="5" t="s">
        <v>238</v>
      </c>
      <c r="DG364" s="5" t="s">
        <v>238</v>
      </c>
      <c r="DH364" s="5" t="s">
        <v>238</v>
      </c>
      <c r="DI364" s="5" t="s">
        <v>238</v>
      </c>
      <c r="DJ364" s="5" t="s">
        <v>238</v>
      </c>
      <c r="DK364" s="5" t="s">
        <v>271</v>
      </c>
      <c r="DL364" s="5" t="s">
        <v>272</v>
      </c>
      <c r="DM364" s="7">
        <f>18</f>
        <v>18</v>
      </c>
      <c r="DN364" s="5" t="s">
        <v>238</v>
      </c>
      <c r="DO364" s="5" t="s">
        <v>238</v>
      </c>
      <c r="DP364" s="5" t="s">
        <v>238</v>
      </c>
      <c r="DQ364" s="5" t="s">
        <v>238</v>
      </c>
      <c r="DT364" s="5" t="s">
        <v>499</v>
      </c>
      <c r="DU364" s="5" t="s">
        <v>313</v>
      </c>
      <c r="HM364" s="5" t="s">
        <v>271</v>
      </c>
      <c r="HP364" s="5" t="s">
        <v>272</v>
      </c>
      <c r="HQ364" s="5" t="s">
        <v>272</v>
      </c>
    </row>
    <row r="365" spans="1:238" x14ac:dyDescent="0.4">
      <c r="A365" s="5">
        <v>401</v>
      </c>
      <c r="B365" s="5">
        <v>1</v>
      </c>
      <c r="C365" s="5">
        <v>1</v>
      </c>
      <c r="D365" s="5" t="s">
        <v>497</v>
      </c>
      <c r="E365" s="5" t="s">
        <v>347</v>
      </c>
      <c r="F365" s="5" t="s">
        <v>282</v>
      </c>
      <c r="G365" s="5" t="s">
        <v>239</v>
      </c>
      <c r="H365" s="6" t="s">
        <v>498</v>
      </c>
      <c r="I365" s="5" t="s">
        <v>239</v>
      </c>
      <c r="J365" s="7">
        <f>19</f>
        <v>19</v>
      </c>
      <c r="K365" s="5" t="s">
        <v>270</v>
      </c>
      <c r="L365" s="8">
        <f>1</f>
        <v>1</v>
      </c>
      <c r="M365" s="8">
        <f>1729000</f>
        <v>1729000</v>
      </c>
      <c r="N365" s="6" t="s">
        <v>1068</v>
      </c>
      <c r="O365" s="5" t="s">
        <v>268</v>
      </c>
      <c r="P365" s="5" t="s">
        <v>332</v>
      </c>
      <c r="R365" s="8">
        <f>1728999</f>
        <v>1728999</v>
      </c>
      <c r="S365" s="5" t="s">
        <v>240</v>
      </c>
      <c r="T365" s="5" t="s">
        <v>237</v>
      </c>
      <c r="U365" s="5" t="s">
        <v>238</v>
      </c>
      <c r="V365" s="5" t="s">
        <v>238</v>
      </c>
      <c r="W365" s="5" t="s">
        <v>241</v>
      </c>
      <c r="X365" s="5" t="s">
        <v>337</v>
      </c>
      <c r="Y365" s="5" t="s">
        <v>238</v>
      </c>
      <c r="AB365" s="5" t="s">
        <v>238</v>
      </c>
      <c r="AD365" s="6" t="s">
        <v>238</v>
      </c>
      <c r="AG365" s="6" t="s">
        <v>246</v>
      </c>
      <c r="AH365" s="5" t="s">
        <v>247</v>
      </c>
      <c r="AI365" s="5" t="s">
        <v>248</v>
      </c>
      <c r="AY365" s="5" t="s">
        <v>250</v>
      </c>
      <c r="AZ365" s="5" t="s">
        <v>238</v>
      </c>
      <c r="BA365" s="5" t="s">
        <v>251</v>
      </c>
      <c r="BB365" s="5" t="s">
        <v>238</v>
      </c>
      <c r="BC365" s="5" t="s">
        <v>253</v>
      </c>
      <c r="BD365" s="5" t="s">
        <v>238</v>
      </c>
      <c r="BF365" s="5" t="s">
        <v>238</v>
      </c>
      <c r="BH365" s="5" t="s">
        <v>798</v>
      </c>
      <c r="BI365" s="6" t="s">
        <v>799</v>
      </c>
      <c r="BJ365" s="5" t="s">
        <v>255</v>
      </c>
      <c r="BK365" s="5" t="s">
        <v>256</v>
      </c>
      <c r="BL365" s="5" t="s">
        <v>238</v>
      </c>
      <c r="BM365" s="7">
        <f>0</f>
        <v>0</v>
      </c>
      <c r="BN365" s="8">
        <f>0</f>
        <v>0</v>
      </c>
      <c r="BO365" s="5" t="s">
        <v>257</v>
      </c>
      <c r="BP365" s="5" t="s">
        <v>258</v>
      </c>
      <c r="CD365" s="5" t="s">
        <v>238</v>
      </c>
      <c r="CE365" s="5" t="s">
        <v>238</v>
      </c>
      <c r="CI365" s="5" t="s">
        <v>259</v>
      </c>
      <c r="CJ365" s="5" t="s">
        <v>260</v>
      </c>
      <c r="CK365" s="5" t="s">
        <v>238</v>
      </c>
      <c r="CM365" s="5" t="s">
        <v>882</v>
      </c>
      <c r="CN365" s="6" t="s">
        <v>262</v>
      </c>
      <c r="CO365" s="5" t="s">
        <v>263</v>
      </c>
      <c r="CP365" s="5" t="s">
        <v>264</v>
      </c>
      <c r="CQ365" s="5" t="s">
        <v>238</v>
      </c>
      <c r="CR365" s="5" t="s">
        <v>238</v>
      </c>
      <c r="CS365" s="5">
        <v>0</v>
      </c>
      <c r="CT365" s="5" t="s">
        <v>265</v>
      </c>
      <c r="CU365" s="5" t="s">
        <v>266</v>
      </c>
      <c r="CV365" s="5" t="s">
        <v>267</v>
      </c>
      <c r="CX365" s="8">
        <f>1729000</f>
        <v>1729000</v>
      </c>
      <c r="CY365" s="8">
        <f>0</f>
        <v>0</v>
      </c>
      <c r="DA365" s="5" t="s">
        <v>238</v>
      </c>
      <c r="DB365" s="5" t="s">
        <v>238</v>
      </c>
      <c r="DD365" s="5" t="s">
        <v>238</v>
      </c>
      <c r="DG365" s="5" t="s">
        <v>238</v>
      </c>
      <c r="DH365" s="5" t="s">
        <v>238</v>
      </c>
      <c r="DI365" s="5" t="s">
        <v>238</v>
      </c>
      <c r="DJ365" s="5" t="s">
        <v>238</v>
      </c>
      <c r="DK365" s="5" t="s">
        <v>271</v>
      </c>
      <c r="DL365" s="5" t="s">
        <v>272</v>
      </c>
      <c r="DM365" s="7">
        <f>19</f>
        <v>19</v>
      </c>
      <c r="DN365" s="5" t="s">
        <v>238</v>
      </c>
      <c r="DO365" s="5" t="s">
        <v>238</v>
      </c>
      <c r="DP365" s="5" t="s">
        <v>238</v>
      </c>
      <c r="DQ365" s="5" t="s">
        <v>238</v>
      </c>
      <c r="DT365" s="5" t="s">
        <v>499</v>
      </c>
      <c r="DU365" s="5" t="s">
        <v>389</v>
      </c>
      <c r="HM365" s="5" t="s">
        <v>271</v>
      </c>
      <c r="HP365" s="5" t="s">
        <v>272</v>
      </c>
      <c r="HQ365" s="5" t="s">
        <v>272</v>
      </c>
    </row>
    <row r="366" spans="1:238" x14ac:dyDescent="0.4">
      <c r="A366" s="5">
        <v>402</v>
      </c>
      <c r="B366" s="5">
        <v>1</v>
      </c>
      <c r="C366" s="5">
        <v>4</v>
      </c>
      <c r="D366" s="5" t="s">
        <v>497</v>
      </c>
      <c r="E366" s="5" t="s">
        <v>347</v>
      </c>
      <c r="F366" s="5" t="s">
        <v>282</v>
      </c>
      <c r="G366" s="5" t="s">
        <v>349</v>
      </c>
      <c r="H366" s="6" t="s">
        <v>498</v>
      </c>
      <c r="I366" s="5" t="s">
        <v>363</v>
      </c>
      <c r="J366" s="7">
        <f>0</f>
        <v>0</v>
      </c>
      <c r="K366" s="5" t="s">
        <v>270</v>
      </c>
      <c r="L366" s="8">
        <f>503530</f>
        <v>503530</v>
      </c>
      <c r="M366" s="8">
        <f>687882</f>
        <v>687882</v>
      </c>
      <c r="N366" s="6" t="s">
        <v>401</v>
      </c>
      <c r="O366" s="5" t="s">
        <v>268</v>
      </c>
      <c r="P366" s="5" t="s">
        <v>274</v>
      </c>
      <c r="Q366" s="8">
        <f>46088</f>
        <v>46088</v>
      </c>
      <c r="R366" s="8">
        <f>184352</f>
        <v>184352</v>
      </c>
      <c r="S366" s="5" t="s">
        <v>240</v>
      </c>
      <c r="T366" s="5" t="s">
        <v>287</v>
      </c>
      <c r="U366" s="5" t="s">
        <v>238</v>
      </c>
      <c r="V366" s="5" t="s">
        <v>238</v>
      </c>
      <c r="W366" s="5" t="s">
        <v>241</v>
      </c>
      <c r="X366" s="5" t="s">
        <v>238</v>
      </c>
      <c r="Y366" s="5" t="s">
        <v>238</v>
      </c>
      <c r="AB366" s="5" t="s">
        <v>238</v>
      </c>
      <c r="AC366" s="6" t="s">
        <v>238</v>
      </c>
      <c r="AD366" s="6" t="s">
        <v>238</v>
      </c>
      <c r="AF366" s="6" t="s">
        <v>238</v>
      </c>
      <c r="AG366" s="6" t="s">
        <v>246</v>
      </c>
      <c r="AH366" s="5" t="s">
        <v>247</v>
      </c>
      <c r="AI366" s="5" t="s">
        <v>248</v>
      </c>
      <c r="AO366" s="5" t="s">
        <v>238</v>
      </c>
      <c r="AP366" s="5" t="s">
        <v>238</v>
      </c>
      <c r="AQ366" s="5" t="s">
        <v>238</v>
      </c>
      <c r="AR366" s="6" t="s">
        <v>238</v>
      </c>
      <c r="AS366" s="6" t="s">
        <v>238</v>
      </c>
      <c r="AT366" s="6" t="s">
        <v>238</v>
      </c>
      <c r="AW366" s="5" t="s">
        <v>304</v>
      </c>
      <c r="AX366" s="5" t="s">
        <v>304</v>
      </c>
      <c r="AY366" s="5" t="s">
        <v>250</v>
      </c>
      <c r="AZ366" s="5" t="s">
        <v>305</v>
      </c>
      <c r="BA366" s="5" t="s">
        <v>251</v>
      </c>
      <c r="BB366" s="5" t="s">
        <v>238</v>
      </c>
      <c r="BC366" s="5" t="s">
        <v>253</v>
      </c>
      <c r="BD366" s="5" t="s">
        <v>238</v>
      </c>
      <c r="BF366" s="5" t="s">
        <v>238</v>
      </c>
      <c r="BH366" s="5" t="s">
        <v>283</v>
      </c>
      <c r="BI366" s="6" t="s">
        <v>293</v>
      </c>
      <c r="BJ366" s="5" t="s">
        <v>294</v>
      </c>
      <c r="BK366" s="5" t="s">
        <v>294</v>
      </c>
      <c r="BL366" s="5" t="s">
        <v>238</v>
      </c>
      <c r="BM366" s="7">
        <f>0</f>
        <v>0</v>
      </c>
      <c r="BN366" s="8">
        <f>-46088</f>
        <v>-46088</v>
      </c>
      <c r="BO366" s="5" t="s">
        <v>257</v>
      </c>
      <c r="BP366" s="5" t="s">
        <v>258</v>
      </c>
      <c r="BQ366" s="5" t="s">
        <v>238</v>
      </c>
      <c r="BR366" s="5" t="s">
        <v>238</v>
      </c>
      <c r="BS366" s="5" t="s">
        <v>238</v>
      </c>
      <c r="BT366" s="5" t="s">
        <v>238</v>
      </c>
      <c r="CC366" s="5" t="s">
        <v>258</v>
      </c>
      <c r="CD366" s="5" t="s">
        <v>238</v>
      </c>
      <c r="CE366" s="5" t="s">
        <v>238</v>
      </c>
      <c r="CI366" s="5" t="s">
        <v>259</v>
      </c>
      <c r="CJ366" s="5" t="s">
        <v>260</v>
      </c>
      <c r="CK366" s="5" t="s">
        <v>238</v>
      </c>
      <c r="CM366" s="5" t="s">
        <v>402</v>
      </c>
      <c r="CN366" s="6" t="s">
        <v>262</v>
      </c>
      <c r="CO366" s="5" t="s">
        <v>263</v>
      </c>
      <c r="CP366" s="5" t="s">
        <v>264</v>
      </c>
      <c r="CQ366" s="5" t="s">
        <v>285</v>
      </c>
      <c r="CR366" s="5" t="s">
        <v>238</v>
      </c>
      <c r="CS366" s="5">
        <v>6.7000000000000004E-2</v>
      </c>
      <c r="CT366" s="5" t="s">
        <v>265</v>
      </c>
      <c r="CU366" s="5" t="s">
        <v>351</v>
      </c>
      <c r="CV366" s="5" t="s">
        <v>365</v>
      </c>
      <c r="CW366" s="7">
        <f>0</f>
        <v>0</v>
      </c>
      <c r="CX366" s="8">
        <f>687882</f>
        <v>687882</v>
      </c>
      <c r="CY366" s="8">
        <f>549618</f>
        <v>549618</v>
      </c>
      <c r="DA366" s="5" t="s">
        <v>238</v>
      </c>
      <c r="DB366" s="5" t="s">
        <v>238</v>
      </c>
      <c r="DD366" s="5" t="s">
        <v>238</v>
      </c>
      <c r="DE366" s="8">
        <f>0</f>
        <v>0</v>
      </c>
      <c r="DG366" s="5" t="s">
        <v>238</v>
      </c>
      <c r="DH366" s="5" t="s">
        <v>238</v>
      </c>
      <c r="DI366" s="5" t="s">
        <v>238</v>
      </c>
      <c r="DJ366" s="5" t="s">
        <v>238</v>
      </c>
      <c r="DK366" s="5" t="s">
        <v>272</v>
      </c>
      <c r="DL366" s="5" t="s">
        <v>272</v>
      </c>
      <c r="DM366" s="8" t="s">
        <v>238</v>
      </c>
      <c r="DN366" s="5" t="s">
        <v>238</v>
      </c>
      <c r="DO366" s="5" t="s">
        <v>238</v>
      </c>
      <c r="DP366" s="5" t="s">
        <v>238</v>
      </c>
      <c r="DQ366" s="5" t="s">
        <v>238</v>
      </c>
      <c r="DT366" s="5" t="s">
        <v>499</v>
      </c>
      <c r="DU366" s="5" t="s">
        <v>354</v>
      </c>
      <c r="GL366" s="5" t="s">
        <v>501</v>
      </c>
      <c r="HM366" s="5" t="s">
        <v>310</v>
      </c>
      <c r="HP366" s="5" t="s">
        <v>272</v>
      </c>
      <c r="HQ366" s="5" t="s">
        <v>272</v>
      </c>
      <c r="HR366" s="5" t="s">
        <v>238</v>
      </c>
      <c r="HS366" s="5" t="s">
        <v>238</v>
      </c>
      <c r="HT366" s="5" t="s">
        <v>238</v>
      </c>
      <c r="HU366" s="5" t="s">
        <v>238</v>
      </c>
      <c r="HV366" s="5" t="s">
        <v>238</v>
      </c>
      <c r="HW366" s="5" t="s">
        <v>238</v>
      </c>
      <c r="HX366" s="5" t="s">
        <v>238</v>
      </c>
      <c r="HY366" s="5" t="s">
        <v>238</v>
      </c>
      <c r="HZ366" s="5" t="s">
        <v>238</v>
      </c>
      <c r="IA366" s="5" t="s">
        <v>238</v>
      </c>
      <c r="IB366" s="5" t="s">
        <v>238</v>
      </c>
      <c r="IC366" s="5" t="s">
        <v>238</v>
      </c>
      <c r="ID366" s="5" t="s">
        <v>238</v>
      </c>
    </row>
    <row r="367" spans="1:238" x14ac:dyDescent="0.4">
      <c r="A367" s="5">
        <v>403</v>
      </c>
      <c r="B367" s="5">
        <v>1</v>
      </c>
      <c r="C367" s="5">
        <v>4</v>
      </c>
      <c r="D367" s="5" t="s">
        <v>497</v>
      </c>
      <c r="E367" s="5" t="s">
        <v>347</v>
      </c>
      <c r="F367" s="5" t="s">
        <v>282</v>
      </c>
      <c r="G367" s="5" t="s">
        <v>349</v>
      </c>
      <c r="H367" s="6" t="s">
        <v>498</v>
      </c>
      <c r="I367" s="5" t="s">
        <v>345</v>
      </c>
      <c r="J367" s="7">
        <f>0</f>
        <v>0</v>
      </c>
      <c r="K367" s="5" t="s">
        <v>270</v>
      </c>
      <c r="L367" s="8">
        <f>25507294</f>
        <v>25507294</v>
      </c>
      <c r="M367" s="8">
        <f>33169432</f>
        <v>33169432</v>
      </c>
      <c r="N367" s="6" t="s">
        <v>348</v>
      </c>
      <c r="O367" s="5" t="s">
        <v>319</v>
      </c>
      <c r="P367" s="5" t="s">
        <v>271</v>
      </c>
      <c r="Q367" s="8">
        <f>2554046</f>
        <v>2554046</v>
      </c>
      <c r="R367" s="8">
        <f>7662138</f>
        <v>7662138</v>
      </c>
      <c r="S367" s="5" t="s">
        <v>240</v>
      </c>
      <c r="T367" s="5" t="s">
        <v>287</v>
      </c>
      <c r="U367" s="5" t="s">
        <v>238</v>
      </c>
      <c r="V367" s="5" t="s">
        <v>238</v>
      </c>
      <c r="W367" s="5" t="s">
        <v>241</v>
      </c>
      <c r="X367" s="5" t="s">
        <v>238</v>
      </c>
      <c r="Y367" s="5" t="s">
        <v>238</v>
      </c>
      <c r="AB367" s="5" t="s">
        <v>238</v>
      </c>
      <c r="AC367" s="6" t="s">
        <v>238</v>
      </c>
      <c r="AD367" s="6" t="s">
        <v>238</v>
      </c>
      <c r="AF367" s="6" t="s">
        <v>238</v>
      </c>
      <c r="AG367" s="6" t="s">
        <v>246</v>
      </c>
      <c r="AH367" s="5" t="s">
        <v>247</v>
      </c>
      <c r="AI367" s="5" t="s">
        <v>248</v>
      </c>
      <c r="AO367" s="5" t="s">
        <v>238</v>
      </c>
      <c r="AP367" s="5" t="s">
        <v>238</v>
      </c>
      <c r="AQ367" s="5" t="s">
        <v>238</v>
      </c>
      <c r="AR367" s="6" t="s">
        <v>238</v>
      </c>
      <c r="AS367" s="6" t="s">
        <v>238</v>
      </c>
      <c r="AT367" s="6" t="s">
        <v>238</v>
      </c>
      <c r="AW367" s="5" t="s">
        <v>304</v>
      </c>
      <c r="AX367" s="5" t="s">
        <v>304</v>
      </c>
      <c r="AY367" s="5" t="s">
        <v>250</v>
      </c>
      <c r="AZ367" s="5" t="s">
        <v>305</v>
      </c>
      <c r="BA367" s="5" t="s">
        <v>251</v>
      </c>
      <c r="BB367" s="5" t="s">
        <v>238</v>
      </c>
      <c r="BC367" s="5" t="s">
        <v>253</v>
      </c>
      <c r="BD367" s="5" t="s">
        <v>238</v>
      </c>
      <c r="BF367" s="5" t="s">
        <v>238</v>
      </c>
      <c r="BH367" s="5" t="s">
        <v>283</v>
      </c>
      <c r="BI367" s="6" t="s">
        <v>293</v>
      </c>
      <c r="BJ367" s="5" t="s">
        <v>294</v>
      </c>
      <c r="BK367" s="5" t="s">
        <v>294</v>
      </c>
      <c r="BL367" s="5" t="s">
        <v>238</v>
      </c>
      <c r="BM367" s="7">
        <f>0</f>
        <v>0</v>
      </c>
      <c r="BN367" s="8">
        <f>-2554046</f>
        <v>-2554046</v>
      </c>
      <c r="BO367" s="5" t="s">
        <v>257</v>
      </c>
      <c r="BP367" s="5" t="s">
        <v>258</v>
      </c>
      <c r="BQ367" s="5" t="s">
        <v>238</v>
      </c>
      <c r="BR367" s="5" t="s">
        <v>238</v>
      </c>
      <c r="BS367" s="5" t="s">
        <v>238</v>
      </c>
      <c r="BT367" s="5" t="s">
        <v>238</v>
      </c>
      <c r="CC367" s="5" t="s">
        <v>258</v>
      </c>
      <c r="CD367" s="5" t="s">
        <v>238</v>
      </c>
      <c r="CE367" s="5" t="s">
        <v>238</v>
      </c>
      <c r="CI367" s="5" t="s">
        <v>259</v>
      </c>
      <c r="CJ367" s="5" t="s">
        <v>260</v>
      </c>
      <c r="CK367" s="5" t="s">
        <v>238</v>
      </c>
      <c r="CM367" s="5" t="s">
        <v>291</v>
      </c>
      <c r="CN367" s="6" t="s">
        <v>262</v>
      </c>
      <c r="CO367" s="5" t="s">
        <v>263</v>
      </c>
      <c r="CP367" s="5" t="s">
        <v>264</v>
      </c>
      <c r="CQ367" s="5" t="s">
        <v>285</v>
      </c>
      <c r="CR367" s="5" t="s">
        <v>238</v>
      </c>
      <c r="CS367" s="5">
        <v>7.6999999999999999E-2</v>
      </c>
      <c r="CT367" s="5" t="s">
        <v>265</v>
      </c>
      <c r="CU367" s="5" t="s">
        <v>351</v>
      </c>
      <c r="CV367" s="5" t="s">
        <v>352</v>
      </c>
      <c r="CW367" s="7">
        <f>0</f>
        <v>0</v>
      </c>
      <c r="CX367" s="8">
        <f>33169432</f>
        <v>33169432</v>
      </c>
      <c r="CY367" s="8">
        <f>28061340</f>
        <v>28061340</v>
      </c>
      <c r="DA367" s="5" t="s">
        <v>238</v>
      </c>
      <c r="DB367" s="5" t="s">
        <v>238</v>
      </c>
      <c r="DD367" s="5" t="s">
        <v>238</v>
      </c>
      <c r="DE367" s="8">
        <f>0</f>
        <v>0</v>
      </c>
      <c r="DG367" s="5" t="s">
        <v>238</v>
      </c>
      <c r="DH367" s="5" t="s">
        <v>238</v>
      </c>
      <c r="DI367" s="5" t="s">
        <v>238</v>
      </c>
      <c r="DJ367" s="5" t="s">
        <v>238</v>
      </c>
      <c r="DK367" s="5" t="s">
        <v>272</v>
      </c>
      <c r="DL367" s="5" t="s">
        <v>272</v>
      </c>
      <c r="DM367" s="8" t="s">
        <v>238</v>
      </c>
      <c r="DN367" s="5" t="s">
        <v>238</v>
      </c>
      <c r="DO367" s="5" t="s">
        <v>238</v>
      </c>
      <c r="DP367" s="5" t="s">
        <v>238</v>
      </c>
      <c r="DQ367" s="5" t="s">
        <v>238</v>
      </c>
      <c r="DT367" s="5" t="s">
        <v>499</v>
      </c>
      <c r="DU367" s="5" t="s">
        <v>361</v>
      </c>
      <c r="GL367" s="5" t="s">
        <v>500</v>
      </c>
      <c r="HM367" s="5" t="s">
        <v>356</v>
      </c>
      <c r="HP367" s="5" t="s">
        <v>272</v>
      </c>
      <c r="HQ367" s="5" t="s">
        <v>272</v>
      </c>
      <c r="HR367" s="5" t="s">
        <v>238</v>
      </c>
      <c r="HS367" s="5" t="s">
        <v>238</v>
      </c>
      <c r="HT367" s="5" t="s">
        <v>238</v>
      </c>
      <c r="HU367" s="5" t="s">
        <v>238</v>
      </c>
      <c r="HV367" s="5" t="s">
        <v>238</v>
      </c>
      <c r="HW367" s="5" t="s">
        <v>238</v>
      </c>
      <c r="HX367" s="5" t="s">
        <v>238</v>
      </c>
      <c r="HY367" s="5" t="s">
        <v>238</v>
      </c>
      <c r="HZ367" s="5" t="s">
        <v>238</v>
      </c>
      <c r="IA367" s="5" t="s">
        <v>238</v>
      </c>
      <c r="IB367" s="5" t="s">
        <v>238</v>
      </c>
      <c r="IC367" s="5" t="s">
        <v>238</v>
      </c>
      <c r="ID367" s="5" t="s">
        <v>238</v>
      </c>
    </row>
    <row r="368" spans="1:238" x14ac:dyDescent="0.4">
      <c r="A368" s="5">
        <v>404</v>
      </c>
      <c r="B368" s="5">
        <v>1</v>
      </c>
      <c r="C368" s="5">
        <v>1</v>
      </c>
      <c r="D368" s="5" t="s">
        <v>480</v>
      </c>
      <c r="E368" s="5" t="s">
        <v>347</v>
      </c>
      <c r="F368" s="5" t="s">
        <v>282</v>
      </c>
      <c r="G368" s="5" t="s">
        <v>1314</v>
      </c>
      <c r="H368" s="6" t="s">
        <v>481</v>
      </c>
      <c r="I368" s="5" t="s">
        <v>1314</v>
      </c>
      <c r="J368" s="7">
        <f>1622</f>
        <v>1622</v>
      </c>
      <c r="K368" s="5" t="s">
        <v>270</v>
      </c>
      <c r="L368" s="8">
        <f>1</f>
        <v>1</v>
      </c>
      <c r="M368" s="8">
        <f>327644000</f>
        <v>327644000</v>
      </c>
      <c r="N368" s="6" t="s">
        <v>1547</v>
      </c>
      <c r="O368" s="5" t="s">
        <v>286</v>
      </c>
      <c r="P368" s="5" t="s">
        <v>640</v>
      </c>
      <c r="R368" s="8">
        <f>327643999</f>
        <v>327643999</v>
      </c>
      <c r="S368" s="5" t="s">
        <v>240</v>
      </c>
      <c r="T368" s="5" t="s">
        <v>237</v>
      </c>
      <c r="U368" s="5" t="s">
        <v>238</v>
      </c>
      <c r="V368" s="5" t="s">
        <v>238</v>
      </c>
      <c r="W368" s="5" t="s">
        <v>241</v>
      </c>
      <c r="X368" s="5" t="s">
        <v>337</v>
      </c>
      <c r="Y368" s="5" t="s">
        <v>238</v>
      </c>
      <c r="AB368" s="5" t="s">
        <v>238</v>
      </c>
      <c r="AD368" s="6" t="s">
        <v>238</v>
      </c>
      <c r="AG368" s="6" t="s">
        <v>246</v>
      </c>
      <c r="AH368" s="5" t="s">
        <v>247</v>
      </c>
      <c r="AI368" s="5" t="s">
        <v>248</v>
      </c>
      <c r="AY368" s="5" t="s">
        <v>250</v>
      </c>
      <c r="AZ368" s="5" t="s">
        <v>238</v>
      </c>
      <c r="BA368" s="5" t="s">
        <v>251</v>
      </c>
      <c r="BB368" s="5" t="s">
        <v>238</v>
      </c>
      <c r="BC368" s="5" t="s">
        <v>253</v>
      </c>
      <c r="BD368" s="5" t="s">
        <v>238</v>
      </c>
      <c r="BF368" s="5" t="s">
        <v>1495</v>
      </c>
      <c r="BH368" s="5" t="s">
        <v>254</v>
      </c>
      <c r="BI368" s="6" t="s">
        <v>246</v>
      </c>
      <c r="BJ368" s="5" t="s">
        <v>255</v>
      </c>
      <c r="BK368" s="5" t="s">
        <v>256</v>
      </c>
      <c r="BL368" s="5" t="s">
        <v>238</v>
      </c>
      <c r="BM368" s="7">
        <f>0</f>
        <v>0</v>
      </c>
      <c r="BN368" s="8">
        <f>0</f>
        <v>0</v>
      </c>
      <c r="BO368" s="5" t="s">
        <v>257</v>
      </c>
      <c r="BP368" s="5" t="s">
        <v>258</v>
      </c>
      <c r="CD368" s="5" t="s">
        <v>238</v>
      </c>
      <c r="CE368" s="5" t="s">
        <v>238</v>
      </c>
      <c r="CI368" s="5" t="s">
        <v>259</v>
      </c>
      <c r="CJ368" s="5" t="s">
        <v>260</v>
      </c>
      <c r="CK368" s="5" t="s">
        <v>238</v>
      </c>
      <c r="CM368" s="5" t="s">
        <v>342</v>
      </c>
      <c r="CN368" s="6" t="s">
        <v>262</v>
      </c>
      <c r="CO368" s="5" t="s">
        <v>263</v>
      </c>
      <c r="CP368" s="5" t="s">
        <v>264</v>
      </c>
      <c r="CQ368" s="5" t="s">
        <v>238</v>
      </c>
      <c r="CR368" s="5" t="s">
        <v>238</v>
      </c>
      <c r="CS368" s="5">
        <v>0</v>
      </c>
      <c r="CT368" s="5" t="s">
        <v>265</v>
      </c>
      <c r="CU368" s="5" t="s">
        <v>1493</v>
      </c>
      <c r="CV368" s="5" t="s">
        <v>267</v>
      </c>
      <c r="CX368" s="8">
        <f>327644000</f>
        <v>327644000</v>
      </c>
      <c r="CY368" s="8">
        <f>0</f>
        <v>0</v>
      </c>
      <c r="DA368" s="5" t="s">
        <v>238</v>
      </c>
      <c r="DB368" s="5" t="s">
        <v>238</v>
      </c>
      <c r="DD368" s="5" t="s">
        <v>238</v>
      </c>
      <c r="DG368" s="5" t="s">
        <v>238</v>
      </c>
      <c r="DH368" s="5" t="s">
        <v>238</v>
      </c>
      <c r="DI368" s="5" t="s">
        <v>238</v>
      </c>
      <c r="DJ368" s="5" t="s">
        <v>238</v>
      </c>
      <c r="DK368" s="5" t="s">
        <v>274</v>
      </c>
      <c r="DL368" s="5" t="s">
        <v>272</v>
      </c>
      <c r="DM368" s="7">
        <f>1622</f>
        <v>1622</v>
      </c>
      <c r="DN368" s="5" t="s">
        <v>238</v>
      </c>
      <c r="DO368" s="5" t="s">
        <v>238</v>
      </c>
      <c r="DP368" s="5" t="s">
        <v>238</v>
      </c>
      <c r="DQ368" s="5" t="s">
        <v>238</v>
      </c>
      <c r="DT368" s="5" t="s">
        <v>482</v>
      </c>
      <c r="DU368" s="5" t="s">
        <v>271</v>
      </c>
      <c r="HM368" s="5" t="s">
        <v>271</v>
      </c>
      <c r="HP368" s="5" t="s">
        <v>272</v>
      </c>
      <c r="HQ368" s="5" t="s">
        <v>272</v>
      </c>
    </row>
    <row r="369" spans="1:238" x14ac:dyDescent="0.4">
      <c r="A369" s="5">
        <v>405</v>
      </c>
      <c r="B369" s="5">
        <v>1</v>
      </c>
      <c r="C369" s="5">
        <v>4</v>
      </c>
      <c r="D369" s="5" t="s">
        <v>480</v>
      </c>
      <c r="E369" s="5" t="s">
        <v>347</v>
      </c>
      <c r="F369" s="5" t="s">
        <v>282</v>
      </c>
      <c r="G369" s="5" t="s">
        <v>1499</v>
      </c>
      <c r="H369" s="6" t="s">
        <v>481</v>
      </c>
      <c r="I369" s="5" t="s">
        <v>1314</v>
      </c>
      <c r="J369" s="7">
        <f>147</f>
        <v>147</v>
      </c>
      <c r="K369" s="5" t="s">
        <v>270</v>
      </c>
      <c r="L369" s="8">
        <f>8789424</f>
        <v>8789424</v>
      </c>
      <c r="M369" s="8">
        <f>29694000</f>
        <v>29694000</v>
      </c>
      <c r="N369" s="6" t="s">
        <v>1547</v>
      </c>
      <c r="O369" s="5" t="s">
        <v>898</v>
      </c>
      <c r="P369" s="5" t="s">
        <v>332</v>
      </c>
      <c r="Q369" s="8">
        <f>653268</f>
        <v>653268</v>
      </c>
      <c r="R369" s="8">
        <f>20904576</f>
        <v>20904576</v>
      </c>
      <c r="S369" s="5" t="s">
        <v>240</v>
      </c>
      <c r="T369" s="5" t="s">
        <v>237</v>
      </c>
      <c r="U369" s="5" t="s">
        <v>238</v>
      </c>
      <c r="V369" s="5" t="s">
        <v>238</v>
      </c>
      <c r="W369" s="5" t="s">
        <v>241</v>
      </c>
      <c r="X369" s="5" t="s">
        <v>337</v>
      </c>
      <c r="Y369" s="5" t="s">
        <v>238</v>
      </c>
      <c r="AB369" s="5" t="s">
        <v>238</v>
      </c>
      <c r="AC369" s="6" t="s">
        <v>238</v>
      </c>
      <c r="AD369" s="6" t="s">
        <v>238</v>
      </c>
      <c r="AF369" s="6" t="s">
        <v>238</v>
      </c>
      <c r="AG369" s="6" t="s">
        <v>246</v>
      </c>
      <c r="AH369" s="5" t="s">
        <v>247</v>
      </c>
      <c r="AI369" s="5" t="s">
        <v>248</v>
      </c>
      <c r="AO369" s="5" t="s">
        <v>238</v>
      </c>
      <c r="AP369" s="5" t="s">
        <v>238</v>
      </c>
      <c r="AQ369" s="5" t="s">
        <v>238</v>
      </c>
      <c r="AR369" s="6" t="s">
        <v>238</v>
      </c>
      <c r="AS369" s="6" t="s">
        <v>238</v>
      </c>
      <c r="AT369" s="6" t="s">
        <v>238</v>
      </c>
      <c r="AW369" s="5" t="s">
        <v>304</v>
      </c>
      <c r="AX369" s="5" t="s">
        <v>304</v>
      </c>
      <c r="AY369" s="5" t="s">
        <v>250</v>
      </c>
      <c r="AZ369" s="5" t="s">
        <v>305</v>
      </c>
      <c r="BA369" s="5" t="s">
        <v>251</v>
      </c>
      <c r="BB369" s="5" t="s">
        <v>238</v>
      </c>
      <c r="BC369" s="5" t="s">
        <v>253</v>
      </c>
      <c r="BD369" s="5" t="s">
        <v>238</v>
      </c>
      <c r="BF369" s="5" t="s">
        <v>238</v>
      </c>
      <c r="BH369" s="5" t="s">
        <v>283</v>
      </c>
      <c r="BI369" s="6" t="s">
        <v>293</v>
      </c>
      <c r="BJ369" s="5" t="s">
        <v>294</v>
      </c>
      <c r="BK369" s="5" t="s">
        <v>294</v>
      </c>
      <c r="BL369" s="5" t="s">
        <v>238</v>
      </c>
      <c r="BM369" s="7">
        <f>0</f>
        <v>0</v>
      </c>
      <c r="BN369" s="8">
        <f>-653268</f>
        <v>-653268</v>
      </c>
      <c r="BO369" s="5" t="s">
        <v>257</v>
      </c>
      <c r="BP369" s="5" t="s">
        <v>258</v>
      </c>
      <c r="BQ369" s="5" t="s">
        <v>238</v>
      </c>
      <c r="BR369" s="5" t="s">
        <v>238</v>
      </c>
      <c r="BS369" s="5" t="s">
        <v>238</v>
      </c>
      <c r="BT369" s="5" t="s">
        <v>238</v>
      </c>
      <c r="CC369" s="5" t="s">
        <v>258</v>
      </c>
      <c r="CD369" s="5" t="s">
        <v>238</v>
      </c>
      <c r="CE369" s="5" t="s">
        <v>238</v>
      </c>
      <c r="CI369" s="5" t="s">
        <v>259</v>
      </c>
      <c r="CJ369" s="5" t="s">
        <v>260</v>
      </c>
      <c r="CK369" s="5" t="s">
        <v>238</v>
      </c>
      <c r="CM369" s="5" t="s">
        <v>342</v>
      </c>
      <c r="CN369" s="6" t="s">
        <v>262</v>
      </c>
      <c r="CO369" s="5" t="s">
        <v>263</v>
      </c>
      <c r="CP369" s="5" t="s">
        <v>264</v>
      </c>
      <c r="CQ369" s="5" t="s">
        <v>285</v>
      </c>
      <c r="CR369" s="5" t="s">
        <v>238</v>
      </c>
      <c r="CS369" s="5">
        <v>2.1999999999999999E-2</v>
      </c>
      <c r="CT369" s="5" t="s">
        <v>265</v>
      </c>
      <c r="CU369" s="5" t="s">
        <v>1493</v>
      </c>
      <c r="CV369" s="5" t="s">
        <v>308</v>
      </c>
      <c r="CW369" s="7">
        <f>0</f>
        <v>0</v>
      </c>
      <c r="CX369" s="8">
        <f>29694000</f>
        <v>29694000</v>
      </c>
      <c r="CY369" s="8">
        <f>9442692</f>
        <v>9442692</v>
      </c>
      <c r="DA369" s="5" t="s">
        <v>238</v>
      </c>
      <c r="DB369" s="5" t="s">
        <v>238</v>
      </c>
      <c r="DD369" s="5" t="s">
        <v>238</v>
      </c>
      <c r="DE369" s="8">
        <f>0</f>
        <v>0</v>
      </c>
      <c r="DG369" s="5" t="s">
        <v>238</v>
      </c>
      <c r="DH369" s="5" t="s">
        <v>238</v>
      </c>
      <c r="DI369" s="5" t="s">
        <v>238</v>
      </c>
      <c r="DJ369" s="5" t="s">
        <v>238</v>
      </c>
      <c r="DK369" s="5" t="s">
        <v>271</v>
      </c>
      <c r="DL369" s="5" t="s">
        <v>272</v>
      </c>
      <c r="DM369" s="7">
        <f>147</f>
        <v>147</v>
      </c>
      <c r="DN369" s="5" t="s">
        <v>238</v>
      </c>
      <c r="DO369" s="5" t="s">
        <v>238</v>
      </c>
      <c r="DP369" s="5" t="s">
        <v>238</v>
      </c>
      <c r="DQ369" s="5" t="s">
        <v>238</v>
      </c>
      <c r="DT369" s="5" t="s">
        <v>482</v>
      </c>
      <c r="DU369" s="5" t="s">
        <v>274</v>
      </c>
      <c r="GL369" s="5" t="s">
        <v>1548</v>
      </c>
      <c r="HM369" s="5" t="s">
        <v>313</v>
      </c>
      <c r="HP369" s="5" t="s">
        <v>272</v>
      </c>
      <c r="HQ369" s="5" t="s">
        <v>272</v>
      </c>
      <c r="HR369" s="5" t="s">
        <v>238</v>
      </c>
      <c r="HS369" s="5" t="s">
        <v>238</v>
      </c>
      <c r="HT369" s="5" t="s">
        <v>238</v>
      </c>
      <c r="HU369" s="5" t="s">
        <v>238</v>
      </c>
      <c r="HV369" s="5" t="s">
        <v>238</v>
      </c>
      <c r="HW369" s="5" t="s">
        <v>238</v>
      </c>
      <c r="HX369" s="5" t="s">
        <v>238</v>
      </c>
      <c r="HY369" s="5" t="s">
        <v>238</v>
      </c>
      <c r="HZ369" s="5" t="s">
        <v>238</v>
      </c>
      <c r="IA369" s="5" t="s">
        <v>238</v>
      </c>
      <c r="IB369" s="5" t="s">
        <v>238</v>
      </c>
      <c r="IC369" s="5" t="s">
        <v>238</v>
      </c>
      <c r="ID369" s="5" t="s">
        <v>238</v>
      </c>
    </row>
    <row r="370" spans="1:238" x14ac:dyDescent="0.4">
      <c r="A370" s="5">
        <v>406</v>
      </c>
      <c r="B370" s="5">
        <v>1</v>
      </c>
      <c r="C370" s="5">
        <v>1</v>
      </c>
      <c r="D370" s="5" t="s">
        <v>480</v>
      </c>
      <c r="E370" s="5" t="s">
        <v>347</v>
      </c>
      <c r="F370" s="5" t="s">
        <v>282</v>
      </c>
      <c r="G370" s="5" t="s">
        <v>3027</v>
      </c>
      <c r="H370" s="6" t="s">
        <v>481</v>
      </c>
      <c r="I370" s="5" t="s">
        <v>3027</v>
      </c>
      <c r="J370" s="7">
        <f>16</f>
        <v>16</v>
      </c>
      <c r="K370" s="5" t="s">
        <v>270</v>
      </c>
      <c r="L370" s="8">
        <f>1</f>
        <v>1</v>
      </c>
      <c r="M370" s="8">
        <f>960000</f>
        <v>960000</v>
      </c>
      <c r="N370" s="6" t="s">
        <v>3108</v>
      </c>
      <c r="O370" s="5" t="s">
        <v>268</v>
      </c>
      <c r="P370" s="5" t="s">
        <v>922</v>
      </c>
      <c r="R370" s="8">
        <f>959999</f>
        <v>959999</v>
      </c>
      <c r="S370" s="5" t="s">
        <v>240</v>
      </c>
      <c r="T370" s="5" t="s">
        <v>237</v>
      </c>
      <c r="U370" s="5" t="s">
        <v>238</v>
      </c>
      <c r="V370" s="5" t="s">
        <v>238</v>
      </c>
      <c r="W370" s="5" t="s">
        <v>241</v>
      </c>
      <c r="X370" s="5" t="s">
        <v>337</v>
      </c>
      <c r="Y370" s="5" t="s">
        <v>238</v>
      </c>
      <c r="AB370" s="5" t="s">
        <v>238</v>
      </c>
      <c r="AD370" s="6" t="s">
        <v>238</v>
      </c>
      <c r="AG370" s="6" t="s">
        <v>246</v>
      </c>
      <c r="AH370" s="5" t="s">
        <v>247</v>
      </c>
      <c r="AI370" s="5" t="s">
        <v>248</v>
      </c>
      <c r="AY370" s="5" t="s">
        <v>250</v>
      </c>
      <c r="AZ370" s="5" t="s">
        <v>238</v>
      </c>
      <c r="BA370" s="5" t="s">
        <v>251</v>
      </c>
      <c r="BB370" s="5" t="s">
        <v>238</v>
      </c>
      <c r="BC370" s="5" t="s">
        <v>253</v>
      </c>
      <c r="BD370" s="5" t="s">
        <v>238</v>
      </c>
      <c r="BF370" s="5" t="s">
        <v>238</v>
      </c>
      <c r="BH370" s="5" t="s">
        <v>254</v>
      </c>
      <c r="BI370" s="6" t="s">
        <v>246</v>
      </c>
      <c r="BJ370" s="5" t="s">
        <v>255</v>
      </c>
      <c r="BK370" s="5" t="s">
        <v>256</v>
      </c>
      <c r="BL370" s="5" t="s">
        <v>238</v>
      </c>
      <c r="BM370" s="7">
        <f>0</f>
        <v>0</v>
      </c>
      <c r="BN370" s="8">
        <f>0</f>
        <v>0</v>
      </c>
      <c r="BO370" s="5" t="s">
        <v>257</v>
      </c>
      <c r="BP370" s="5" t="s">
        <v>258</v>
      </c>
      <c r="CD370" s="5" t="s">
        <v>238</v>
      </c>
      <c r="CE370" s="5" t="s">
        <v>238</v>
      </c>
      <c r="CI370" s="5" t="s">
        <v>527</v>
      </c>
      <c r="CJ370" s="5" t="s">
        <v>260</v>
      </c>
      <c r="CK370" s="5" t="s">
        <v>238</v>
      </c>
      <c r="CM370" s="5" t="s">
        <v>921</v>
      </c>
      <c r="CN370" s="6" t="s">
        <v>262</v>
      </c>
      <c r="CO370" s="5" t="s">
        <v>263</v>
      </c>
      <c r="CP370" s="5" t="s">
        <v>264</v>
      </c>
      <c r="CQ370" s="5" t="s">
        <v>238</v>
      </c>
      <c r="CR370" s="5" t="s">
        <v>238</v>
      </c>
      <c r="CS370" s="5">
        <v>0</v>
      </c>
      <c r="CT370" s="5" t="s">
        <v>265</v>
      </c>
      <c r="CU370" s="5" t="s">
        <v>351</v>
      </c>
      <c r="CV370" s="5" t="s">
        <v>394</v>
      </c>
      <c r="CX370" s="8">
        <f>960000</f>
        <v>960000</v>
      </c>
      <c r="CY370" s="8">
        <f>0</f>
        <v>0</v>
      </c>
      <c r="DA370" s="5" t="s">
        <v>238</v>
      </c>
      <c r="DB370" s="5" t="s">
        <v>238</v>
      </c>
      <c r="DD370" s="5" t="s">
        <v>238</v>
      </c>
      <c r="DG370" s="5" t="s">
        <v>238</v>
      </c>
      <c r="DH370" s="5" t="s">
        <v>238</v>
      </c>
      <c r="DI370" s="5" t="s">
        <v>238</v>
      </c>
      <c r="DJ370" s="5" t="s">
        <v>238</v>
      </c>
      <c r="DK370" s="5" t="s">
        <v>271</v>
      </c>
      <c r="DL370" s="5" t="s">
        <v>272</v>
      </c>
      <c r="DM370" s="7">
        <f>16</f>
        <v>16</v>
      </c>
      <c r="DN370" s="5" t="s">
        <v>238</v>
      </c>
      <c r="DO370" s="5" t="s">
        <v>238</v>
      </c>
      <c r="DP370" s="5" t="s">
        <v>238</v>
      </c>
      <c r="DQ370" s="5" t="s">
        <v>238</v>
      </c>
      <c r="DT370" s="5" t="s">
        <v>482</v>
      </c>
      <c r="DU370" s="5" t="s">
        <v>356</v>
      </c>
      <c r="HM370" s="5" t="s">
        <v>271</v>
      </c>
      <c r="HP370" s="5" t="s">
        <v>272</v>
      </c>
      <c r="HQ370" s="5" t="s">
        <v>272</v>
      </c>
    </row>
    <row r="371" spans="1:238" x14ac:dyDescent="0.4">
      <c r="A371" s="5">
        <v>407</v>
      </c>
      <c r="B371" s="5">
        <v>1</v>
      </c>
      <c r="C371" s="5">
        <v>1</v>
      </c>
      <c r="D371" s="5" t="s">
        <v>480</v>
      </c>
      <c r="E371" s="5" t="s">
        <v>347</v>
      </c>
      <c r="F371" s="5" t="s">
        <v>282</v>
      </c>
      <c r="G371" s="5" t="s">
        <v>2433</v>
      </c>
      <c r="H371" s="6" t="s">
        <v>481</v>
      </c>
      <c r="I371" s="5" t="s">
        <v>2433</v>
      </c>
      <c r="J371" s="7">
        <f>12</f>
        <v>12</v>
      </c>
      <c r="K371" s="5" t="s">
        <v>270</v>
      </c>
      <c r="L371" s="8">
        <f>1</f>
        <v>1</v>
      </c>
      <c r="M371" s="8">
        <f>1092000</f>
        <v>1092000</v>
      </c>
      <c r="N371" s="6" t="s">
        <v>2447</v>
      </c>
      <c r="O371" s="5" t="s">
        <v>268</v>
      </c>
      <c r="P371" s="5" t="s">
        <v>1091</v>
      </c>
      <c r="R371" s="8">
        <f>1091999</f>
        <v>1091999</v>
      </c>
      <c r="S371" s="5" t="s">
        <v>240</v>
      </c>
      <c r="T371" s="5" t="s">
        <v>237</v>
      </c>
      <c r="U371" s="5" t="s">
        <v>238</v>
      </c>
      <c r="V371" s="5" t="s">
        <v>238</v>
      </c>
      <c r="W371" s="5" t="s">
        <v>241</v>
      </c>
      <c r="X371" s="5" t="s">
        <v>337</v>
      </c>
      <c r="Y371" s="5" t="s">
        <v>238</v>
      </c>
      <c r="AB371" s="5" t="s">
        <v>238</v>
      </c>
      <c r="AD371" s="6" t="s">
        <v>238</v>
      </c>
      <c r="AG371" s="6" t="s">
        <v>246</v>
      </c>
      <c r="AH371" s="5" t="s">
        <v>247</v>
      </c>
      <c r="AI371" s="5" t="s">
        <v>248</v>
      </c>
      <c r="AY371" s="5" t="s">
        <v>250</v>
      </c>
      <c r="AZ371" s="5" t="s">
        <v>238</v>
      </c>
      <c r="BA371" s="5" t="s">
        <v>251</v>
      </c>
      <c r="BB371" s="5" t="s">
        <v>238</v>
      </c>
      <c r="BC371" s="5" t="s">
        <v>253</v>
      </c>
      <c r="BD371" s="5" t="s">
        <v>238</v>
      </c>
      <c r="BF371" s="5" t="s">
        <v>238</v>
      </c>
      <c r="BH371" s="5" t="s">
        <v>254</v>
      </c>
      <c r="BI371" s="6" t="s">
        <v>246</v>
      </c>
      <c r="BJ371" s="5" t="s">
        <v>255</v>
      </c>
      <c r="BK371" s="5" t="s">
        <v>256</v>
      </c>
      <c r="BL371" s="5" t="s">
        <v>238</v>
      </c>
      <c r="BM371" s="7">
        <f>0</f>
        <v>0</v>
      </c>
      <c r="BN371" s="8">
        <f>0</f>
        <v>0</v>
      </c>
      <c r="BO371" s="5" t="s">
        <v>257</v>
      </c>
      <c r="BP371" s="5" t="s">
        <v>258</v>
      </c>
      <c r="CD371" s="5" t="s">
        <v>238</v>
      </c>
      <c r="CE371" s="5" t="s">
        <v>238</v>
      </c>
      <c r="CI371" s="5" t="s">
        <v>259</v>
      </c>
      <c r="CJ371" s="5" t="s">
        <v>260</v>
      </c>
      <c r="CK371" s="5" t="s">
        <v>238</v>
      </c>
      <c r="CM371" s="5" t="s">
        <v>306</v>
      </c>
      <c r="CN371" s="6" t="s">
        <v>262</v>
      </c>
      <c r="CO371" s="5" t="s">
        <v>263</v>
      </c>
      <c r="CP371" s="5" t="s">
        <v>264</v>
      </c>
      <c r="CQ371" s="5" t="s">
        <v>238</v>
      </c>
      <c r="CR371" s="5" t="s">
        <v>238</v>
      </c>
      <c r="CS371" s="5">
        <v>0</v>
      </c>
      <c r="CT371" s="5" t="s">
        <v>265</v>
      </c>
      <c r="CU371" s="5" t="s">
        <v>2381</v>
      </c>
      <c r="CV371" s="5" t="s">
        <v>267</v>
      </c>
      <c r="CX371" s="8">
        <f>1092000</f>
        <v>1092000</v>
      </c>
      <c r="CY371" s="8">
        <f>0</f>
        <v>0</v>
      </c>
      <c r="DA371" s="5" t="s">
        <v>238</v>
      </c>
      <c r="DB371" s="5" t="s">
        <v>238</v>
      </c>
      <c r="DD371" s="5" t="s">
        <v>238</v>
      </c>
      <c r="DG371" s="5" t="s">
        <v>238</v>
      </c>
      <c r="DH371" s="5" t="s">
        <v>238</v>
      </c>
      <c r="DI371" s="5" t="s">
        <v>238</v>
      </c>
      <c r="DJ371" s="5" t="s">
        <v>238</v>
      </c>
      <c r="DK371" s="5" t="s">
        <v>271</v>
      </c>
      <c r="DL371" s="5" t="s">
        <v>272</v>
      </c>
      <c r="DM371" s="7">
        <f>12</f>
        <v>12</v>
      </c>
      <c r="DN371" s="5" t="s">
        <v>238</v>
      </c>
      <c r="DO371" s="5" t="s">
        <v>238</v>
      </c>
      <c r="DP371" s="5" t="s">
        <v>238</v>
      </c>
      <c r="DQ371" s="5" t="s">
        <v>238</v>
      </c>
      <c r="DT371" s="5" t="s">
        <v>482</v>
      </c>
      <c r="DU371" s="5" t="s">
        <v>310</v>
      </c>
      <c r="HM371" s="5" t="s">
        <v>271</v>
      </c>
      <c r="HP371" s="5" t="s">
        <v>272</v>
      </c>
      <c r="HQ371" s="5" t="s">
        <v>272</v>
      </c>
    </row>
    <row r="372" spans="1:238" x14ac:dyDescent="0.4">
      <c r="A372" s="5">
        <v>408</v>
      </c>
      <c r="B372" s="5">
        <v>1</v>
      </c>
      <c r="C372" s="5">
        <v>1</v>
      </c>
      <c r="D372" s="5" t="s">
        <v>480</v>
      </c>
      <c r="E372" s="5" t="s">
        <v>347</v>
      </c>
      <c r="F372" s="5" t="s">
        <v>282</v>
      </c>
      <c r="G372" s="5" t="s">
        <v>239</v>
      </c>
      <c r="H372" s="6" t="s">
        <v>481</v>
      </c>
      <c r="I372" s="5" t="s">
        <v>239</v>
      </c>
      <c r="J372" s="7">
        <f>20</f>
        <v>20</v>
      </c>
      <c r="K372" s="5" t="s">
        <v>270</v>
      </c>
      <c r="L372" s="8">
        <f>1</f>
        <v>1</v>
      </c>
      <c r="M372" s="8">
        <f>1200000</f>
        <v>1200000</v>
      </c>
      <c r="N372" s="6" t="s">
        <v>1067</v>
      </c>
      <c r="O372" s="5" t="s">
        <v>651</v>
      </c>
      <c r="P372" s="5" t="s">
        <v>866</v>
      </c>
      <c r="R372" s="8">
        <f>1199999</f>
        <v>1199999</v>
      </c>
      <c r="S372" s="5" t="s">
        <v>240</v>
      </c>
      <c r="T372" s="5" t="s">
        <v>237</v>
      </c>
      <c r="U372" s="5" t="s">
        <v>238</v>
      </c>
      <c r="V372" s="5" t="s">
        <v>238</v>
      </c>
      <c r="W372" s="5" t="s">
        <v>241</v>
      </c>
      <c r="X372" s="5" t="s">
        <v>337</v>
      </c>
      <c r="Y372" s="5" t="s">
        <v>238</v>
      </c>
      <c r="AB372" s="5" t="s">
        <v>238</v>
      </c>
      <c r="AD372" s="6" t="s">
        <v>238</v>
      </c>
      <c r="AG372" s="6" t="s">
        <v>246</v>
      </c>
      <c r="AH372" s="5" t="s">
        <v>247</v>
      </c>
      <c r="AI372" s="5" t="s">
        <v>248</v>
      </c>
      <c r="AY372" s="5" t="s">
        <v>250</v>
      </c>
      <c r="AZ372" s="5" t="s">
        <v>238</v>
      </c>
      <c r="BA372" s="5" t="s">
        <v>251</v>
      </c>
      <c r="BB372" s="5" t="s">
        <v>238</v>
      </c>
      <c r="BC372" s="5" t="s">
        <v>253</v>
      </c>
      <c r="BD372" s="5" t="s">
        <v>238</v>
      </c>
      <c r="BF372" s="5" t="s">
        <v>238</v>
      </c>
      <c r="BH372" s="5" t="s">
        <v>254</v>
      </c>
      <c r="BI372" s="6" t="s">
        <v>246</v>
      </c>
      <c r="BJ372" s="5" t="s">
        <v>255</v>
      </c>
      <c r="BK372" s="5" t="s">
        <v>256</v>
      </c>
      <c r="BL372" s="5" t="s">
        <v>238</v>
      </c>
      <c r="BM372" s="7">
        <f>0</f>
        <v>0</v>
      </c>
      <c r="BN372" s="8">
        <f>0</f>
        <v>0</v>
      </c>
      <c r="BO372" s="5" t="s">
        <v>257</v>
      </c>
      <c r="BP372" s="5" t="s">
        <v>258</v>
      </c>
      <c r="CD372" s="5" t="s">
        <v>238</v>
      </c>
      <c r="CE372" s="5" t="s">
        <v>238</v>
      </c>
      <c r="CI372" s="5" t="s">
        <v>527</v>
      </c>
      <c r="CJ372" s="5" t="s">
        <v>260</v>
      </c>
      <c r="CK372" s="5" t="s">
        <v>238</v>
      </c>
      <c r="CM372" s="5" t="s">
        <v>865</v>
      </c>
      <c r="CN372" s="6" t="s">
        <v>262</v>
      </c>
      <c r="CO372" s="5" t="s">
        <v>263</v>
      </c>
      <c r="CP372" s="5" t="s">
        <v>264</v>
      </c>
      <c r="CQ372" s="5" t="s">
        <v>238</v>
      </c>
      <c r="CR372" s="5" t="s">
        <v>238</v>
      </c>
      <c r="CS372" s="5">
        <v>0</v>
      </c>
      <c r="CT372" s="5" t="s">
        <v>265</v>
      </c>
      <c r="CU372" s="5" t="s">
        <v>266</v>
      </c>
      <c r="CV372" s="5" t="s">
        <v>331</v>
      </c>
      <c r="CX372" s="8">
        <f>1200000</f>
        <v>1200000</v>
      </c>
      <c r="CY372" s="8">
        <f>0</f>
        <v>0</v>
      </c>
      <c r="DA372" s="5" t="s">
        <v>238</v>
      </c>
      <c r="DB372" s="5" t="s">
        <v>238</v>
      </c>
      <c r="DD372" s="5" t="s">
        <v>238</v>
      </c>
      <c r="DG372" s="5" t="s">
        <v>238</v>
      </c>
      <c r="DH372" s="5" t="s">
        <v>238</v>
      </c>
      <c r="DI372" s="5" t="s">
        <v>238</v>
      </c>
      <c r="DJ372" s="5" t="s">
        <v>238</v>
      </c>
      <c r="DK372" s="5" t="s">
        <v>271</v>
      </c>
      <c r="DL372" s="5" t="s">
        <v>272</v>
      </c>
      <c r="DM372" s="7">
        <f>20</f>
        <v>20</v>
      </c>
      <c r="DN372" s="5" t="s">
        <v>238</v>
      </c>
      <c r="DO372" s="5" t="s">
        <v>238</v>
      </c>
      <c r="DP372" s="5" t="s">
        <v>238</v>
      </c>
      <c r="DQ372" s="5" t="s">
        <v>238</v>
      </c>
      <c r="DT372" s="5" t="s">
        <v>482</v>
      </c>
      <c r="DU372" s="5" t="s">
        <v>379</v>
      </c>
      <c r="HM372" s="5" t="s">
        <v>271</v>
      </c>
      <c r="HP372" s="5" t="s">
        <v>272</v>
      </c>
      <c r="HQ372" s="5" t="s">
        <v>272</v>
      </c>
    </row>
    <row r="373" spans="1:238" x14ac:dyDescent="0.4">
      <c r="A373" s="5">
        <v>409</v>
      </c>
      <c r="B373" s="5">
        <v>1</v>
      </c>
      <c r="C373" s="5">
        <v>1</v>
      </c>
      <c r="D373" s="5" t="s">
        <v>480</v>
      </c>
      <c r="E373" s="5" t="s">
        <v>347</v>
      </c>
      <c r="F373" s="5" t="s">
        <v>282</v>
      </c>
      <c r="G373" s="5" t="s">
        <v>239</v>
      </c>
      <c r="H373" s="6" t="s">
        <v>481</v>
      </c>
      <c r="I373" s="5" t="s">
        <v>239</v>
      </c>
      <c r="J373" s="7">
        <f>26</f>
        <v>26</v>
      </c>
      <c r="K373" s="5" t="s">
        <v>270</v>
      </c>
      <c r="L373" s="8">
        <f>1</f>
        <v>1</v>
      </c>
      <c r="M373" s="8">
        <f>3172000</f>
        <v>3172000</v>
      </c>
      <c r="N373" s="6" t="s">
        <v>1065</v>
      </c>
      <c r="O373" s="5" t="s">
        <v>651</v>
      </c>
      <c r="P373" s="5" t="s">
        <v>651</v>
      </c>
      <c r="R373" s="8">
        <f>3171999</f>
        <v>3171999</v>
      </c>
      <c r="S373" s="5" t="s">
        <v>240</v>
      </c>
      <c r="T373" s="5" t="s">
        <v>237</v>
      </c>
      <c r="U373" s="5" t="s">
        <v>238</v>
      </c>
      <c r="V373" s="5" t="s">
        <v>238</v>
      </c>
      <c r="W373" s="5" t="s">
        <v>241</v>
      </c>
      <c r="X373" s="5" t="s">
        <v>337</v>
      </c>
      <c r="Y373" s="5" t="s">
        <v>238</v>
      </c>
      <c r="AB373" s="5" t="s">
        <v>238</v>
      </c>
      <c r="AD373" s="6" t="s">
        <v>238</v>
      </c>
      <c r="AG373" s="6" t="s">
        <v>246</v>
      </c>
      <c r="AH373" s="5" t="s">
        <v>247</v>
      </c>
      <c r="AI373" s="5" t="s">
        <v>248</v>
      </c>
      <c r="AY373" s="5" t="s">
        <v>250</v>
      </c>
      <c r="AZ373" s="5" t="s">
        <v>238</v>
      </c>
      <c r="BA373" s="5" t="s">
        <v>251</v>
      </c>
      <c r="BB373" s="5" t="s">
        <v>238</v>
      </c>
      <c r="BC373" s="5" t="s">
        <v>253</v>
      </c>
      <c r="BD373" s="5" t="s">
        <v>238</v>
      </c>
      <c r="BF373" s="5" t="s">
        <v>238</v>
      </c>
      <c r="BH373" s="5" t="s">
        <v>254</v>
      </c>
      <c r="BI373" s="6" t="s">
        <v>246</v>
      </c>
      <c r="BJ373" s="5" t="s">
        <v>255</v>
      </c>
      <c r="BK373" s="5" t="s">
        <v>256</v>
      </c>
      <c r="BL373" s="5" t="s">
        <v>238</v>
      </c>
      <c r="BM373" s="7">
        <f>0</f>
        <v>0</v>
      </c>
      <c r="BN373" s="8">
        <f>0</f>
        <v>0</v>
      </c>
      <c r="BO373" s="5" t="s">
        <v>257</v>
      </c>
      <c r="BP373" s="5" t="s">
        <v>258</v>
      </c>
      <c r="CD373" s="5" t="s">
        <v>238</v>
      </c>
      <c r="CE373" s="5" t="s">
        <v>238</v>
      </c>
      <c r="CI373" s="5" t="s">
        <v>259</v>
      </c>
      <c r="CJ373" s="5" t="s">
        <v>260</v>
      </c>
      <c r="CK373" s="5" t="s">
        <v>238</v>
      </c>
      <c r="CM373" s="5" t="s">
        <v>768</v>
      </c>
      <c r="CN373" s="6" t="s">
        <v>262</v>
      </c>
      <c r="CO373" s="5" t="s">
        <v>263</v>
      </c>
      <c r="CP373" s="5" t="s">
        <v>264</v>
      </c>
      <c r="CQ373" s="5" t="s">
        <v>238</v>
      </c>
      <c r="CR373" s="5" t="s">
        <v>238</v>
      </c>
      <c r="CS373" s="5">
        <v>0</v>
      </c>
      <c r="CT373" s="5" t="s">
        <v>265</v>
      </c>
      <c r="CU373" s="5" t="s">
        <v>266</v>
      </c>
      <c r="CV373" s="5" t="s">
        <v>331</v>
      </c>
      <c r="CX373" s="8">
        <f>3172000</f>
        <v>3172000</v>
      </c>
      <c r="CY373" s="8">
        <f>0</f>
        <v>0</v>
      </c>
      <c r="DA373" s="5" t="s">
        <v>238</v>
      </c>
      <c r="DB373" s="5" t="s">
        <v>238</v>
      </c>
      <c r="DD373" s="5" t="s">
        <v>238</v>
      </c>
      <c r="DG373" s="5" t="s">
        <v>238</v>
      </c>
      <c r="DH373" s="5" t="s">
        <v>238</v>
      </c>
      <c r="DI373" s="5" t="s">
        <v>238</v>
      </c>
      <c r="DJ373" s="5" t="s">
        <v>238</v>
      </c>
      <c r="DK373" s="5" t="s">
        <v>271</v>
      </c>
      <c r="DL373" s="5" t="s">
        <v>272</v>
      </c>
      <c r="DM373" s="7">
        <f>26</f>
        <v>26</v>
      </c>
      <c r="DN373" s="5" t="s">
        <v>238</v>
      </c>
      <c r="DO373" s="5" t="s">
        <v>238</v>
      </c>
      <c r="DP373" s="5" t="s">
        <v>238</v>
      </c>
      <c r="DQ373" s="5" t="s">
        <v>238</v>
      </c>
      <c r="DT373" s="5" t="s">
        <v>482</v>
      </c>
      <c r="DU373" s="5" t="s">
        <v>313</v>
      </c>
      <c r="HM373" s="5" t="s">
        <v>271</v>
      </c>
      <c r="HP373" s="5" t="s">
        <v>272</v>
      </c>
      <c r="HQ373" s="5" t="s">
        <v>272</v>
      </c>
    </row>
    <row r="374" spans="1:238" x14ac:dyDescent="0.4">
      <c r="A374" s="5">
        <v>410</v>
      </c>
      <c r="B374" s="5">
        <v>1</v>
      </c>
      <c r="C374" s="5">
        <v>1</v>
      </c>
      <c r="D374" s="5" t="s">
        <v>480</v>
      </c>
      <c r="E374" s="5" t="s">
        <v>347</v>
      </c>
      <c r="F374" s="5" t="s">
        <v>282</v>
      </c>
      <c r="G374" s="5" t="s">
        <v>1309</v>
      </c>
      <c r="H374" s="6" t="s">
        <v>481</v>
      </c>
      <c r="I374" s="5" t="s">
        <v>1309</v>
      </c>
      <c r="J374" s="7">
        <f>2</f>
        <v>2</v>
      </c>
      <c r="K374" s="5" t="s">
        <v>270</v>
      </c>
      <c r="L374" s="8">
        <f>1</f>
        <v>1</v>
      </c>
      <c r="M374" s="8">
        <f>244000</f>
        <v>244000</v>
      </c>
      <c r="N374" s="6" t="s">
        <v>2199</v>
      </c>
      <c r="O374" s="5" t="s">
        <v>651</v>
      </c>
      <c r="P374" s="5" t="s">
        <v>651</v>
      </c>
      <c r="R374" s="8">
        <f>243999</f>
        <v>243999</v>
      </c>
      <c r="S374" s="5" t="s">
        <v>240</v>
      </c>
      <c r="T374" s="5" t="s">
        <v>237</v>
      </c>
      <c r="U374" s="5" t="s">
        <v>238</v>
      </c>
      <c r="V374" s="5" t="s">
        <v>238</v>
      </c>
      <c r="W374" s="5" t="s">
        <v>241</v>
      </c>
      <c r="X374" s="5" t="s">
        <v>337</v>
      </c>
      <c r="Y374" s="5" t="s">
        <v>238</v>
      </c>
      <c r="AB374" s="5" t="s">
        <v>238</v>
      </c>
      <c r="AD374" s="6" t="s">
        <v>238</v>
      </c>
      <c r="AG374" s="6" t="s">
        <v>246</v>
      </c>
      <c r="AH374" s="5" t="s">
        <v>247</v>
      </c>
      <c r="AI374" s="5" t="s">
        <v>248</v>
      </c>
      <c r="AY374" s="5" t="s">
        <v>250</v>
      </c>
      <c r="AZ374" s="5" t="s">
        <v>238</v>
      </c>
      <c r="BA374" s="5" t="s">
        <v>251</v>
      </c>
      <c r="BB374" s="5" t="s">
        <v>238</v>
      </c>
      <c r="BC374" s="5" t="s">
        <v>253</v>
      </c>
      <c r="BD374" s="5" t="s">
        <v>238</v>
      </c>
      <c r="BF374" s="5" t="s">
        <v>238</v>
      </c>
      <c r="BH374" s="5" t="s">
        <v>254</v>
      </c>
      <c r="BI374" s="6" t="s">
        <v>246</v>
      </c>
      <c r="BJ374" s="5" t="s">
        <v>255</v>
      </c>
      <c r="BK374" s="5" t="s">
        <v>294</v>
      </c>
      <c r="BL374" s="5" t="s">
        <v>238</v>
      </c>
      <c r="BM374" s="7">
        <f>0</f>
        <v>0</v>
      </c>
      <c r="BN374" s="8">
        <f>0</f>
        <v>0</v>
      </c>
      <c r="BO374" s="5" t="s">
        <v>257</v>
      </c>
      <c r="BP374" s="5" t="s">
        <v>258</v>
      </c>
      <c r="CD374" s="5" t="s">
        <v>238</v>
      </c>
      <c r="CE374" s="5" t="s">
        <v>238</v>
      </c>
      <c r="CI374" s="5" t="s">
        <v>259</v>
      </c>
      <c r="CJ374" s="5" t="s">
        <v>260</v>
      </c>
      <c r="CK374" s="5" t="s">
        <v>238</v>
      </c>
      <c r="CM374" s="5" t="s">
        <v>958</v>
      </c>
      <c r="CN374" s="6" t="s">
        <v>262</v>
      </c>
      <c r="CO374" s="5" t="s">
        <v>263</v>
      </c>
      <c r="CP374" s="5" t="s">
        <v>264</v>
      </c>
      <c r="CQ374" s="5" t="s">
        <v>238</v>
      </c>
      <c r="CR374" s="5" t="s">
        <v>238</v>
      </c>
      <c r="CS374" s="5">
        <v>0</v>
      </c>
      <c r="CT374" s="5" t="s">
        <v>265</v>
      </c>
      <c r="CU374" s="5" t="s">
        <v>1342</v>
      </c>
      <c r="CV374" s="5" t="s">
        <v>331</v>
      </c>
      <c r="CX374" s="8">
        <f>244000</f>
        <v>244000</v>
      </c>
      <c r="CY374" s="8">
        <f>0</f>
        <v>0</v>
      </c>
      <c r="DA374" s="5" t="s">
        <v>238</v>
      </c>
      <c r="DB374" s="5" t="s">
        <v>238</v>
      </c>
      <c r="DD374" s="5" t="s">
        <v>238</v>
      </c>
      <c r="DG374" s="5" t="s">
        <v>238</v>
      </c>
      <c r="DH374" s="5" t="s">
        <v>238</v>
      </c>
      <c r="DI374" s="5" t="s">
        <v>238</v>
      </c>
      <c r="DJ374" s="5" t="s">
        <v>238</v>
      </c>
      <c r="DK374" s="5" t="s">
        <v>271</v>
      </c>
      <c r="DL374" s="5" t="s">
        <v>272</v>
      </c>
      <c r="DM374" s="7">
        <f>2</f>
        <v>2</v>
      </c>
      <c r="DN374" s="5" t="s">
        <v>238</v>
      </c>
      <c r="DO374" s="5" t="s">
        <v>238</v>
      </c>
      <c r="DP374" s="5" t="s">
        <v>238</v>
      </c>
      <c r="DQ374" s="5" t="s">
        <v>238</v>
      </c>
      <c r="DT374" s="5" t="s">
        <v>482</v>
      </c>
      <c r="DU374" s="5" t="s">
        <v>389</v>
      </c>
      <c r="HM374" s="5" t="s">
        <v>274</v>
      </c>
      <c r="HP374" s="5" t="s">
        <v>272</v>
      </c>
      <c r="HQ374" s="5" t="s">
        <v>272</v>
      </c>
    </row>
    <row r="375" spans="1:238" x14ac:dyDescent="0.4">
      <c r="A375" s="5">
        <v>411</v>
      </c>
      <c r="B375" s="5">
        <v>1</v>
      </c>
      <c r="C375" s="5">
        <v>4</v>
      </c>
      <c r="D375" s="5" t="s">
        <v>480</v>
      </c>
      <c r="E375" s="5" t="s">
        <v>347</v>
      </c>
      <c r="F375" s="5" t="s">
        <v>282</v>
      </c>
      <c r="G375" s="5" t="s">
        <v>1666</v>
      </c>
      <c r="H375" s="6" t="s">
        <v>481</v>
      </c>
      <c r="I375" s="5" t="s">
        <v>1308</v>
      </c>
      <c r="J375" s="7">
        <f>779</f>
        <v>779</v>
      </c>
      <c r="K375" s="5" t="s">
        <v>270</v>
      </c>
      <c r="L375" s="8">
        <f>96393460</f>
        <v>96393460</v>
      </c>
      <c r="M375" s="8">
        <f>179170000</f>
        <v>179170000</v>
      </c>
      <c r="N375" s="6" t="s">
        <v>1719</v>
      </c>
      <c r="O375" s="5" t="s">
        <v>898</v>
      </c>
      <c r="P375" s="5" t="s">
        <v>658</v>
      </c>
      <c r="Q375" s="8">
        <f>3941740</f>
        <v>3941740</v>
      </c>
      <c r="R375" s="8">
        <f>82776540</f>
        <v>82776540</v>
      </c>
      <c r="S375" s="5" t="s">
        <v>240</v>
      </c>
      <c r="T375" s="5" t="s">
        <v>237</v>
      </c>
      <c r="U375" s="5" t="s">
        <v>238</v>
      </c>
      <c r="V375" s="5" t="s">
        <v>238</v>
      </c>
      <c r="W375" s="5" t="s">
        <v>241</v>
      </c>
      <c r="X375" s="5" t="s">
        <v>337</v>
      </c>
      <c r="Y375" s="5" t="s">
        <v>238</v>
      </c>
      <c r="AB375" s="5" t="s">
        <v>238</v>
      </c>
      <c r="AC375" s="6" t="s">
        <v>238</v>
      </c>
      <c r="AD375" s="6" t="s">
        <v>238</v>
      </c>
      <c r="AF375" s="6" t="s">
        <v>238</v>
      </c>
      <c r="AG375" s="6" t="s">
        <v>246</v>
      </c>
      <c r="AH375" s="5" t="s">
        <v>247</v>
      </c>
      <c r="AI375" s="5" t="s">
        <v>248</v>
      </c>
      <c r="AO375" s="5" t="s">
        <v>238</v>
      </c>
      <c r="AP375" s="5" t="s">
        <v>238</v>
      </c>
      <c r="AQ375" s="5" t="s">
        <v>238</v>
      </c>
      <c r="AR375" s="6" t="s">
        <v>238</v>
      </c>
      <c r="AS375" s="6" t="s">
        <v>238</v>
      </c>
      <c r="AT375" s="6" t="s">
        <v>238</v>
      </c>
      <c r="AW375" s="5" t="s">
        <v>304</v>
      </c>
      <c r="AX375" s="5" t="s">
        <v>304</v>
      </c>
      <c r="AY375" s="5" t="s">
        <v>250</v>
      </c>
      <c r="AZ375" s="5" t="s">
        <v>305</v>
      </c>
      <c r="BA375" s="5" t="s">
        <v>251</v>
      </c>
      <c r="BB375" s="5" t="s">
        <v>238</v>
      </c>
      <c r="BC375" s="5" t="s">
        <v>253</v>
      </c>
      <c r="BD375" s="5" t="s">
        <v>238</v>
      </c>
      <c r="BF375" s="5" t="s">
        <v>238</v>
      </c>
      <c r="BH375" s="5" t="s">
        <v>283</v>
      </c>
      <c r="BI375" s="6" t="s">
        <v>293</v>
      </c>
      <c r="BJ375" s="5" t="s">
        <v>294</v>
      </c>
      <c r="BK375" s="5" t="s">
        <v>294</v>
      </c>
      <c r="BL375" s="5" t="s">
        <v>238</v>
      </c>
      <c r="BM375" s="7">
        <f>0</f>
        <v>0</v>
      </c>
      <c r="BN375" s="8">
        <f>-3941740</f>
        <v>-3941740</v>
      </c>
      <c r="BO375" s="5" t="s">
        <v>257</v>
      </c>
      <c r="BP375" s="5" t="s">
        <v>258</v>
      </c>
      <c r="BQ375" s="5" t="s">
        <v>238</v>
      </c>
      <c r="BR375" s="5" t="s">
        <v>238</v>
      </c>
      <c r="BS375" s="5" t="s">
        <v>238</v>
      </c>
      <c r="BT375" s="5" t="s">
        <v>238</v>
      </c>
      <c r="CC375" s="5" t="s">
        <v>258</v>
      </c>
      <c r="CD375" s="5" t="s">
        <v>238</v>
      </c>
      <c r="CE375" s="5" t="s">
        <v>238</v>
      </c>
      <c r="CI375" s="5" t="s">
        <v>259</v>
      </c>
      <c r="CJ375" s="5" t="s">
        <v>260</v>
      </c>
      <c r="CK375" s="5" t="s">
        <v>238</v>
      </c>
      <c r="CM375" s="5" t="s">
        <v>657</v>
      </c>
      <c r="CN375" s="6" t="s">
        <v>262</v>
      </c>
      <c r="CO375" s="5" t="s">
        <v>263</v>
      </c>
      <c r="CP375" s="5" t="s">
        <v>264</v>
      </c>
      <c r="CQ375" s="5" t="s">
        <v>285</v>
      </c>
      <c r="CR375" s="5" t="s">
        <v>238</v>
      </c>
      <c r="CS375" s="5">
        <v>2.1999999999999999E-2</v>
      </c>
      <c r="CT375" s="5" t="s">
        <v>265</v>
      </c>
      <c r="CU375" s="5" t="s">
        <v>1330</v>
      </c>
      <c r="CV375" s="5" t="s">
        <v>308</v>
      </c>
      <c r="CW375" s="7">
        <f>0</f>
        <v>0</v>
      </c>
      <c r="CX375" s="8">
        <f>179170000</f>
        <v>179170000</v>
      </c>
      <c r="CY375" s="8">
        <f>100335200</f>
        <v>100335200</v>
      </c>
      <c r="DA375" s="5" t="s">
        <v>238</v>
      </c>
      <c r="DB375" s="5" t="s">
        <v>238</v>
      </c>
      <c r="DD375" s="5" t="s">
        <v>238</v>
      </c>
      <c r="DE375" s="8">
        <f>0</f>
        <v>0</v>
      </c>
      <c r="DG375" s="5" t="s">
        <v>238</v>
      </c>
      <c r="DH375" s="5" t="s">
        <v>238</v>
      </c>
      <c r="DI375" s="5" t="s">
        <v>238</v>
      </c>
      <c r="DJ375" s="5" t="s">
        <v>238</v>
      </c>
      <c r="DK375" s="5" t="s">
        <v>271</v>
      </c>
      <c r="DL375" s="5" t="s">
        <v>272</v>
      </c>
      <c r="DM375" s="7">
        <f>779</f>
        <v>779</v>
      </c>
      <c r="DN375" s="5" t="s">
        <v>238</v>
      </c>
      <c r="DO375" s="5" t="s">
        <v>238</v>
      </c>
      <c r="DP375" s="5" t="s">
        <v>238</v>
      </c>
      <c r="DQ375" s="5" t="s">
        <v>238</v>
      </c>
      <c r="DT375" s="5" t="s">
        <v>482</v>
      </c>
      <c r="DU375" s="5" t="s">
        <v>354</v>
      </c>
      <c r="GL375" s="5" t="s">
        <v>1720</v>
      </c>
      <c r="HM375" s="5" t="s">
        <v>313</v>
      </c>
      <c r="HP375" s="5" t="s">
        <v>272</v>
      </c>
      <c r="HQ375" s="5" t="s">
        <v>272</v>
      </c>
      <c r="HR375" s="5" t="s">
        <v>238</v>
      </c>
      <c r="HS375" s="5" t="s">
        <v>238</v>
      </c>
      <c r="HT375" s="5" t="s">
        <v>238</v>
      </c>
      <c r="HU375" s="5" t="s">
        <v>238</v>
      </c>
      <c r="HV375" s="5" t="s">
        <v>238</v>
      </c>
      <c r="HW375" s="5" t="s">
        <v>238</v>
      </c>
      <c r="HX375" s="5" t="s">
        <v>238</v>
      </c>
      <c r="HY375" s="5" t="s">
        <v>238</v>
      </c>
      <c r="HZ375" s="5" t="s">
        <v>238</v>
      </c>
      <c r="IA375" s="5" t="s">
        <v>238</v>
      </c>
      <c r="IB375" s="5" t="s">
        <v>238</v>
      </c>
      <c r="IC375" s="5" t="s">
        <v>238</v>
      </c>
      <c r="ID375" s="5" t="s">
        <v>238</v>
      </c>
    </row>
    <row r="376" spans="1:238" x14ac:dyDescent="0.4">
      <c r="A376" s="5">
        <v>412</v>
      </c>
      <c r="B376" s="5">
        <v>1</v>
      </c>
      <c r="C376" s="5">
        <v>4</v>
      </c>
      <c r="D376" s="5" t="s">
        <v>480</v>
      </c>
      <c r="E376" s="5" t="s">
        <v>347</v>
      </c>
      <c r="F376" s="5" t="s">
        <v>282</v>
      </c>
      <c r="G376" s="5" t="s">
        <v>349</v>
      </c>
      <c r="H376" s="6" t="s">
        <v>481</v>
      </c>
      <c r="I376" s="5" t="s">
        <v>1537</v>
      </c>
      <c r="J376" s="7">
        <f>9.99</f>
        <v>9.99</v>
      </c>
      <c r="K376" s="5" t="s">
        <v>270</v>
      </c>
      <c r="L376" s="8">
        <f>3398112</f>
        <v>3398112</v>
      </c>
      <c r="M376" s="8">
        <f>3726000</f>
        <v>3726000</v>
      </c>
      <c r="N376" s="6" t="s">
        <v>1538</v>
      </c>
      <c r="O376" s="5" t="s">
        <v>898</v>
      </c>
      <c r="P376" s="5" t="s">
        <v>274</v>
      </c>
      <c r="Q376" s="8">
        <f>81972</f>
        <v>81972</v>
      </c>
      <c r="R376" s="8">
        <f>327888</f>
        <v>327888</v>
      </c>
      <c r="S376" s="5" t="s">
        <v>240</v>
      </c>
      <c r="T376" s="5" t="s">
        <v>287</v>
      </c>
      <c r="U376" s="5" t="s">
        <v>238</v>
      </c>
      <c r="V376" s="5" t="s">
        <v>238</v>
      </c>
      <c r="W376" s="5" t="s">
        <v>241</v>
      </c>
      <c r="X376" s="5" t="s">
        <v>238</v>
      </c>
      <c r="Y376" s="5" t="s">
        <v>238</v>
      </c>
      <c r="AB376" s="5" t="s">
        <v>238</v>
      </c>
      <c r="AC376" s="6" t="s">
        <v>238</v>
      </c>
      <c r="AD376" s="6" t="s">
        <v>238</v>
      </c>
      <c r="AF376" s="6" t="s">
        <v>238</v>
      </c>
      <c r="AG376" s="6" t="s">
        <v>246</v>
      </c>
      <c r="AH376" s="5" t="s">
        <v>247</v>
      </c>
      <c r="AI376" s="5" t="s">
        <v>248</v>
      </c>
      <c r="AO376" s="5" t="s">
        <v>238</v>
      </c>
      <c r="AP376" s="5" t="s">
        <v>238</v>
      </c>
      <c r="AQ376" s="5" t="s">
        <v>238</v>
      </c>
      <c r="AR376" s="6" t="s">
        <v>238</v>
      </c>
      <c r="AS376" s="6" t="s">
        <v>238</v>
      </c>
      <c r="AT376" s="6" t="s">
        <v>238</v>
      </c>
      <c r="AW376" s="5" t="s">
        <v>304</v>
      </c>
      <c r="AX376" s="5" t="s">
        <v>304</v>
      </c>
      <c r="AY376" s="5" t="s">
        <v>250</v>
      </c>
      <c r="AZ376" s="5" t="s">
        <v>305</v>
      </c>
      <c r="BA376" s="5" t="s">
        <v>251</v>
      </c>
      <c r="BB376" s="5" t="s">
        <v>238</v>
      </c>
      <c r="BC376" s="5" t="s">
        <v>253</v>
      </c>
      <c r="BD376" s="5" t="s">
        <v>238</v>
      </c>
      <c r="BF376" s="5" t="s">
        <v>238</v>
      </c>
      <c r="BH376" s="5" t="s">
        <v>283</v>
      </c>
      <c r="BI376" s="6" t="s">
        <v>293</v>
      </c>
      <c r="BJ376" s="5" t="s">
        <v>294</v>
      </c>
      <c r="BK376" s="5" t="s">
        <v>294</v>
      </c>
      <c r="BL376" s="5" t="s">
        <v>238</v>
      </c>
      <c r="BM376" s="7">
        <f>0</f>
        <v>0</v>
      </c>
      <c r="BN376" s="8">
        <f>-81972</f>
        <v>-81972</v>
      </c>
      <c r="BO376" s="5" t="s">
        <v>257</v>
      </c>
      <c r="BP376" s="5" t="s">
        <v>258</v>
      </c>
      <c r="BQ376" s="5" t="s">
        <v>238</v>
      </c>
      <c r="BR376" s="5" t="s">
        <v>238</v>
      </c>
      <c r="BS376" s="5" t="s">
        <v>238</v>
      </c>
      <c r="BT376" s="5" t="s">
        <v>238</v>
      </c>
      <c r="CC376" s="5" t="s">
        <v>258</v>
      </c>
      <c r="CD376" s="5" t="s">
        <v>238</v>
      </c>
      <c r="CE376" s="5" t="s">
        <v>238</v>
      </c>
      <c r="CI376" s="5" t="s">
        <v>259</v>
      </c>
      <c r="CJ376" s="5" t="s">
        <v>260</v>
      </c>
      <c r="CK376" s="5" t="s">
        <v>238</v>
      </c>
      <c r="CM376" s="5" t="s">
        <v>402</v>
      </c>
      <c r="CN376" s="6" t="s">
        <v>262</v>
      </c>
      <c r="CO376" s="5" t="s">
        <v>263</v>
      </c>
      <c r="CP376" s="5" t="s">
        <v>264</v>
      </c>
      <c r="CQ376" s="5" t="s">
        <v>285</v>
      </c>
      <c r="CR376" s="5" t="s">
        <v>238</v>
      </c>
      <c r="CS376" s="5">
        <v>2.1999999999999999E-2</v>
      </c>
      <c r="CT376" s="5" t="s">
        <v>265</v>
      </c>
      <c r="CU376" s="5" t="s">
        <v>1493</v>
      </c>
      <c r="CV376" s="5" t="s">
        <v>1539</v>
      </c>
      <c r="CW376" s="7">
        <f>0</f>
        <v>0</v>
      </c>
      <c r="CX376" s="8">
        <f>3726000</f>
        <v>3726000</v>
      </c>
      <c r="CY376" s="8">
        <f>3480084</f>
        <v>3480084</v>
      </c>
      <c r="DA376" s="5" t="s">
        <v>238</v>
      </c>
      <c r="DB376" s="5" t="s">
        <v>238</v>
      </c>
      <c r="DD376" s="5" t="s">
        <v>238</v>
      </c>
      <c r="DE376" s="8">
        <f>0</f>
        <v>0</v>
      </c>
      <c r="DG376" s="5" t="s">
        <v>238</v>
      </c>
      <c r="DH376" s="5" t="s">
        <v>238</v>
      </c>
      <c r="DI376" s="5" t="s">
        <v>238</v>
      </c>
      <c r="DJ376" s="5" t="s">
        <v>238</v>
      </c>
      <c r="DK376" s="5" t="s">
        <v>272</v>
      </c>
      <c r="DL376" s="5" t="s">
        <v>272</v>
      </c>
      <c r="DM376" s="7">
        <f>9.99</f>
        <v>9.99</v>
      </c>
      <c r="DN376" s="5" t="s">
        <v>238</v>
      </c>
      <c r="DO376" s="5" t="s">
        <v>238</v>
      </c>
      <c r="DP376" s="5" t="s">
        <v>238</v>
      </c>
      <c r="DQ376" s="5" t="s">
        <v>238</v>
      </c>
      <c r="DT376" s="5" t="s">
        <v>482</v>
      </c>
      <c r="DU376" s="5" t="s">
        <v>361</v>
      </c>
      <c r="GL376" s="5" t="s">
        <v>1540</v>
      </c>
      <c r="HM376" s="5" t="s">
        <v>310</v>
      </c>
      <c r="HP376" s="5" t="s">
        <v>272</v>
      </c>
      <c r="HQ376" s="5" t="s">
        <v>272</v>
      </c>
      <c r="HR376" s="5" t="s">
        <v>238</v>
      </c>
      <c r="HS376" s="5" t="s">
        <v>238</v>
      </c>
      <c r="HT376" s="5" t="s">
        <v>238</v>
      </c>
      <c r="HU376" s="5" t="s">
        <v>238</v>
      </c>
      <c r="HV376" s="5" t="s">
        <v>238</v>
      </c>
      <c r="HW376" s="5" t="s">
        <v>238</v>
      </c>
      <c r="HX376" s="5" t="s">
        <v>238</v>
      </c>
      <c r="HY376" s="5" t="s">
        <v>238</v>
      </c>
      <c r="HZ376" s="5" t="s">
        <v>238</v>
      </c>
      <c r="IA376" s="5" t="s">
        <v>238</v>
      </c>
      <c r="IB376" s="5" t="s">
        <v>238</v>
      </c>
      <c r="IC376" s="5" t="s">
        <v>238</v>
      </c>
      <c r="ID376" s="5" t="s">
        <v>238</v>
      </c>
    </row>
    <row r="377" spans="1:238" x14ac:dyDescent="0.4">
      <c r="A377" s="5">
        <v>413</v>
      </c>
      <c r="B377" s="5">
        <v>1</v>
      </c>
      <c r="C377" s="5">
        <v>4</v>
      </c>
      <c r="D377" s="5" t="s">
        <v>480</v>
      </c>
      <c r="E377" s="5" t="s">
        <v>347</v>
      </c>
      <c r="F377" s="5" t="s">
        <v>282</v>
      </c>
      <c r="G377" s="5" t="s">
        <v>349</v>
      </c>
      <c r="H377" s="6" t="s">
        <v>481</v>
      </c>
      <c r="I377" s="5" t="s">
        <v>1618</v>
      </c>
      <c r="J377" s="7">
        <f>0</f>
        <v>0</v>
      </c>
      <c r="K377" s="5" t="s">
        <v>270</v>
      </c>
      <c r="L377" s="8">
        <f>3347146</f>
        <v>3347146</v>
      </c>
      <c r="M377" s="8">
        <f>3883000</f>
        <v>3883000</v>
      </c>
      <c r="N377" s="6" t="s">
        <v>1619</v>
      </c>
      <c r="O377" s="5" t="s">
        <v>286</v>
      </c>
      <c r="P377" s="5" t="s">
        <v>271</v>
      </c>
      <c r="Q377" s="8">
        <f>178618</f>
        <v>178618</v>
      </c>
      <c r="R377" s="8">
        <f>535854</f>
        <v>535854</v>
      </c>
      <c r="S377" s="5" t="s">
        <v>240</v>
      </c>
      <c r="T377" s="5" t="s">
        <v>287</v>
      </c>
      <c r="U377" s="5" t="s">
        <v>238</v>
      </c>
      <c r="V377" s="5" t="s">
        <v>238</v>
      </c>
      <c r="W377" s="5" t="s">
        <v>241</v>
      </c>
      <c r="X377" s="5" t="s">
        <v>238</v>
      </c>
      <c r="Y377" s="5" t="s">
        <v>238</v>
      </c>
      <c r="AB377" s="5" t="s">
        <v>238</v>
      </c>
      <c r="AC377" s="6" t="s">
        <v>238</v>
      </c>
      <c r="AD377" s="6" t="s">
        <v>238</v>
      </c>
      <c r="AF377" s="6" t="s">
        <v>238</v>
      </c>
      <c r="AG377" s="6" t="s">
        <v>246</v>
      </c>
      <c r="AH377" s="5" t="s">
        <v>247</v>
      </c>
      <c r="AI377" s="5" t="s">
        <v>248</v>
      </c>
      <c r="AO377" s="5" t="s">
        <v>238</v>
      </c>
      <c r="AP377" s="5" t="s">
        <v>238</v>
      </c>
      <c r="AQ377" s="5" t="s">
        <v>238</v>
      </c>
      <c r="AR377" s="6" t="s">
        <v>238</v>
      </c>
      <c r="AS377" s="6" t="s">
        <v>238</v>
      </c>
      <c r="AT377" s="6" t="s">
        <v>238</v>
      </c>
      <c r="AW377" s="5" t="s">
        <v>304</v>
      </c>
      <c r="AX377" s="5" t="s">
        <v>304</v>
      </c>
      <c r="AY377" s="5" t="s">
        <v>250</v>
      </c>
      <c r="AZ377" s="5" t="s">
        <v>305</v>
      </c>
      <c r="BA377" s="5" t="s">
        <v>251</v>
      </c>
      <c r="BB377" s="5" t="s">
        <v>238</v>
      </c>
      <c r="BC377" s="5" t="s">
        <v>253</v>
      </c>
      <c r="BD377" s="5" t="s">
        <v>238</v>
      </c>
      <c r="BF377" s="5" t="s">
        <v>238</v>
      </c>
      <c r="BH377" s="5" t="s">
        <v>283</v>
      </c>
      <c r="BI377" s="6" t="s">
        <v>293</v>
      </c>
      <c r="BJ377" s="5" t="s">
        <v>294</v>
      </c>
      <c r="BK377" s="5" t="s">
        <v>294</v>
      </c>
      <c r="BL377" s="5" t="s">
        <v>238</v>
      </c>
      <c r="BM377" s="7">
        <f>0</f>
        <v>0</v>
      </c>
      <c r="BN377" s="8">
        <f>-178618</f>
        <v>-178618</v>
      </c>
      <c r="BO377" s="5" t="s">
        <v>257</v>
      </c>
      <c r="BP377" s="5" t="s">
        <v>258</v>
      </c>
      <c r="BQ377" s="5" t="s">
        <v>238</v>
      </c>
      <c r="BR377" s="5" t="s">
        <v>238</v>
      </c>
      <c r="BS377" s="5" t="s">
        <v>238</v>
      </c>
      <c r="BT377" s="5" t="s">
        <v>238</v>
      </c>
      <c r="CC377" s="5" t="s">
        <v>258</v>
      </c>
      <c r="CD377" s="5" t="s">
        <v>238</v>
      </c>
      <c r="CE377" s="5" t="s">
        <v>238</v>
      </c>
      <c r="CI377" s="5" t="s">
        <v>259</v>
      </c>
      <c r="CJ377" s="5" t="s">
        <v>260</v>
      </c>
      <c r="CK377" s="5" t="s">
        <v>238</v>
      </c>
      <c r="CM377" s="5" t="s">
        <v>291</v>
      </c>
      <c r="CN377" s="6" t="s">
        <v>262</v>
      </c>
      <c r="CO377" s="5" t="s">
        <v>263</v>
      </c>
      <c r="CP377" s="5" t="s">
        <v>264</v>
      </c>
      <c r="CQ377" s="5" t="s">
        <v>285</v>
      </c>
      <c r="CR377" s="5" t="s">
        <v>238</v>
      </c>
      <c r="CS377" s="5">
        <v>4.5999999999999999E-2</v>
      </c>
      <c r="CT377" s="5" t="s">
        <v>265</v>
      </c>
      <c r="CU377" s="5" t="s">
        <v>1493</v>
      </c>
      <c r="CV377" s="5" t="s">
        <v>267</v>
      </c>
      <c r="CW377" s="7">
        <f>0</f>
        <v>0</v>
      </c>
      <c r="CX377" s="8">
        <f>3883000</f>
        <v>3883000</v>
      </c>
      <c r="CY377" s="8">
        <f>3525764</f>
        <v>3525764</v>
      </c>
      <c r="DA377" s="5" t="s">
        <v>238</v>
      </c>
      <c r="DB377" s="5" t="s">
        <v>238</v>
      </c>
      <c r="DD377" s="5" t="s">
        <v>238</v>
      </c>
      <c r="DE377" s="8">
        <f>0</f>
        <v>0</v>
      </c>
      <c r="DG377" s="5" t="s">
        <v>238</v>
      </c>
      <c r="DH377" s="5" t="s">
        <v>238</v>
      </c>
      <c r="DI377" s="5" t="s">
        <v>238</v>
      </c>
      <c r="DJ377" s="5" t="s">
        <v>238</v>
      </c>
      <c r="DK377" s="5" t="s">
        <v>272</v>
      </c>
      <c r="DL377" s="5" t="s">
        <v>272</v>
      </c>
      <c r="DM377" s="8" t="s">
        <v>238</v>
      </c>
      <c r="DN377" s="5" t="s">
        <v>238</v>
      </c>
      <c r="DO377" s="5" t="s">
        <v>238</v>
      </c>
      <c r="DP377" s="5" t="s">
        <v>238</v>
      </c>
      <c r="DQ377" s="5" t="s">
        <v>238</v>
      </c>
      <c r="DT377" s="5" t="s">
        <v>482</v>
      </c>
      <c r="DU377" s="5" t="s">
        <v>377</v>
      </c>
      <c r="GL377" s="5" t="s">
        <v>1620</v>
      </c>
      <c r="HM377" s="5" t="s">
        <v>356</v>
      </c>
      <c r="HP377" s="5" t="s">
        <v>272</v>
      </c>
      <c r="HQ377" s="5" t="s">
        <v>272</v>
      </c>
      <c r="HR377" s="5" t="s">
        <v>238</v>
      </c>
      <c r="HS377" s="5" t="s">
        <v>238</v>
      </c>
      <c r="HT377" s="5" t="s">
        <v>238</v>
      </c>
      <c r="HU377" s="5" t="s">
        <v>238</v>
      </c>
      <c r="HV377" s="5" t="s">
        <v>238</v>
      </c>
      <c r="HW377" s="5" t="s">
        <v>238</v>
      </c>
      <c r="HX377" s="5" t="s">
        <v>238</v>
      </c>
      <c r="HY377" s="5" t="s">
        <v>238</v>
      </c>
      <c r="HZ377" s="5" t="s">
        <v>238</v>
      </c>
      <c r="IA377" s="5" t="s">
        <v>238</v>
      </c>
      <c r="IB377" s="5" t="s">
        <v>238</v>
      </c>
      <c r="IC377" s="5" t="s">
        <v>238</v>
      </c>
      <c r="ID377" s="5" t="s">
        <v>238</v>
      </c>
    </row>
    <row r="378" spans="1:238" x14ac:dyDescent="0.4">
      <c r="A378" s="5">
        <v>414</v>
      </c>
      <c r="B378" s="5">
        <v>1</v>
      </c>
      <c r="C378" s="5">
        <v>4</v>
      </c>
      <c r="D378" s="5" t="s">
        <v>480</v>
      </c>
      <c r="E378" s="5" t="s">
        <v>347</v>
      </c>
      <c r="F378" s="5" t="s">
        <v>282</v>
      </c>
      <c r="G378" s="5" t="s">
        <v>349</v>
      </c>
      <c r="H378" s="6" t="s">
        <v>481</v>
      </c>
      <c r="I378" s="5" t="s">
        <v>345</v>
      </c>
      <c r="J378" s="7">
        <f>0</f>
        <v>0</v>
      </c>
      <c r="K378" s="5" t="s">
        <v>270</v>
      </c>
      <c r="L378" s="8">
        <f>21139769</f>
        <v>21139769</v>
      </c>
      <c r="M378" s="8">
        <f>27489944</f>
        <v>27489944</v>
      </c>
      <c r="N378" s="6" t="s">
        <v>348</v>
      </c>
      <c r="O378" s="5" t="s">
        <v>319</v>
      </c>
      <c r="P378" s="5" t="s">
        <v>271</v>
      </c>
      <c r="Q378" s="8">
        <f>2116725</f>
        <v>2116725</v>
      </c>
      <c r="R378" s="8">
        <f>6350175</f>
        <v>6350175</v>
      </c>
      <c r="S378" s="5" t="s">
        <v>240</v>
      </c>
      <c r="T378" s="5" t="s">
        <v>287</v>
      </c>
      <c r="U378" s="5" t="s">
        <v>238</v>
      </c>
      <c r="V378" s="5" t="s">
        <v>238</v>
      </c>
      <c r="W378" s="5" t="s">
        <v>241</v>
      </c>
      <c r="X378" s="5" t="s">
        <v>238</v>
      </c>
      <c r="Y378" s="5" t="s">
        <v>238</v>
      </c>
      <c r="AB378" s="5" t="s">
        <v>238</v>
      </c>
      <c r="AC378" s="6" t="s">
        <v>238</v>
      </c>
      <c r="AD378" s="6" t="s">
        <v>238</v>
      </c>
      <c r="AF378" s="6" t="s">
        <v>238</v>
      </c>
      <c r="AG378" s="6" t="s">
        <v>246</v>
      </c>
      <c r="AH378" s="5" t="s">
        <v>247</v>
      </c>
      <c r="AI378" s="5" t="s">
        <v>248</v>
      </c>
      <c r="AO378" s="5" t="s">
        <v>238</v>
      </c>
      <c r="AP378" s="5" t="s">
        <v>238</v>
      </c>
      <c r="AQ378" s="5" t="s">
        <v>238</v>
      </c>
      <c r="AR378" s="6" t="s">
        <v>238</v>
      </c>
      <c r="AS378" s="6" t="s">
        <v>238</v>
      </c>
      <c r="AT378" s="6" t="s">
        <v>238</v>
      </c>
      <c r="AW378" s="5" t="s">
        <v>304</v>
      </c>
      <c r="AX378" s="5" t="s">
        <v>304</v>
      </c>
      <c r="AY378" s="5" t="s">
        <v>250</v>
      </c>
      <c r="AZ378" s="5" t="s">
        <v>305</v>
      </c>
      <c r="BA378" s="5" t="s">
        <v>251</v>
      </c>
      <c r="BB378" s="5" t="s">
        <v>238</v>
      </c>
      <c r="BC378" s="5" t="s">
        <v>253</v>
      </c>
      <c r="BD378" s="5" t="s">
        <v>238</v>
      </c>
      <c r="BF378" s="5" t="s">
        <v>238</v>
      </c>
      <c r="BH378" s="5" t="s">
        <v>283</v>
      </c>
      <c r="BI378" s="6" t="s">
        <v>293</v>
      </c>
      <c r="BJ378" s="5" t="s">
        <v>294</v>
      </c>
      <c r="BK378" s="5" t="s">
        <v>294</v>
      </c>
      <c r="BL378" s="5" t="s">
        <v>238</v>
      </c>
      <c r="BM378" s="7">
        <f>0</f>
        <v>0</v>
      </c>
      <c r="BN378" s="8">
        <f>-2116725</f>
        <v>-2116725</v>
      </c>
      <c r="BO378" s="5" t="s">
        <v>257</v>
      </c>
      <c r="BP378" s="5" t="s">
        <v>258</v>
      </c>
      <c r="BQ378" s="5" t="s">
        <v>238</v>
      </c>
      <c r="BR378" s="5" t="s">
        <v>238</v>
      </c>
      <c r="BS378" s="5" t="s">
        <v>238</v>
      </c>
      <c r="BT378" s="5" t="s">
        <v>238</v>
      </c>
      <c r="CC378" s="5" t="s">
        <v>258</v>
      </c>
      <c r="CD378" s="5" t="s">
        <v>238</v>
      </c>
      <c r="CE378" s="5" t="s">
        <v>238</v>
      </c>
      <c r="CI378" s="5" t="s">
        <v>259</v>
      </c>
      <c r="CJ378" s="5" t="s">
        <v>260</v>
      </c>
      <c r="CK378" s="5" t="s">
        <v>238</v>
      </c>
      <c r="CM378" s="5" t="s">
        <v>291</v>
      </c>
      <c r="CN378" s="6" t="s">
        <v>262</v>
      </c>
      <c r="CO378" s="5" t="s">
        <v>263</v>
      </c>
      <c r="CP378" s="5" t="s">
        <v>264</v>
      </c>
      <c r="CQ378" s="5" t="s">
        <v>285</v>
      </c>
      <c r="CR378" s="5" t="s">
        <v>238</v>
      </c>
      <c r="CS378" s="5">
        <v>7.6999999999999999E-2</v>
      </c>
      <c r="CT378" s="5" t="s">
        <v>265</v>
      </c>
      <c r="CU378" s="5" t="s">
        <v>351</v>
      </c>
      <c r="CV378" s="5" t="s">
        <v>352</v>
      </c>
      <c r="CW378" s="7">
        <f>0</f>
        <v>0</v>
      </c>
      <c r="CX378" s="8">
        <f>27489944</f>
        <v>27489944</v>
      </c>
      <c r="CY378" s="8">
        <f>23256494</f>
        <v>23256494</v>
      </c>
      <c r="DA378" s="5" t="s">
        <v>238</v>
      </c>
      <c r="DB378" s="5" t="s">
        <v>238</v>
      </c>
      <c r="DD378" s="5" t="s">
        <v>238</v>
      </c>
      <c r="DE378" s="8">
        <f>0</f>
        <v>0</v>
      </c>
      <c r="DG378" s="5" t="s">
        <v>238</v>
      </c>
      <c r="DH378" s="5" t="s">
        <v>238</v>
      </c>
      <c r="DI378" s="5" t="s">
        <v>238</v>
      </c>
      <c r="DJ378" s="5" t="s">
        <v>238</v>
      </c>
      <c r="DK378" s="5" t="s">
        <v>272</v>
      </c>
      <c r="DL378" s="5" t="s">
        <v>272</v>
      </c>
      <c r="DM378" s="8" t="s">
        <v>238</v>
      </c>
      <c r="DN378" s="5" t="s">
        <v>238</v>
      </c>
      <c r="DO378" s="5" t="s">
        <v>238</v>
      </c>
      <c r="DP378" s="5" t="s">
        <v>238</v>
      </c>
      <c r="DQ378" s="5" t="s">
        <v>238</v>
      </c>
      <c r="DT378" s="5" t="s">
        <v>482</v>
      </c>
      <c r="DU378" s="5" t="s">
        <v>371</v>
      </c>
      <c r="GL378" s="5" t="s">
        <v>483</v>
      </c>
      <c r="HM378" s="5" t="s">
        <v>356</v>
      </c>
      <c r="HP378" s="5" t="s">
        <v>272</v>
      </c>
      <c r="HQ378" s="5" t="s">
        <v>272</v>
      </c>
      <c r="HR378" s="5" t="s">
        <v>238</v>
      </c>
      <c r="HS378" s="5" t="s">
        <v>238</v>
      </c>
      <c r="HT378" s="5" t="s">
        <v>238</v>
      </c>
      <c r="HU378" s="5" t="s">
        <v>238</v>
      </c>
      <c r="HV378" s="5" t="s">
        <v>238</v>
      </c>
      <c r="HW378" s="5" t="s">
        <v>238</v>
      </c>
      <c r="HX378" s="5" t="s">
        <v>238</v>
      </c>
      <c r="HY378" s="5" t="s">
        <v>238</v>
      </c>
      <c r="HZ378" s="5" t="s">
        <v>238</v>
      </c>
      <c r="IA378" s="5" t="s">
        <v>238</v>
      </c>
      <c r="IB378" s="5" t="s">
        <v>238</v>
      </c>
      <c r="IC378" s="5" t="s">
        <v>238</v>
      </c>
      <c r="ID378" s="5" t="s">
        <v>238</v>
      </c>
    </row>
    <row r="379" spans="1:238" x14ac:dyDescent="0.4">
      <c r="A379" s="5">
        <v>415</v>
      </c>
      <c r="B379" s="5">
        <v>1</v>
      </c>
      <c r="C379" s="5">
        <v>1</v>
      </c>
      <c r="D379" s="5" t="s">
        <v>470</v>
      </c>
      <c r="E379" s="5" t="s">
        <v>347</v>
      </c>
      <c r="F379" s="5" t="s">
        <v>282</v>
      </c>
      <c r="G379" s="5" t="s">
        <v>1314</v>
      </c>
      <c r="H379" s="6" t="s">
        <v>472</v>
      </c>
      <c r="I379" s="5" t="s">
        <v>1491</v>
      </c>
      <c r="J379" s="7">
        <f>2350</f>
        <v>2350</v>
      </c>
      <c r="K379" s="5" t="s">
        <v>270</v>
      </c>
      <c r="L379" s="8">
        <f>1</f>
        <v>1</v>
      </c>
      <c r="M379" s="8">
        <f>317250000</f>
        <v>317250000</v>
      </c>
      <c r="N379" s="6" t="s">
        <v>1492</v>
      </c>
      <c r="O379" s="5" t="s">
        <v>898</v>
      </c>
      <c r="P379" s="5" t="s">
        <v>898</v>
      </c>
      <c r="R379" s="8">
        <f>317249999</f>
        <v>317249999</v>
      </c>
      <c r="S379" s="5" t="s">
        <v>240</v>
      </c>
      <c r="T379" s="5" t="s">
        <v>237</v>
      </c>
      <c r="U379" s="5" t="s">
        <v>238</v>
      </c>
      <c r="V379" s="5" t="s">
        <v>238</v>
      </c>
      <c r="W379" s="5" t="s">
        <v>241</v>
      </c>
      <c r="X379" s="5" t="s">
        <v>337</v>
      </c>
      <c r="Y379" s="5" t="s">
        <v>238</v>
      </c>
      <c r="AB379" s="5" t="s">
        <v>238</v>
      </c>
      <c r="AD379" s="6" t="s">
        <v>238</v>
      </c>
      <c r="AG379" s="6" t="s">
        <v>246</v>
      </c>
      <c r="AH379" s="5" t="s">
        <v>247</v>
      </c>
      <c r="AI379" s="5" t="s">
        <v>248</v>
      </c>
      <c r="AY379" s="5" t="s">
        <v>250</v>
      </c>
      <c r="AZ379" s="5" t="s">
        <v>238</v>
      </c>
      <c r="BA379" s="5" t="s">
        <v>251</v>
      </c>
      <c r="BB379" s="5" t="s">
        <v>238</v>
      </c>
      <c r="BC379" s="5" t="s">
        <v>253</v>
      </c>
      <c r="BD379" s="5" t="s">
        <v>238</v>
      </c>
      <c r="BF379" s="5" t="s">
        <v>238</v>
      </c>
      <c r="BH379" s="5" t="s">
        <v>254</v>
      </c>
      <c r="BI379" s="6" t="s">
        <v>246</v>
      </c>
      <c r="BJ379" s="5" t="s">
        <v>255</v>
      </c>
      <c r="BK379" s="5" t="s">
        <v>294</v>
      </c>
      <c r="BL379" s="5" t="s">
        <v>238</v>
      </c>
      <c r="BM379" s="7">
        <f>0</f>
        <v>0</v>
      </c>
      <c r="BN379" s="8">
        <f>0</f>
        <v>0</v>
      </c>
      <c r="BO379" s="5" t="s">
        <v>257</v>
      </c>
      <c r="BP379" s="5" t="s">
        <v>258</v>
      </c>
      <c r="CD379" s="5" t="s">
        <v>238</v>
      </c>
      <c r="CE379" s="5" t="s">
        <v>238</v>
      </c>
      <c r="CI379" s="5" t="s">
        <v>527</v>
      </c>
      <c r="CJ379" s="5" t="s">
        <v>260</v>
      </c>
      <c r="CK379" s="5" t="s">
        <v>238</v>
      </c>
      <c r="CM379" s="5" t="s">
        <v>1097</v>
      </c>
      <c r="CN379" s="6" t="s">
        <v>262</v>
      </c>
      <c r="CO379" s="5" t="s">
        <v>263</v>
      </c>
      <c r="CP379" s="5" t="s">
        <v>264</v>
      </c>
      <c r="CQ379" s="5" t="s">
        <v>238</v>
      </c>
      <c r="CR379" s="5" t="s">
        <v>238</v>
      </c>
      <c r="CS379" s="5">
        <v>0</v>
      </c>
      <c r="CT379" s="5" t="s">
        <v>265</v>
      </c>
      <c r="CU379" s="5" t="s">
        <v>1493</v>
      </c>
      <c r="CV379" s="5" t="s">
        <v>308</v>
      </c>
      <c r="CX379" s="8">
        <f>317250000</f>
        <v>317250000</v>
      </c>
      <c r="CY379" s="8">
        <f>0</f>
        <v>0</v>
      </c>
      <c r="DA379" s="5" t="s">
        <v>238</v>
      </c>
      <c r="DB379" s="5" t="s">
        <v>238</v>
      </c>
      <c r="DD379" s="5" t="s">
        <v>238</v>
      </c>
      <c r="DG379" s="5" t="s">
        <v>238</v>
      </c>
      <c r="DH379" s="5" t="s">
        <v>238</v>
      </c>
      <c r="DI379" s="5" t="s">
        <v>238</v>
      </c>
      <c r="DJ379" s="5" t="s">
        <v>238</v>
      </c>
      <c r="DK379" s="5" t="s">
        <v>356</v>
      </c>
      <c r="DL379" s="5" t="s">
        <v>272</v>
      </c>
      <c r="DM379" s="7">
        <f>2350</f>
        <v>2350</v>
      </c>
      <c r="DN379" s="5" t="s">
        <v>238</v>
      </c>
      <c r="DO379" s="5" t="s">
        <v>238</v>
      </c>
      <c r="DP379" s="5" t="s">
        <v>238</v>
      </c>
      <c r="DQ379" s="5" t="s">
        <v>238</v>
      </c>
      <c r="DT379" s="5" t="s">
        <v>473</v>
      </c>
      <c r="DU379" s="5" t="s">
        <v>271</v>
      </c>
      <c r="HM379" s="5" t="s">
        <v>310</v>
      </c>
      <c r="HP379" s="5" t="s">
        <v>272</v>
      </c>
      <c r="HQ379" s="5" t="s">
        <v>272</v>
      </c>
    </row>
    <row r="380" spans="1:238" x14ac:dyDescent="0.4">
      <c r="A380" s="5">
        <v>416</v>
      </c>
      <c r="B380" s="5">
        <v>1</v>
      </c>
      <c r="C380" s="5">
        <v>4</v>
      </c>
      <c r="D380" s="5" t="s">
        <v>470</v>
      </c>
      <c r="E380" s="5" t="s">
        <v>347</v>
      </c>
      <c r="F380" s="5" t="s">
        <v>282</v>
      </c>
      <c r="G380" s="5" t="s">
        <v>1666</v>
      </c>
      <c r="H380" s="6" t="s">
        <v>472</v>
      </c>
      <c r="I380" s="5" t="s">
        <v>1308</v>
      </c>
      <c r="J380" s="7">
        <f>780</f>
        <v>780</v>
      </c>
      <c r="K380" s="5" t="s">
        <v>270</v>
      </c>
      <c r="L380" s="8">
        <f>12636000</f>
        <v>12636000</v>
      </c>
      <c r="M380" s="8">
        <f>105300000</f>
        <v>105300000</v>
      </c>
      <c r="N380" s="6" t="s">
        <v>1701</v>
      </c>
      <c r="O380" s="5" t="s">
        <v>898</v>
      </c>
      <c r="P380" s="5" t="s">
        <v>639</v>
      </c>
      <c r="Q380" s="8">
        <f>2316600</f>
        <v>2316600</v>
      </c>
      <c r="R380" s="8">
        <f>92664000</f>
        <v>92664000</v>
      </c>
      <c r="S380" s="5" t="s">
        <v>240</v>
      </c>
      <c r="T380" s="5" t="s">
        <v>237</v>
      </c>
      <c r="U380" s="5" t="s">
        <v>238</v>
      </c>
      <c r="V380" s="5" t="s">
        <v>238</v>
      </c>
      <c r="W380" s="5" t="s">
        <v>241</v>
      </c>
      <c r="X380" s="5" t="s">
        <v>337</v>
      </c>
      <c r="Y380" s="5" t="s">
        <v>238</v>
      </c>
      <c r="AB380" s="5" t="s">
        <v>238</v>
      </c>
      <c r="AC380" s="6" t="s">
        <v>238</v>
      </c>
      <c r="AD380" s="6" t="s">
        <v>238</v>
      </c>
      <c r="AF380" s="6" t="s">
        <v>238</v>
      </c>
      <c r="AG380" s="6" t="s">
        <v>246</v>
      </c>
      <c r="AH380" s="5" t="s">
        <v>247</v>
      </c>
      <c r="AI380" s="5" t="s">
        <v>248</v>
      </c>
      <c r="AO380" s="5" t="s">
        <v>238</v>
      </c>
      <c r="AP380" s="5" t="s">
        <v>238</v>
      </c>
      <c r="AQ380" s="5" t="s">
        <v>238</v>
      </c>
      <c r="AR380" s="6" t="s">
        <v>238</v>
      </c>
      <c r="AS380" s="6" t="s">
        <v>238</v>
      </c>
      <c r="AT380" s="6" t="s">
        <v>238</v>
      </c>
      <c r="AW380" s="5" t="s">
        <v>304</v>
      </c>
      <c r="AX380" s="5" t="s">
        <v>304</v>
      </c>
      <c r="AY380" s="5" t="s">
        <v>250</v>
      </c>
      <c r="AZ380" s="5" t="s">
        <v>305</v>
      </c>
      <c r="BA380" s="5" t="s">
        <v>251</v>
      </c>
      <c r="BB380" s="5" t="s">
        <v>238</v>
      </c>
      <c r="BC380" s="5" t="s">
        <v>253</v>
      </c>
      <c r="BD380" s="5" t="s">
        <v>238</v>
      </c>
      <c r="BF380" s="5" t="s">
        <v>238</v>
      </c>
      <c r="BH380" s="5" t="s">
        <v>283</v>
      </c>
      <c r="BI380" s="6" t="s">
        <v>293</v>
      </c>
      <c r="BJ380" s="5" t="s">
        <v>294</v>
      </c>
      <c r="BK380" s="5" t="s">
        <v>294</v>
      </c>
      <c r="BL380" s="5" t="s">
        <v>238</v>
      </c>
      <c r="BM380" s="7">
        <f>0</f>
        <v>0</v>
      </c>
      <c r="BN380" s="8">
        <f>-2316600</f>
        <v>-2316600</v>
      </c>
      <c r="BO380" s="5" t="s">
        <v>257</v>
      </c>
      <c r="BP380" s="5" t="s">
        <v>258</v>
      </c>
      <c r="BQ380" s="5" t="s">
        <v>238</v>
      </c>
      <c r="BR380" s="5" t="s">
        <v>238</v>
      </c>
      <c r="BS380" s="5" t="s">
        <v>238</v>
      </c>
      <c r="BT380" s="5" t="s">
        <v>238</v>
      </c>
      <c r="CC380" s="5" t="s">
        <v>258</v>
      </c>
      <c r="CD380" s="5" t="s">
        <v>238</v>
      </c>
      <c r="CE380" s="5" t="s">
        <v>238</v>
      </c>
      <c r="CI380" s="5" t="s">
        <v>527</v>
      </c>
      <c r="CJ380" s="5" t="s">
        <v>260</v>
      </c>
      <c r="CK380" s="5" t="s">
        <v>238</v>
      </c>
      <c r="CM380" s="5" t="s">
        <v>822</v>
      </c>
      <c r="CN380" s="6" t="s">
        <v>262</v>
      </c>
      <c r="CO380" s="5" t="s">
        <v>263</v>
      </c>
      <c r="CP380" s="5" t="s">
        <v>264</v>
      </c>
      <c r="CQ380" s="5" t="s">
        <v>285</v>
      </c>
      <c r="CR380" s="5" t="s">
        <v>238</v>
      </c>
      <c r="CS380" s="5">
        <v>2.1999999999999999E-2</v>
      </c>
      <c r="CT380" s="5" t="s">
        <v>265</v>
      </c>
      <c r="CU380" s="5" t="s">
        <v>1330</v>
      </c>
      <c r="CV380" s="5" t="s">
        <v>308</v>
      </c>
      <c r="CW380" s="7">
        <f>0</f>
        <v>0</v>
      </c>
      <c r="CX380" s="8">
        <f>105300000</f>
        <v>105300000</v>
      </c>
      <c r="CY380" s="8">
        <f>14952600</f>
        <v>14952600</v>
      </c>
      <c r="DA380" s="5" t="s">
        <v>238</v>
      </c>
      <c r="DB380" s="5" t="s">
        <v>238</v>
      </c>
      <c r="DD380" s="5" t="s">
        <v>238</v>
      </c>
      <c r="DE380" s="8">
        <f>0</f>
        <v>0</v>
      </c>
      <c r="DG380" s="5" t="s">
        <v>238</v>
      </c>
      <c r="DH380" s="5" t="s">
        <v>238</v>
      </c>
      <c r="DI380" s="5" t="s">
        <v>238</v>
      </c>
      <c r="DJ380" s="5" t="s">
        <v>238</v>
      </c>
      <c r="DK380" s="5" t="s">
        <v>274</v>
      </c>
      <c r="DL380" s="5" t="s">
        <v>272</v>
      </c>
      <c r="DM380" s="7">
        <f>780</f>
        <v>780</v>
      </c>
      <c r="DN380" s="5" t="s">
        <v>238</v>
      </c>
      <c r="DO380" s="5" t="s">
        <v>238</v>
      </c>
      <c r="DP380" s="5" t="s">
        <v>238</v>
      </c>
      <c r="DQ380" s="5" t="s">
        <v>238</v>
      </c>
      <c r="DT380" s="5" t="s">
        <v>473</v>
      </c>
      <c r="DU380" s="5" t="s">
        <v>274</v>
      </c>
      <c r="GL380" s="5" t="s">
        <v>1702</v>
      </c>
      <c r="HM380" s="5" t="s">
        <v>313</v>
      </c>
      <c r="HP380" s="5" t="s">
        <v>272</v>
      </c>
      <c r="HQ380" s="5" t="s">
        <v>272</v>
      </c>
      <c r="HR380" s="5" t="s">
        <v>238</v>
      </c>
      <c r="HS380" s="5" t="s">
        <v>238</v>
      </c>
      <c r="HT380" s="5" t="s">
        <v>238</v>
      </c>
      <c r="HU380" s="5" t="s">
        <v>238</v>
      </c>
      <c r="HV380" s="5" t="s">
        <v>238</v>
      </c>
      <c r="HW380" s="5" t="s">
        <v>238</v>
      </c>
      <c r="HX380" s="5" t="s">
        <v>238</v>
      </c>
      <c r="HY380" s="5" t="s">
        <v>238</v>
      </c>
      <c r="HZ380" s="5" t="s">
        <v>238</v>
      </c>
      <c r="IA380" s="5" t="s">
        <v>238</v>
      </c>
      <c r="IB380" s="5" t="s">
        <v>238</v>
      </c>
      <c r="IC380" s="5" t="s">
        <v>238</v>
      </c>
      <c r="ID380" s="5" t="s">
        <v>238</v>
      </c>
    </row>
    <row r="381" spans="1:238" x14ac:dyDescent="0.4">
      <c r="A381" s="5">
        <v>417</v>
      </c>
      <c r="B381" s="5">
        <v>1</v>
      </c>
      <c r="C381" s="5">
        <v>1</v>
      </c>
      <c r="D381" s="5" t="s">
        <v>470</v>
      </c>
      <c r="E381" s="5" t="s">
        <v>347</v>
      </c>
      <c r="F381" s="5" t="s">
        <v>282</v>
      </c>
      <c r="G381" s="5" t="s">
        <v>3027</v>
      </c>
      <c r="H381" s="6" t="s">
        <v>472</v>
      </c>
      <c r="I381" s="5" t="s">
        <v>3027</v>
      </c>
      <c r="J381" s="7">
        <f>16</f>
        <v>16</v>
      </c>
      <c r="K381" s="5" t="s">
        <v>270</v>
      </c>
      <c r="L381" s="8">
        <f>1</f>
        <v>1</v>
      </c>
      <c r="M381" s="8">
        <f>960000</f>
        <v>960000</v>
      </c>
      <c r="N381" s="6" t="s">
        <v>1496</v>
      </c>
      <c r="O381" s="5" t="s">
        <v>268</v>
      </c>
      <c r="P381" s="5" t="s">
        <v>1098</v>
      </c>
      <c r="R381" s="8">
        <f>959999</f>
        <v>959999</v>
      </c>
      <c r="S381" s="5" t="s">
        <v>240</v>
      </c>
      <c r="T381" s="5" t="s">
        <v>237</v>
      </c>
      <c r="U381" s="5" t="s">
        <v>238</v>
      </c>
      <c r="V381" s="5" t="s">
        <v>238</v>
      </c>
      <c r="W381" s="5" t="s">
        <v>241</v>
      </c>
      <c r="X381" s="5" t="s">
        <v>337</v>
      </c>
      <c r="Y381" s="5" t="s">
        <v>238</v>
      </c>
      <c r="AB381" s="5" t="s">
        <v>238</v>
      </c>
      <c r="AD381" s="6" t="s">
        <v>238</v>
      </c>
      <c r="AG381" s="6" t="s">
        <v>246</v>
      </c>
      <c r="AH381" s="5" t="s">
        <v>247</v>
      </c>
      <c r="AI381" s="5" t="s">
        <v>248</v>
      </c>
      <c r="AY381" s="5" t="s">
        <v>250</v>
      </c>
      <c r="AZ381" s="5" t="s">
        <v>238</v>
      </c>
      <c r="BA381" s="5" t="s">
        <v>251</v>
      </c>
      <c r="BB381" s="5" t="s">
        <v>238</v>
      </c>
      <c r="BC381" s="5" t="s">
        <v>253</v>
      </c>
      <c r="BD381" s="5" t="s">
        <v>238</v>
      </c>
      <c r="BF381" s="5" t="s">
        <v>238</v>
      </c>
      <c r="BH381" s="5" t="s">
        <v>254</v>
      </c>
      <c r="BI381" s="6" t="s">
        <v>246</v>
      </c>
      <c r="BJ381" s="5" t="s">
        <v>255</v>
      </c>
      <c r="BK381" s="5" t="s">
        <v>256</v>
      </c>
      <c r="BL381" s="5" t="s">
        <v>238</v>
      </c>
      <c r="BM381" s="7">
        <f>0</f>
        <v>0</v>
      </c>
      <c r="BN381" s="8">
        <f>0</f>
        <v>0</v>
      </c>
      <c r="BO381" s="5" t="s">
        <v>257</v>
      </c>
      <c r="BP381" s="5" t="s">
        <v>258</v>
      </c>
      <c r="CD381" s="5" t="s">
        <v>238</v>
      </c>
      <c r="CE381" s="5" t="s">
        <v>238</v>
      </c>
      <c r="CI381" s="5" t="s">
        <v>527</v>
      </c>
      <c r="CJ381" s="5" t="s">
        <v>260</v>
      </c>
      <c r="CK381" s="5" t="s">
        <v>238</v>
      </c>
      <c r="CM381" s="5" t="s">
        <v>1097</v>
      </c>
      <c r="CN381" s="6" t="s">
        <v>262</v>
      </c>
      <c r="CO381" s="5" t="s">
        <v>263</v>
      </c>
      <c r="CP381" s="5" t="s">
        <v>264</v>
      </c>
      <c r="CQ381" s="5" t="s">
        <v>238</v>
      </c>
      <c r="CR381" s="5" t="s">
        <v>238</v>
      </c>
      <c r="CS381" s="5">
        <v>0</v>
      </c>
      <c r="CT381" s="5" t="s">
        <v>265</v>
      </c>
      <c r="CU381" s="5" t="s">
        <v>351</v>
      </c>
      <c r="CV381" s="5" t="s">
        <v>394</v>
      </c>
      <c r="CX381" s="8">
        <f>960000</f>
        <v>960000</v>
      </c>
      <c r="CY381" s="8">
        <f>0</f>
        <v>0</v>
      </c>
      <c r="DA381" s="5" t="s">
        <v>238</v>
      </c>
      <c r="DB381" s="5" t="s">
        <v>238</v>
      </c>
      <c r="DD381" s="5" t="s">
        <v>238</v>
      </c>
      <c r="DG381" s="5" t="s">
        <v>238</v>
      </c>
      <c r="DH381" s="5" t="s">
        <v>238</v>
      </c>
      <c r="DI381" s="5" t="s">
        <v>238</v>
      </c>
      <c r="DJ381" s="5" t="s">
        <v>238</v>
      </c>
      <c r="DK381" s="5" t="s">
        <v>271</v>
      </c>
      <c r="DL381" s="5" t="s">
        <v>272</v>
      </c>
      <c r="DM381" s="7">
        <f>16</f>
        <v>16</v>
      </c>
      <c r="DN381" s="5" t="s">
        <v>238</v>
      </c>
      <c r="DO381" s="5" t="s">
        <v>238</v>
      </c>
      <c r="DP381" s="5" t="s">
        <v>238</v>
      </c>
      <c r="DQ381" s="5" t="s">
        <v>238</v>
      </c>
      <c r="DT381" s="5" t="s">
        <v>473</v>
      </c>
      <c r="DU381" s="5" t="s">
        <v>356</v>
      </c>
      <c r="HM381" s="5" t="s">
        <v>271</v>
      </c>
      <c r="HP381" s="5" t="s">
        <v>272</v>
      </c>
      <c r="HQ381" s="5" t="s">
        <v>272</v>
      </c>
    </row>
    <row r="382" spans="1:238" x14ac:dyDescent="0.4">
      <c r="A382" s="5">
        <v>418</v>
      </c>
      <c r="B382" s="5">
        <v>1</v>
      </c>
      <c r="C382" s="5">
        <v>4</v>
      </c>
      <c r="D382" s="5" t="s">
        <v>470</v>
      </c>
      <c r="E382" s="5" t="s">
        <v>347</v>
      </c>
      <c r="F382" s="5" t="s">
        <v>282</v>
      </c>
      <c r="G382" s="5" t="s">
        <v>375</v>
      </c>
      <c r="H382" s="6" t="s">
        <v>472</v>
      </c>
      <c r="I382" s="5" t="s">
        <v>373</v>
      </c>
      <c r="J382" s="7">
        <f>0</f>
        <v>0</v>
      </c>
      <c r="K382" s="5" t="s">
        <v>270</v>
      </c>
      <c r="L382" s="8">
        <f>1582194</f>
        <v>1582194</v>
      </c>
      <c r="M382" s="8">
        <f>2379239</f>
        <v>2379239</v>
      </c>
      <c r="N382" s="6" t="s">
        <v>374</v>
      </c>
      <c r="O382" s="5" t="s">
        <v>268</v>
      </c>
      <c r="P382" s="5" t="s">
        <v>356</v>
      </c>
      <c r="Q382" s="8">
        <f>159409</f>
        <v>159409</v>
      </c>
      <c r="R382" s="8">
        <f>797045</f>
        <v>797045</v>
      </c>
      <c r="S382" s="5" t="s">
        <v>240</v>
      </c>
      <c r="T382" s="5" t="s">
        <v>287</v>
      </c>
      <c r="U382" s="5" t="s">
        <v>238</v>
      </c>
      <c r="V382" s="5" t="s">
        <v>238</v>
      </c>
      <c r="W382" s="5" t="s">
        <v>241</v>
      </c>
      <c r="X382" s="5" t="s">
        <v>337</v>
      </c>
      <c r="Y382" s="5" t="s">
        <v>238</v>
      </c>
      <c r="AB382" s="5" t="s">
        <v>238</v>
      </c>
      <c r="AC382" s="6" t="s">
        <v>238</v>
      </c>
      <c r="AD382" s="6" t="s">
        <v>238</v>
      </c>
      <c r="AF382" s="6" t="s">
        <v>238</v>
      </c>
      <c r="AG382" s="6" t="s">
        <v>246</v>
      </c>
      <c r="AH382" s="5" t="s">
        <v>247</v>
      </c>
      <c r="AI382" s="5" t="s">
        <v>248</v>
      </c>
      <c r="AO382" s="5" t="s">
        <v>238</v>
      </c>
      <c r="AP382" s="5" t="s">
        <v>238</v>
      </c>
      <c r="AQ382" s="5" t="s">
        <v>238</v>
      </c>
      <c r="AR382" s="6" t="s">
        <v>238</v>
      </c>
      <c r="AS382" s="6" t="s">
        <v>238</v>
      </c>
      <c r="AT382" s="6" t="s">
        <v>238</v>
      </c>
      <c r="AW382" s="5" t="s">
        <v>304</v>
      </c>
      <c r="AX382" s="5" t="s">
        <v>304</v>
      </c>
      <c r="AY382" s="5" t="s">
        <v>250</v>
      </c>
      <c r="AZ382" s="5" t="s">
        <v>305</v>
      </c>
      <c r="BA382" s="5" t="s">
        <v>251</v>
      </c>
      <c r="BB382" s="5" t="s">
        <v>238</v>
      </c>
      <c r="BC382" s="5" t="s">
        <v>253</v>
      </c>
      <c r="BD382" s="5" t="s">
        <v>238</v>
      </c>
      <c r="BF382" s="5" t="s">
        <v>238</v>
      </c>
      <c r="BH382" s="5" t="s">
        <v>283</v>
      </c>
      <c r="BI382" s="6" t="s">
        <v>293</v>
      </c>
      <c r="BJ382" s="5" t="s">
        <v>294</v>
      </c>
      <c r="BK382" s="5" t="s">
        <v>294</v>
      </c>
      <c r="BL382" s="5" t="s">
        <v>238</v>
      </c>
      <c r="BM382" s="7">
        <f>0</f>
        <v>0</v>
      </c>
      <c r="BN382" s="8">
        <f>-159409</f>
        <v>-159409</v>
      </c>
      <c r="BO382" s="5" t="s">
        <v>257</v>
      </c>
      <c r="BP382" s="5" t="s">
        <v>258</v>
      </c>
      <c r="BQ382" s="5" t="s">
        <v>238</v>
      </c>
      <c r="BR382" s="5" t="s">
        <v>238</v>
      </c>
      <c r="BS382" s="5" t="s">
        <v>238</v>
      </c>
      <c r="BT382" s="5" t="s">
        <v>238</v>
      </c>
      <c r="CC382" s="5" t="s">
        <v>258</v>
      </c>
      <c r="CD382" s="5" t="s">
        <v>238</v>
      </c>
      <c r="CE382" s="5" t="s">
        <v>238</v>
      </c>
      <c r="CI382" s="5" t="s">
        <v>259</v>
      </c>
      <c r="CJ382" s="5" t="s">
        <v>260</v>
      </c>
      <c r="CK382" s="5" t="s">
        <v>238</v>
      </c>
      <c r="CM382" s="5" t="s">
        <v>376</v>
      </c>
      <c r="CN382" s="6" t="s">
        <v>262</v>
      </c>
      <c r="CO382" s="5" t="s">
        <v>263</v>
      </c>
      <c r="CP382" s="5" t="s">
        <v>264</v>
      </c>
      <c r="CQ382" s="5" t="s">
        <v>285</v>
      </c>
      <c r="CR382" s="5" t="s">
        <v>238</v>
      </c>
      <c r="CS382" s="5">
        <v>6.7000000000000004E-2</v>
      </c>
      <c r="CT382" s="5" t="s">
        <v>265</v>
      </c>
      <c r="CU382" s="5" t="s">
        <v>351</v>
      </c>
      <c r="CV382" s="5" t="s">
        <v>365</v>
      </c>
      <c r="CW382" s="7">
        <f>0</f>
        <v>0</v>
      </c>
      <c r="CX382" s="8">
        <f>2379239</f>
        <v>2379239</v>
      </c>
      <c r="CY382" s="8">
        <f>1741603</f>
        <v>1741603</v>
      </c>
      <c r="DA382" s="5" t="s">
        <v>238</v>
      </c>
      <c r="DB382" s="5" t="s">
        <v>238</v>
      </c>
      <c r="DD382" s="5" t="s">
        <v>238</v>
      </c>
      <c r="DE382" s="8">
        <f>0</f>
        <v>0</v>
      </c>
      <c r="DG382" s="5" t="s">
        <v>238</v>
      </c>
      <c r="DH382" s="5" t="s">
        <v>238</v>
      </c>
      <c r="DI382" s="5" t="s">
        <v>238</v>
      </c>
      <c r="DJ382" s="5" t="s">
        <v>238</v>
      </c>
      <c r="DK382" s="5" t="s">
        <v>272</v>
      </c>
      <c r="DL382" s="5" t="s">
        <v>272</v>
      </c>
      <c r="DM382" s="8" t="s">
        <v>238</v>
      </c>
      <c r="DN382" s="5" t="s">
        <v>238</v>
      </c>
      <c r="DO382" s="5" t="s">
        <v>238</v>
      </c>
      <c r="DP382" s="5" t="s">
        <v>238</v>
      </c>
      <c r="DQ382" s="5" t="s">
        <v>238</v>
      </c>
      <c r="DT382" s="5" t="s">
        <v>473</v>
      </c>
      <c r="DU382" s="5" t="s">
        <v>310</v>
      </c>
      <c r="GL382" s="5" t="s">
        <v>476</v>
      </c>
      <c r="HM382" s="5" t="s">
        <v>379</v>
      </c>
      <c r="HP382" s="5" t="s">
        <v>272</v>
      </c>
      <c r="HQ382" s="5" t="s">
        <v>272</v>
      </c>
      <c r="HR382" s="5" t="s">
        <v>238</v>
      </c>
      <c r="HS382" s="5" t="s">
        <v>238</v>
      </c>
      <c r="HT382" s="5" t="s">
        <v>238</v>
      </c>
      <c r="HU382" s="5" t="s">
        <v>238</v>
      </c>
      <c r="HV382" s="5" t="s">
        <v>238</v>
      </c>
      <c r="HW382" s="5" t="s">
        <v>238</v>
      </c>
      <c r="HX382" s="5" t="s">
        <v>238</v>
      </c>
      <c r="HY382" s="5" t="s">
        <v>238</v>
      </c>
      <c r="HZ382" s="5" t="s">
        <v>238</v>
      </c>
      <c r="IA382" s="5" t="s">
        <v>238</v>
      </c>
      <c r="IB382" s="5" t="s">
        <v>238</v>
      </c>
      <c r="IC382" s="5" t="s">
        <v>238</v>
      </c>
      <c r="ID382" s="5" t="s">
        <v>238</v>
      </c>
    </row>
    <row r="383" spans="1:238" x14ac:dyDescent="0.4">
      <c r="A383" s="5">
        <v>419</v>
      </c>
      <c r="B383" s="5">
        <v>1</v>
      </c>
      <c r="C383" s="5">
        <v>4</v>
      </c>
      <c r="D383" s="5" t="s">
        <v>470</v>
      </c>
      <c r="E383" s="5" t="s">
        <v>347</v>
      </c>
      <c r="F383" s="5" t="s">
        <v>282</v>
      </c>
      <c r="G383" s="5" t="s">
        <v>349</v>
      </c>
      <c r="H383" s="6" t="s">
        <v>472</v>
      </c>
      <c r="I383" s="5" t="s">
        <v>345</v>
      </c>
      <c r="J383" s="7">
        <f>0</f>
        <v>0</v>
      </c>
      <c r="K383" s="5" t="s">
        <v>270</v>
      </c>
      <c r="L383" s="8">
        <f>25742275</f>
        <v>25742275</v>
      </c>
      <c r="M383" s="8">
        <f>33475000</f>
        <v>33475000</v>
      </c>
      <c r="N383" s="6" t="s">
        <v>348</v>
      </c>
      <c r="O383" s="5" t="s">
        <v>319</v>
      </c>
      <c r="P383" s="5" t="s">
        <v>271</v>
      </c>
      <c r="Q383" s="8">
        <f>2577575</f>
        <v>2577575</v>
      </c>
      <c r="R383" s="8">
        <f>7732725</f>
        <v>7732725</v>
      </c>
      <c r="S383" s="5" t="s">
        <v>240</v>
      </c>
      <c r="T383" s="5" t="s">
        <v>287</v>
      </c>
      <c r="U383" s="5" t="s">
        <v>238</v>
      </c>
      <c r="V383" s="5" t="s">
        <v>238</v>
      </c>
      <c r="W383" s="5" t="s">
        <v>241</v>
      </c>
      <c r="X383" s="5" t="s">
        <v>238</v>
      </c>
      <c r="Y383" s="5" t="s">
        <v>238</v>
      </c>
      <c r="AB383" s="5" t="s">
        <v>238</v>
      </c>
      <c r="AC383" s="6" t="s">
        <v>238</v>
      </c>
      <c r="AD383" s="6" t="s">
        <v>238</v>
      </c>
      <c r="AF383" s="6" t="s">
        <v>238</v>
      </c>
      <c r="AG383" s="6" t="s">
        <v>246</v>
      </c>
      <c r="AH383" s="5" t="s">
        <v>247</v>
      </c>
      <c r="AI383" s="5" t="s">
        <v>248</v>
      </c>
      <c r="AO383" s="5" t="s">
        <v>238</v>
      </c>
      <c r="AP383" s="5" t="s">
        <v>238</v>
      </c>
      <c r="AQ383" s="5" t="s">
        <v>238</v>
      </c>
      <c r="AR383" s="6" t="s">
        <v>238</v>
      </c>
      <c r="AS383" s="6" t="s">
        <v>238</v>
      </c>
      <c r="AT383" s="6" t="s">
        <v>238</v>
      </c>
      <c r="AW383" s="5" t="s">
        <v>304</v>
      </c>
      <c r="AX383" s="5" t="s">
        <v>304</v>
      </c>
      <c r="AY383" s="5" t="s">
        <v>250</v>
      </c>
      <c r="AZ383" s="5" t="s">
        <v>305</v>
      </c>
      <c r="BA383" s="5" t="s">
        <v>251</v>
      </c>
      <c r="BB383" s="5" t="s">
        <v>238</v>
      </c>
      <c r="BC383" s="5" t="s">
        <v>253</v>
      </c>
      <c r="BD383" s="5" t="s">
        <v>238</v>
      </c>
      <c r="BF383" s="5" t="s">
        <v>238</v>
      </c>
      <c r="BH383" s="5" t="s">
        <v>283</v>
      </c>
      <c r="BI383" s="6" t="s">
        <v>293</v>
      </c>
      <c r="BJ383" s="5" t="s">
        <v>294</v>
      </c>
      <c r="BK383" s="5" t="s">
        <v>294</v>
      </c>
      <c r="BL383" s="5" t="s">
        <v>238</v>
      </c>
      <c r="BM383" s="7">
        <f>0</f>
        <v>0</v>
      </c>
      <c r="BN383" s="8">
        <f>-2577575</f>
        <v>-2577575</v>
      </c>
      <c r="BO383" s="5" t="s">
        <v>257</v>
      </c>
      <c r="BP383" s="5" t="s">
        <v>258</v>
      </c>
      <c r="BQ383" s="5" t="s">
        <v>238</v>
      </c>
      <c r="BR383" s="5" t="s">
        <v>238</v>
      </c>
      <c r="BS383" s="5" t="s">
        <v>238</v>
      </c>
      <c r="BT383" s="5" t="s">
        <v>238</v>
      </c>
      <c r="CC383" s="5" t="s">
        <v>258</v>
      </c>
      <c r="CD383" s="5" t="s">
        <v>238</v>
      </c>
      <c r="CE383" s="5" t="s">
        <v>238</v>
      </c>
      <c r="CI383" s="5" t="s">
        <v>259</v>
      </c>
      <c r="CJ383" s="5" t="s">
        <v>260</v>
      </c>
      <c r="CK383" s="5" t="s">
        <v>238</v>
      </c>
      <c r="CM383" s="5" t="s">
        <v>291</v>
      </c>
      <c r="CN383" s="6" t="s">
        <v>262</v>
      </c>
      <c r="CO383" s="5" t="s">
        <v>263</v>
      </c>
      <c r="CP383" s="5" t="s">
        <v>264</v>
      </c>
      <c r="CQ383" s="5" t="s">
        <v>285</v>
      </c>
      <c r="CR383" s="5" t="s">
        <v>238</v>
      </c>
      <c r="CS383" s="5">
        <v>7.6999999999999999E-2</v>
      </c>
      <c r="CT383" s="5" t="s">
        <v>265</v>
      </c>
      <c r="CU383" s="5" t="s">
        <v>351</v>
      </c>
      <c r="CV383" s="5" t="s">
        <v>352</v>
      </c>
      <c r="CW383" s="7">
        <f>0</f>
        <v>0</v>
      </c>
      <c r="CX383" s="8">
        <f>33475000</f>
        <v>33475000</v>
      </c>
      <c r="CY383" s="8">
        <f>28319850</f>
        <v>28319850</v>
      </c>
      <c r="DA383" s="5" t="s">
        <v>238</v>
      </c>
      <c r="DB383" s="5" t="s">
        <v>238</v>
      </c>
      <c r="DD383" s="5" t="s">
        <v>238</v>
      </c>
      <c r="DE383" s="8">
        <f>0</f>
        <v>0</v>
      </c>
      <c r="DG383" s="5" t="s">
        <v>238</v>
      </c>
      <c r="DH383" s="5" t="s">
        <v>238</v>
      </c>
      <c r="DI383" s="5" t="s">
        <v>238</v>
      </c>
      <c r="DJ383" s="5" t="s">
        <v>238</v>
      </c>
      <c r="DK383" s="5" t="s">
        <v>272</v>
      </c>
      <c r="DL383" s="5" t="s">
        <v>272</v>
      </c>
      <c r="DM383" s="8" t="s">
        <v>238</v>
      </c>
      <c r="DN383" s="5" t="s">
        <v>238</v>
      </c>
      <c r="DO383" s="5" t="s">
        <v>238</v>
      </c>
      <c r="DP383" s="5" t="s">
        <v>238</v>
      </c>
      <c r="DQ383" s="5" t="s">
        <v>238</v>
      </c>
      <c r="DT383" s="5" t="s">
        <v>473</v>
      </c>
      <c r="DU383" s="5" t="s">
        <v>379</v>
      </c>
      <c r="GL383" s="5" t="s">
        <v>475</v>
      </c>
      <c r="HM383" s="5" t="s">
        <v>356</v>
      </c>
      <c r="HP383" s="5" t="s">
        <v>272</v>
      </c>
      <c r="HQ383" s="5" t="s">
        <v>272</v>
      </c>
      <c r="HR383" s="5" t="s">
        <v>238</v>
      </c>
      <c r="HS383" s="5" t="s">
        <v>238</v>
      </c>
      <c r="HT383" s="5" t="s">
        <v>238</v>
      </c>
      <c r="HU383" s="5" t="s">
        <v>238</v>
      </c>
      <c r="HV383" s="5" t="s">
        <v>238</v>
      </c>
      <c r="HW383" s="5" t="s">
        <v>238</v>
      </c>
      <c r="HX383" s="5" t="s">
        <v>238</v>
      </c>
      <c r="HY383" s="5" t="s">
        <v>238</v>
      </c>
      <c r="HZ383" s="5" t="s">
        <v>238</v>
      </c>
      <c r="IA383" s="5" t="s">
        <v>238</v>
      </c>
      <c r="IB383" s="5" t="s">
        <v>238</v>
      </c>
      <c r="IC383" s="5" t="s">
        <v>238</v>
      </c>
      <c r="ID383" s="5" t="s">
        <v>238</v>
      </c>
    </row>
    <row r="384" spans="1:238" x14ac:dyDescent="0.4">
      <c r="A384" s="5">
        <v>420</v>
      </c>
      <c r="B384" s="5">
        <v>1</v>
      </c>
      <c r="C384" s="5">
        <v>4</v>
      </c>
      <c r="D384" s="5" t="s">
        <v>470</v>
      </c>
      <c r="E384" s="5" t="s">
        <v>347</v>
      </c>
      <c r="F384" s="5" t="s">
        <v>282</v>
      </c>
      <c r="G384" s="5" t="s">
        <v>349</v>
      </c>
      <c r="H384" s="6" t="s">
        <v>472</v>
      </c>
      <c r="I384" s="5" t="s">
        <v>469</v>
      </c>
      <c r="J384" s="7">
        <f>0</f>
        <v>0</v>
      </c>
      <c r="K384" s="5" t="s">
        <v>270</v>
      </c>
      <c r="L384" s="8">
        <f>869182</f>
        <v>869182</v>
      </c>
      <c r="M384" s="8">
        <f>1027400</f>
        <v>1027400</v>
      </c>
      <c r="N384" s="6" t="s">
        <v>471</v>
      </c>
      <c r="O384" s="5" t="s">
        <v>319</v>
      </c>
      <c r="P384" s="5" t="s">
        <v>272</v>
      </c>
      <c r="Q384" s="8">
        <f>1027399</f>
        <v>1027399</v>
      </c>
      <c r="R384" s="8">
        <f>158218</f>
        <v>158218</v>
      </c>
      <c r="S384" s="5" t="s">
        <v>240</v>
      </c>
      <c r="T384" s="5" t="s">
        <v>287</v>
      </c>
      <c r="U384" s="5" t="s">
        <v>238</v>
      </c>
      <c r="V384" s="5" t="s">
        <v>238</v>
      </c>
      <c r="W384" s="5" t="s">
        <v>241</v>
      </c>
      <c r="X384" s="5" t="s">
        <v>238</v>
      </c>
      <c r="Y384" s="5" t="s">
        <v>238</v>
      </c>
      <c r="AB384" s="5" t="s">
        <v>238</v>
      </c>
      <c r="AC384" s="6" t="s">
        <v>238</v>
      </c>
      <c r="AD384" s="6" t="s">
        <v>238</v>
      </c>
      <c r="AF384" s="6" t="s">
        <v>238</v>
      </c>
      <c r="AG384" s="6" t="s">
        <v>246</v>
      </c>
      <c r="AH384" s="5" t="s">
        <v>247</v>
      </c>
      <c r="AI384" s="5" t="s">
        <v>248</v>
      </c>
      <c r="AO384" s="5" t="s">
        <v>238</v>
      </c>
      <c r="AP384" s="5" t="s">
        <v>238</v>
      </c>
      <c r="AQ384" s="5" t="s">
        <v>238</v>
      </c>
      <c r="AR384" s="6" t="s">
        <v>238</v>
      </c>
      <c r="AS384" s="6" t="s">
        <v>238</v>
      </c>
      <c r="AT384" s="6" t="s">
        <v>238</v>
      </c>
      <c r="AW384" s="5" t="s">
        <v>304</v>
      </c>
      <c r="AX384" s="5" t="s">
        <v>304</v>
      </c>
      <c r="AY384" s="5" t="s">
        <v>250</v>
      </c>
      <c r="AZ384" s="5" t="s">
        <v>305</v>
      </c>
      <c r="BA384" s="5" t="s">
        <v>251</v>
      </c>
      <c r="BB384" s="5" t="s">
        <v>238</v>
      </c>
      <c r="BC384" s="5" t="s">
        <v>253</v>
      </c>
      <c r="BD384" s="5" t="s">
        <v>238</v>
      </c>
      <c r="BF384" s="5" t="s">
        <v>238</v>
      </c>
      <c r="BH384" s="5" t="s">
        <v>283</v>
      </c>
      <c r="BI384" s="6" t="s">
        <v>293</v>
      </c>
      <c r="BJ384" s="5" t="s">
        <v>294</v>
      </c>
      <c r="BK384" s="5" t="s">
        <v>294</v>
      </c>
      <c r="BL384" s="5" t="s">
        <v>238</v>
      </c>
      <c r="BM384" s="7">
        <f>0</f>
        <v>0</v>
      </c>
      <c r="BN384" s="8">
        <f>-79109</f>
        <v>-79109</v>
      </c>
      <c r="BO384" s="5" t="s">
        <v>257</v>
      </c>
      <c r="BP384" s="5" t="s">
        <v>258</v>
      </c>
      <c r="BQ384" s="5" t="s">
        <v>238</v>
      </c>
      <c r="BR384" s="5" t="s">
        <v>238</v>
      </c>
      <c r="BS384" s="5" t="s">
        <v>238</v>
      </c>
      <c r="BT384" s="5" t="s">
        <v>238</v>
      </c>
      <c r="CC384" s="5" t="s">
        <v>258</v>
      </c>
      <c r="CD384" s="5" t="s">
        <v>238</v>
      </c>
      <c r="CE384" s="5" t="s">
        <v>238</v>
      </c>
      <c r="CI384" s="5" t="s">
        <v>259</v>
      </c>
      <c r="CJ384" s="5" t="s">
        <v>260</v>
      </c>
      <c r="CK384" s="5" t="s">
        <v>238</v>
      </c>
      <c r="CM384" s="5" t="s">
        <v>408</v>
      </c>
      <c r="CN384" s="6" t="s">
        <v>262</v>
      </c>
      <c r="CO384" s="5" t="s">
        <v>263</v>
      </c>
      <c r="CP384" s="5" t="s">
        <v>264</v>
      </c>
      <c r="CQ384" s="5" t="s">
        <v>285</v>
      </c>
      <c r="CR384" s="5" t="s">
        <v>238</v>
      </c>
      <c r="CS384" s="5">
        <v>7.6999999999999999E-2</v>
      </c>
      <c r="CT384" s="5" t="s">
        <v>265</v>
      </c>
      <c r="CU384" s="5" t="s">
        <v>351</v>
      </c>
      <c r="CV384" s="5" t="s">
        <v>352</v>
      </c>
      <c r="CW384" s="7">
        <f>0</f>
        <v>0</v>
      </c>
      <c r="CX384" s="8">
        <f>1027400</f>
        <v>1027400</v>
      </c>
      <c r="CY384" s="8">
        <f>948291</f>
        <v>948291</v>
      </c>
      <c r="DA384" s="5" t="s">
        <v>238</v>
      </c>
      <c r="DB384" s="5" t="s">
        <v>238</v>
      </c>
      <c r="DD384" s="5" t="s">
        <v>238</v>
      </c>
      <c r="DE384" s="8">
        <f>0</f>
        <v>0</v>
      </c>
      <c r="DG384" s="5" t="s">
        <v>238</v>
      </c>
      <c r="DH384" s="5" t="s">
        <v>238</v>
      </c>
      <c r="DI384" s="5" t="s">
        <v>238</v>
      </c>
      <c r="DJ384" s="5" t="s">
        <v>238</v>
      </c>
      <c r="DK384" s="5" t="s">
        <v>272</v>
      </c>
      <c r="DL384" s="5" t="s">
        <v>272</v>
      </c>
      <c r="DM384" s="8" t="s">
        <v>238</v>
      </c>
      <c r="DN384" s="5" t="s">
        <v>238</v>
      </c>
      <c r="DO384" s="5" t="s">
        <v>238</v>
      </c>
      <c r="DP384" s="5" t="s">
        <v>238</v>
      </c>
      <c r="DQ384" s="5" t="s">
        <v>238</v>
      </c>
      <c r="DT384" s="5" t="s">
        <v>473</v>
      </c>
      <c r="DU384" s="5" t="s">
        <v>313</v>
      </c>
      <c r="GL384" s="5" t="s">
        <v>474</v>
      </c>
      <c r="HM384" s="5" t="s">
        <v>274</v>
      </c>
      <c r="HP384" s="5" t="s">
        <v>272</v>
      </c>
      <c r="HQ384" s="5" t="s">
        <v>272</v>
      </c>
      <c r="HR384" s="5" t="s">
        <v>238</v>
      </c>
      <c r="HS384" s="5" t="s">
        <v>238</v>
      </c>
      <c r="HT384" s="5" t="s">
        <v>238</v>
      </c>
      <c r="HU384" s="5" t="s">
        <v>238</v>
      </c>
      <c r="HV384" s="5" t="s">
        <v>238</v>
      </c>
      <c r="HW384" s="5" t="s">
        <v>238</v>
      </c>
      <c r="HX384" s="5" t="s">
        <v>238</v>
      </c>
      <c r="HY384" s="5" t="s">
        <v>238</v>
      </c>
      <c r="HZ384" s="5" t="s">
        <v>238</v>
      </c>
      <c r="IA384" s="5" t="s">
        <v>238</v>
      </c>
      <c r="IB384" s="5" t="s">
        <v>238</v>
      </c>
      <c r="IC384" s="5" t="s">
        <v>238</v>
      </c>
      <c r="ID384" s="5" t="s">
        <v>238</v>
      </c>
    </row>
    <row r="385" spans="1:238" x14ac:dyDescent="0.4">
      <c r="A385" s="5">
        <v>421</v>
      </c>
      <c r="B385" s="5">
        <v>1</v>
      </c>
      <c r="C385" s="5">
        <v>4</v>
      </c>
      <c r="D385" s="5" t="s">
        <v>461</v>
      </c>
      <c r="E385" s="5" t="s">
        <v>347</v>
      </c>
      <c r="F385" s="5" t="s">
        <v>282</v>
      </c>
      <c r="G385" s="5" t="s">
        <v>1499</v>
      </c>
      <c r="H385" s="6" t="s">
        <v>462</v>
      </c>
      <c r="I385" s="5" t="s">
        <v>1314</v>
      </c>
      <c r="J385" s="7">
        <f>3103</f>
        <v>3103</v>
      </c>
      <c r="K385" s="5" t="s">
        <v>270</v>
      </c>
      <c r="L385" s="8">
        <f>153443350</f>
        <v>153443350</v>
      </c>
      <c r="M385" s="8">
        <f>667145000</f>
        <v>667145000</v>
      </c>
      <c r="N385" s="6" t="s">
        <v>1532</v>
      </c>
      <c r="O385" s="5" t="s">
        <v>898</v>
      </c>
      <c r="P385" s="5" t="s">
        <v>309</v>
      </c>
      <c r="Q385" s="8">
        <f>14677190</f>
        <v>14677190</v>
      </c>
      <c r="R385" s="8">
        <f>513701650</f>
        <v>513701650</v>
      </c>
      <c r="S385" s="5" t="s">
        <v>240</v>
      </c>
      <c r="T385" s="5" t="s">
        <v>237</v>
      </c>
      <c r="U385" s="5" t="s">
        <v>238</v>
      </c>
      <c r="V385" s="5" t="s">
        <v>238</v>
      </c>
      <c r="W385" s="5" t="s">
        <v>241</v>
      </c>
      <c r="X385" s="5" t="s">
        <v>337</v>
      </c>
      <c r="Y385" s="5" t="s">
        <v>238</v>
      </c>
      <c r="AB385" s="5" t="s">
        <v>238</v>
      </c>
      <c r="AC385" s="6" t="s">
        <v>238</v>
      </c>
      <c r="AD385" s="6" t="s">
        <v>238</v>
      </c>
      <c r="AF385" s="6" t="s">
        <v>238</v>
      </c>
      <c r="AG385" s="6" t="s">
        <v>246</v>
      </c>
      <c r="AH385" s="5" t="s">
        <v>247</v>
      </c>
      <c r="AI385" s="5" t="s">
        <v>248</v>
      </c>
      <c r="AO385" s="5" t="s">
        <v>238</v>
      </c>
      <c r="AP385" s="5" t="s">
        <v>238</v>
      </c>
      <c r="AQ385" s="5" t="s">
        <v>238</v>
      </c>
      <c r="AR385" s="6" t="s">
        <v>238</v>
      </c>
      <c r="AS385" s="6" t="s">
        <v>238</v>
      </c>
      <c r="AT385" s="6" t="s">
        <v>238</v>
      </c>
      <c r="AW385" s="5" t="s">
        <v>304</v>
      </c>
      <c r="AX385" s="5" t="s">
        <v>304</v>
      </c>
      <c r="AY385" s="5" t="s">
        <v>250</v>
      </c>
      <c r="AZ385" s="5" t="s">
        <v>305</v>
      </c>
      <c r="BA385" s="5" t="s">
        <v>251</v>
      </c>
      <c r="BB385" s="5" t="s">
        <v>238</v>
      </c>
      <c r="BC385" s="5" t="s">
        <v>253</v>
      </c>
      <c r="BD385" s="5" t="s">
        <v>238</v>
      </c>
      <c r="BF385" s="5" t="s">
        <v>238</v>
      </c>
      <c r="BH385" s="5" t="s">
        <v>283</v>
      </c>
      <c r="BI385" s="6" t="s">
        <v>293</v>
      </c>
      <c r="BJ385" s="5" t="s">
        <v>294</v>
      </c>
      <c r="BK385" s="5" t="s">
        <v>294</v>
      </c>
      <c r="BL385" s="5" t="s">
        <v>238</v>
      </c>
      <c r="BM385" s="7">
        <f>0</f>
        <v>0</v>
      </c>
      <c r="BN385" s="8">
        <f>-14677190</f>
        <v>-14677190</v>
      </c>
      <c r="BO385" s="5" t="s">
        <v>257</v>
      </c>
      <c r="BP385" s="5" t="s">
        <v>258</v>
      </c>
      <c r="BQ385" s="5" t="s">
        <v>238</v>
      </c>
      <c r="BR385" s="5" t="s">
        <v>238</v>
      </c>
      <c r="BS385" s="5" t="s">
        <v>238</v>
      </c>
      <c r="BT385" s="5" t="s">
        <v>238</v>
      </c>
      <c r="CC385" s="5" t="s">
        <v>258</v>
      </c>
      <c r="CD385" s="5" t="s">
        <v>238</v>
      </c>
      <c r="CE385" s="5" t="s">
        <v>238</v>
      </c>
      <c r="CI385" s="5" t="s">
        <v>259</v>
      </c>
      <c r="CJ385" s="5" t="s">
        <v>260</v>
      </c>
      <c r="CK385" s="5" t="s">
        <v>238</v>
      </c>
      <c r="CM385" s="5" t="s">
        <v>306</v>
      </c>
      <c r="CN385" s="6" t="s">
        <v>262</v>
      </c>
      <c r="CO385" s="5" t="s">
        <v>263</v>
      </c>
      <c r="CP385" s="5" t="s">
        <v>264</v>
      </c>
      <c r="CQ385" s="5" t="s">
        <v>285</v>
      </c>
      <c r="CR385" s="5" t="s">
        <v>238</v>
      </c>
      <c r="CS385" s="5">
        <v>2.1999999999999999E-2</v>
      </c>
      <c r="CT385" s="5" t="s">
        <v>265</v>
      </c>
      <c r="CU385" s="5" t="s">
        <v>1493</v>
      </c>
      <c r="CV385" s="5" t="s">
        <v>308</v>
      </c>
      <c r="CW385" s="7">
        <f>0</f>
        <v>0</v>
      </c>
      <c r="CX385" s="8">
        <f>667145000</f>
        <v>667145000</v>
      </c>
      <c r="CY385" s="8">
        <f>168120540</f>
        <v>168120540</v>
      </c>
      <c r="DA385" s="5" t="s">
        <v>238</v>
      </c>
      <c r="DB385" s="5" t="s">
        <v>238</v>
      </c>
      <c r="DD385" s="5" t="s">
        <v>238</v>
      </c>
      <c r="DE385" s="8">
        <f>0</f>
        <v>0</v>
      </c>
      <c r="DG385" s="5" t="s">
        <v>238</v>
      </c>
      <c r="DH385" s="5" t="s">
        <v>238</v>
      </c>
      <c r="DI385" s="5" t="s">
        <v>238</v>
      </c>
      <c r="DJ385" s="5" t="s">
        <v>238</v>
      </c>
      <c r="DK385" s="5" t="s">
        <v>356</v>
      </c>
      <c r="DL385" s="5" t="s">
        <v>272</v>
      </c>
      <c r="DM385" s="7">
        <f>3103</f>
        <v>3103</v>
      </c>
      <c r="DN385" s="5" t="s">
        <v>238</v>
      </c>
      <c r="DO385" s="5" t="s">
        <v>238</v>
      </c>
      <c r="DP385" s="5" t="s">
        <v>238</v>
      </c>
      <c r="DQ385" s="5" t="s">
        <v>238</v>
      </c>
      <c r="DT385" s="5" t="s">
        <v>463</v>
      </c>
      <c r="DU385" s="5" t="s">
        <v>271</v>
      </c>
      <c r="GL385" s="5" t="s">
        <v>1533</v>
      </c>
      <c r="HM385" s="5" t="s">
        <v>313</v>
      </c>
      <c r="HP385" s="5" t="s">
        <v>272</v>
      </c>
      <c r="HQ385" s="5" t="s">
        <v>272</v>
      </c>
      <c r="HR385" s="5" t="s">
        <v>238</v>
      </c>
      <c r="HS385" s="5" t="s">
        <v>238</v>
      </c>
      <c r="HT385" s="5" t="s">
        <v>238</v>
      </c>
      <c r="HU385" s="5" t="s">
        <v>238</v>
      </c>
      <c r="HV385" s="5" t="s">
        <v>238</v>
      </c>
      <c r="HW385" s="5" t="s">
        <v>238</v>
      </c>
      <c r="HX385" s="5" t="s">
        <v>238</v>
      </c>
      <c r="HY385" s="5" t="s">
        <v>238</v>
      </c>
      <c r="HZ385" s="5" t="s">
        <v>238</v>
      </c>
      <c r="IA385" s="5" t="s">
        <v>238</v>
      </c>
      <c r="IB385" s="5" t="s">
        <v>238</v>
      </c>
      <c r="IC385" s="5" t="s">
        <v>238</v>
      </c>
      <c r="ID385" s="5" t="s">
        <v>238</v>
      </c>
    </row>
    <row r="386" spans="1:238" x14ac:dyDescent="0.4">
      <c r="A386" s="5">
        <v>422</v>
      </c>
      <c r="B386" s="5">
        <v>1</v>
      </c>
      <c r="C386" s="5">
        <v>3</v>
      </c>
      <c r="D386" s="5" t="s">
        <v>461</v>
      </c>
      <c r="E386" s="5" t="s">
        <v>347</v>
      </c>
      <c r="F386" s="5" t="s">
        <v>282</v>
      </c>
      <c r="G386" s="5" t="s">
        <v>1308</v>
      </c>
      <c r="H386" s="6" t="s">
        <v>462</v>
      </c>
      <c r="I386" s="5" t="s">
        <v>1308</v>
      </c>
      <c r="J386" s="7">
        <f>791</f>
        <v>791</v>
      </c>
      <c r="K386" s="5" t="s">
        <v>270</v>
      </c>
      <c r="L386" s="8">
        <f>1</f>
        <v>1</v>
      </c>
      <c r="M386" s="8">
        <f>152663000</f>
        <v>152663000</v>
      </c>
      <c r="N386" s="6" t="s">
        <v>1532</v>
      </c>
      <c r="O386" s="5" t="s">
        <v>755</v>
      </c>
      <c r="P386" s="5" t="s">
        <v>309</v>
      </c>
      <c r="Q386" s="8">
        <f>1526629</f>
        <v>1526629</v>
      </c>
      <c r="R386" s="8">
        <f>152662999</f>
        <v>152662999</v>
      </c>
      <c r="S386" s="5" t="s">
        <v>240</v>
      </c>
      <c r="T386" s="5" t="s">
        <v>237</v>
      </c>
      <c r="U386" s="5" t="s">
        <v>238</v>
      </c>
      <c r="V386" s="5" t="s">
        <v>238</v>
      </c>
      <c r="W386" s="5" t="s">
        <v>241</v>
      </c>
      <c r="X386" s="5" t="s">
        <v>337</v>
      </c>
      <c r="Y386" s="5" t="s">
        <v>238</v>
      </c>
      <c r="AB386" s="5" t="s">
        <v>238</v>
      </c>
      <c r="AC386" s="6" t="s">
        <v>238</v>
      </c>
      <c r="AD386" s="6" t="s">
        <v>238</v>
      </c>
      <c r="AF386" s="6" t="s">
        <v>238</v>
      </c>
      <c r="AG386" s="6" t="s">
        <v>246</v>
      </c>
      <c r="AH386" s="5" t="s">
        <v>247</v>
      </c>
      <c r="AI386" s="5" t="s">
        <v>248</v>
      </c>
      <c r="AO386" s="5" t="s">
        <v>238</v>
      </c>
      <c r="AP386" s="5" t="s">
        <v>238</v>
      </c>
      <c r="AQ386" s="5" t="s">
        <v>238</v>
      </c>
      <c r="AR386" s="6" t="s">
        <v>238</v>
      </c>
      <c r="AS386" s="6" t="s">
        <v>238</v>
      </c>
      <c r="AT386" s="6" t="s">
        <v>238</v>
      </c>
      <c r="AW386" s="5" t="s">
        <v>304</v>
      </c>
      <c r="AX386" s="5" t="s">
        <v>304</v>
      </c>
      <c r="AY386" s="5" t="s">
        <v>250</v>
      </c>
      <c r="AZ386" s="5" t="s">
        <v>305</v>
      </c>
      <c r="BA386" s="5" t="s">
        <v>251</v>
      </c>
      <c r="BB386" s="5" t="s">
        <v>238</v>
      </c>
      <c r="BC386" s="5" t="s">
        <v>253</v>
      </c>
      <c r="BD386" s="5" t="s">
        <v>238</v>
      </c>
      <c r="BF386" s="5" t="s">
        <v>238</v>
      </c>
      <c r="BH386" s="5" t="s">
        <v>1076</v>
      </c>
      <c r="BI386" s="6" t="s">
        <v>1077</v>
      </c>
      <c r="BJ386" s="5" t="s">
        <v>294</v>
      </c>
      <c r="BK386" s="5" t="s">
        <v>294</v>
      </c>
      <c r="BL386" s="5" t="s">
        <v>238</v>
      </c>
      <c r="BM386" s="7">
        <f>0</f>
        <v>0</v>
      </c>
      <c r="BN386" s="8">
        <f>-1526629</f>
        <v>-1526629</v>
      </c>
      <c r="BO386" s="5" t="s">
        <v>257</v>
      </c>
      <c r="BP386" s="5" t="s">
        <v>258</v>
      </c>
      <c r="BQ386" s="5" t="s">
        <v>238</v>
      </c>
      <c r="BR386" s="5" t="s">
        <v>238</v>
      </c>
      <c r="BS386" s="5" t="s">
        <v>238</v>
      </c>
      <c r="BT386" s="5" t="s">
        <v>238</v>
      </c>
      <c r="CC386" s="5" t="s">
        <v>258</v>
      </c>
      <c r="CD386" s="5" t="s">
        <v>238</v>
      </c>
      <c r="CE386" s="5" t="s">
        <v>238</v>
      </c>
      <c r="CI386" s="5" t="s">
        <v>259</v>
      </c>
      <c r="CJ386" s="5" t="s">
        <v>260</v>
      </c>
      <c r="CK386" s="5" t="s">
        <v>238</v>
      </c>
      <c r="CM386" s="5" t="s">
        <v>306</v>
      </c>
      <c r="CN386" s="6" t="s">
        <v>262</v>
      </c>
      <c r="CO386" s="5" t="s">
        <v>263</v>
      </c>
      <c r="CP386" s="5" t="s">
        <v>264</v>
      </c>
      <c r="CQ386" s="5" t="s">
        <v>285</v>
      </c>
      <c r="CR386" s="5" t="s">
        <v>238</v>
      </c>
      <c r="CS386" s="5">
        <v>0.03</v>
      </c>
      <c r="CT386" s="5" t="s">
        <v>265</v>
      </c>
      <c r="CU386" s="5" t="s">
        <v>1330</v>
      </c>
      <c r="CV386" s="5" t="s">
        <v>649</v>
      </c>
      <c r="CW386" s="7">
        <f>0</f>
        <v>0</v>
      </c>
      <c r="CX386" s="8">
        <f>152663000</f>
        <v>152663000</v>
      </c>
      <c r="CY386" s="8">
        <f>1</f>
        <v>1</v>
      </c>
      <c r="DA386" s="5" t="s">
        <v>238</v>
      </c>
      <c r="DB386" s="5" t="s">
        <v>238</v>
      </c>
      <c r="DD386" s="5" t="s">
        <v>238</v>
      </c>
      <c r="DE386" s="8">
        <f>0</f>
        <v>0</v>
      </c>
      <c r="DG386" s="5" t="s">
        <v>238</v>
      </c>
      <c r="DH386" s="5" t="s">
        <v>238</v>
      </c>
      <c r="DI386" s="5" t="s">
        <v>238</v>
      </c>
      <c r="DJ386" s="5" t="s">
        <v>238</v>
      </c>
      <c r="DK386" s="5" t="s">
        <v>274</v>
      </c>
      <c r="DL386" s="5" t="s">
        <v>272</v>
      </c>
      <c r="DM386" s="7">
        <f>791</f>
        <v>791</v>
      </c>
      <c r="DN386" s="5" t="s">
        <v>238</v>
      </c>
      <c r="DO386" s="5" t="s">
        <v>238</v>
      </c>
      <c r="DP386" s="5" t="s">
        <v>238</v>
      </c>
      <c r="DQ386" s="5" t="s">
        <v>238</v>
      </c>
      <c r="DT386" s="5" t="s">
        <v>463</v>
      </c>
      <c r="DU386" s="5" t="s">
        <v>274</v>
      </c>
      <c r="GL386" s="5" t="s">
        <v>1794</v>
      </c>
      <c r="HM386" s="5" t="s">
        <v>313</v>
      </c>
      <c r="HP386" s="5" t="s">
        <v>272</v>
      </c>
      <c r="HQ386" s="5" t="s">
        <v>272</v>
      </c>
      <c r="HR386" s="5" t="s">
        <v>238</v>
      </c>
      <c r="HS386" s="5" t="s">
        <v>238</v>
      </c>
      <c r="HT386" s="5" t="s">
        <v>238</v>
      </c>
      <c r="HU386" s="5" t="s">
        <v>238</v>
      </c>
      <c r="HV386" s="5" t="s">
        <v>238</v>
      </c>
      <c r="HW386" s="5" t="s">
        <v>238</v>
      </c>
      <c r="HX386" s="5" t="s">
        <v>238</v>
      </c>
      <c r="HY386" s="5" t="s">
        <v>238</v>
      </c>
      <c r="HZ386" s="5" t="s">
        <v>238</v>
      </c>
      <c r="IA386" s="5" t="s">
        <v>238</v>
      </c>
      <c r="IB386" s="5" t="s">
        <v>238</v>
      </c>
      <c r="IC386" s="5" t="s">
        <v>238</v>
      </c>
      <c r="ID386" s="5" t="s">
        <v>238</v>
      </c>
    </row>
    <row r="387" spans="1:238" x14ac:dyDescent="0.4">
      <c r="A387" s="5">
        <v>423</v>
      </c>
      <c r="B387" s="5">
        <v>1</v>
      </c>
      <c r="C387" s="5">
        <v>1</v>
      </c>
      <c r="D387" s="5" t="s">
        <v>461</v>
      </c>
      <c r="E387" s="5" t="s">
        <v>347</v>
      </c>
      <c r="F387" s="5" t="s">
        <v>282</v>
      </c>
      <c r="G387" s="5" t="s">
        <v>239</v>
      </c>
      <c r="H387" s="6" t="s">
        <v>462</v>
      </c>
      <c r="I387" s="5" t="s">
        <v>239</v>
      </c>
      <c r="J387" s="7">
        <f>26</f>
        <v>26</v>
      </c>
      <c r="K387" s="5" t="s">
        <v>270</v>
      </c>
      <c r="L387" s="8">
        <f>1</f>
        <v>1</v>
      </c>
      <c r="M387" s="8">
        <f>2366000</f>
        <v>2366000</v>
      </c>
      <c r="N387" s="6" t="s">
        <v>1054</v>
      </c>
      <c r="O387" s="5" t="s">
        <v>268</v>
      </c>
      <c r="P387" s="5" t="s">
        <v>1035</v>
      </c>
      <c r="R387" s="8">
        <f>2365999</f>
        <v>2365999</v>
      </c>
      <c r="S387" s="5" t="s">
        <v>240</v>
      </c>
      <c r="T387" s="5" t="s">
        <v>237</v>
      </c>
      <c r="U387" s="5" t="s">
        <v>238</v>
      </c>
      <c r="V387" s="5" t="s">
        <v>238</v>
      </c>
      <c r="W387" s="5" t="s">
        <v>241</v>
      </c>
      <c r="X387" s="5" t="s">
        <v>337</v>
      </c>
      <c r="Y387" s="5" t="s">
        <v>238</v>
      </c>
      <c r="AB387" s="5" t="s">
        <v>238</v>
      </c>
      <c r="AD387" s="6" t="s">
        <v>238</v>
      </c>
      <c r="AG387" s="6" t="s">
        <v>246</v>
      </c>
      <c r="AH387" s="5" t="s">
        <v>247</v>
      </c>
      <c r="AI387" s="5" t="s">
        <v>248</v>
      </c>
      <c r="AY387" s="5" t="s">
        <v>250</v>
      </c>
      <c r="AZ387" s="5" t="s">
        <v>238</v>
      </c>
      <c r="BA387" s="5" t="s">
        <v>251</v>
      </c>
      <c r="BB387" s="5" t="s">
        <v>238</v>
      </c>
      <c r="BC387" s="5" t="s">
        <v>253</v>
      </c>
      <c r="BD387" s="5" t="s">
        <v>238</v>
      </c>
      <c r="BF387" s="5" t="s">
        <v>238</v>
      </c>
      <c r="BH387" s="5" t="s">
        <v>254</v>
      </c>
      <c r="BI387" s="6" t="s">
        <v>246</v>
      </c>
      <c r="BJ387" s="5" t="s">
        <v>255</v>
      </c>
      <c r="BK387" s="5" t="s">
        <v>256</v>
      </c>
      <c r="BL387" s="5" t="s">
        <v>238</v>
      </c>
      <c r="BM387" s="7">
        <f>0</f>
        <v>0</v>
      </c>
      <c r="BN387" s="8">
        <f>0</f>
        <v>0</v>
      </c>
      <c r="BO387" s="5" t="s">
        <v>257</v>
      </c>
      <c r="BP387" s="5" t="s">
        <v>258</v>
      </c>
      <c r="CD387" s="5" t="s">
        <v>238</v>
      </c>
      <c r="CE387" s="5" t="s">
        <v>238</v>
      </c>
      <c r="CI387" s="5" t="s">
        <v>259</v>
      </c>
      <c r="CJ387" s="5" t="s">
        <v>260</v>
      </c>
      <c r="CK387" s="5" t="s">
        <v>238</v>
      </c>
      <c r="CM387" s="5" t="s">
        <v>1034</v>
      </c>
      <c r="CN387" s="6" t="s">
        <v>262</v>
      </c>
      <c r="CO387" s="5" t="s">
        <v>263</v>
      </c>
      <c r="CP387" s="5" t="s">
        <v>264</v>
      </c>
      <c r="CQ387" s="5" t="s">
        <v>238</v>
      </c>
      <c r="CR387" s="5" t="s">
        <v>238</v>
      </c>
      <c r="CS387" s="5">
        <v>0</v>
      </c>
      <c r="CT387" s="5" t="s">
        <v>265</v>
      </c>
      <c r="CU387" s="5" t="s">
        <v>266</v>
      </c>
      <c r="CV387" s="5" t="s">
        <v>267</v>
      </c>
      <c r="CX387" s="8">
        <f>2366000</f>
        <v>2366000</v>
      </c>
      <c r="CY387" s="8">
        <f>0</f>
        <v>0</v>
      </c>
      <c r="DA387" s="5" t="s">
        <v>238</v>
      </c>
      <c r="DB387" s="5" t="s">
        <v>238</v>
      </c>
      <c r="DD387" s="5" t="s">
        <v>238</v>
      </c>
      <c r="DG387" s="5" t="s">
        <v>238</v>
      </c>
      <c r="DH387" s="5" t="s">
        <v>238</v>
      </c>
      <c r="DI387" s="5" t="s">
        <v>238</v>
      </c>
      <c r="DJ387" s="5" t="s">
        <v>238</v>
      </c>
      <c r="DK387" s="5" t="s">
        <v>271</v>
      </c>
      <c r="DL387" s="5" t="s">
        <v>272</v>
      </c>
      <c r="DM387" s="7">
        <f>26</f>
        <v>26</v>
      </c>
      <c r="DN387" s="5" t="s">
        <v>238</v>
      </c>
      <c r="DO387" s="5" t="s">
        <v>238</v>
      </c>
      <c r="DP387" s="5" t="s">
        <v>238</v>
      </c>
      <c r="DQ387" s="5" t="s">
        <v>238</v>
      </c>
      <c r="DT387" s="5" t="s">
        <v>463</v>
      </c>
      <c r="DU387" s="5" t="s">
        <v>356</v>
      </c>
      <c r="HM387" s="5" t="s">
        <v>271</v>
      </c>
      <c r="HP387" s="5" t="s">
        <v>272</v>
      </c>
      <c r="HQ387" s="5" t="s">
        <v>272</v>
      </c>
    </row>
    <row r="388" spans="1:238" x14ac:dyDescent="0.4">
      <c r="A388" s="5">
        <v>424</v>
      </c>
      <c r="B388" s="5">
        <v>1</v>
      </c>
      <c r="C388" s="5">
        <v>1</v>
      </c>
      <c r="D388" s="5" t="s">
        <v>461</v>
      </c>
      <c r="E388" s="5" t="s">
        <v>347</v>
      </c>
      <c r="F388" s="5" t="s">
        <v>282</v>
      </c>
      <c r="G388" s="5" t="s">
        <v>1309</v>
      </c>
      <c r="H388" s="6" t="s">
        <v>462</v>
      </c>
      <c r="I388" s="5" t="s">
        <v>1309</v>
      </c>
      <c r="J388" s="7">
        <f>10</f>
        <v>10</v>
      </c>
      <c r="K388" s="5" t="s">
        <v>270</v>
      </c>
      <c r="L388" s="8">
        <f>1</f>
        <v>1</v>
      </c>
      <c r="M388" s="8">
        <f>3570000</f>
        <v>3570000</v>
      </c>
      <c r="N388" s="6" t="s">
        <v>1752</v>
      </c>
      <c r="O388" s="5" t="s">
        <v>268</v>
      </c>
      <c r="P388" s="5" t="s">
        <v>1040</v>
      </c>
      <c r="R388" s="8">
        <f>3569999</f>
        <v>3569999</v>
      </c>
      <c r="S388" s="5" t="s">
        <v>240</v>
      </c>
      <c r="T388" s="5" t="s">
        <v>237</v>
      </c>
      <c r="U388" s="5" t="s">
        <v>238</v>
      </c>
      <c r="V388" s="5" t="s">
        <v>238</v>
      </c>
      <c r="W388" s="5" t="s">
        <v>241</v>
      </c>
      <c r="X388" s="5" t="s">
        <v>337</v>
      </c>
      <c r="Y388" s="5" t="s">
        <v>238</v>
      </c>
      <c r="AB388" s="5" t="s">
        <v>238</v>
      </c>
      <c r="AD388" s="6" t="s">
        <v>238</v>
      </c>
      <c r="AG388" s="6" t="s">
        <v>246</v>
      </c>
      <c r="AH388" s="5" t="s">
        <v>247</v>
      </c>
      <c r="AI388" s="5" t="s">
        <v>248</v>
      </c>
      <c r="AY388" s="5" t="s">
        <v>250</v>
      </c>
      <c r="AZ388" s="5" t="s">
        <v>238</v>
      </c>
      <c r="BA388" s="5" t="s">
        <v>251</v>
      </c>
      <c r="BB388" s="5" t="s">
        <v>238</v>
      </c>
      <c r="BC388" s="5" t="s">
        <v>253</v>
      </c>
      <c r="BD388" s="5" t="s">
        <v>238</v>
      </c>
      <c r="BF388" s="5" t="s">
        <v>238</v>
      </c>
      <c r="BH388" s="5" t="s">
        <v>254</v>
      </c>
      <c r="BI388" s="6" t="s">
        <v>246</v>
      </c>
      <c r="BJ388" s="5" t="s">
        <v>255</v>
      </c>
      <c r="BK388" s="5" t="s">
        <v>256</v>
      </c>
      <c r="BL388" s="5" t="s">
        <v>238</v>
      </c>
      <c r="BM388" s="7">
        <f>0</f>
        <v>0</v>
      </c>
      <c r="BN388" s="8">
        <f>0</f>
        <v>0</v>
      </c>
      <c r="BO388" s="5" t="s">
        <v>257</v>
      </c>
      <c r="BP388" s="5" t="s">
        <v>258</v>
      </c>
      <c r="CD388" s="5" t="s">
        <v>238</v>
      </c>
      <c r="CE388" s="5" t="s">
        <v>238</v>
      </c>
      <c r="CI388" s="5" t="s">
        <v>259</v>
      </c>
      <c r="CJ388" s="5" t="s">
        <v>260</v>
      </c>
      <c r="CK388" s="5" t="s">
        <v>238</v>
      </c>
      <c r="CM388" s="5" t="s">
        <v>958</v>
      </c>
      <c r="CN388" s="6" t="s">
        <v>262</v>
      </c>
      <c r="CO388" s="5" t="s">
        <v>263</v>
      </c>
      <c r="CP388" s="5" t="s">
        <v>264</v>
      </c>
      <c r="CQ388" s="5" t="s">
        <v>238</v>
      </c>
      <c r="CR388" s="5" t="s">
        <v>238</v>
      </c>
      <c r="CS388" s="5">
        <v>0</v>
      </c>
      <c r="CT388" s="5" t="s">
        <v>265</v>
      </c>
      <c r="CU388" s="5" t="s">
        <v>1342</v>
      </c>
      <c r="CV388" s="5" t="s">
        <v>267</v>
      </c>
      <c r="CX388" s="8">
        <f>3570000</f>
        <v>3570000</v>
      </c>
      <c r="CY388" s="8">
        <f>0</f>
        <v>0</v>
      </c>
      <c r="DA388" s="5" t="s">
        <v>238</v>
      </c>
      <c r="DB388" s="5" t="s">
        <v>238</v>
      </c>
      <c r="DD388" s="5" t="s">
        <v>238</v>
      </c>
      <c r="DG388" s="5" t="s">
        <v>238</v>
      </c>
      <c r="DH388" s="5" t="s">
        <v>238</v>
      </c>
      <c r="DI388" s="5" t="s">
        <v>238</v>
      </c>
      <c r="DJ388" s="5" t="s">
        <v>238</v>
      </c>
      <c r="DK388" s="5" t="s">
        <v>271</v>
      </c>
      <c r="DL388" s="5" t="s">
        <v>272</v>
      </c>
      <c r="DM388" s="7">
        <f>10</f>
        <v>10</v>
      </c>
      <c r="DN388" s="5" t="s">
        <v>238</v>
      </c>
      <c r="DO388" s="5" t="s">
        <v>238</v>
      </c>
      <c r="DP388" s="5" t="s">
        <v>238</v>
      </c>
      <c r="DQ388" s="5" t="s">
        <v>238</v>
      </c>
      <c r="DT388" s="5" t="s">
        <v>463</v>
      </c>
      <c r="DU388" s="5" t="s">
        <v>310</v>
      </c>
      <c r="HM388" s="5" t="s">
        <v>271</v>
      </c>
      <c r="HP388" s="5" t="s">
        <v>272</v>
      </c>
      <c r="HQ388" s="5" t="s">
        <v>272</v>
      </c>
    </row>
    <row r="389" spans="1:238" x14ac:dyDescent="0.4">
      <c r="A389" s="5">
        <v>425</v>
      </c>
      <c r="B389" s="5">
        <v>1</v>
      </c>
      <c r="C389" s="5">
        <v>1</v>
      </c>
      <c r="D389" s="5" t="s">
        <v>461</v>
      </c>
      <c r="E389" s="5" t="s">
        <v>347</v>
      </c>
      <c r="F389" s="5" t="s">
        <v>282</v>
      </c>
      <c r="G389" s="5" t="s">
        <v>3027</v>
      </c>
      <c r="H389" s="6" t="s">
        <v>462</v>
      </c>
      <c r="I389" s="5" t="s">
        <v>3027</v>
      </c>
      <c r="J389" s="7">
        <f>49</f>
        <v>49</v>
      </c>
      <c r="K389" s="5" t="s">
        <v>270</v>
      </c>
      <c r="L389" s="8">
        <f>1</f>
        <v>1</v>
      </c>
      <c r="M389" s="8">
        <f>4459000</f>
        <v>4459000</v>
      </c>
      <c r="N389" s="6" t="s">
        <v>3107</v>
      </c>
      <c r="O389" s="5" t="s">
        <v>268</v>
      </c>
      <c r="P389" s="5" t="s">
        <v>1035</v>
      </c>
      <c r="R389" s="8">
        <f>4458999</f>
        <v>4458999</v>
      </c>
      <c r="S389" s="5" t="s">
        <v>240</v>
      </c>
      <c r="T389" s="5" t="s">
        <v>237</v>
      </c>
      <c r="U389" s="5" t="s">
        <v>238</v>
      </c>
      <c r="V389" s="5" t="s">
        <v>238</v>
      </c>
      <c r="W389" s="5" t="s">
        <v>241</v>
      </c>
      <c r="X389" s="5" t="s">
        <v>337</v>
      </c>
      <c r="Y389" s="5" t="s">
        <v>238</v>
      </c>
      <c r="AB389" s="5" t="s">
        <v>238</v>
      </c>
      <c r="AD389" s="6" t="s">
        <v>238</v>
      </c>
      <c r="AG389" s="6" t="s">
        <v>246</v>
      </c>
      <c r="AH389" s="5" t="s">
        <v>247</v>
      </c>
      <c r="AI389" s="5" t="s">
        <v>248</v>
      </c>
      <c r="AY389" s="5" t="s">
        <v>250</v>
      </c>
      <c r="AZ389" s="5" t="s">
        <v>238</v>
      </c>
      <c r="BA389" s="5" t="s">
        <v>251</v>
      </c>
      <c r="BB389" s="5" t="s">
        <v>238</v>
      </c>
      <c r="BC389" s="5" t="s">
        <v>253</v>
      </c>
      <c r="BD389" s="5" t="s">
        <v>238</v>
      </c>
      <c r="BF389" s="5" t="s">
        <v>238</v>
      </c>
      <c r="BH389" s="5" t="s">
        <v>254</v>
      </c>
      <c r="BI389" s="6" t="s">
        <v>246</v>
      </c>
      <c r="BJ389" s="5" t="s">
        <v>255</v>
      </c>
      <c r="BK389" s="5" t="s">
        <v>256</v>
      </c>
      <c r="BL389" s="5" t="s">
        <v>238</v>
      </c>
      <c r="BM389" s="7">
        <f>0</f>
        <v>0</v>
      </c>
      <c r="BN389" s="8">
        <f>0</f>
        <v>0</v>
      </c>
      <c r="BO389" s="5" t="s">
        <v>257</v>
      </c>
      <c r="BP389" s="5" t="s">
        <v>258</v>
      </c>
      <c r="CD389" s="5" t="s">
        <v>238</v>
      </c>
      <c r="CE389" s="5" t="s">
        <v>238</v>
      </c>
      <c r="CI389" s="5" t="s">
        <v>259</v>
      </c>
      <c r="CJ389" s="5" t="s">
        <v>260</v>
      </c>
      <c r="CK389" s="5" t="s">
        <v>238</v>
      </c>
      <c r="CM389" s="5" t="s">
        <v>1034</v>
      </c>
      <c r="CN389" s="6" t="s">
        <v>262</v>
      </c>
      <c r="CO389" s="5" t="s">
        <v>263</v>
      </c>
      <c r="CP389" s="5" t="s">
        <v>264</v>
      </c>
      <c r="CQ389" s="5" t="s">
        <v>238</v>
      </c>
      <c r="CR389" s="5" t="s">
        <v>238</v>
      </c>
      <c r="CS389" s="5">
        <v>0</v>
      </c>
      <c r="CT389" s="5" t="s">
        <v>265</v>
      </c>
      <c r="CU389" s="5" t="s">
        <v>351</v>
      </c>
      <c r="CV389" s="5" t="s">
        <v>394</v>
      </c>
      <c r="CX389" s="8">
        <f>4459000</f>
        <v>4459000</v>
      </c>
      <c r="CY389" s="8">
        <f>0</f>
        <v>0</v>
      </c>
      <c r="DA389" s="5" t="s">
        <v>238</v>
      </c>
      <c r="DB389" s="5" t="s">
        <v>238</v>
      </c>
      <c r="DD389" s="5" t="s">
        <v>238</v>
      </c>
      <c r="DG389" s="5" t="s">
        <v>238</v>
      </c>
      <c r="DH389" s="5" t="s">
        <v>238</v>
      </c>
      <c r="DI389" s="5" t="s">
        <v>238</v>
      </c>
      <c r="DJ389" s="5" t="s">
        <v>238</v>
      </c>
      <c r="DK389" s="5" t="s">
        <v>271</v>
      </c>
      <c r="DL389" s="5" t="s">
        <v>272</v>
      </c>
      <c r="DM389" s="7">
        <f>49</f>
        <v>49</v>
      </c>
      <c r="DN389" s="5" t="s">
        <v>238</v>
      </c>
      <c r="DO389" s="5" t="s">
        <v>238</v>
      </c>
      <c r="DP389" s="5" t="s">
        <v>238</v>
      </c>
      <c r="DQ389" s="5" t="s">
        <v>238</v>
      </c>
      <c r="DT389" s="5" t="s">
        <v>463</v>
      </c>
      <c r="DU389" s="5" t="s">
        <v>379</v>
      </c>
      <c r="HM389" s="5" t="s">
        <v>271</v>
      </c>
      <c r="HP389" s="5" t="s">
        <v>272</v>
      </c>
      <c r="HQ389" s="5" t="s">
        <v>272</v>
      </c>
    </row>
    <row r="390" spans="1:238" x14ac:dyDescent="0.4">
      <c r="A390" s="5">
        <v>426</v>
      </c>
      <c r="B390" s="5">
        <v>1</v>
      </c>
      <c r="C390" s="5">
        <v>4</v>
      </c>
      <c r="D390" s="5" t="s">
        <v>461</v>
      </c>
      <c r="E390" s="5" t="s">
        <v>347</v>
      </c>
      <c r="F390" s="5" t="s">
        <v>282</v>
      </c>
      <c r="G390" s="5" t="s">
        <v>349</v>
      </c>
      <c r="H390" s="6" t="s">
        <v>462</v>
      </c>
      <c r="I390" s="5" t="s">
        <v>345</v>
      </c>
      <c r="J390" s="7">
        <f>0</f>
        <v>0</v>
      </c>
      <c r="K390" s="5" t="s">
        <v>270</v>
      </c>
      <c r="L390" s="8">
        <f>25597649</f>
        <v>25597649</v>
      </c>
      <c r="M390" s="8">
        <f>33286928</f>
        <v>33286928</v>
      </c>
      <c r="N390" s="6" t="s">
        <v>348</v>
      </c>
      <c r="O390" s="5" t="s">
        <v>319</v>
      </c>
      <c r="P390" s="5" t="s">
        <v>271</v>
      </c>
      <c r="Q390" s="8">
        <f>2563093</f>
        <v>2563093</v>
      </c>
      <c r="R390" s="8">
        <f>7689279</f>
        <v>7689279</v>
      </c>
      <c r="S390" s="5" t="s">
        <v>240</v>
      </c>
      <c r="T390" s="5" t="s">
        <v>287</v>
      </c>
      <c r="U390" s="5" t="s">
        <v>238</v>
      </c>
      <c r="V390" s="5" t="s">
        <v>238</v>
      </c>
      <c r="W390" s="5" t="s">
        <v>241</v>
      </c>
      <c r="X390" s="5" t="s">
        <v>238</v>
      </c>
      <c r="Y390" s="5" t="s">
        <v>238</v>
      </c>
      <c r="AB390" s="5" t="s">
        <v>238</v>
      </c>
      <c r="AC390" s="6" t="s">
        <v>238</v>
      </c>
      <c r="AD390" s="6" t="s">
        <v>238</v>
      </c>
      <c r="AF390" s="6" t="s">
        <v>238</v>
      </c>
      <c r="AG390" s="6" t="s">
        <v>246</v>
      </c>
      <c r="AH390" s="5" t="s">
        <v>247</v>
      </c>
      <c r="AI390" s="5" t="s">
        <v>248</v>
      </c>
      <c r="AO390" s="5" t="s">
        <v>238</v>
      </c>
      <c r="AP390" s="5" t="s">
        <v>238</v>
      </c>
      <c r="AQ390" s="5" t="s">
        <v>238</v>
      </c>
      <c r="AR390" s="6" t="s">
        <v>238</v>
      </c>
      <c r="AS390" s="6" t="s">
        <v>238</v>
      </c>
      <c r="AT390" s="6" t="s">
        <v>238</v>
      </c>
      <c r="AW390" s="5" t="s">
        <v>304</v>
      </c>
      <c r="AX390" s="5" t="s">
        <v>304</v>
      </c>
      <c r="AY390" s="5" t="s">
        <v>250</v>
      </c>
      <c r="AZ390" s="5" t="s">
        <v>305</v>
      </c>
      <c r="BA390" s="5" t="s">
        <v>251</v>
      </c>
      <c r="BB390" s="5" t="s">
        <v>238</v>
      </c>
      <c r="BC390" s="5" t="s">
        <v>253</v>
      </c>
      <c r="BD390" s="5" t="s">
        <v>238</v>
      </c>
      <c r="BF390" s="5" t="s">
        <v>238</v>
      </c>
      <c r="BH390" s="5" t="s">
        <v>283</v>
      </c>
      <c r="BI390" s="6" t="s">
        <v>293</v>
      </c>
      <c r="BJ390" s="5" t="s">
        <v>294</v>
      </c>
      <c r="BK390" s="5" t="s">
        <v>294</v>
      </c>
      <c r="BL390" s="5" t="s">
        <v>238</v>
      </c>
      <c r="BM390" s="7">
        <f>0</f>
        <v>0</v>
      </c>
      <c r="BN390" s="8">
        <f>-2563093</f>
        <v>-2563093</v>
      </c>
      <c r="BO390" s="5" t="s">
        <v>257</v>
      </c>
      <c r="BP390" s="5" t="s">
        <v>258</v>
      </c>
      <c r="BQ390" s="5" t="s">
        <v>238</v>
      </c>
      <c r="BR390" s="5" t="s">
        <v>238</v>
      </c>
      <c r="BS390" s="5" t="s">
        <v>238</v>
      </c>
      <c r="BT390" s="5" t="s">
        <v>238</v>
      </c>
      <c r="CC390" s="5" t="s">
        <v>258</v>
      </c>
      <c r="CD390" s="5" t="s">
        <v>238</v>
      </c>
      <c r="CE390" s="5" t="s">
        <v>238</v>
      </c>
      <c r="CI390" s="5" t="s">
        <v>259</v>
      </c>
      <c r="CJ390" s="5" t="s">
        <v>260</v>
      </c>
      <c r="CK390" s="5" t="s">
        <v>238</v>
      </c>
      <c r="CM390" s="5" t="s">
        <v>291</v>
      </c>
      <c r="CN390" s="6" t="s">
        <v>262</v>
      </c>
      <c r="CO390" s="5" t="s">
        <v>263</v>
      </c>
      <c r="CP390" s="5" t="s">
        <v>264</v>
      </c>
      <c r="CQ390" s="5" t="s">
        <v>285</v>
      </c>
      <c r="CR390" s="5" t="s">
        <v>238</v>
      </c>
      <c r="CS390" s="5">
        <v>7.6999999999999999E-2</v>
      </c>
      <c r="CT390" s="5" t="s">
        <v>265</v>
      </c>
      <c r="CU390" s="5" t="s">
        <v>351</v>
      </c>
      <c r="CV390" s="5" t="s">
        <v>352</v>
      </c>
      <c r="CW390" s="7">
        <f>0</f>
        <v>0</v>
      </c>
      <c r="CX390" s="8">
        <f>33286928</f>
        <v>33286928</v>
      </c>
      <c r="CY390" s="8">
        <f>28160742</f>
        <v>28160742</v>
      </c>
      <c r="DA390" s="5" t="s">
        <v>238</v>
      </c>
      <c r="DB390" s="5" t="s">
        <v>238</v>
      </c>
      <c r="DD390" s="5" t="s">
        <v>238</v>
      </c>
      <c r="DE390" s="8">
        <f>0</f>
        <v>0</v>
      </c>
      <c r="DG390" s="5" t="s">
        <v>238</v>
      </c>
      <c r="DH390" s="5" t="s">
        <v>238</v>
      </c>
      <c r="DI390" s="5" t="s">
        <v>238</v>
      </c>
      <c r="DJ390" s="5" t="s">
        <v>238</v>
      </c>
      <c r="DK390" s="5" t="s">
        <v>272</v>
      </c>
      <c r="DL390" s="5" t="s">
        <v>272</v>
      </c>
      <c r="DM390" s="8" t="s">
        <v>238</v>
      </c>
      <c r="DN390" s="5" t="s">
        <v>238</v>
      </c>
      <c r="DO390" s="5" t="s">
        <v>238</v>
      </c>
      <c r="DP390" s="5" t="s">
        <v>238</v>
      </c>
      <c r="DQ390" s="5" t="s">
        <v>238</v>
      </c>
      <c r="DT390" s="5" t="s">
        <v>463</v>
      </c>
      <c r="DU390" s="5" t="s">
        <v>313</v>
      </c>
      <c r="GL390" s="5" t="s">
        <v>464</v>
      </c>
      <c r="HM390" s="5" t="s">
        <v>356</v>
      </c>
      <c r="HP390" s="5" t="s">
        <v>272</v>
      </c>
      <c r="HQ390" s="5" t="s">
        <v>272</v>
      </c>
      <c r="HR390" s="5" t="s">
        <v>238</v>
      </c>
      <c r="HS390" s="5" t="s">
        <v>238</v>
      </c>
      <c r="HT390" s="5" t="s">
        <v>238</v>
      </c>
      <c r="HU390" s="5" t="s">
        <v>238</v>
      </c>
      <c r="HV390" s="5" t="s">
        <v>238</v>
      </c>
      <c r="HW390" s="5" t="s">
        <v>238</v>
      </c>
      <c r="HX390" s="5" t="s">
        <v>238</v>
      </c>
      <c r="HY390" s="5" t="s">
        <v>238</v>
      </c>
      <c r="HZ390" s="5" t="s">
        <v>238</v>
      </c>
      <c r="IA390" s="5" t="s">
        <v>238</v>
      </c>
      <c r="IB390" s="5" t="s">
        <v>238</v>
      </c>
      <c r="IC390" s="5" t="s">
        <v>238</v>
      </c>
      <c r="ID390" s="5" t="s">
        <v>238</v>
      </c>
    </row>
    <row r="391" spans="1:238" x14ac:dyDescent="0.4">
      <c r="A391" s="5">
        <v>427</v>
      </c>
      <c r="B391" s="5">
        <v>1</v>
      </c>
      <c r="C391" s="5">
        <v>4</v>
      </c>
      <c r="D391" s="5" t="s">
        <v>434</v>
      </c>
      <c r="E391" s="5" t="s">
        <v>347</v>
      </c>
      <c r="F391" s="5" t="s">
        <v>282</v>
      </c>
      <c r="G391" s="5" t="s">
        <v>1499</v>
      </c>
      <c r="H391" s="6" t="s">
        <v>435</v>
      </c>
      <c r="I391" s="5" t="s">
        <v>1314</v>
      </c>
      <c r="J391" s="7">
        <f>2416</f>
        <v>2416</v>
      </c>
      <c r="K391" s="5" t="s">
        <v>270</v>
      </c>
      <c r="L391" s="8">
        <f>39139200</f>
        <v>39139200</v>
      </c>
      <c r="M391" s="8">
        <f>326160000</f>
        <v>326160000</v>
      </c>
      <c r="N391" s="6" t="s">
        <v>1066</v>
      </c>
      <c r="O391" s="5" t="s">
        <v>898</v>
      </c>
      <c r="P391" s="5" t="s">
        <v>639</v>
      </c>
      <c r="Q391" s="8">
        <f>7175520</f>
        <v>7175520</v>
      </c>
      <c r="R391" s="8">
        <f>287020800</f>
        <v>287020800</v>
      </c>
      <c r="S391" s="5" t="s">
        <v>240</v>
      </c>
      <c r="T391" s="5" t="s">
        <v>237</v>
      </c>
      <c r="U391" s="5" t="s">
        <v>238</v>
      </c>
      <c r="V391" s="5" t="s">
        <v>238</v>
      </c>
      <c r="W391" s="5" t="s">
        <v>241</v>
      </c>
      <c r="X391" s="5" t="s">
        <v>337</v>
      </c>
      <c r="Y391" s="5" t="s">
        <v>238</v>
      </c>
      <c r="AB391" s="5" t="s">
        <v>238</v>
      </c>
      <c r="AC391" s="6" t="s">
        <v>238</v>
      </c>
      <c r="AD391" s="6" t="s">
        <v>238</v>
      </c>
      <c r="AF391" s="6" t="s">
        <v>238</v>
      </c>
      <c r="AG391" s="6" t="s">
        <v>246</v>
      </c>
      <c r="AH391" s="5" t="s">
        <v>247</v>
      </c>
      <c r="AI391" s="5" t="s">
        <v>248</v>
      </c>
      <c r="AO391" s="5" t="s">
        <v>238</v>
      </c>
      <c r="AP391" s="5" t="s">
        <v>238</v>
      </c>
      <c r="AQ391" s="5" t="s">
        <v>238</v>
      </c>
      <c r="AR391" s="6" t="s">
        <v>238</v>
      </c>
      <c r="AS391" s="6" t="s">
        <v>238</v>
      </c>
      <c r="AT391" s="6" t="s">
        <v>238</v>
      </c>
      <c r="AW391" s="5" t="s">
        <v>304</v>
      </c>
      <c r="AX391" s="5" t="s">
        <v>304</v>
      </c>
      <c r="AY391" s="5" t="s">
        <v>250</v>
      </c>
      <c r="AZ391" s="5" t="s">
        <v>305</v>
      </c>
      <c r="BA391" s="5" t="s">
        <v>251</v>
      </c>
      <c r="BB391" s="5" t="s">
        <v>238</v>
      </c>
      <c r="BC391" s="5" t="s">
        <v>253</v>
      </c>
      <c r="BD391" s="5" t="s">
        <v>238</v>
      </c>
      <c r="BF391" s="5" t="s">
        <v>238</v>
      </c>
      <c r="BH391" s="5" t="s">
        <v>283</v>
      </c>
      <c r="BI391" s="6" t="s">
        <v>293</v>
      </c>
      <c r="BJ391" s="5" t="s">
        <v>294</v>
      </c>
      <c r="BK391" s="5" t="s">
        <v>294</v>
      </c>
      <c r="BL391" s="5" t="s">
        <v>238</v>
      </c>
      <c r="BM391" s="7">
        <f>0</f>
        <v>0</v>
      </c>
      <c r="BN391" s="8">
        <f>-7175520</f>
        <v>-7175520</v>
      </c>
      <c r="BO391" s="5" t="s">
        <v>257</v>
      </c>
      <c r="BP391" s="5" t="s">
        <v>258</v>
      </c>
      <c r="BQ391" s="5" t="s">
        <v>238</v>
      </c>
      <c r="BR391" s="5" t="s">
        <v>238</v>
      </c>
      <c r="BS391" s="5" t="s">
        <v>238</v>
      </c>
      <c r="BT391" s="5" t="s">
        <v>238</v>
      </c>
      <c r="CC391" s="5" t="s">
        <v>258</v>
      </c>
      <c r="CD391" s="5" t="s">
        <v>238</v>
      </c>
      <c r="CE391" s="5" t="s">
        <v>238</v>
      </c>
      <c r="CI391" s="5" t="s">
        <v>527</v>
      </c>
      <c r="CJ391" s="5" t="s">
        <v>260</v>
      </c>
      <c r="CK391" s="5" t="s">
        <v>238</v>
      </c>
      <c r="CM391" s="5" t="s">
        <v>822</v>
      </c>
      <c r="CN391" s="6" t="s">
        <v>262</v>
      </c>
      <c r="CO391" s="5" t="s">
        <v>263</v>
      </c>
      <c r="CP391" s="5" t="s">
        <v>264</v>
      </c>
      <c r="CQ391" s="5" t="s">
        <v>285</v>
      </c>
      <c r="CR391" s="5" t="s">
        <v>238</v>
      </c>
      <c r="CS391" s="5">
        <v>2.1999999999999999E-2</v>
      </c>
      <c r="CT391" s="5" t="s">
        <v>265</v>
      </c>
      <c r="CU391" s="5" t="s">
        <v>1493</v>
      </c>
      <c r="CV391" s="5" t="s">
        <v>308</v>
      </c>
      <c r="CW391" s="7">
        <f>0</f>
        <v>0</v>
      </c>
      <c r="CX391" s="8">
        <f>326160000</f>
        <v>326160000</v>
      </c>
      <c r="CY391" s="8">
        <f>46314720</f>
        <v>46314720</v>
      </c>
      <c r="DA391" s="5" t="s">
        <v>238</v>
      </c>
      <c r="DB391" s="5" t="s">
        <v>238</v>
      </c>
      <c r="DD391" s="5" t="s">
        <v>238</v>
      </c>
      <c r="DE391" s="8">
        <f>0</f>
        <v>0</v>
      </c>
      <c r="DG391" s="5" t="s">
        <v>238</v>
      </c>
      <c r="DH391" s="5" t="s">
        <v>238</v>
      </c>
      <c r="DI391" s="5" t="s">
        <v>238</v>
      </c>
      <c r="DJ391" s="5" t="s">
        <v>238</v>
      </c>
      <c r="DK391" s="5" t="s">
        <v>274</v>
      </c>
      <c r="DL391" s="5" t="s">
        <v>272</v>
      </c>
      <c r="DM391" s="7">
        <f>2416</f>
        <v>2416</v>
      </c>
      <c r="DN391" s="5" t="s">
        <v>238</v>
      </c>
      <c r="DO391" s="5" t="s">
        <v>238</v>
      </c>
      <c r="DP391" s="5" t="s">
        <v>238</v>
      </c>
      <c r="DQ391" s="5" t="s">
        <v>238</v>
      </c>
      <c r="DT391" s="5" t="s">
        <v>436</v>
      </c>
      <c r="DU391" s="5" t="s">
        <v>271</v>
      </c>
      <c r="GL391" s="5" t="s">
        <v>1515</v>
      </c>
      <c r="HM391" s="5" t="s">
        <v>313</v>
      </c>
      <c r="HP391" s="5" t="s">
        <v>272</v>
      </c>
      <c r="HQ391" s="5" t="s">
        <v>272</v>
      </c>
      <c r="HR391" s="5" t="s">
        <v>238</v>
      </c>
      <c r="HS391" s="5" t="s">
        <v>238</v>
      </c>
      <c r="HT391" s="5" t="s">
        <v>238</v>
      </c>
      <c r="HU391" s="5" t="s">
        <v>238</v>
      </c>
      <c r="HV391" s="5" t="s">
        <v>238</v>
      </c>
      <c r="HW391" s="5" t="s">
        <v>238</v>
      </c>
      <c r="HX391" s="5" t="s">
        <v>238</v>
      </c>
      <c r="HY391" s="5" t="s">
        <v>238</v>
      </c>
      <c r="HZ391" s="5" t="s">
        <v>238</v>
      </c>
      <c r="IA391" s="5" t="s">
        <v>238</v>
      </c>
      <c r="IB391" s="5" t="s">
        <v>238</v>
      </c>
      <c r="IC391" s="5" t="s">
        <v>238</v>
      </c>
      <c r="ID391" s="5" t="s">
        <v>238</v>
      </c>
    </row>
    <row r="392" spans="1:238" x14ac:dyDescent="0.4">
      <c r="A392" s="5">
        <v>428</v>
      </c>
      <c r="B392" s="5">
        <v>1</v>
      </c>
      <c r="C392" s="5">
        <v>4</v>
      </c>
      <c r="D392" s="5" t="s">
        <v>434</v>
      </c>
      <c r="E392" s="5" t="s">
        <v>347</v>
      </c>
      <c r="F392" s="5" t="s">
        <v>282</v>
      </c>
      <c r="G392" s="5" t="s">
        <v>1499</v>
      </c>
      <c r="H392" s="6" t="s">
        <v>435</v>
      </c>
      <c r="I392" s="5" t="s">
        <v>1314</v>
      </c>
      <c r="J392" s="7">
        <f>834</f>
        <v>834</v>
      </c>
      <c r="K392" s="5" t="s">
        <v>270</v>
      </c>
      <c r="L392" s="8">
        <f>105924672</f>
        <v>105924672</v>
      </c>
      <c r="M392" s="8">
        <f>163464000</f>
        <v>163464000</v>
      </c>
      <c r="N392" s="6" t="s">
        <v>1111</v>
      </c>
      <c r="O392" s="5" t="s">
        <v>898</v>
      </c>
      <c r="P392" s="5" t="s">
        <v>1114</v>
      </c>
      <c r="Q392" s="8">
        <f>3596208</f>
        <v>3596208</v>
      </c>
      <c r="R392" s="8">
        <f>57539328</f>
        <v>57539328</v>
      </c>
      <c r="S392" s="5" t="s">
        <v>240</v>
      </c>
      <c r="T392" s="5" t="s">
        <v>237</v>
      </c>
      <c r="U392" s="5" t="s">
        <v>238</v>
      </c>
      <c r="V392" s="5" t="s">
        <v>238</v>
      </c>
      <c r="W392" s="5" t="s">
        <v>241</v>
      </c>
      <c r="X392" s="5" t="s">
        <v>337</v>
      </c>
      <c r="Y392" s="5" t="s">
        <v>238</v>
      </c>
      <c r="AB392" s="5" t="s">
        <v>238</v>
      </c>
      <c r="AC392" s="6" t="s">
        <v>238</v>
      </c>
      <c r="AD392" s="6" t="s">
        <v>238</v>
      </c>
      <c r="AF392" s="6" t="s">
        <v>238</v>
      </c>
      <c r="AG392" s="6" t="s">
        <v>246</v>
      </c>
      <c r="AH392" s="5" t="s">
        <v>247</v>
      </c>
      <c r="AI392" s="5" t="s">
        <v>248</v>
      </c>
      <c r="AO392" s="5" t="s">
        <v>238</v>
      </c>
      <c r="AP392" s="5" t="s">
        <v>238</v>
      </c>
      <c r="AQ392" s="5" t="s">
        <v>238</v>
      </c>
      <c r="AR392" s="6" t="s">
        <v>238</v>
      </c>
      <c r="AS392" s="6" t="s">
        <v>238</v>
      </c>
      <c r="AT392" s="6" t="s">
        <v>238</v>
      </c>
      <c r="AW392" s="5" t="s">
        <v>304</v>
      </c>
      <c r="AX392" s="5" t="s">
        <v>304</v>
      </c>
      <c r="AY392" s="5" t="s">
        <v>250</v>
      </c>
      <c r="AZ392" s="5" t="s">
        <v>305</v>
      </c>
      <c r="BA392" s="5" t="s">
        <v>251</v>
      </c>
      <c r="BB392" s="5" t="s">
        <v>238</v>
      </c>
      <c r="BC392" s="5" t="s">
        <v>253</v>
      </c>
      <c r="BD392" s="5" t="s">
        <v>238</v>
      </c>
      <c r="BF392" s="5" t="s">
        <v>238</v>
      </c>
      <c r="BH392" s="5" t="s">
        <v>283</v>
      </c>
      <c r="BI392" s="6" t="s">
        <v>293</v>
      </c>
      <c r="BJ392" s="5" t="s">
        <v>294</v>
      </c>
      <c r="BK392" s="5" t="s">
        <v>294</v>
      </c>
      <c r="BL392" s="5" t="s">
        <v>238</v>
      </c>
      <c r="BM392" s="7">
        <f>0</f>
        <v>0</v>
      </c>
      <c r="BN392" s="8">
        <f>-3596208</f>
        <v>-3596208</v>
      </c>
      <c r="BO392" s="5" t="s">
        <v>257</v>
      </c>
      <c r="BP392" s="5" t="s">
        <v>258</v>
      </c>
      <c r="BQ392" s="5" t="s">
        <v>238</v>
      </c>
      <c r="BR392" s="5" t="s">
        <v>238</v>
      </c>
      <c r="BS392" s="5" t="s">
        <v>238</v>
      </c>
      <c r="BT392" s="5" t="s">
        <v>238</v>
      </c>
      <c r="CC392" s="5" t="s">
        <v>258</v>
      </c>
      <c r="CD392" s="5" t="s">
        <v>238</v>
      </c>
      <c r="CE392" s="5" t="s">
        <v>238</v>
      </c>
      <c r="CI392" s="5" t="s">
        <v>259</v>
      </c>
      <c r="CJ392" s="5" t="s">
        <v>260</v>
      </c>
      <c r="CK392" s="5" t="s">
        <v>238</v>
      </c>
      <c r="CM392" s="5" t="s">
        <v>1113</v>
      </c>
      <c r="CN392" s="6" t="s">
        <v>262</v>
      </c>
      <c r="CO392" s="5" t="s">
        <v>263</v>
      </c>
      <c r="CP392" s="5" t="s">
        <v>264</v>
      </c>
      <c r="CQ392" s="5" t="s">
        <v>285</v>
      </c>
      <c r="CR392" s="5" t="s">
        <v>238</v>
      </c>
      <c r="CS392" s="5">
        <v>2.1999999999999999E-2</v>
      </c>
      <c r="CT392" s="5" t="s">
        <v>265</v>
      </c>
      <c r="CU392" s="5" t="s">
        <v>1493</v>
      </c>
      <c r="CV392" s="5" t="s">
        <v>308</v>
      </c>
      <c r="CW392" s="7">
        <f>0</f>
        <v>0</v>
      </c>
      <c r="CX392" s="8">
        <f>163464000</f>
        <v>163464000</v>
      </c>
      <c r="CY392" s="8">
        <f>109520880</f>
        <v>109520880</v>
      </c>
      <c r="DA392" s="5" t="s">
        <v>238</v>
      </c>
      <c r="DB392" s="5" t="s">
        <v>238</v>
      </c>
      <c r="DD392" s="5" t="s">
        <v>238</v>
      </c>
      <c r="DE392" s="8">
        <f>0</f>
        <v>0</v>
      </c>
      <c r="DG392" s="5" t="s">
        <v>238</v>
      </c>
      <c r="DH392" s="5" t="s">
        <v>238</v>
      </c>
      <c r="DI392" s="5" t="s">
        <v>238</v>
      </c>
      <c r="DJ392" s="5" t="s">
        <v>238</v>
      </c>
      <c r="DK392" s="5" t="s">
        <v>274</v>
      </c>
      <c r="DL392" s="5" t="s">
        <v>272</v>
      </c>
      <c r="DM392" s="7">
        <f>834</f>
        <v>834</v>
      </c>
      <c r="DN392" s="5" t="s">
        <v>238</v>
      </c>
      <c r="DO392" s="5" t="s">
        <v>238</v>
      </c>
      <c r="DP392" s="5" t="s">
        <v>238</v>
      </c>
      <c r="DQ392" s="5" t="s">
        <v>238</v>
      </c>
      <c r="DT392" s="5" t="s">
        <v>436</v>
      </c>
      <c r="DU392" s="5" t="s">
        <v>274</v>
      </c>
      <c r="GL392" s="5" t="s">
        <v>1534</v>
      </c>
      <c r="HM392" s="5" t="s">
        <v>313</v>
      </c>
      <c r="HP392" s="5" t="s">
        <v>272</v>
      </c>
      <c r="HQ392" s="5" t="s">
        <v>272</v>
      </c>
      <c r="HR392" s="5" t="s">
        <v>238</v>
      </c>
      <c r="HS392" s="5" t="s">
        <v>238</v>
      </c>
      <c r="HT392" s="5" t="s">
        <v>238</v>
      </c>
      <c r="HU392" s="5" t="s">
        <v>238</v>
      </c>
      <c r="HV392" s="5" t="s">
        <v>238</v>
      </c>
      <c r="HW392" s="5" t="s">
        <v>238</v>
      </c>
      <c r="HX392" s="5" t="s">
        <v>238</v>
      </c>
      <c r="HY392" s="5" t="s">
        <v>238</v>
      </c>
      <c r="HZ392" s="5" t="s">
        <v>238</v>
      </c>
      <c r="IA392" s="5" t="s">
        <v>238</v>
      </c>
      <c r="IB392" s="5" t="s">
        <v>238</v>
      </c>
      <c r="IC392" s="5" t="s">
        <v>238</v>
      </c>
      <c r="ID392" s="5" t="s">
        <v>238</v>
      </c>
    </row>
    <row r="393" spans="1:238" x14ac:dyDescent="0.4">
      <c r="A393" s="5">
        <v>429</v>
      </c>
      <c r="B393" s="5">
        <v>1</v>
      </c>
      <c r="C393" s="5">
        <v>4</v>
      </c>
      <c r="D393" s="5" t="s">
        <v>434</v>
      </c>
      <c r="E393" s="5" t="s">
        <v>347</v>
      </c>
      <c r="F393" s="5" t="s">
        <v>282</v>
      </c>
      <c r="G393" s="5" t="s">
        <v>1666</v>
      </c>
      <c r="H393" s="6" t="s">
        <v>435</v>
      </c>
      <c r="I393" s="5" t="s">
        <v>1308</v>
      </c>
      <c r="J393" s="7">
        <f>746</f>
        <v>746</v>
      </c>
      <c r="K393" s="5" t="s">
        <v>270</v>
      </c>
      <c r="L393" s="8">
        <f>14300820</f>
        <v>14300820</v>
      </c>
      <c r="M393" s="8">
        <f>100710000</f>
        <v>100710000</v>
      </c>
      <c r="N393" s="6" t="s">
        <v>1131</v>
      </c>
      <c r="O393" s="5" t="s">
        <v>898</v>
      </c>
      <c r="P393" s="5" t="s">
        <v>971</v>
      </c>
      <c r="Q393" s="8">
        <f>2215620</f>
        <v>2215620</v>
      </c>
      <c r="R393" s="8">
        <f>86409180</f>
        <v>86409180</v>
      </c>
      <c r="S393" s="5" t="s">
        <v>240</v>
      </c>
      <c r="T393" s="5" t="s">
        <v>237</v>
      </c>
      <c r="U393" s="5" t="s">
        <v>238</v>
      </c>
      <c r="V393" s="5" t="s">
        <v>238</v>
      </c>
      <c r="W393" s="5" t="s">
        <v>241</v>
      </c>
      <c r="X393" s="5" t="s">
        <v>337</v>
      </c>
      <c r="Y393" s="5" t="s">
        <v>238</v>
      </c>
      <c r="AB393" s="5" t="s">
        <v>238</v>
      </c>
      <c r="AC393" s="6" t="s">
        <v>238</v>
      </c>
      <c r="AD393" s="6" t="s">
        <v>238</v>
      </c>
      <c r="AF393" s="6" t="s">
        <v>238</v>
      </c>
      <c r="AG393" s="6" t="s">
        <v>246</v>
      </c>
      <c r="AH393" s="5" t="s">
        <v>247</v>
      </c>
      <c r="AI393" s="5" t="s">
        <v>248</v>
      </c>
      <c r="AO393" s="5" t="s">
        <v>238</v>
      </c>
      <c r="AP393" s="5" t="s">
        <v>238</v>
      </c>
      <c r="AQ393" s="5" t="s">
        <v>238</v>
      </c>
      <c r="AR393" s="6" t="s">
        <v>238</v>
      </c>
      <c r="AS393" s="6" t="s">
        <v>238</v>
      </c>
      <c r="AT393" s="6" t="s">
        <v>238</v>
      </c>
      <c r="AW393" s="5" t="s">
        <v>304</v>
      </c>
      <c r="AX393" s="5" t="s">
        <v>304</v>
      </c>
      <c r="AY393" s="5" t="s">
        <v>250</v>
      </c>
      <c r="AZ393" s="5" t="s">
        <v>305</v>
      </c>
      <c r="BA393" s="5" t="s">
        <v>251</v>
      </c>
      <c r="BB393" s="5" t="s">
        <v>238</v>
      </c>
      <c r="BC393" s="5" t="s">
        <v>253</v>
      </c>
      <c r="BD393" s="5" t="s">
        <v>238</v>
      </c>
      <c r="BF393" s="5" t="s">
        <v>238</v>
      </c>
      <c r="BH393" s="5" t="s">
        <v>283</v>
      </c>
      <c r="BI393" s="6" t="s">
        <v>293</v>
      </c>
      <c r="BJ393" s="5" t="s">
        <v>294</v>
      </c>
      <c r="BK393" s="5" t="s">
        <v>294</v>
      </c>
      <c r="BL393" s="5" t="s">
        <v>238</v>
      </c>
      <c r="BM393" s="7">
        <f>0</f>
        <v>0</v>
      </c>
      <c r="BN393" s="8">
        <f>-2215620</f>
        <v>-2215620</v>
      </c>
      <c r="BO393" s="5" t="s">
        <v>257</v>
      </c>
      <c r="BP393" s="5" t="s">
        <v>258</v>
      </c>
      <c r="BQ393" s="5" t="s">
        <v>238</v>
      </c>
      <c r="BR393" s="5" t="s">
        <v>238</v>
      </c>
      <c r="BS393" s="5" t="s">
        <v>238</v>
      </c>
      <c r="BT393" s="5" t="s">
        <v>238</v>
      </c>
      <c r="CC393" s="5" t="s">
        <v>258</v>
      </c>
      <c r="CD393" s="5" t="s">
        <v>238</v>
      </c>
      <c r="CE393" s="5" t="s">
        <v>238</v>
      </c>
      <c r="CI393" s="5" t="s">
        <v>527</v>
      </c>
      <c r="CJ393" s="5" t="s">
        <v>260</v>
      </c>
      <c r="CK393" s="5" t="s">
        <v>238</v>
      </c>
      <c r="CM393" s="5" t="s">
        <v>990</v>
      </c>
      <c r="CN393" s="6" t="s">
        <v>262</v>
      </c>
      <c r="CO393" s="5" t="s">
        <v>263</v>
      </c>
      <c r="CP393" s="5" t="s">
        <v>264</v>
      </c>
      <c r="CQ393" s="5" t="s">
        <v>285</v>
      </c>
      <c r="CR393" s="5" t="s">
        <v>238</v>
      </c>
      <c r="CS393" s="5">
        <v>2.1999999999999999E-2</v>
      </c>
      <c r="CT393" s="5" t="s">
        <v>265</v>
      </c>
      <c r="CU393" s="5" t="s">
        <v>1330</v>
      </c>
      <c r="CV393" s="5" t="s">
        <v>308</v>
      </c>
      <c r="CW393" s="7">
        <f>0</f>
        <v>0</v>
      </c>
      <c r="CX393" s="8">
        <f>100710000</f>
        <v>100710000</v>
      </c>
      <c r="CY393" s="8">
        <f>16516440</f>
        <v>16516440</v>
      </c>
      <c r="DA393" s="5" t="s">
        <v>238</v>
      </c>
      <c r="DB393" s="5" t="s">
        <v>238</v>
      </c>
      <c r="DD393" s="5" t="s">
        <v>238</v>
      </c>
      <c r="DE393" s="8">
        <f>0</f>
        <v>0</v>
      </c>
      <c r="DG393" s="5" t="s">
        <v>238</v>
      </c>
      <c r="DH393" s="5" t="s">
        <v>238</v>
      </c>
      <c r="DI393" s="5" t="s">
        <v>238</v>
      </c>
      <c r="DJ393" s="5" t="s">
        <v>238</v>
      </c>
      <c r="DK393" s="5" t="s">
        <v>271</v>
      </c>
      <c r="DL393" s="5" t="s">
        <v>272</v>
      </c>
      <c r="DM393" s="7">
        <f>746</f>
        <v>746</v>
      </c>
      <c r="DN393" s="5" t="s">
        <v>238</v>
      </c>
      <c r="DO393" s="5" t="s">
        <v>238</v>
      </c>
      <c r="DP393" s="5" t="s">
        <v>238</v>
      </c>
      <c r="DQ393" s="5" t="s">
        <v>238</v>
      </c>
      <c r="DT393" s="5" t="s">
        <v>436</v>
      </c>
      <c r="DU393" s="5" t="s">
        <v>356</v>
      </c>
      <c r="GL393" s="5" t="s">
        <v>1710</v>
      </c>
      <c r="HM393" s="5" t="s">
        <v>313</v>
      </c>
      <c r="HP393" s="5" t="s">
        <v>272</v>
      </c>
      <c r="HQ393" s="5" t="s">
        <v>272</v>
      </c>
      <c r="HR393" s="5" t="s">
        <v>238</v>
      </c>
      <c r="HS393" s="5" t="s">
        <v>238</v>
      </c>
      <c r="HT393" s="5" t="s">
        <v>238</v>
      </c>
      <c r="HU393" s="5" t="s">
        <v>238</v>
      </c>
      <c r="HV393" s="5" t="s">
        <v>238</v>
      </c>
      <c r="HW393" s="5" t="s">
        <v>238</v>
      </c>
      <c r="HX393" s="5" t="s">
        <v>238</v>
      </c>
      <c r="HY393" s="5" t="s">
        <v>238</v>
      </c>
      <c r="HZ393" s="5" t="s">
        <v>238</v>
      </c>
      <c r="IA393" s="5" t="s">
        <v>238</v>
      </c>
      <c r="IB393" s="5" t="s">
        <v>238</v>
      </c>
      <c r="IC393" s="5" t="s">
        <v>238</v>
      </c>
      <c r="ID393" s="5" t="s">
        <v>238</v>
      </c>
    </row>
    <row r="394" spans="1:238" x14ac:dyDescent="0.4">
      <c r="A394" s="5">
        <v>430</v>
      </c>
      <c r="B394" s="5">
        <v>1</v>
      </c>
      <c r="C394" s="5">
        <v>1</v>
      </c>
      <c r="D394" s="5" t="s">
        <v>434</v>
      </c>
      <c r="E394" s="5" t="s">
        <v>347</v>
      </c>
      <c r="F394" s="5" t="s">
        <v>282</v>
      </c>
      <c r="G394" s="5" t="s">
        <v>239</v>
      </c>
      <c r="H394" s="6" t="s">
        <v>435</v>
      </c>
      <c r="I394" s="5" t="s">
        <v>239</v>
      </c>
      <c r="J394" s="7">
        <f>69</f>
        <v>69</v>
      </c>
      <c r="K394" s="5" t="s">
        <v>270</v>
      </c>
      <c r="L394" s="8">
        <f>1</f>
        <v>1</v>
      </c>
      <c r="M394" s="8">
        <f>4140000</f>
        <v>4140000</v>
      </c>
      <c r="N394" s="6" t="s">
        <v>1066</v>
      </c>
      <c r="O394" s="5" t="s">
        <v>650</v>
      </c>
      <c r="P394" s="5" t="s">
        <v>309</v>
      </c>
      <c r="R394" s="8">
        <f>4139999</f>
        <v>4139999</v>
      </c>
      <c r="S394" s="5" t="s">
        <v>240</v>
      </c>
      <c r="T394" s="5" t="s">
        <v>237</v>
      </c>
      <c r="U394" s="5" t="s">
        <v>238</v>
      </c>
      <c r="V394" s="5" t="s">
        <v>238</v>
      </c>
      <c r="W394" s="5" t="s">
        <v>241</v>
      </c>
      <c r="X394" s="5" t="s">
        <v>337</v>
      </c>
      <c r="Y394" s="5" t="s">
        <v>238</v>
      </c>
      <c r="AB394" s="5" t="s">
        <v>238</v>
      </c>
      <c r="AD394" s="6" t="s">
        <v>238</v>
      </c>
      <c r="AG394" s="6" t="s">
        <v>246</v>
      </c>
      <c r="AH394" s="5" t="s">
        <v>247</v>
      </c>
      <c r="AI394" s="5" t="s">
        <v>248</v>
      </c>
      <c r="AY394" s="5" t="s">
        <v>250</v>
      </c>
      <c r="AZ394" s="5" t="s">
        <v>238</v>
      </c>
      <c r="BA394" s="5" t="s">
        <v>251</v>
      </c>
      <c r="BB394" s="5" t="s">
        <v>238</v>
      </c>
      <c r="BC394" s="5" t="s">
        <v>253</v>
      </c>
      <c r="BD394" s="5" t="s">
        <v>238</v>
      </c>
      <c r="BF394" s="5" t="s">
        <v>238</v>
      </c>
      <c r="BH394" s="5" t="s">
        <v>798</v>
      </c>
      <c r="BI394" s="6" t="s">
        <v>799</v>
      </c>
      <c r="BJ394" s="5" t="s">
        <v>255</v>
      </c>
      <c r="BK394" s="5" t="s">
        <v>256</v>
      </c>
      <c r="BL394" s="5" t="s">
        <v>238</v>
      </c>
      <c r="BM394" s="7">
        <f>0</f>
        <v>0</v>
      </c>
      <c r="BN394" s="8">
        <f>0</f>
        <v>0</v>
      </c>
      <c r="BO394" s="5" t="s">
        <v>257</v>
      </c>
      <c r="BP394" s="5" t="s">
        <v>258</v>
      </c>
      <c r="CD394" s="5" t="s">
        <v>238</v>
      </c>
      <c r="CE394" s="5" t="s">
        <v>238</v>
      </c>
      <c r="CI394" s="5" t="s">
        <v>527</v>
      </c>
      <c r="CJ394" s="5" t="s">
        <v>260</v>
      </c>
      <c r="CK394" s="5" t="s">
        <v>238</v>
      </c>
      <c r="CM394" s="5" t="s">
        <v>822</v>
      </c>
      <c r="CN394" s="6" t="s">
        <v>262</v>
      </c>
      <c r="CO394" s="5" t="s">
        <v>263</v>
      </c>
      <c r="CP394" s="5" t="s">
        <v>264</v>
      </c>
      <c r="CQ394" s="5" t="s">
        <v>238</v>
      </c>
      <c r="CR394" s="5" t="s">
        <v>238</v>
      </c>
      <c r="CS394" s="5">
        <v>0</v>
      </c>
      <c r="CT394" s="5" t="s">
        <v>265</v>
      </c>
      <c r="CU394" s="5" t="s">
        <v>266</v>
      </c>
      <c r="CV394" s="5" t="s">
        <v>649</v>
      </c>
      <c r="CX394" s="8">
        <f>4140000</f>
        <v>4140000</v>
      </c>
      <c r="CY394" s="8">
        <f>0</f>
        <v>0</v>
      </c>
      <c r="DA394" s="5" t="s">
        <v>238</v>
      </c>
      <c r="DB394" s="5" t="s">
        <v>238</v>
      </c>
      <c r="DD394" s="5" t="s">
        <v>238</v>
      </c>
      <c r="DG394" s="5" t="s">
        <v>238</v>
      </c>
      <c r="DH394" s="5" t="s">
        <v>238</v>
      </c>
      <c r="DI394" s="5" t="s">
        <v>238</v>
      </c>
      <c r="DJ394" s="5" t="s">
        <v>238</v>
      </c>
      <c r="DK394" s="5" t="s">
        <v>271</v>
      </c>
      <c r="DL394" s="5" t="s">
        <v>272</v>
      </c>
      <c r="DM394" s="7">
        <f>69</f>
        <v>69</v>
      </c>
      <c r="DN394" s="5" t="s">
        <v>238</v>
      </c>
      <c r="DO394" s="5" t="s">
        <v>238</v>
      </c>
      <c r="DP394" s="5" t="s">
        <v>238</v>
      </c>
      <c r="DQ394" s="5" t="s">
        <v>238</v>
      </c>
      <c r="DT394" s="5" t="s">
        <v>436</v>
      </c>
      <c r="DU394" s="5" t="s">
        <v>310</v>
      </c>
      <c r="HM394" s="5" t="s">
        <v>271</v>
      </c>
      <c r="HP394" s="5" t="s">
        <v>272</v>
      </c>
      <c r="HQ394" s="5" t="s">
        <v>272</v>
      </c>
    </row>
    <row r="395" spans="1:238" x14ac:dyDescent="0.4">
      <c r="A395" s="5">
        <v>431</v>
      </c>
      <c r="B395" s="5">
        <v>1</v>
      </c>
      <c r="C395" s="5">
        <v>1</v>
      </c>
      <c r="D395" s="5" t="s">
        <v>434</v>
      </c>
      <c r="E395" s="5" t="s">
        <v>347</v>
      </c>
      <c r="F395" s="5" t="s">
        <v>282</v>
      </c>
      <c r="G395" s="5" t="s">
        <v>3027</v>
      </c>
      <c r="H395" s="6" t="s">
        <v>435</v>
      </c>
      <c r="I395" s="5" t="s">
        <v>3027</v>
      </c>
      <c r="J395" s="7">
        <f>70</f>
        <v>70</v>
      </c>
      <c r="K395" s="5" t="s">
        <v>270</v>
      </c>
      <c r="L395" s="8">
        <f>1</f>
        <v>1</v>
      </c>
      <c r="M395" s="8">
        <f>4200000</f>
        <v>4200000</v>
      </c>
      <c r="N395" s="6" t="s">
        <v>1131</v>
      </c>
      <c r="O395" s="5" t="s">
        <v>268</v>
      </c>
      <c r="P395" s="5" t="s">
        <v>991</v>
      </c>
      <c r="R395" s="8">
        <f>4199999</f>
        <v>4199999</v>
      </c>
      <c r="S395" s="5" t="s">
        <v>240</v>
      </c>
      <c r="T395" s="5" t="s">
        <v>237</v>
      </c>
      <c r="U395" s="5" t="s">
        <v>238</v>
      </c>
      <c r="V395" s="5" t="s">
        <v>238</v>
      </c>
      <c r="W395" s="5" t="s">
        <v>241</v>
      </c>
      <c r="X395" s="5" t="s">
        <v>337</v>
      </c>
      <c r="Y395" s="5" t="s">
        <v>238</v>
      </c>
      <c r="AB395" s="5" t="s">
        <v>238</v>
      </c>
      <c r="AD395" s="6" t="s">
        <v>238</v>
      </c>
      <c r="AG395" s="6" t="s">
        <v>246</v>
      </c>
      <c r="AH395" s="5" t="s">
        <v>247</v>
      </c>
      <c r="AI395" s="5" t="s">
        <v>248</v>
      </c>
      <c r="AY395" s="5" t="s">
        <v>250</v>
      </c>
      <c r="AZ395" s="5" t="s">
        <v>238</v>
      </c>
      <c r="BA395" s="5" t="s">
        <v>251</v>
      </c>
      <c r="BB395" s="5" t="s">
        <v>238</v>
      </c>
      <c r="BC395" s="5" t="s">
        <v>253</v>
      </c>
      <c r="BD395" s="5" t="s">
        <v>238</v>
      </c>
      <c r="BF395" s="5" t="s">
        <v>238</v>
      </c>
      <c r="BH395" s="5" t="s">
        <v>254</v>
      </c>
      <c r="BI395" s="6" t="s">
        <v>246</v>
      </c>
      <c r="BJ395" s="5" t="s">
        <v>255</v>
      </c>
      <c r="BK395" s="5" t="s">
        <v>256</v>
      </c>
      <c r="BL395" s="5" t="s">
        <v>238</v>
      </c>
      <c r="BM395" s="7">
        <f>0</f>
        <v>0</v>
      </c>
      <c r="BN395" s="8">
        <f>0</f>
        <v>0</v>
      </c>
      <c r="BO395" s="5" t="s">
        <v>257</v>
      </c>
      <c r="BP395" s="5" t="s">
        <v>258</v>
      </c>
      <c r="CD395" s="5" t="s">
        <v>238</v>
      </c>
      <c r="CE395" s="5" t="s">
        <v>238</v>
      </c>
      <c r="CI395" s="5" t="s">
        <v>527</v>
      </c>
      <c r="CJ395" s="5" t="s">
        <v>260</v>
      </c>
      <c r="CK395" s="5" t="s">
        <v>238</v>
      </c>
      <c r="CM395" s="5" t="s">
        <v>990</v>
      </c>
      <c r="CN395" s="6" t="s">
        <v>262</v>
      </c>
      <c r="CO395" s="5" t="s">
        <v>263</v>
      </c>
      <c r="CP395" s="5" t="s">
        <v>264</v>
      </c>
      <c r="CQ395" s="5" t="s">
        <v>238</v>
      </c>
      <c r="CR395" s="5" t="s">
        <v>238</v>
      </c>
      <c r="CS395" s="5">
        <v>0</v>
      </c>
      <c r="CT395" s="5" t="s">
        <v>265</v>
      </c>
      <c r="CU395" s="5" t="s">
        <v>351</v>
      </c>
      <c r="CV395" s="5" t="s">
        <v>394</v>
      </c>
      <c r="CX395" s="8">
        <f>4200000</f>
        <v>4200000</v>
      </c>
      <c r="CY395" s="8">
        <f>0</f>
        <v>0</v>
      </c>
      <c r="DA395" s="5" t="s">
        <v>238</v>
      </c>
      <c r="DB395" s="5" t="s">
        <v>238</v>
      </c>
      <c r="DD395" s="5" t="s">
        <v>238</v>
      </c>
      <c r="DG395" s="5" t="s">
        <v>238</v>
      </c>
      <c r="DH395" s="5" t="s">
        <v>238</v>
      </c>
      <c r="DI395" s="5" t="s">
        <v>238</v>
      </c>
      <c r="DJ395" s="5" t="s">
        <v>238</v>
      </c>
      <c r="DK395" s="5" t="s">
        <v>271</v>
      </c>
      <c r="DL395" s="5" t="s">
        <v>272</v>
      </c>
      <c r="DM395" s="7">
        <f>70</f>
        <v>70</v>
      </c>
      <c r="DN395" s="5" t="s">
        <v>238</v>
      </c>
      <c r="DO395" s="5" t="s">
        <v>238</v>
      </c>
      <c r="DP395" s="5" t="s">
        <v>238</v>
      </c>
      <c r="DQ395" s="5" t="s">
        <v>238</v>
      </c>
      <c r="DT395" s="5" t="s">
        <v>436</v>
      </c>
      <c r="DU395" s="5" t="s">
        <v>379</v>
      </c>
      <c r="HM395" s="5" t="s">
        <v>271</v>
      </c>
      <c r="HP395" s="5" t="s">
        <v>272</v>
      </c>
      <c r="HQ395" s="5" t="s">
        <v>272</v>
      </c>
    </row>
    <row r="396" spans="1:238" x14ac:dyDescent="0.4">
      <c r="A396" s="5">
        <v>432</v>
      </c>
      <c r="B396" s="5">
        <v>1</v>
      </c>
      <c r="C396" s="5">
        <v>4</v>
      </c>
      <c r="D396" s="5" t="s">
        <v>434</v>
      </c>
      <c r="E396" s="5" t="s">
        <v>347</v>
      </c>
      <c r="F396" s="5" t="s">
        <v>282</v>
      </c>
      <c r="G396" s="5" t="s">
        <v>1499</v>
      </c>
      <c r="H396" s="6" t="s">
        <v>435</v>
      </c>
      <c r="I396" s="5" t="s">
        <v>1314</v>
      </c>
      <c r="J396" s="7">
        <f>45</f>
        <v>45</v>
      </c>
      <c r="K396" s="5" t="s">
        <v>270</v>
      </c>
      <c r="L396" s="8">
        <f>6240000</f>
        <v>6240000</v>
      </c>
      <c r="M396" s="8">
        <f>12000000</f>
        <v>12000000</v>
      </c>
      <c r="N396" s="6" t="s">
        <v>1111</v>
      </c>
      <c r="O396" s="5" t="s">
        <v>755</v>
      </c>
      <c r="P396" s="5" t="s">
        <v>1114</v>
      </c>
      <c r="Q396" s="8">
        <f>360000</f>
        <v>360000</v>
      </c>
      <c r="R396" s="8">
        <f>5760000</f>
        <v>5760000</v>
      </c>
      <c r="S396" s="5" t="s">
        <v>240</v>
      </c>
      <c r="T396" s="5" t="s">
        <v>237</v>
      </c>
      <c r="U396" s="5" t="s">
        <v>238</v>
      </c>
      <c r="V396" s="5" t="s">
        <v>238</v>
      </c>
      <c r="W396" s="5" t="s">
        <v>241</v>
      </c>
      <c r="X396" s="5" t="s">
        <v>337</v>
      </c>
      <c r="Y396" s="5" t="s">
        <v>238</v>
      </c>
      <c r="AB396" s="5" t="s">
        <v>238</v>
      </c>
      <c r="AC396" s="6" t="s">
        <v>238</v>
      </c>
      <c r="AD396" s="6" t="s">
        <v>238</v>
      </c>
      <c r="AF396" s="6" t="s">
        <v>238</v>
      </c>
      <c r="AG396" s="6" t="s">
        <v>246</v>
      </c>
      <c r="AH396" s="5" t="s">
        <v>247</v>
      </c>
      <c r="AI396" s="5" t="s">
        <v>248</v>
      </c>
      <c r="AO396" s="5" t="s">
        <v>238</v>
      </c>
      <c r="AP396" s="5" t="s">
        <v>238</v>
      </c>
      <c r="AQ396" s="5" t="s">
        <v>238</v>
      </c>
      <c r="AR396" s="6" t="s">
        <v>238</v>
      </c>
      <c r="AS396" s="6" t="s">
        <v>238</v>
      </c>
      <c r="AT396" s="6" t="s">
        <v>238</v>
      </c>
      <c r="AW396" s="5" t="s">
        <v>304</v>
      </c>
      <c r="AX396" s="5" t="s">
        <v>304</v>
      </c>
      <c r="AY396" s="5" t="s">
        <v>250</v>
      </c>
      <c r="AZ396" s="5" t="s">
        <v>305</v>
      </c>
      <c r="BA396" s="5" t="s">
        <v>251</v>
      </c>
      <c r="BB396" s="5" t="s">
        <v>238</v>
      </c>
      <c r="BC396" s="5" t="s">
        <v>253</v>
      </c>
      <c r="BD396" s="5" t="s">
        <v>238</v>
      </c>
      <c r="BF396" s="5" t="s">
        <v>238</v>
      </c>
      <c r="BH396" s="5" t="s">
        <v>283</v>
      </c>
      <c r="BI396" s="6" t="s">
        <v>293</v>
      </c>
      <c r="BJ396" s="5" t="s">
        <v>294</v>
      </c>
      <c r="BK396" s="5" t="s">
        <v>294</v>
      </c>
      <c r="BL396" s="5" t="s">
        <v>238</v>
      </c>
      <c r="BM396" s="7">
        <f>0</f>
        <v>0</v>
      </c>
      <c r="BN396" s="8">
        <f>-360000</f>
        <v>-360000</v>
      </c>
      <c r="BO396" s="5" t="s">
        <v>257</v>
      </c>
      <c r="BP396" s="5" t="s">
        <v>258</v>
      </c>
      <c r="BQ396" s="5" t="s">
        <v>238</v>
      </c>
      <c r="BR396" s="5" t="s">
        <v>238</v>
      </c>
      <c r="BS396" s="5" t="s">
        <v>238</v>
      </c>
      <c r="BT396" s="5" t="s">
        <v>238</v>
      </c>
      <c r="CC396" s="5" t="s">
        <v>258</v>
      </c>
      <c r="CD396" s="5" t="s">
        <v>238</v>
      </c>
      <c r="CE396" s="5" t="s">
        <v>238</v>
      </c>
      <c r="CI396" s="5" t="s">
        <v>259</v>
      </c>
      <c r="CJ396" s="5" t="s">
        <v>260</v>
      </c>
      <c r="CK396" s="5" t="s">
        <v>238</v>
      </c>
      <c r="CM396" s="5" t="s">
        <v>1113</v>
      </c>
      <c r="CN396" s="6" t="s">
        <v>262</v>
      </c>
      <c r="CO396" s="5" t="s">
        <v>263</v>
      </c>
      <c r="CP396" s="5" t="s">
        <v>264</v>
      </c>
      <c r="CQ396" s="5" t="s">
        <v>285</v>
      </c>
      <c r="CR396" s="5" t="s">
        <v>238</v>
      </c>
      <c r="CS396" s="5">
        <v>0.03</v>
      </c>
      <c r="CT396" s="5" t="s">
        <v>265</v>
      </c>
      <c r="CU396" s="5" t="s">
        <v>1493</v>
      </c>
      <c r="CV396" s="5" t="s">
        <v>649</v>
      </c>
      <c r="CW396" s="7">
        <f>0</f>
        <v>0</v>
      </c>
      <c r="CX396" s="8">
        <f>12000000</f>
        <v>12000000</v>
      </c>
      <c r="CY396" s="8">
        <f>6600000</f>
        <v>6600000</v>
      </c>
      <c r="DA396" s="5" t="s">
        <v>238</v>
      </c>
      <c r="DB396" s="5" t="s">
        <v>238</v>
      </c>
      <c r="DD396" s="5" t="s">
        <v>238</v>
      </c>
      <c r="DE396" s="8">
        <f>0</f>
        <v>0</v>
      </c>
      <c r="DG396" s="5" t="s">
        <v>238</v>
      </c>
      <c r="DH396" s="5" t="s">
        <v>238</v>
      </c>
      <c r="DI396" s="5" t="s">
        <v>238</v>
      </c>
      <c r="DJ396" s="5" t="s">
        <v>238</v>
      </c>
      <c r="DK396" s="5" t="s">
        <v>271</v>
      </c>
      <c r="DL396" s="5" t="s">
        <v>272</v>
      </c>
      <c r="DM396" s="7">
        <f>45</f>
        <v>45</v>
      </c>
      <c r="DN396" s="5" t="s">
        <v>238</v>
      </c>
      <c r="DO396" s="5" t="s">
        <v>238</v>
      </c>
      <c r="DP396" s="5" t="s">
        <v>238</v>
      </c>
      <c r="DQ396" s="5" t="s">
        <v>238</v>
      </c>
      <c r="DT396" s="5" t="s">
        <v>436</v>
      </c>
      <c r="DU396" s="5" t="s">
        <v>313</v>
      </c>
      <c r="GL396" s="5" t="s">
        <v>1541</v>
      </c>
      <c r="HM396" s="5" t="s">
        <v>313</v>
      </c>
      <c r="HP396" s="5" t="s">
        <v>272</v>
      </c>
      <c r="HQ396" s="5" t="s">
        <v>272</v>
      </c>
      <c r="HR396" s="5" t="s">
        <v>238</v>
      </c>
      <c r="HS396" s="5" t="s">
        <v>238</v>
      </c>
      <c r="HT396" s="5" t="s">
        <v>238</v>
      </c>
      <c r="HU396" s="5" t="s">
        <v>238</v>
      </c>
      <c r="HV396" s="5" t="s">
        <v>238</v>
      </c>
      <c r="HW396" s="5" t="s">
        <v>238</v>
      </c>
      <c r="HX396" s="5" t="s">
        <v>238</v>
      </c>
      <c r="HY396" s="5" t="s">
        <v>238</v>
      </c>
      <c r="HZ396" s="5" t="s">
        <v>238</v>
      </c>
      <c r="IA396" s="5" t="s">
        <v>238</v>
      </c>
      <c r="IB396" s="5" t="s">
        <v>238</v>
      </c>
      <c r="IC396" s="5" t="s">
        <v>238</v>
      </c>
      <c r="ID396" s="5" t="s">
        <v>238</v>
      </c>
    </row>
    <row r="397" spans="1:238" x14ac:dyDescent="0.4">
      <c r="A397" s="5">
        <v>433</v>
      </c>
      <c r="B397" s="5">
        <v>1</v>
      </c>
      <c r="C397" s="5">
        <v>4</v>
      </c>
      <c r="D397" s="5" t="s">
        <v>434</v>
      </c>
      <c r="E397" s="5" t="s">
        <v>347</v>
      </c>
      <c r="F397" s="5" t="s">
        <v>282</v>
      </c>
      <c r="G397" s="5" t="s">
        <v>349</v>
      </c>
      <c r="H397" s="6" t="s">
        <v>435</v>
      </c>
      <c r="I397" s="5" t="s">
        <v>345</v>
      </c>
      <c r="J397" s="7">
        <f>0</f>
        <v>0</v>
      </c>
      <c r="K397" s="5" t="s">
        <v>270</v>
      </c>
      <c r="L397" s="8">
        <f>39567814</f>
        <v>39567814</v>
      </c>
      <c r="M397" s="8">
        <f>51453592</f>
        <v>51453592</v>
      </c>
      <c r="N397" s="6" t="s">
        <v>348</v>
      </c>
      <c r="O397" s="5" t="s">
        <v>319</v>
      </c>
      <c r="P397" s="5" t="s">
        <v>271</v>
      </c>
      <c r="Q397" s="8">
        <f>3961926</f>
        <v>3961926</v>
      </c>
      <c r="R397" s="8">
        <f>11885778</f>
        <v>11885778</v>
      </c>
      <c r="S397" s="5" t="s">
        <v>240</v>
      </c>
      <c r="T397" s="5" t="s">
        <v>287</v>
      </c>
      <c r="U397" s="5" t="s">
        <v>238</v>
      </c>
      <c r="V397" s="5" t="s">
        <v>238</v>
      </c>
      <c r="W397" s="5" t="s">
        <v>241</v>
      </c>
      <c r="X397" s="5" t="s">
        <v>238</v>
      </c>
      <c r="Y397" s="5" t="s">
        <v>238</v>
      </c>
      <c r="AB397" s="5" t="s">
        <v>238</v>
      </c>
      <c r="AC397" s="6" t="s">
        <v>238</v>
      </c>
      <c r="AD397" s="6" t="s">
        <v>238</v>
      </c>
      <c r="AF397" s="6" t="s">
        <v>238</v>
      </c>
      <c r="AG397" s="6" t="s">
        <v>246</v>
      </c>
      <c r="AH397" s="5" t="s">
        <v>247</v>
      </c>
      <c r="AI397" s="5" t="s">
        <v>248</v>
      </c>
      <c r="AO397" s="5" t="s">
        <v>238</v>
      </c>
      <c r="AP397" s="5" t="s">
        <v>238</v>
      </c>
      <c r="AQ397" s="5" t="s">
        <v>238</v>
      </c>
      <c r="AR397" s="6" t="s">
        <v>238</v>
      </c>
      <c r="AS397" s="6" t="s">
        <v>238</v>
      </c>
      <c r="AT397" s="6" t="s">
        <v>238</v>
      </c>
      <c r="AW397" s="5" t="s">
        <v>304</v>
      </c>
      <c r="AX397" s="5" t="s">
        <v>304</v>
      </c>
      <c r="AY397" s="5" t="s">
        <v>250</v>
      </c>
      <c r="AZ397" s="5" t="s">
        <v>305</v>
      </c>
      <c r="BA397" s="5" t="s">
        <v>251</v>
      </c>
      <c r="BB397" s="5" t="s">
        <v>238</v>
      </c>
      <c r="BC397" s="5" t="s">
        <v>253</v>
      </c>
      <c r="BD397" s="5" t="s">
        <v>238</v>
      </c>
      <c r="BF397" s="5" t="s">
        <v>238</v>
      </c>
      <c r="BH397" s="5" t="s">
        <v>283</v>
      </c>
      <c r="BI397" s="6" t="s">
        <v>293</v>
      </c>
      <c r="BJ397" s="5" t="s">
        <v>294</v>
      </c>
      <c r="BK397" s="5" t="s">
        <v>294</v>
      </c>
      <c r="BL397" s="5" t="s">
        <v>238</v>
      </c>
      <c r="BM397" s="7">
        <f>0</f>
        <v>0</v>
      </c>
      <c r="BN397" s="8">
        <f>-3961926</f>
        <v>-3961926</v>
      </c>
      <c r="BO397" s="5" t="s">
        <v>257</v>
      </c>
      <c r="BP397" s="5" t="s">
        <v>258</v>
      </c>
      <c r="BQ397" s="5" t="s">
        <v>238</v>
      </c>
      <c r="BR397" s="5" t="s">
        <v>238</v>
      </c>
      <c r="BS397" s="5" t="s">
        <v>238</v>
      </c>
      <c r="BT397" s="5" t="s">
        <v>238</v>
      </c>
      <c r="CC397" s="5" t="s">
        <v>258</v>
      </c>
      <c r="CD397" s="5" t="s">
        <v>238</v>
      </c>
      <c r="CE397" s="5" t="s">
        <v>238</v>
      </c>
      <c r="CI397" s="5" t="s">
        <v>259</v>
      </c>
      <c r="CJ397" s="5" t="s">
        <v>260</v>
      </c>
      <c r="CK397" s="5" t="s">
        <v>238</v>
      </c>
      <c r="CM397" s="5" t="s">
        <v>291</v>
      </c>
      <c r="CN397" s="6" t="s">
        <v>262</v>
      </c>
      <c r="CO397" s="5" t="s">
        <v>263</v>
      </c>
      <c r="CP397" s="5" t="s">
        <v>264</v>
      </c>
      <c r="CQ397" s="5" t="s">
        <v>285</v>
      </c>
      <c r="CR397" s="5" t="s">
        <v>238</v>
      </c>
      <c r="CS397" s="5">
        <v>7.6999999999999999E-2</v>
      </c>
      <c r="CT397" s="5" t="s">
        <v>265</v>
      </c>
      <c r="CU397" s="5" t="s">
        <v>351</v>
      </c>
      <c r="CV397" s="5" t="s">
        <v>352</v>
      </c>
      <c r="CW397" s="7">
        <f>0</f>
        <v>0</v>
      </c>
      <c r="CX397" s="8">
        <f>51453592</f>
        <v>51453592</v>
      </c>
      <c r="CY397" s="8">
        <f>43529740</f>
        <v>43529740</v>
      </c>
      <c r="DA397" s="5" t="s">
        <v>238</v>
      </c>
      <c r="DB397" s="5" t="s">
        <v>238</v>
      </c>
      <c r="DD397" s="5" t="s">
        <v>238</v>
      </c>
      <c r="DE397" s="8">
        <f>0</f>
        <v>0</v>
      </c>
      <c r="DG397" s="5" t="s">
        <v>238</v>
      </c>
      <c r="DH397" s="5" t="s">
        <v>238</v>
      </c>
      <c r="DI397" s="5" t="s">
        <v>238</v>
      </c>
      <c r="DJ397" s="5" t="s">
        <v>238</v>
      </c>
      <c r="DK397" s="5" t="s">
        <v>272</v>
      </c>
      <c r="DL397" s="5" t="s">
        <v>272</v>
      </c>
      <c r="DM397" s="8" t="s">
        <v>238</v>
      </c>
      <c r="DN397" s="5" t="s">
        <v>238</v>
      </c>
      <c r="DO397" s="5" t="s">
        <v>238</v>
      </c>
      <c r="DP397" s="5" t="s">
        <v>238</v>
      </c>
      <c r="DQ397" s="5" t="s">
        <v>238</v>
      </c>
      <c r="DT397" s="5" t="s">
        <v>436</v>
      </c>
      <c r="DU397" s="5" t="s">
        <v>389</v>
      </c>
      <c r="GL397" s="5" t="s">
        <v>437</v>
      </c>
      <c r="HM397" s="5" t="s">
        <v>356</v>
      </c>
      <c r="HP397" s="5" t="s">
        <v>272</v>
      </c>
      <c r="HQ397" s="5" t="s">
        <v>272</v>
      </c>
      <c r="HR397" s="5" t="s">
        <v>238</v>
      </c>
      <c r="HS397" s="5" t="s">
        <v>238</v>
      </c>
      <c r="HT397" s="5" t="s">
        <v>238</v>
      </c>
      <c r="HU397" s="5" t="s">
        <v>238</v>
      </c>
      <c r="HV397" s="5" t="s">
        <v>238</v>
      </c>
      <c r="HW397" s="5" t="s">
        <v>238</v>
      </c>
      <c r="HX397" s="5" t="s">
        <v>238</v>
      </c>
      <c r="HY397" s="5" t="s">
        <v>238</v>
      </c>
      <c r="HZ397" s="5" t="s">
        <v>238</v>
      </c>
      <c r="IA397" s="5" t="s">
        <v>238</v>
      </c>
      <c r="IB397" s="5" t="s">
        <v>238</v>
      </c>
      <c r="IC397" s="5" t="s">
        <v>238</v>
      </c>
      <c r="ID397" s="5" t="s">
        <v>238</v>
      </c>
    </row>
    <row r="398" spans="1:238" x14ac:dyDescent="0.4">
      <c r="A398" s="5">
        <v>434</v>
      </c>
      <c r="B398" s="5">
        <v>1</v>
      </c>
      <c r="C398" s="5">
        <v>4</v>
      </c>
      <c r="D398" s="5" t="s">
        <v>424</v>
      </c>
      <c r="E398" s="5" t="s">
        <v>347</v>
      </c>
      <c r="F398" s="5" t="s">
        <v>282</v>
      </c>
      <c r="G398" s="5" t="s">
        <v>1499</v>
      </c>
      <c r="H398" s="6" t="s">
        <v>425</v>
      </c>
      <c r="I398" s="5" t="s">
        <v>1314</v>
      </c>
      <c r="J398" s="7">
        <f>2701</f>
        <v>2701</v>
      </c>
      <c r="K398" s="5" t="s">
        <v>270</v>
      </c>
      <c r="L398" s="8">
        <f>19690290</f>
        <v>19690290</v>
      </c>
      <c r="M398" s="8">
        <f>364635000</f>
        <v>364635000</v>
      </c>
      <c r="N398" s="6" t="s">
        <v>1552</v>
      </c>
      <c r="O398" s="5" t="s">
        <v>898</v>
      </c>
      <c r="P398" s="5" t="s">
        <v>965</v>
      </c>
      <c r="Q398" s="8">
        <f>8021970</f>
        <v>8021970</v>
      </c>
      <c r="R398" s="8">
        <f>344944710</f>
        <v>344944710</v>
      </c>
      <c r="S398" s="5" t="s">
        <v>240</v>
      </c>
      <c r="T398" s="5" t="s">
        <v>237</v>
      </c>
      <c r="U398" s="5" t="s">
        <v>238</v>
      </c>
      <c r="V398" s="5" t="s">
        <v>238</v>
      </c>
      <c r="W398" s="5" t="s">
        <v>241</v>
      </c>
      <c r="X398" s="5" t="s">
        <v>337</v>
      </c>
      <c r="Y398" s="5" t="s">
        <v>238</v>
      </c>
      <c r="AB398" s="5" t="s">
        <v>238</v>
      </c>
      <c r="AC398" s="6" t="s">
        <v>238</v>
      </c>
      <c r="AD398" s="6" t="s">
        <v>238</v>
      </c>
      <c r="AF398" s="6" t="s">
        <v>238</v>
      </c>
      <c r="AG398" s="6" t="s">
        <v>246</v>
      </c>
      <c r="AH398" s="5" t="s">
        <v>247</v>
      </c>
      <c r="AI398" s="5" t="s">
        <v>248</v>
      </c>
      <c r="AO398" s="5" t="s">
        <v>238</v>
      </c>
      <c r="AP398" s="5" t="s">
        <v>238</v>
      </c>
      <c r="AQ398" s="5" t="s">
        <v>238</v>
      </c>
      <c r="AR398" s="6" t="s">
        <v>238</v>
      </c>
      <c r="AS398" s="6" t="s">
        <v>238</v>
      </c>
      <c r="AT398" s="6" t="s">
        <v>238</v>
      </c>
      <c r="AW398" s="5" t="s">
        <v>304</v>
      </c>
      <c r="AX398" s="5" t="s">
        <v>304</v>
      </c>
      <c r="AY398" s="5" t="s">
        <v>250</v>
      </c>
      <c r="AZ398" s="5" t="s">
        <v>305</v>
      </c>
      <c r="BA398" s="5" t="s">
        <v>251</v>
      </c>
      <c r="BB398" s="5" t="s">
        <v>238</v>
      </c>
      <c r="BC398" s="5" t="s">
        <v>253</v>
      </c>
      <c r="BD398" s="5" t="s">
        <v>238</v>
      </c>
      <c r="BF398" s="5" t="s">
        <v>238</v>
      </c>
      <c r="BH398" s="5" t="s">
        <v>283</v>
      </c>
      <c r="BI398" s="6" t="s">
        <v>293</v>
      </c>
      <c r="BJ398" s="5" t="s">
        <v>294</v>
      </c>
      <c r="BK398" s="5" t="s">
        <v>294</v>
      </c>
      <c r="BL398" s="5" t="s">
        <v>238</v>
      </c>
      <c r="BM398" s="7">
        <f>0</f>
        <v>0</v>
      </c>
      <c r="BN398" s="8">
        <f>-8021970</f>
        <v>-8021970</v>
      </c>
      <c r="BO398" s="5" t="s">
        <v>257</v>
      </c>
      <c r="BP398" s="5" t="s">
        <v>258</v>
      </c>
      <c r="BQ398" s="5" t="s">
        <v>238</v>
      </c>
      <c r="BR398" s="5" t="s">
        <v>238</v>
      </c>
      <c r="BS398" s="5" t="s">
        <v>238</v>
      </c>
      <c r="BT398" s="5" t="s">
        <v>238</v>
      </c>
      <c r="CC398" s="5" t="s">
        <v>258</v>
      </c>
      <c r="CD398" s="5" t="s">
        <v>238</v>
      </c>
      <c r="CE398" s="5" t="s">
        <v>238</v>
      </c>
      <c r="CI398" s="5" t="s">
        <v>527</v>
      </c>
      <c r="CJ398" s="5" t="s">
        <v>260</v>
      </c>
      <c r="CK398" s="5" t="s">
        <v>238</v>
      </c>
      <c r="CM398" s="5" t="s">
        <v>865</v>
      </c>
      <c r="CN398" s="6" t="s">
        <v>262</v>
      </c>
      <c r="CO398" s="5" t="s">
        <v>263</v>
      </c>
      <c r="CP398" s="5" t="s">
        <v>264</v>
      </c>
      <c r="CQ398" s="5" t="s">
        <v>285</v>
      </c>
      <c r="CR398" s="5" t="s">
        <v>238</v>
      </c>
      <c r="CS398" s="5">
        <v>2.1999999999999999E-2</v>
      </c>
      <c r="CT398" s="5" t="s">
        <v>265</v>
      </c>
      <c r="CU398" s="5" t="s">
        <v>1493</v>
      </c>
      <c r="CV398" s="5" t="s">
        <v>308</v>
      </c>
      <c r="CW398" s="7">
        <f>0</f>
        <v>0</v>
      </c>
      <c r="CX398" s="8">
        <f>364635000</f>
        <v>364635000</v>
      </c>
      <c r="CY398" s="8">
        <f>27712260</f>
        <v>27712260</v>
      </c>
      <c r="DA398" s="5" t="s">
        <v>238</v>
      </c>
      <c r="DB398" s="5" t="s">
        <v>238</v>
      </c>
      <c r="DD398" s="5" t="s">
        <v>238</v>
      </c>
      <c r="DE398" s="8">
        <f>0</f>
        <v>0</v>
      </c>
      <c r="DG398" s="5" t="s">
        <v>238</v>
      </c>
      <c r="DH398" s="5" t="s">
        <v>238</v>
      </c>
      <c r="DI398" s="5" t="s">
        <v>238</v>
      </c>
      <c r="DJ398" s="5" t="s">
        <v>238</v>
      </c>
      <c r="DK398" s="5" t="s">
        <v>356</v>
      </c>
      <c r="DL398" s="5" t="s">
        <v>272</v>
      </c>
      <c r="DM398" s="7">
        <f>2701</f>
        <v>2701</v>
      </c>
      <c r="DN398" s="5" t="s">
        <v>238</v>
      </c>
      <c r="DO398" s="5" t="s">
        <v>238</v>
      </c>
      <c r="DP398" s="5" t="s">
        <v>238</v>
      </c>
      <c r="DQ398" s="5" t="s">
        <v>238</v>
      </c>
      <c r="DT398" s="5" t="s">
        <v>426</v>
      </c>
      <c r="DU398" s="5" t="s">
        <v>271</v>
      </c>
      <c r="GL398" s="5" t="s">
        <v>1553</v>
      </c>
      <c r="HM398" s="5" t="s">
        <v>313</v>
      </c>
      <c r="HP398" s="5" t="s">
        <v>272</v>
      </c>
      <c r="HQ398" s="5" t="s">
        <v>272</v>
      </c>
      <c r="HR398" s="5" t="s">
        <v>238</v>
      </c>
      <c r="HS398" s="5" t="s">
        <v>238</v>
      </c>
      <c r="HT398" s="5" t="s">
        <v>238</v>
      </c>
      <c r="HU398" s="5" t="s">
        <v>238</v>
      </c>
      <c r="HV398" s="5" t="s">
        <v>238</v>
      </c>
      <c r="HW398" s="5" t="s">
        <v>238</v>
      </c>
      <c r="HX398" s="5" t="s">
        <v>238</v>
      </c>
      <c r="HY398" s="5" t="s">
        <v>238</v>
      </c>
      <c r="HZ398" s="5" t="s">
        <v>238</v>
      </c>
      <c r="IA398" s="5" t="s">
        <v>238</v>
      </c>
      <c r="IB398" s="5" t="s">
        <v>238</v>
      </c>
      <c r="IC398" s="5" t="s">
        <v>238</v>
      </c>
      <c r="ID398" s="5" t="s">
        <v>238</v>
      </c>
    </row>
    <row r="399" spans="1:238" x14ac:dyDescent="0.4">
      <c r="A399" s="5">
        <v>435</v>
      </c>
      <c r="B399" s="5">
        <v>1</v>
      </c>
      <c r="C399" s="5">
        <v>1</v>
      </c>
      <c r="D399" s="5" t="s">
        <v>424</v>
      </c>
      <c r="E399" s="5" t="s">
        <v>347</v>
      </c>
      <c r="F399" s="5" t="s">
        <v>282</v>
      </c>
      <c r="G399" s="5" t="s">
        <v>3027</v>
      </c>
      <c r="H399" s="6" t="s">
        <v>425</v>
      </c>
      <c r="I399" s="5" t="s">
        <v>3027</v>
      </c>
      <c r="J399" s="7">
        <f>43</f>
        <v>43</v>
      </c>
      <c r="K399" s="5" t="s">
        <v>270</v>
      </c>
      <c r="L399" s="8">
        <f>1</f>
        <v>1</v>
      </c>
      <c r="M399" s="8">
        <f>2580000</f>
        <v>2580000</v>
      </c>
      <c r="N399" s="6" t="s">
        <v>3106</v>
      </c>
      <c r="O399" s="5" t="s">
        <v>268</v>
      </c>
      <c r="P399" s="5" t="s">
        <v>975</v>
      </c>
      <c r="R399" s="8">
        <f>2579999</f>
        <v>2579999</v>
      </c>
      <c r="S399" s="5" t="s">
        <v>240</v>
      </c>
      <c r="T399" s="5" t="s">
        <v>237</v>
      </c>
      <c r="U399" s="5" t="s">
        <v>238</v>
      </c>
      <c r="V399" s="5" t="s">
        <v>238</v>
      </c>
      <c r="W399" s="5" t="s">
        <v>241</v>
      </c>
      <c r="X399" s="5" t="s">
        <v>337</v>
      </c>
      <c r="Y399" s="5" t="s">
        <v>238</v>
      </c>
      <c r="AB399" s="5" t="s">
        <v>238</v>
      </c>
      <c r="AD399" s="6" t="s">
        <v>238</v>
      </c>
      <c r="AG399" s="6" t="s">
        <v>246</v>
      </c>
      <c r="AH399" s="5" t="s">
        <v>247</v>
      </c>
      <c r="AI399" s="5" t="s">
        <v>248</v>
      </c>
      <c r="AY399" s="5" t="s">
        <v>250</v>
      </c>
      <c r="AZ399" s="5" t="s">
        <v>238</v>
      </c>
      <c r="BA399" s="5" t="s">
        <v>251</v>
      </c>
      <c r="BB399" s="5" t="s">
        <v>238</v>
      </c>
      <c r="BC399" s="5" t="s">
        <v>253</v>
      </c>
      <c r="BD399" s="5" t="s">
        <v>238</v>
      </c>
      <c r="BF399" s="5" t="s">
        <v>238</v>
      </c>
      <c r="BH399" s="5" t="s">
        <v>254</v>
      </c>
      <c r="BI399" s="6" t="s">
        <v>246</v>
      </c>
      <c r="BJ399" s="5" t="s">
        <v>255</v>
      </c>
      <c r="BK399" s="5" t="s">
        <v>256</v>
      </c>
      <c r="BL399" s="5" t="s">
        <v>238</v>
      </c>
      <c r="BM399" s="7">
        <f>0</f>
        <v>0</v>
      </c>
      <c r="BN399" s="8">
        <f>0</f>
        <v>0</v>
      </c>
      <c r="BO399" s="5" t="s">
        <v>257</v>
      </c>
      <c r="BP399" s="5" t="s">
        <v>258</v>
      </c>
      <c r="CD399" s="5" t="s">
        <v>238</v>
      </c>
      <c r="CE399" s="5" t="s">
        <v>238</v>
      </c>
      <c r="CI399" s="5" t="s">
        <v>527</v>
      </c>
      <c r="CJ399" s="5" t="s">
        <v>260</v>
      </c>
      <c r="CK399" s="5" t="s">
        <v>238</v>
      </c>
      <c r="CM399" s="5" t="s">
        <v>974</v>
      </c>
      <c r="CN399" s="6" t="s">
        <v>262</v>
      </c>
      <c r="CO399" s="5" t="s">
        <v>263</v>
      </c>
      <c r="CP399" s="5" t="s">
        <v>264</v>
      </c>
      <c r="CQ399" s="5" t="s">
        <v>238</v>
      </c>
      <c r="CR399" s="5" t="s">
        <v>238</v>
      </c>
      <c r="CS399" s="5">
        <v>0</v>
      </c>
      <c r="CT399" s="5" t="s">
        <v>265</v>
      </c>
      <c r="CU399" s="5" t="s">
        <v>351</v>
      </c>
      <c r="CV399" s="5" t="s">
        <v>394</v>
      </c>
      <c r="CX399" s="8">
        <f>2580000</f>
        <v>2580000</v>
      </c>
      <c r="CY399" s="8">
        <f>0</f>
        <v>0</v>
      </c>
      <c r="DA399" s="5" t="s">
        <v>238</v>
      </c>
      <c r="DB399" s="5" t="s">
        <v>238</v>
      </c>
      <c r="DD399" s="5" t="s">
        <v>238</v>
      </c>
      <c r="DG399" s="5" t="s">
        <v>238</v>
      </c>
      <c r="DH399" s="5" t="s">
        <v>238</v>
      </c>
      <c r="DI399" s="5" t="s">
        <v>238</v>
      </c>
      <c r="DJ399" s="5" t="s">
        <v>238</v>
      </c>
      <c r="DK399" s="5" t="s">
        <v>271</v>
      </c>
      <c r="DL399" s="5" t="s">
        <v>272</v>
      </c>
      <c r="DM399" s="7">
        <f>43</f>
        <v>43</v>
      </c>
      <c r="DN399" s="5" t="s">
        <v>238</v>
      </c>
      <c r="DO399" s="5" t="s">
        <v>238</v>
      </c>
      <c r="DP399" s="5" t="s">
        <v>238</v>
      </c>
      <c r="DQ399" s="5" t="s">
        <v>238</v>
      </c>
      <c r="DT399" s="5" t="s">
        <v>426</v>
      </c>
      <c r="DU399" s="5" t="s">
        <v>274</v>
      </c>
      <c r="HM399" s="5" t="s">
        <v>271</v>
      </c>
      <c r="HP399" s="5" t="s">
        <v>272</v>
      </c>
      <c r="HQ399" s="5" t="s">
        <v>272</v>
      </c>
    </row>
    <row r="400" spans="1:238" x14ac:dyDescent="0.4">
      <c r="A400" s="5">
        <v>436</v>
      </c>
      <c r="B400" s="5">
        <v>1</v>
      </c>
      <c r="C400" s="5">
        <v>1</v>
      </c>
      <c r="D400" s="5" t="s">
        <v>424</v>
      </c>
      <c r="E400" s="5" t="s">
        <v>347</v>
      </c>
      <c r="F400" s="5" t="s">
        <v>282</v>
      </c>
      <c r="G400" s="5" t="s">
        <v>1308</v>
      </c>
      <c r="H400" s="6" t="s">
        <v>425</v>
      </c>
      <c r="I400" s="5" t="s">
        <v>1308</v>
      </c>
      <c r="J400" s="7">
        <f>731</f>
        <v>731</v>
      </c>
      <c r="K400" s="5" t="s">
        <v>270</v>
      </c>
      <c r="L400" s="8">
        <f>1</f>
        <v>1</v>
      </c>
      <c r="M400" s="8">
        <f>58480000</f>
        <v>58480000</v>
      </c>
      <c r="N400" s="6" t="s">
        <v>1769</v>
      </c>
      <c r="O400" s="5" t="s">
        <v>755</v>
      </c>
      <c r="P400" s="5" t="s">
        <v>755</v>
      </c>
      <c r="R400" s="8">
        <f>58479999</f>
        <v>58479999</v>
      </c>
      <c r="S400" s="5" t="s">
        <v>240</v>
      </c>
      <c r="T400" s="5" t="s">
        <v>237</v>
      </c>
      <c r="U400" s="5" t="s">
        <v>238</v>
      </c>
      <c r="V400" s="5" t="s">
        <v>238</v>
      </c>
      <c r="W400" s="5" t="s">
        <v>241</v>
      </c>
      <c r="X400" s="5" t="s">
        <v>337</v>
      </c>
      <c r="Y400" s="5" t="s">
        <v>238</v>
      </c>
      <c r="AB400" s="5" t="s">
        <v>238</v>
      </c>
      <c r="AD400" s="6" t="s">
        <v>238</v>
      </c>
      <c r="AG400" s="6" t="s">
        <v>246</v>
      </c>
      <c r="AH400" s="5" t="s">
        <v>247</v>
      </c>
      <c r="AI400" s="5" t="s">
        <v>248</v>
      </c>
      <c r="AY400" s="5" t="s">
        <v>250</v>
      </c>
      <c r="AZ400" s="5" t="s">
        <v>238</v>
      </c>
      <c r="BA400" s="5" t="s">
        <v>251</v>
      </c>
      <c r="BB400" s="5" t="s">
        <v>238</v>
      </c>
      <c r="BC400" s="5" t="s">
        <v>253</v>
      </c>
      <c r="BD400" s="5" t="s">
        <v>238</v>
      </c>
      <c r="BF400" s="5" t="s">
        <v>238</v>
      </c>
      <c r="BH400" s="5" t="s">
        <v>859</v>
      </c>
      <c r="BI400" s="6" t="s">
        <v>368</v>
      </c>
      <c r="BJ400" s="5" t="s">
        <v>255</v>
      </c>
      <c r="BK400" s="5" t="s">
        <v>294</v>
      </c>
      <c r="BL400" s="5" t="s">
        <v>238</v>
      </c>
      <c r="BM400" s="7">
        <f>0</f>
        <v>0</v>
      </c>
      <c r="BN400" s="8">
        <f>0</f>
        <v>0</v>
      </c>
      <c r="BO400" s="5" t="s">
        <v>257</v>
      </c>
      <c r="BP400" s="5" t="s">
        <v>258</v>
      </c>
      <c r="CD400" s="5" t="s">
        <v>238</v>
      </c>
      <c r="CE400" s="5" t="s">
        <v>238</v>
      </c>
      <c r="CI400" s="5" t="s">
        <v>527</v>
      </c>
      <c r="CJ400" s="5" t="s">
        <v>260</v>
      </c>
      <c r="CK400" s="5" t="s">
        <v>238</v>
      </c>
      <c r="CM400" s="5" t="s">
        <v>877</v>
      </c>
      <c r="CN400" s="6" t="s">
        <v>262</v>
      </c>
      <c r="CO400" s="5" t="s">
        <v>263</v>
      </c>
      <c r="CP400" s="5" t="s">
        <v>264</v>
      </c>
      <c r="CQ400" s="5" t="s">
        <v>238</v>
      </c>
      <c r="CR400" s="5" t="s">
        <v>238</v>
      </c>
      <c r="CS400" s="5">
        <v>0</v>
      </c>
      <c r="CT400" s="5" t="s">
        <v>265</v>
      </c>
      <c r="CU400" s="5" t="s">
        <v>1330</v>
      </c>
      <c r="CV400" s="5" t="s">
        <v>649</v>
      </c>
      <c r="CX400" s="8">
        <f>58480000</f>
        <v>58480000</v>
      </c>
      <c r="CY400" s="8">
        <f>0</f>
        <v>0</v>
      </c>
      <c r="DA400" s="5" t="s">
        <v>238</v>
      </c>
      <c r="DB400" s="5" t="s">
        <v>238</v>
      </c>
      <c r="DD400" s="5" t="s">
        <v>238</v>
      </c>
      <c r="DG400" s="5" t="s">
        <v>238</v>
      </c>
      <c r="DH400" s="5" t="s">
        <v>238</v>
      </c>
      <c r="DI400" s="5" t="s">
        <v>238</v>
      </c>
      <c r="DJ400" s="5" t="s">
        <v>238</v>
      </c>
      <c r="DK400" s="5" t="s">
        <v>274</v>
      </c>
      <c r="DL400" s="5" t="s">
        <v>272</v>
      </c>
      <c r="DM400" s="7">
        <f>731</f>
        <v>731</v>
      </c>
      <c r="DN400" s="5" t="s">
        <v>238</v>
      </c>
      <c r="DO400" s="5" t="s">
        <v>238</v>
      </c>
      <c r="DP400" s="5" t="s">
        <v>238</v>
      </c>
      <c r="DQ400" s="5" t="s">
        <v>238</v>
      </c>
      <c r="DT400" s="5" t="s">
        <v>426</v>
      </c>
      <c r="DU400" s="5" t="s">
        <v>356</v>
      </c>
      <c r="HM400" s="5" t="s">
        <v>310</v>
      </c>
      <c r="HP400" s="5" t="s">
        <v>272</v>
      </c>
      <c r="HQ400" s="5" t="s">
        <v>272</v>
      </c>
    </row>
    <row r="401" spans="1:238" x14ac:dyDescent="0.4">
      <c r="A401" s="5">
        <v>437</v>
      </c>
      <c r="B401" s="5">
        <v>1</v>
      </c>
      <c r="C401" s="5">
        <v>1</v>
      </c>
      <c r="D401" s="5" t="s">
        <v>424</v>
      </c>
      <c r="E401" s="5" t="s">
        <v>347</v>
      </c>
      <c r="F401" s="5" t="s">
        <v>282</v>
      </c>
      <c r="G401" s="5" t="s">
        <v>1309</v>
      </c>
      <c r="H401" s="6" t="s">
        <v>425</v>
      </c>
      <c r="I401" s="5" t="s">
        <v>1309</v>
      </c>
      <c r="J401" s="7">
        <f>6</f>
        <v>6</v>
      </c>
      <c r="K401" s="5" t="s">
        <v>270</v>
      </c>
      <c r="L401" s="8">
        <f>1</f>
        <v>1</v>
      </c>
      <c r="M401" s="8">
        <f>882000</f>
        <v>882000</v>
      </c>
      <c r="N401" s="6" t="s">
        <v>2201</v>
      </c>
      <c r="O401" s="5" t="s">
        <v>268</v>
      </c>
      <c r="P401" s="5" t="s">
        <v>286</v>
      </c>
      <c r="R401" s="8">
        <f>881999</f>
        <v>881999</v>
      </c>
      <c r="S401" s="5" t="s">
        <v>240</v>
      </c>
      <c r="T401" s="5" t="s">
        <v>237</v>
      </c>
      <c r="U401" s="5" t="s">
        <v>238</v>
      </c>
      <c r="V401" s="5" t="s">
        <v>238</v>
      </c>
      <c r="W401" s="5" t="s">
        <v>241</v>
      </c>
      <c r="X401" s="5" t="s">
        <v>337</v>
      </c>
      <c r="Y401" s="5" t="s">
        <v>238</v>
      </c>
      <c r="AB401" s="5" t="s">
        <v>238</v>
      </c>
      <c r="AD401" s="6" t="s">
        <v>238</v>
      </c>
      <c r="AG401" s="6" t="s">
        <v>246</v>
      </c>
      <c r="AH401" s="5" t="s">
        <v>247</v>
      </c>
      <c r="AI401" s="5" t="s">
        <v>248</v>
      </c>
      <c r="AY401" s="5" t="s">
        <v>250</v>
      </c>
      <c r="AZ401" s="5" t="s">
        <v>238</v>
      </c>
      <c r="BA401" s="5" t="s">
        <v>251</v>
      </c>
      <c r="BB401" s="5" t="s">
        <v>238</v>
      </c>
      <c r="BC401" s="5" t="s">
        <v>253</v>
      </c>
      <c r="BD401" s="5" t="s">
        <v>238</v>
      </c>
      <c r="BF401" s="5" t="s">
        <v>238</v>
      </c>
      <c r="BH401" s="5" t="s">
        <v>697</v>
      </c>
      <c r="BI401" s="6" t="s">
        <v>698</v>
      </c>
      <c r="BJ401" s="5" t="s">
        <v>255</v>
      </c>
      <c r="BK401" s="5" t="s">
        <v>256</v>
      </c>
      <c r="BL401" s="5" t="s">
        <v>238</v>
      </c>
      <c r="BM401" s="7">
        <f>0</f>
        <v>0</v>
      </c>
      <c r="BN401" s="8">
        <f>0</f>
        <v>0</v>
      </c>
      <c r="BO401" s="5" t="s">
        <v>257</v>
      </c>
      <c r="BP401" s="5" t="s">
        <v>258</v>
      </c>
      <c r="CD401" s="5" t="s">
        <v>238</v>
      </c>
      <c r="CE401" s="5" t="s">
        <v>238</v>
      </c>
      <c r="CI401" s="5" t="s">
        <v>259</v>
      </c>
      <c r="CJ401" s="5" t="s">
        <v>260</v>
      </c>
      <c r="CK401" s="5" t="s">
        <v>238</v>
      </c>
      <c r="CM401" s="5" t="s">
        <v>783</v>
      </c>
      <c r="CN401" s="6" t="s">
        <v>262</v>
      </c>
      <c r="CO401" s="5" t="s">
        <v>263</v>
      </c>
      <c r="CP401" s="5" t="s">
        <v>264</v>
      </c>
      <c r="CQ401" s="5" t="s">
        <v>238</v>
      </c>
      <c r="CR401" s="5" t="s">
        <v>238</v>
      </c>
      <c r="CS401" s="5">
        <v>0</v>
      </c>
      <c r="CT401" s="5" t="s">
        <v>265</v>
      </c>
      <c r="CU401" s="5" t="s">
        <v>1342</v>
      </c>
      <c r="CV401" s="5" t="s">
        <v>267</v>
      </c>
      <c r="CX401" s="8">
        <f>882000</f>
        <v>882000</v>
      </c>
      <c r="CY401" s="8">
        <f>0</f>
        <v>0</v>
      </c>
      <c r="DA401" s="5" t="s">
        <v>238</v>
      </c>
      <c r="DB401" s="5" t="s">
        <v>238</v>
      </c>
      <c r="DD401" s="5" t="s">
        <v>238</v>
      </c>
      <c r="DG401" s="5" t="s">
        <v>238</v>
      </c>
      <c r="DH401" s="5" t="s">
        <v>238</v>
      </c>
      <c r="DI401" s="5" t="s">
        <v>238</v>
      </c>
      <c r="DJ401" s="5" t="s">
        <v>238</v>
      </c>
      <c r="DK401" s="5" t="s">
        <v>271</v>
      </c>
      <c r="DL401" s="5" t="s">
        <v>272</v>
      </c>
      <c r="DM401" s="7">
        <f>6</f>
        <v>6</v>
      </c>
      <c r="DN401" s="5" t="s">
        <v>238</v>
      </c>
      <c r="DO401" s="5" t="s">
        <v>238</v>
      </c>
      <c r="DP401" s="5" t="s">
        <v>238</v>
      </c>
      <c r="DQ401" s="5" t="s">
        <v>238</v>
      </c>
      <c r="DT401" s="5" t="s">
        <v>426</v>
      </c>
      <c r="DU401" s="5" t="s">
        <v>310</v>
      </c>
      <c r="HM401" s="5" t="s">
        <v>271</v>
      </c>
      <c r="HP401" s="5" t="s">
        <v>272</v>
      </c>
      <c r="HQ401" s="5" t="s">
        <v>272</v>
      </c>
    </row>
    <row r="402" spans="1:238" x14ac:dyDescent="0.4">
      <c r="A402" s="5">
        <v>438</v>
      </c>
      <c r="B402" s="5">
        <v>1</v>
      </c>
      <c r="C402" s="5">
        <v>4</v>
      </c>
      <c r="D402" s="5" t="s">
        <v>424</v>
      </c>
      <c r="E402" s="5" t="s">
        <v>347</v>
      </c>
      <c r="F402" s="5" t="s">
        <v>282</v>
      </c>
      <c r="G402" s="5" t="s">
        <v>646</v>
      </c>
      <c r="H402" s="6" t="s">
        <v>425</v>
      </c>
      <c r="I402" s="5" t="s">
        <v>239</v>
      </c>
      <c r="J402" s="7">
        <f>66</f>
        <v>66</v>
      </c>
      <c r="K402" s="5" t="s">
        <v>270</v>
      </c>
      <c r="L402" s="8">
        <f>4052160</f>
        <v>4052160</v>
      </c>
      <c r="M402" s="8">
        <f>6048000</f>
        <v>6048000</v>
      </c>
      <c r="N402" s="6" t="s">
        <v>998</v>
      </c>
      <c r="O402" s="5" t="s">
        <v>650</v>
      </c>
      <c r="P402" s="5" t="s">
        <v>354</v>
      </c>
      <c r="Q402" s="8">
        <f>199584</f>
        <v>199584</v>
      </c>
      <c r="R402" s="8">
        <f>1995840</f>
        <v>1995840</v>
      </c>
      <c r="S402" s="5" t="s">
        <v>240</v>
      </c>
      <c r="T402" s="5" t="s">
        <v>237</v>
      </c>
      <c r="U402" s="5" t="s">
        <v>238</v>
      </c>
      <c r="V402" s="5" t="s">
        <v>238</v>
      </c>
      <c r="W402" s="5" t="s">
        <v>241</v>
      </c>
      <c r="X402" s="5" t="s">
        <v>337</v>
      </c>
      <c r="Y402" s="5" t="s">
        <v>238</v>
      </c>
      <c r="AB402" s="5" t="s">
        <v>238</v>
      </c>
      <c r="AC402" s="6" t="s">
        <v>238</v>
      </c>
      <c r="AD402" s="6" t="s">
        <v>238</v>
      </c>
      <c r="AF402" s="6" t="s">
        <v>238</v>
      </c>
      <c r="AG402" s="6" t="s">
        <v>246</v>
      </c>
      <c r="AH402" s="5" t="s">
        <v>247</v>
      </c>
      <c r="AI402" s="5" t="s">
        <v>248</v>
      </c>
      <c r="AO402" s="5" t="s">
        <v>238</v>
      </c>
      <c r="AP402" s="5" t="s">
        <v>238</v>
      </c>
      <c r="AQ402" s="5" t="s">
        <v>238</v>
      </c>
      <c r="AR402" s="6" t="s">
        <v>238</v>
      </c>
      <c r="AS402" s="6" t="s">
        <v>238</v>
      </c>
      <c r="AT402" s="6" t="s">
        <v>238</v>
      </c>
      <c r="AW402" s="5" t="s">
        <v>304</v>
      </c>
      <c r="AX402" s="5" t="s">
        <v>304</v>
      </c>
      <c r="AY402" s="5" t="s">
        <v>250</v>
      </c>
      <c r="AZ402" s="5" t="s">
        <v>305</v>
      </c>
      <c r="BA402" s="5" t="s">
        <v>251</v>
      </c>
      <c r="BB402" s="5" t="s">
        <v>238</v>
      </c>
      <c r="BC402" s="5" t="s">
        <v>253</v>
      </c>
      <c r="BD402" s="5" t="s">
        <v>238</v>
      </c>
      <c r="BF402" s="5" t="s">
        <v>238</v>
      </c>
      <c r="BH402" s="5" t="s">
        <v>283</v>
      </c>
      <c r="BI402" s="6" t="s">
        <v>293</v>
      </c>
      <c r="BJ402" s="5" t="s">
        <v>294</v>
      </c>
      <c r="BK402" s="5" t="s">
        <v>294</v>
      </c>
      <c r="BL402" s="5" t="s">
        <v>238</v>
      </c>
      <c r="BM402" s="7">
        <f>0</f>
        <v>0</v>
      </c>
      <c r="BN402" s="8">
        <f>-199584</f>
        <v>-199584</v>
      </c>
      <c r="BO402" s="5" t="s">
        <v>257</v>
      </c>
      <c r="BP402" s="5" t="s">
        <v>258</v>
      </c>
      <c r="BQ402" s="5" t="s">
        <v>238</v>
      </c>
      <c r="BR402" s="5" t="s">
        <v>238</v>
      </c>
      <c r="BS402" s="5" t="s">
        <v>238</v>
      </c>
      <c r="BT402" s="5" t="s">
        <v>238</v>
      </c>
      <c r="CC402" s="5" t="s">
        <v>258</v>
      </c>
      <c r="CD402" s="5" t="s">
        <v>238</v>
      </c>
      <c r="CE402" s="5" t="s">
        <v>238</v>
      </c>
      <c r="CI402" s="5" t="s">
        <v>259</v>
      </c>
      <c r="CJ402" s="5" t="s">
        <v>260</v>
      </c>
      <c r="CK402" s="5" t="s">
        <v>238</v>
      </c>
      <c r="CM402" s="5" t="s">
        <v>670</v>
      </c>
      <c r="CN402" s="6" t="s">
        <v>262</v>
      </c>
      <c r="CO402" s="5" t="s">
        <v>263</v>
      </c>
      <c r="CP402" s="5" t="s">
        <v>264</v>
      </c>
      <c r="CQ402" s="5" t="s">
        <v>285</v>
      </c>
      <c r="CR402" s="5" t="s">
        <v>238</v>
      </c>
      <c r="CS402" s="5">
        <v>3.3000000000000002E-2</v>
      </c>
      <c r="CT402" s="5" t="s">
        <v>265</v>
      </c>
      <c r="CU402" s="5" t="s">
        <v>266</v>
      </c>
      <c r="CV402" s="5" t="s">
        <v>649</v>
      </c>
      <c r="CW402" s="7">
        <f>0</f>
        <v>0</v>
      </c>
      <c r="CX402" s="8">
        <f>6048000</f>
        <v>6048000</v>
      </c>
      <c r="CY402" s="8">
        <f>4251744</f>
        <v>4251744</v>
      </c>
      <c r="DA402" s="5" t="s">
        <v>238</v>
      </c>
      <c r="DB402" s="5" t="s">
        <v>238</v>
      </c>
      <c r="DD402" s="5" t="s">
        <v>238</v>
      </c>
      <c r="DE402" s="8">
        <f>0</f>
        <v>0</v>
      </c>
      <c r="DG402" s="5" t="s">
        <v>238</v>
      </c>
      <c r="DH402" s="5" t="s">
        <v>238</v>
      </c>
      <c r="DI402" s="5" t="s">
        <v>238</v>
      </c>
      <c r="DJ402" s="5" t="s">
        <v>238</v>
      </c>
      <c r="DK402" s="5" t="s">
        <v>271</v>
      </c>
      <c r="DL402" s="5" t="s">
        <v>272</v>
      </c>
      <c r="DM402" s="7">
        <f>66</f>
        <v>66</v>
      </c>
      <c r="DN402" s="5" t="s">
        <v>238</v>
      </c>
      <c r="DO402" s="5" t="s">
        <v>238</v>
      </c>
      <c r="DP402" s="5" t="s">
        <v>238</v>
      </c>
      <c r="DQ402" s="5" t="s">
        <v>238</v>
      </c>
      <c r="DT402" s="5" t="s">
        <v>426</v>
      </c>
      <c r="DU402" s="5" t="s">
        <v>379</v>
      </c>
      <c r="GL402" s="5" t="s">
        <v>1023</v>
      </c>
      <c r="HM402" s="5" t="s">
        <v>313</v>
      </c>
      <c r="HP402" s="5" t="s">
        <v>272</v>
      </c>
      <c r="HQ402" s="5" t="s">
        <v>272</v>
      </c>
      <c r="HR402" s="5" t="s">
        <v>238</v>
      </c>
      <c r="HS402" s="5" t="s">
        <v>238</v>
      </c>
      <c r="HT402" s="5" t="s">
        <v>238</v>
      </c>
      <c r="HU402" s="5" t="s">
        <v>238</v>
      </c>
      <c r="HV402" s="5" t="s">
        <v>238</v>
      </c>
      <c r="HW402" s="5" t="s">
        <v>238</v>
      </c>
      <c r="HX402" s="5" t="s">
        <v>238</v>
      </c>
      <c r="HY402" s="5" t="s">
        <v>238</v>
      </c>
      <c r="HZ402" s="5" t="s">
        <v>238</v>
      </c>
      <c r="IA402" s="5" t="s">
        <v>238</v>
      </c>
      <c r="IB402" s="5" t="s">
        <v>238</v>
      </c>
      <c r="IC402" s="5" t="s">
        <v>238</v>
      </c>
      <c r="ID402" s="5" t="s">
        <v>238</v>
      </c>
    </row>
    <row r="403" spans="1:238" x14ac:dyDescent="0.4">
      <c r="A403" s="5">
        <v>439</v>
      </c>
      <c r="B403" s="5">
        <v>1</v>
      </c>
      <c r="C403" s="5">
        <v>4</v>
      </c>
      <c r="D403" s="5" t="s">
        <v>424</v>
      </c>
      <c r="E403" s="5" t="s">
        <v>347</v>
      </c>
      <c r="F403" s="5" t="s">
        <v>282</v>
      </c>
      <c r="G403" s="5" t="s">
        <v>432</v>
      </c>
      <c r="H403" s="6" t="s">
        <v>425</v>
      </c>
      <c r="I403" s="5" t="s">
        <v>430</v>
      </c>
      <c r="J403" s="7">
        <f>0</f>
        <v>0</v>
      </c>
      <c r="K403" s="5" t="s">
        <v>270</v>
      </c>
      <c r="L403" s="8">
        <f>245755</f>
        <v>245755</v>
      </c>
      <c r="M403" s="8">
        <f>399600</f>
        <v>399600</v>
      </c>
      <c r="N403" s="6" t="s">
        <v>431</v>
      </c>
      <c r="O403" s="5" t="s">
        <v>319</v>
      </c>
      <c r="P403" s="5" t="s">
        <v>356</v>
      </c>
      <c r="Q403" s="8">
        <f>30769</f>
        <v>30769</v>
      </c>
      <c r="R403" s="8">
        <f>153845</f>
        <v>153845</v>
      </c>
      <c r="S403" s="5" t="s">
        <v>240</v>
      </c>
      <c r="T403" s="5" t="s">
        <v>287</v>
      </c>
      <c r="U403" s="5" t="s">
        <v>238</v>
      </c>
      <c r="V403" s="5" t="s">
        <v>238</v>
      </c>
      <c r="W403" s="5" t="s">
        <v>241</v>
      </c>
      <c r="X403" s="5" t="s">
        <v>337</v>
      </c>
      <c r="Y403" s="5" t="s">
        <v>238</v>
      </c>
      <c r="AB403" s="5" t="s">
        <v>238</v>
      </c>
      <c r="AC403" s="6" t="s">
        <v>238</v>
      </c>
      <c r="AD403" s="6" t="s">
        <v>238</v>
      </c>
      <c r="AF403" s="6" t="s">
        <v>238</v>
      </c>
      <c r="AG403" s="6" t="s">
        <v>246</v>
      </c>
      <c r="AH403" s="5" t="s">
        <v>247</v>
      </c>
      <c r="AI403" s="5" t="s">
        <v>248</v>
      </c>
      <c r="AO403" s="5" t="s">
        <v>238</v>
      </c>
      <c r="AP403" s="5" t="s">
        <v>238</v>
      </c>
      <c r="AQ403" s="5" t="s">
        <v>238</v>
      </c>
      <c r="AR403" s="6" t="s">
        <v>238</v>
      </c>
      <c r="AS403" s="6" t="s">
        <v>238</v>
      </c>
      <c r="AT403" s="6" t="s">
        <v>238</v>
      </c>
      <c r="AW403" s="5" t="s">
        <v>304</v>
      </c>
      <c r="AX403" s="5" t="s">
        <v>304</v>
      </c>
      <c r="AY403" s="5" t="s">
        <v>250</v>
      </c>
      <c r="AZ403" s="5" t="s">
        <v>305</v>
      </c>
      <c r="BA403" s="5" t="s">
        <v>251</v>
      </c>
      <c r="BB403" s="5" t="s">
        <v>238</v>
      </c>
      <c r="BC403" s="5" t="s">
        <v>253</v>
      </c>
      <c r="BD403" s="5" t="s">
        <v>238</v>
      </c>
      <c r="BF403" s="5" t="s">
        <v>238</v>
      </c>
      <c r="BH403" s="5" t="s">
        <v>283</v>
      </c>
      <c r="BI403" s="6" t="s">
        <v>293</v>
      </c>
      <c r="BJ403" s="5" t="s">
        <v>294</v>
      </c>
      <c r="BK403" s="5" t="s">
        <v>294</v>
      </c>
      <c r="BL403" s="5" t="s">
        <v>238</v>
      </c>
      <c r="BM403" s="7">
        <f>0</f>
        <v>0</v>
      </c>
      <c r="BN403" s="8">
        <f>-30769</f>
        <v>-30769</v>
      </c>
      <c r="BO403" s="5" t="s">
        <v>257</v>
      </c>
      <c r="BP403" s="5" t="s">
        <v>258</v>
      </c>
      <c r="BQ403" s="5" t="s">
        <v>238</v>
      </c>
      <c r="BR403" s="5" t="s">
        <v>238</v>
      </c>
      <c r="BS403" s="5" t="s">
        <v>238</v>
      </c>
      <c r="BT403" s="5" t="s">
        <v>238</v>
      </c>
      <c r="CC403" s="5" t="s">
        <v>258</v>
      </c>
      <c r="CD403" s="5" t="s">
        <v>238</v>
      </c>
      <c r="CE403" s="5" t="s">
        <v>238</v>
      </c>
      <c r="CI403" s="5" t="s">
        <v>259</v>
      </c>
      <c r="CJ403" s="5" t="s">
        <v>260</v>
      </c>
      <c r="CK403" s="5" t="s">
        <v>238</v>
      </c>
      <c r="CM403" s="5" t="s">
        <v>376</v>
      </c>
      <c r="CN403" s="6" t="s">
        <v>262</v>
      </c>
      <c r="CO403" s="5" t="s">
        <v>263</v>
      </c>
      <c r="CP403" s="5" t="s">
        <v>264</v>
      </c>
      <c r="CQ403" s="5" t="s">
        <v>285</v>
      </c>
      <c r="CR403" s="5" t="s">
        <v>238</v>
      </c>
      <c r="CS403" s="5">
        <v>7.6999999999999999E-2</v>
      </c>
      <c r="CT403" s="5" t="s">
        <v>265</v>
      </c>
      <c r="CU403" s="5" t="s">
        <v>351</v>
      </c>
      <c r="CV403" s="5" t="s">
        <v>352</v>
      </c>
      <c r="CW403" s="7">
        <f>0</f>
        <v>0</v>
      </c>
      <c r="CX403" s="8">
        <f>399600</f>
        <v>399600</v>
      </c>
      <c r="CY403" s="8">
        <f>276524</f>
        <v>276524</v>
      </c>
      <c r="DA403" s="5" t="s">
        <v>238</v>
      </c>
      <c r="DB403" s="5" t="s">
        <v>238</v>
      </c>
      <c r="DD403" s="5" t="s">
        <v>238</v>
      </c>
      <c r="DE403" s="8">
        <f>0</f>
        <v>0</v>
      </c>
      <c r="DG403" s="5" t="s">
        <v>238</v>
      </c>
      <c r="DH403" s="5" t="s">
        <v>238</v>
      </c>
      <c r="DI403" s="5" t="s">
        <v>238</v>
      </c>
      <c r="DJ403" s="5" t="s">
        <v>238</v>
      </c>
      <c r="DK403" s="5" t="s">
        <v>272</v>
      </c>
      <c r="DL403" s="5" t="s">
        <v>272</v>
      </c>
      <c r="DM403" s="8" t="s">
        <v>238</v>
      </c>
      <c r="DN403" s="5" t="s">
        <v>238</v>
      </c>
      <c r="DO403" s="5" t="s">
        <v>238</v>
      </c>
      <c r="DP403" s="5" t="s">
        <v>238</v>
      </c>
      <c r="DQ403" s="5" t="s">
        <v>238</v>
      </c>
      <c r="DT403" s="5" t="s">
        <v>426</v>
      </c>
      <c r="DU403" s="5" t="s">
        <v>313</v>
      </c>
      <c r="GL403" s="5" t="s">
        <v>433</v>
      </c>
      <c r="HM403" s="5" t="s">
        <v>379</v>
      </c>
      <c r="HP403" s="5" t="s">
        <v>272</v>
      </c>
      <c r="HQ403" s="5" t="s">
        <v>272</v>
      </c>
      <c r="HR403" s="5" t="s">
        <v>238</v>
      </c>
      <c r="HS403" s="5" t="s">
        <v>238</v>
      </c>
      <c r="HT403" s="5" t="s">
        <v>238</v>
      </c>
      <c r="HU403" s="5" t="s">
        <v>238</v>
      </c>
      <c r="HV403" s="5" t="s">
        <v>238</v>
      </c>
      <c r="HW403" s="5" t="s">
        <v>238</v>
      </c>
      <c r="HX403" s="5" t="s">
        <v>238</v>
      </c>
      <c r="HY403" s="5" t="s">
        <v>238</v>
      </c>
      <c r="HZ403" s="5" t="s">
        <v>238</v>
      </c>
      <c r="IA403" s="5" t="s">
        <v>238</v>
      </c>
      <c r="IB403" s="5" t="s">
        <v>238</v>
      </c>
      <c r="IC403" s="5" t="s">
        <v>238</v>
      </c>
      <c r="ID403" s="5" t="s">
        <v>238</v>
      </c>
    </row>
    <row r="404" spans="1:238" x14ac:dyDescent="0.4">
      <c r="A404" s="5">
        <v>440</v>
      </c>
      <c r="B404" s="5">
        <v>1</v>
      </c>
      <c r="C404" s="5">
        <v>4</v>
      </c>
      <c r="D404" s="5" t="s">
        <v>424</v>
      </c>
      <c r="E404" s="5" t="s">
        <v>347</v>
      </c>
      <c r="F404" s="5" t="s">
        <v>282</v>
      </c>
      <c r="G404" s="5" t="s">
        <v>349</v>
      </c>
      <c r="H404" s="6" t="s">
        <v>425</v>
      </c>
      <c r="I404" s="5" t="s">
        <v>363</v>
      </c>
      <c r="J404" s="7">
        <f>0</f>
        <v>0</v>
      </c>
      <c r="K404" s="5" t="s">
        <v>270</v>
      </c>
      <c r="L404" s="8">
        <f>615230</f>
        <v>615230</v>
      </c>
      <c r="M404" s="8">
        <f>770000</f>
        <v>770000</v>
      </c>
      <c r="N404" s="6" t="s">
        <v>428</v>
      </c>
      <c r="O404" s="5" t="s">
        <v>268</v>
      </c>
      <c r="P404" s="5" t="s">
        <v>271</v>
      </c>
      <c r="Q404" s="8">
        <f>51590</f>
        <v>51590</v>
      </c>
      <c r="R404" s="8">
        <f>154770</f>
        <v>154770</v>
      </c>
      <c r="S404" s="5" t="s">
        <v>240</v>
      </c>
      <c r="T404" s="5" t="s">
        <v>287</v>
      </c>
      <c r="U404" s="5" t="s">
        <v>238</v>
      </c>
      <c r="V404" s="5" t="s">
        <v>238</v>
      </c>
      <c r="W404" s="5" t="s">
        <v>241</v>
      </c>
      <c r="X404" s="5" t="s">
        <v>238</v>
      </c>
      <c r="Y404" s="5" t="s">
        <v>238</v>
      </c>
      <c r="AB404" s="5" t="s">
        <v>238</v>
      </c>
      <c r="AC404" s="6" t="s">
        <v>238</v>
      </c>
      <c r="AD404" s="6" t="s">
        <v>238</v>
      </c>
      <c r="AF404" s="6" t="s">
        <v>238</v>
      </c>
      <c r="AG404" s="6" t="s">
        <v>246</v>
      </c>
      <c r="AH404" s="5" t="s">
        <v>247</v>
      </c>
      <c r="AI404" s="5" t="s">
        <v>248</v>
      </c>
      <c r="AO404" s="5" t="s">
        <v>238</v>
      </c>
      <c r="AP404" s="5" t="s">
        <v>238</v>
      </c>
      <c r="AQ404" s="5" t="s">
        <v>238</v>
      </c>
      <c r="AR404" s="6" t="s">
        <v>238</v>
      </c>
      <c r="AS404" s="6" t="s">
        <v>238</v>
      </c>
      <c r="AT404" s="6" t="s">
        <v>238</v>
      </c>
      <c r="AW404" s="5" t="s">
        <v>304</v>
      </c>
      <c r="AX404" s="5" t="s">
        <v>304</v>
      </c>
      <c r="AY404" s="5" t="s">
        <v>250</v>
      </c>
      <c r="AZ404" s="5" t="s">
        <v>305</v>
      </c>
      <c r="BA404" s="5" t="s">
        <v>251</v>
      </c>
      <c r="BB404" s="5" t="s">
        <v>238</v>
      </c>
      <c r="BC404" s="5" t="s">
        <v>253</v>
      </c>
      <c r="BD404" s="5" t="s">
        <v>238</v>
      </c>
      <c r="BF404" s="5" t="s">
        <v>238</v>
      </c>
      <c r="BH404" s="5" t="s">
        <v>283</v>
      </c>
      <c r="BI404" s="6" t="s">
        <v>293</v>
      </c>
      <c r="BJ404" s="5" t="s">
        <v>294</v>
      </c>
      <c r="BK404" s="5" t="s">
        <v>294</v>
      </c>
      <c r="BL404" s="5" t="s">
        <v>238</v>
      </c>
      <c r="BM404" s="7">
        <f>0</f>
        <v>0</v>
      </c>
      <c r="BN404" s="8">
        <f>-51590</f>
        <v>-51590</v>
      </c>
      <c r="BO404" s="5" t="s">
        <v>257</v>
      </c>
      <c r="BP404" s="5" t="s">
        <v>258</v>
      </c>
      <c r="BQ404" s="5" t="s">
        <v>238</v>
      </c>
      <c r="BR404" s="5" t="s">
        <v>238</v>
      </c>
      <c r="BS404" s="5" t="s">
        <v>238</v>
      </c>
      <c r="BT404" s="5" t="s">
        <v>238</v>
      </c>
      <c r="CC404" s="5" t="s">
        <v>258</v>
      </c>
      <c r="CD404" s="5" t="s">
        <v>238</v>
      </c>
      <c r="CE404" s="5" t="s">
        <v>238</v>
      </c>
      <c r="CI404" s="5" t="s">
        <v>259</v>
      </c>
      <c r="CJ404" s="5" t="s">
        <v>260</v>
      </c>
      <c r="CK404" s="5" t="s">
        <v>238</v>
      </c>
      <c r="CM404" s="5" t="s">
        <v>291</v>
      </c>
      <c r="CN404" s="6" t="s">
        <v>262</v>
      </c>
      <c r="CO404" s="5" t="s">
        <v>263</v>
      </c>
      <c r="CP404" s="5" t="s">
        <v>264</v>
      </c>
      <c r="CQ404" s="5" t="s">
        <v>285</v>
      </c>
      <c r="CR404" s="5" t="s">
        <v>238</v>
      </c>
      <c r="CS404" s="5">
        <v>6.7000000000000004E-2</v>
      </c>
      <c r="CT404" s="5" t="s">
        <v>265</v>
      </c>
      <c r="CU404" s="5" t="s">
        <v>351</v>
      </c>
      <c r="CV404" s="5" t="s">
        <v>365</v>
      </c>
      <c r="CW404" s="7">
        <f>0</f>
        <v>0</v>
      </c>
      <c r="CX404" s="8">
        <f>770000</f>
        <v>770000</v>
      </c>
      <c r="CY404" s="8">
        <f>666820</f>
        <v>666820</v>
      </c>
      <c r="DA404" s="5" t="s">
        <v>238</v>
      </c>
      <c r="DB404" s="5" t="s">
        <v>238</v>
      </c>
      <c r="DD404" s="5" t="s">
        <v>238</v>
      </c>
      <c r="DE404" s="8">
        <f>0</f>
        <v>0</v>
      </c>
      <c r="DG404" s="5" t="s">
        <v>238</v>
      </c>
      <c r="DH404" s="5" t="s">
        <v>238</v>
      </c>
      <c r="DI404" s="5" t="s">
        <v>238</v>
      </c>
      <c r="DJ404" s="5" t="s">
        <v>238</v>
      </c>
      <c r="DK404" s="5" t="s">
        <v>272</v>
      </c>
      <c r="DL404" s="5" t="s">
        <v>272</v>
      </c>
      <c r="DM404" s="8" t="s">
        <v>238</v>
      </c>
      <c r="DN404" s="5" t="s">
        <v>238</v>
      </c>
      <c r="DO404" s="5" t="s">
        <v>238</v>
      </c>
      <c r="DP404" s="5" t="s">
        <v>238</v>
      </c>
      <c r="DQ404" s="5" t="s">
        <v>238</v>
      </c>
      <c r="DT404" s="5" t="s">
        <v>426</v>
      </c>
      <c r="DU404" s="5" t="s">
        <v>389</v>
      </c>
      <c r="GL404" s="5" t="s">
        <v>429</v>
      </c>
      <c r="HM404" s="5" t="s">
        <v>356</v>
      </c>
      <c r="HP404" s="5" t="s">
        <v>272</v>
      </c>
      <c r="HQ404" s="5" t="s">
        <v>272</v>
      </c>
      <c r="HR404" s="5" t="s">
        <v>238</v>
      </c>
      <c r="HS404" s="5" t="s">
        <v>238</v>
      </c>
      <c r="HT404" s="5" t="s">
        <v>238</v>
      </c>
      <c r="HU404" s="5" t="s">
        <v>238</v>
      </c>
      <c r="HV404" s="5" t="s">
        <v>238</v>
      </c>
      <c r="HW404" s="5" t="s">
        <v>238</v>
      </c>
      <c r="HX404" s="5" t="s">
        <v>238</v>
      </c>
      <c r="HY404" s="5" t="s">
        <v>238</v>
      </c>
      <c r="HZ404" s="5" t="s">
        <v>238</v>
      </c>
      <c r="IA404" s="5" t="s">
        <v>238</v>
      </c>
      <c r="IB404" s="5" t="s">
        <v>238</v>
      </c>
      <c r="IC404" s="5" t="s">
        <v>238</v>
      </c>
      <c r="ID404" s="5" t="s">
        <v>238</v>
      </c>
    </row>
    <row r="405" spans="1:238" x14ac:dyDescent="0.4">
      <c r="A405" s="5">
        <v>441</v>
      </c>
      <c r="B405" s="5">
        <v>1</v>
      </c>
      <c r="C405" s="5">
        <v>4</v>
      </c>
      <c r="D405" s="5" t="s">
        <v>424</v>
      </c>
      <c r="E405" s="5" t="s">
        <v>347</v>
      </c>
      <c r="F405" s="5" t="s">
        <v>282</v>
      </c>
      <c r="G405" s="5" t="s">
        <v>349</v>
      </c>
      <c r="H405" s="6" t="s">
        <v>425</v>
      </c>
      <c r="I405" s="5" t="s">
        <v>345</v>
      </c>
      <c r="J405" s="7">
        <f>0</f>
        <v>0</v>
      </c>
      <c r="K405" s="5" t="s">
        <v>270</v>
      </c>
      <c r="L405" s="8">
        <f>25301686</f>
        <v>25301686</v>
      </c>
      <c r="M405" s="8">
        <f>32902060</f>
        <v>32902060</v>
      </c>
      <c r="N405" s="6" t="s">
        <v>348</v>
      </c>
      <c r="O405" s="5" t="s">
        <v>319</v>
      </c>
      <c r="P405" s="5" t="s">
        <v>271</v>
      </c>
      <c r="Q405" s="8">
        <f>2533458</f>
        <v>2533458</v>
      </c>
      <c r="R405" s="8">
        <f>7600374</f>
        <v>7600374</v>
      </c>
      <c r="S405" s="5" t="s">
        <v>240</v>
      </c>
      <c r="T405" s="5" t="s">
        <v>287</v>
      </c>
      <c r="U405" s="5" t="s">
        <v>238</v>
      </c>
      <c r="V405" s="5" t="s">
        <v>238</v>
      </c>
      <c r="W405" s="5" t="s">
        <v>241</v>
      </c>
      <c r="X405" s="5" t="s">
        <v>238</v>
      </c>
      <c r="Y405" s="5" t="s">
        <v>238</v>
      </c>
      <c r="AB405" s="5" t="s">
        <v>238</v>
      </c>
      <c r="AC405" s="6" t="s">
        <v>238</v>
      </c>
      <c r="AD405" s="6" t="s">
        <v>238</v>
      </c>
      <c r="AF405" s="6" t="s">
        <v>238</v>
      </c>
      <c r="AG405" s="6" t="s">
        <v>246</v>
      </c>
      <c r="AH405" s="5" t="s">
        <v>247</v>
      </c>
      <c r="AI405" s="5" t="s">
        <v>248</v>
      </c>
      <c r="AO405" s="5" t="s">
        <v>238</v>
      </c>
      <c r="AP405" s="5" t="s">
        <v>238</v>
      </c>
      <c r="AQ405" s="5" t="s">
        <v>238</v>
      </c>
      <c r="AR405" s="6" t="s">
        <v>238</v>
      </c>
      <c r="AS405" s="6" t="s">
        <v>238</v>
      </c>
      <c r="AT405" s="6" t="s">
        <v>238</v>
      </c>
      <c r="AW405" s="5" t="s">
        <v>304</v>
      </c>
      <c r="AX405" s="5" t="s">
        <v>304</v>
      </c>
      <c r="AY405" s="5" t="s">
        <v>250</v>
      </c>
      <c r="AZ405" s="5" t="s">
        <v>305</v>
      </c>
      <c r="BA405" s="5" t="s">
        <v>251</v>
      </c>
      <c r="BB405" s="5" t="s">
        <v>238</v>
      </c>
      <c r="BC405" s="5" t="s">
        <v>253</v>
      </c>
      <c r="BD405" s="5" t="s">
        <v>238</v>
      </c>
      <c r="BF405" s="5" t="s">
        <v>238</v>
      </c>
      <c r="BH405" s="5" t="s">
        <v>283</v>
      </c>
      <c r="BI405" s="6" t="s">
        <v>293</v>
      </c>
      <c r="BJ405" s="5" t="s">
        <v>294</v>
      </c>
      <c r="BK405" s="5" t="s">
        <v>294</v>
      </c>
      <c r="BL405" s="5" t="s">
        <v>238</v>
      </c>
      <c r="BM405" s="7">
        <f>0</f>
        <v>0</v>
      </c>
      <c r="BN405" s="8">
        <f>-2533458</f>
        <v>-2533458</v>
      </c>
      <c r="BO405" s="5" t="s">
        <v>257</v>
      </c>
      <c r="BP405" s="5" t="s">
        <v>258</v>
      </c>
      <c r="BQ405" s="5" t="s">
        <v>238</v>
      </c>
      <c r="BR405" s="5" t="s">
        <v>238</v>
      </c>
      <c r="BS405" s="5" t="s">
        <v>238</v>
      </c>
      <c r="BT405" s="5" t="s">
        <v>238</v>
      </c>
      <c r="CC405" s="5" t="s">
        <v>258</v>
      </c>
      <c r="CD405" s="5" t="s">
        <v>238</v>
      </c>
      <c r="CE405" s="5" t="s">
        <v>238</v>
      </c>
      <c r="CI405" s="5" t="s">
        <v>259</v>
      </c>
      <c r="CJ405" s="5" t="s">
        <v>260</v>
      </c>
      <c r="CK405" s="5" t="s">
        <v>238</v>
      </c>
      <c r="CM405" s="5" t="s">
        <v>291</v>
      </c>
      <c r="CN405" s="6" t="s">
        <v>262</v>
      </c>
      <c r="CO405" s="5" t="s">
        <v>263</v>
      </c>
      <c r="CP405" s="5" t="s">
        <v>264</v>
      </c>
      <c r="CQ405" s="5" t="s">
        <v>285</v>
      </c>
      <c r="CR405" s="5" t="s">
        <v>238</v>
      </c>
      <c r="CS405" s="5">
        <v>7.6999999999999999E-2</v>
      </c>
      <c r="CT405" s="5" t="s">
        <v>265</v>
      </c>
      <c r="CU405" s="5" t="s">
        <v>351</v>
      </c>
      <c r="CV405" s="5" t="s">
        <v>352</v>
      </c>
      <c r="CW405" s="7">
        <f>0</f>
        <v>0</v>
      </c>
      <c r="CX405" s="8">
        <f>32902060</f>
        <v>32902060</v>
      </c>
      <c r="CY405" s="8">
        <f>27835144</f>
        <v>27835144</v>
      </c>
      <c r="DA405" s="5" t="s">
        <v>238</v>
      </c>
      <c r="DB405" s="5" t="s">
        <v>238</v>
      </c>
      <c r="DD405" s="5" t="s">
        <v>238</v>
      </c>
      <c r="DE405" s="8">
        <f>0</f>
        <v>0</v>
      </c>
      <c r="DG405" s="5" t="s">
        <v>238</v>
      </c>
      <c r="DH405" s="5" t="s">
        <v>238</v>
      </c>
      <c r="DI405" s="5" t="s">
        <v>238</v>
      </c>
      <c r="DJ405" s="5" t="s">
        <v>238</v>
      </c>
      <c r="DK405" s="5" t="s">
        <v>272</v>
      </c>
      <c r="DL405" s="5" t="s">
        <v>272</v>
      </c>
      <c r="DM405" s="8" t="s">
        <v>238</v>
      </c>
      <c r="DN405" s="5" t="s">
        <v>238</v>
      </c>
      <c r="DO405" s="5" t="s">
        <v>238</v>
      </c>
      <c r="DP405" s="5" t="s">
        <v>238</v>
      </c>
      <c r="DQ405" s="5" t="s">
        <v>238</v>
      </c>
      <c r="DT405" s="5" t="s">
        <v>426</v>
      </c>
      <c r="DU405" s="5" t="s">
        <v>354</v>
      </c>
      <c r="GL405" s="5" t="s">
        <v>427</v>
      </c>
      <c r="HM405" s="5" t="s">
        <v>356</v>
      </c>
      <c r="HP405" s="5" t="s">
        <v>272</v>
      </c>
      <c r="HQ405" s="5" t="s">
        <v>272</v>
      </c>
      <c r="HR405" s="5" t="s">
        <v>238</v>
      </c>
      <c r="HS405" s="5" t="s">
        <v>238</v>
      </c>
      <c r="HT405" s="5" t="s">
        <v>238</v>
      </c>
      <c r="HU405" s="5" t="s">
        <v>238</v>
      </c>
      <c r="HV405" s="5" t="s">
        <v>238</v>
      </c>
      <c r="HW405" s="5" t="s">
        <v>238</v>
      </c>
      <c r="HX405" s="5" t="s">
        <v>238</v>
      </c>
      <c r="HY405" s="5" t="s">
        <v>238</v>
      </c>
      <c r="HZ405" s="5" t="s">
        <v>238</v>
      </c>
      <c r="IA405" s="5" t="s">
        <v>238</v>
      </c>
      <c r="IB405" s="5" t="s">
        <v>238</v>
      </c>
      <c r="IC405" s="5" t="s">
        <v>238</v>
      </c>
      <c r="ID405" s="5" t="s">
        <v>238</v>
      </c>
    </row>
    <row r="406" spans="1:238" x14ac:dyDescent="0.4">
      <c r="A406" s="5">
        <v>442</v>
      </c>
      <c r="B406" s="5">
        <v>1</v>
      </c>
      <c r="C406" s="5">
        <v>1</v>
      </c>
      <c r="D406" s="5" t="s">
        <v>420</v>
      </c>
      <c r="E406" s="5" t="s">
        <v>347</v>
      </c>
      <c r="F406" s="5" t="s">
        <v>282</v>
      </c>
      <c r="G406" s="5" t="s">
        <v>3027</v>
      </c>
      <c r="H406" s="6" t="s">
        <v>421</v>
      </c>
      <c r="I406" s="5" t="s">
        <v>3027</v>
      </c>
      <c r="J406" s="7">
        <f>43</f>
        <v>43</v>
      </c>
      <c r="K406" s="5" t="s">
        <v>270</v>
      </c>
      <c r="L406" s="8">
        <f>1</f>
        <v>1</v>
      </c>
      <c r="M406" s="8">
        <f>2580000</f>
        <v>2580000</v>
      </c>
      <c r="N406" s="6" t="s">
        <v>968</v>
      </c>
      <c r="O406" s="5" t="s">
        <v>268</v>
      </c>
      <c r="P406" s="5" t="s">
        <v>971</v>
      </c>
      <c r="R406" s="8">
        <f>2579999</f>
        <v>2579999</v>
      </c>
      <c r="S406" s="5" t="s">
        <v>240</v>
      </c>
      <c r="T406" s="5" t="s">
        <v>237</v>
      </c>
      <c r="U406" s="5" t="s">
        <v>238</v>
      </c>
      <c r="V406" s="5" t="s">
        <v>238</v>
      </c>
      <c r="W406" s="5" t="s">
        <v>241</v>
      </c>
      <c r="X406" s="5" t="s">
        <v>337</v>
      </c>
      <c r="Y406" s="5" t="s">
        <v>238</v>
      </c>
      <c r="AB406" s="5" t="s">
        <v>238</v>
      </c>
      <c r="AD406" s="6" t="s">
        <v>238</v>
      </c>
      <c r="AG406" s="6" t="s">
        <v>246</v>
      </c>
      <c r="AH406" s="5" t="s">
        <v>247</v>
      </c>
      <c r="AI406" s="5" t="s">
        <v>248</v>
      </c>
      <c r="AY406" s="5" t="s">
        <v>250</v>
      </c>
      <c r="AZ406" s="5" t="s">
        <v>238</v>
      </c>
      <c r="BA406" s="5" t="s">
        <v>251</v>
      </c>
      <c r="BB406" s="5" t="s">
        <v>238</v>
      </c>
      <c r="BC406" s="5" t="s">
        <v>253</v>
      </c>
      <c r="BD406" s="5" t="s">
        <v>238</v>
      </c>
      <c r="BF406" s="5" t="s">
        <v>238</v>
      </c>
      <c r="BH406" s="5" t="s">
        <v>798</v>
      </c>
      <c r="BI406" s="6" t="s">
        <v>799</v>
      </c>
      <c r="BJ406" s="5" t="s">
        <v>255</v>
      </c>
      <c r="BK406" s="5" t="s">
        <v>256</v>
      </c>
      <c r="BL406" s="5" t="s">
        <v>238</v>
      </c>
      <c r="BM406" s="7">
        <f>0</f>
        <v>0</v>
      </c>
      <c r="BN406" s="8">
        <f>0</f>
        <v>0</v>
      </c>
      <c r="BO406" s="5" t="s">
        <v>257</v>
      </c>
      <c r="BP406" s="5" t="s">
        <v>258</v>
      </c>
      <c r="CD406" s="5" t="s">
        <v>238</v>
      </c>
      <c r="CE406" s="5" t="s">
        <v>238</v>
      </c>
      <c r="CI406" s="5" t="s">
        <v>527</v>
      </c>
      <c r="CJ406" s="5" t="s">
        <v>260</v>
      </c>
      <c r="CK406" s="5" t="s">
        <v>238</v>
      </c>
      <c r="CM406" s="5" t="s">
        <v>970</v>
      </c>
      <c r="CN406" s="6" t="s">
        <v>262</v>
      </c>
      <c r="CO406" s="5" t="s">
        <v>263</v>
      </c>
      <c r="CP406" s="5" t="s">
        <v>264</v>
      </c>
      <c r="CQ406" s="5" t="s">
        <v>238</v>
      </c>
      <c r="CR406" s="5" t="s">
        <v>238</v>
      </c>
      <c r="CS406" s="5">
        <v>0</v>
      </c>
      <c r="CT406" s="5" t="s">
        <v>265</v>
      </c>
      <c r="CU406" s="5" t="s">
        <v>351</v>
      </c>
      <c r="CV406" s="5" t="s">
        <v>394</v>
      </c>
      <c r="CX406" s="8">
        <f>2580000</f>
        <v>2580000</v>
      </c>
      <c r="CY406" s="8">
        <f>0</f>
        <v>0</v>
      </c>
      <c r="DA406" s="5" t="s">
        <v>238</v>
      </c>
      <c r="DB406" s="5" t="s">
        <v>238</v>
      </c>
      <c r="DD406" s="5" t="s">
        <v>238</v>
      </c>
      <c r="DG406" s="5" t="s">
        <v>238</v>
      </c>
      <c r="DH406" s="5" t="s">
        <v>238</v>
      </c>
      <c r="DI406" s="5" t="s">
        <v>238</v>
      </c>
      <c r="DJ406" s="5" t="s">
        <v>238</v>
      </c>
      <c r="DK406" s="5" t="s">
        <v>271</v>
      </c>
      <c r="DL406" s="5" t="s">
        <v>272</v>
      </c>
      <c r="DM406" s="7">
        <f>43</f>
        <v>43</v>
      </c>
      <c r="DN406" s="5" t="s">
        <v>238</v>
      </c>
      <c r="DO406" s="5" t="s">
        <v>238</v>
      </c>
      <c r="DP406" s="5" t="s">
        <v>238</v>
      </c>
      <c r="DQ406" s="5" t="s">
        <v>238</v>
      </c>
      <c r="DT406" s="5" t="s">
        <v>422</v>
      </c>
      <c r="DU406" s="5" t="s">
        <v>271</v>
      </c>
      <c r="HM406" s="5" t="s">
        <v>271</v>
      </c>
      <c r="HP406" s="5" t="s">
        <v>272</v>
      </c>
      <c r="HQ406" s="5" t="s">
        <v>272</v>
      </c>
    </row>
    <row r="407" spans="1:238" x14ac:dyDescent="0.4">
      <c r="A407" s="5">
        <v>443</v>
      </c>
      <c r="B407" s="5">
        <v>1</v>
      </c>
      <c r="C407" s="5">
        <v>4</v>
      </c>
      <c r="D407" s="5" t="s">
        <v>420</v>
      </c>
      <c r="E407" s="5" t="s">
        <v>347</v>
      </c>
      <c r="F407" s="5" t="s">
        <v>282</v>
      </c>
      <c r="G407" s="5" t="s">
        <v>1499</v>
      </c>
      <c r="H407" s="6" t="s">
        <v>421</v>
      </c>
      <c r="I407" s="5" t="s">
        <v>1314</v>
      </c>
      <c r="J407" s="7">
        <f>2022</f>
        <v>2022</v>
      </c>
      <c r="K407" s="5" t="s">
        <v>270</v>
      </c>
      <c r="L407" s="8">
        <f>109551960</f>
        <v>109551960</v>
      </c>
      <c r="M407" s="8">
        <f>434730000</f>
        <v>434730000</v>
      </c>
      <c r="N407" s="6" t="s">
        <v>1559</v>
      </c>
      <c r="O407" s="5" t="s">
        <v>898</v>
      </c>
      <c r="P407" s="5" t="s">
        <v>991</v>
      </c>
      <c r="Q407" s="8">
        <f>9564060</f>
        <v>9564060</v>
      </c>
      <c r="R407" s="8">
        <f>325178040</f>
        <v>325178040</v>
      </c>
      <c r="S407" s="5" t="s">
        <v>240</v>
      </c>
      <c r="T407" s="5" t="s">
        <v>237</v>
      </c>
      <c r="U407" s="5" t="s">
        <v>238</v>
      </c>
      <c r="V407" s="5" t="s">
        <v>238</v>
      </c>
      <c r="W407" s="5" t="s">
        <v>241</v>
      </c>
      <c r="X407" s="5" t="s">
        <v>337</v>
      </c>
      <c r="Y407" s="5" t="s">
        <v>238</v>
      </c>
      <c r="AB407" s="5" t="s">
        <v>238</v>
      </c>
      <c r="AC407" s="6" t="s">
        <v>238</v>
      </c>
      <c r="AD407" s="6" t="s">
        <v>238</v>
      </c>
      <c r="AF407" s="6" t="s">
        <v>238</v>
      </c>
      <c r="AG407" s="6" t="s">
        <v>246</v>
      </c>
      <c r="AH407" s="5" t="s">
        <v>247</v>
      </c>
      <c r="AI407" s="5" t="s">
        <v>248</v>
      </c>
      <c r="AO407" s="5" t="s">
        <v>238</v>
      </c>
      <c r="AP407" s="5" t="s">
        <v>238</v>
      </c>
      <c r="AQ407" s="5" t="s">
        <v>238</v>
      </c>
      <c r="AR407" s="6" t="s">
        <v>238</v>
      </c>
      <c r="AS407" s="6" t="s">
        <v>238</v>
      </c>
      <c r="AT407" s="6" t="s">
        <v>238</v>
      </c>
      <c r="AW407" s="5" t="s">
        <v>304</v>
      </c>
      <c r="AX407" s="5" t="s">
        <v>304</v>
      </c>
      <c r="AY407" s="5" t="s">
        <v>250</v>
      </c>
      <c r="AZ407" s="5" t="s">
        <v>305</v>
      </c>
      <c r="BA407" s="5" t="s">
        <v>251</v>
      </c>
      <c r="BB407" s="5" t="s">
        <v>238</v>
      </c>
      <c r="BC407" s="5" t="s">
        <v>253</v>
      </c>
      <c r="BD407" s="5" t="s">
        <v>238</v>
      </c>
      <c r="BF407" s="5" t="s">
        <v>238</v>
      </c>
      <c r="BH407" s="5" t="s">
        <v>283</v>
      </c>
      <c r="BI407" s="6" t="s">
        <v>293</v>
      </c>
      <c r="BJ407" s="5" t="s">
        <v>294</v>
      </c>
      <c r="BK407" s="5" t="s">
        <v>294</v>
      </c>
      <c r="BL407" s="5" t="s">
        <v>238</v>
      </c>
      <c r="BM407" s="7">
        <f>0</f>
        <v>0</v>
      </c>
      <c r="BN407" s="8">
        <f>-9564060</f>
        <v>-9564060</v>
      </c>
      <c r="BO407" s="5" t="s">
        <v>257</v>
      </c>
      <c r="BP407" s="5" t="s">
        <v>258</v>
      </c>
      <c r="BQ407" s="5" t="s">
        <v>238</v>
      </c>
      <c r="BR407" s="5" t="s">
        <v>238</v>
      </c>
      <c r="BS407" s="5" t="s">
        <v>238</v>
      </c>
      <c r="BT407" s="5" t="s">
        <v>238</v>
      </c>
      <c r="CC407" s="5" t="s">
        <v>258</v>
      </c>
      <c r="CD407" s="5" t="s">
        <v>238</v>
      </c>
      <c r="CE407" s="5" t="s">
        <v>238</v>
      </c>
      <c r="CI407" s="5" t="s">
        <v>259</v>
      </c>
      <c r="CJ407" s="5" t="s">
        <v>260</v>
      </c>
      <c r="CK407" s="5" t="s">
        <v>238</v>
      </c>
      <c r="CM407" s="5" t="s">
        <v>1064</v>
      </c>
      <c r="CN407" s="6" t="s">
        <v>262</v>
      </c>
      <c r="CO407" s="5" t="s">
        <v>263</v>
      </c>
      <c r="CP407" s="5" t="s">
        <v>264</v>
      </c>
      <c r="CQ407" s="5" t="s">
        <v>285</v>
      </c>
      <c r="CR407" s="5" t="s">
        <v>238</v>
      </c>
      <c r="CS407" s="5">
        <v>2.1999999999999999E-2</v>
      </c>
      <c r="CT407" s="5" t="s">
        <v>265</v>
      </c>
      <c r="CU407" s="5" t="s">
        <v>1493</v>
      </c>
      <c r="CV407" s="5" t="s">
        <v>308</v>
      </c>
      <c r="CW407" s="7">
        <f>0</f>
        <v>0</v>
      </c>
      <c r="CX407" s="8">
        <f>434730000</f>
        <v>434730000</v>
      </c>
      <c r="CY407" s="8">
        <f>119116020</f>
        <v>119116020</v>
      </c>
      <c r="DA407" s="5" t="s">
        <v>238</v>
      </c>
      <c r="DB407" s="5" t="s">
        <v>238</v>
      </c>
      <c r="DD407" s="5" t="s">
        <v>238</v>
      </c>
      <c r="DE407" s="8">
        <f>0</f>
        <v>0</v>
      </c>
      <c r="DG407" s="5" t="s">
        <v>238</v>
      </c>
      <c r="DH407" s="5" t="s">
        <v>238</v>
      </c>
      <c r="DI407" s="5" t="s">
        <v>238</v>
      </c>
      <c r="DJ407" s="5" t="s">
        <v>238</v>
      </c>
      <c r="DK407" s="5" t="s">
        <v>274</v>
      </c>
      <c r="DL407" s="5" t="s">
        <v>272</v>
      </c>
      <c r="DM407" s="7">
        <f>2022</f>
        <v>2022</v>
      </c>
      <c r="DN407" s="5" t="s">
        <v>238</v>
      </c>
      <c r="DO407" s="5" t="s">
        <v>238</v>
      </c>
      <c r="DP407" s="5" t="s">
        <v>238</v>
      </c>
      <c r="DQ407" s="5" t="s">
        <v>238</v>
      </c>
      <c r="DT407" s="5" t="s">
        <v>422</v>
      </c>
      <c r="DU407" s="5" t="s">
        <v>274</v>
      </c>
      <c r="GL407" s="5" t="s">
        <v>1560</v>
      </c>
      <c r="HM407" s="5" t="s">
        <v>313</v>
      </c>
      <c r="HP407" s="5" t="s">
        <v>272</v>
      </c>
      <c r="HQ407" s="5" t="s">
        <v>272</v>
      </c>
      <c r="HR407" s="5" t="s">
        <v>238</v>
      </c>
      <c r="HS407" s="5" t="s">
        <v>238</v>
      </c>
      <c r="HT407" s="5" t="s">
        <v>238</v>
      </c>
      <c r="HU407" s="5" t="s">
        <v>238</v>
      </c>
      <c r="HV407" s="5" t="s">
        <v>238</v>
      </c>
      <c r="HW407" s="5" t="s">
        <v>238</v>
      </c>
      <c r="HX407" s="5" t="s">
        <v>238</v>
      </c>
      <c r="HY407" s="5" t="s">
        <v>238</v>
      </c>
      <c r="HZ407" s="5" t="s">
        <v>238</v>
      </c>
      <c r="IA407" s="5" t="s">
        <v>238</v>
      </c>
      <c r="IB407" s="5" t="s">
        <v>238</v>
      </c>
      <c r="IC407" s="5" t="s">
        <v>238</v>
      </c>
      <c r="ID407" s="5" t="s">
        <v>238</v>
      </c>
    </row>
    <row r="408" spans="1:238" x14ac:dyDescent="0.4">
      <c r="A408" s="5">
        <v>444</v>
      </c>
      <c r="B408" s="5">
        <v>1</v>
      </c>
      <c r="C408" s="5">
        <v>1</v>
      </c>
      <c r="D408" s="5" t="s">
        <v>420</v>
      </c>
      <c r="E408" s="5" t="s">
        <v>347</v>
      </c>
      <c r="F408" s="5" t="s">
        <v>282</v>
      </c>
      <c r="G408" s="5" t="s">
        <v>239</v>
      </c>
      <c r="H408" s="6" t="s">
        <v>421</v>
      </c>
      <c r="I408" s="5" t="s">
        <v>239</v>
      </c>
      <c r="J408" s="7">
        <f>20</f>
        <v>20</v>
      </c>
      <c r="K408" s="5" t="s">
        <v>270</v>
      </c>
      <c r="L408" s="8">
        <f>1</f>
        <v>1</v>
      </c>
      <c r="M408" s="8">
        <f>1820000</f>
        <v>1820000</v>
      </c>
      <c r="N408" s="6" t="s">
        <v>1063</v>
      </c>
      <c r="O408" s="5" t="s">
        <v>268</v>
      </c>
      <c r="P408" s="5" t="s">
        <v>784</v>
      </c>
      <c r="R408" s="8">
        <f>1819999</f>
        <v>1819999</v>
      </c>
      <c r="S408" s="5" t="s">
        <v>240</v>
      </c>
      <c r="T408" s="5" t="s">
        <v>237</v>
      </c>
      <c r="U408" s="5" t="s">
        <v>238</v>
      </c>
      <c r="V408" s="5" t="s">
        <v>238</v>
      </c>
      <c r="W408" s="5" t="s">
        <v>241</v>
      </c>
      <c r="X408" s="5" t="s">
        <v>337</v>
      </c>
      <c r="Y408" s="5" t="s">
        <v>238</v>
      </c>
      <c r="AB408" s="5" t="s">
        <v>238</v>
      </c>
      <c r="AD408" s="6" t="s">
        <v>238</v>
      </c>
      <c r="AG408" s="6" t="s">
        <v>246</v>
      </c>
      <c r="AH408" s="5" t="s">
        <v>247</v>
      </c>
      <c r="AI408" s="5" t="s">
        <v>248</v>
      </c>
      <c r="AY408" s="5" t="s">
        <v>250</v>
      </c>
      <c r="AZ408" s="5" t="s">
        <v>238</v>
      </c>
      <c r="BA408" s="5" t="s">
        <v>251</v>
      </c>
      <c r="BB408" s="5" t="s">
        <v>238</v>
      </c>
      <c r="BC408" s="5" t="s">
        <v>253</v>
      </c>
      <c r="BD408" s="5" t="s">
        <v>238</v>
      </c>
      <c r="BF408" s="5" t="s">
        <v>238</v>
      </c>
      <c r="BH408" s="5" t="s">
        <v>859</v>
      </c>
      <c r="BI408" s="6" t="s">
        <v>368</v>
      </c>
      <c r="BJ408" s="5" t="s">
        <v>255</v>
      </c>
      <c r="BK408" s="5" t="s">
        <v>256</v>
      </c>
      <c r="BL408" s="5" t="s">
        <v>238</v>
      </c>
      <c r="BM408" s="7">
        <f>0</f>
        <v>0</v>
      </c>
      <c r="BN408" s="8">
        <f>0</f>
        <v>0</v>
      </c>
      <c r="BO408" s="5" t="s">
        <v>257</v>
      </c>
      <c r="BP408" s="5" t="s">
        <v>258</v>
      </c>
      <c r="CD408" s="5" t="s">
        <v>238</v>
      </c>
      <c r="CE408" s="5" t="s">
        <v>238</v>
      </c>
      <c r="CI408" s="5" t="s">
        <v>259</v>
      </c>
      <c r="CJ408" s="5" t="s">
        <v>260</v>
      </c>
      <c r="CK408" s="5" t="s">
        <v>238</v>
      </c>
      <c r="CM408" s="5" t="s">
        <v>1064</v>
      </c>
      <c r="CN408" s="6" t="s">
        <v>262</v>
      </c>
      <c r="CO408" s="5" t="s">
        <v>263</v>
      </c>
      <c r="CP408" s="5" t="s">
        <v>264</v>
      </c>
      <c r="CQ408" s="5" t="s">
        <v>238</v>
      </c>
      <c r="CR408" s="5" t="s">
        <v>238</v>
      </c>
      <c r="CS408" s="5">
        <v>0</v>
      </c>
      <c r="CT408" s="5" t="s">
        <v>265</v>
      </c>
      <c r="CU408" s="5" t="s">
        <v>266</v>
      </c>
      <c r="CV408" s="5" t="s">
        <v>267</v>
      </c>
      <c r="CX408" s="8">
        <f>1820000</f>
        <v>1820000</v>
      </c>
      <c r="CY408" s="8">
        <f>0</f>
        <v>0</v>
      </c>
      <c r="DA408" s="5" t="s">
        <v>238</v>
      </c>
      <c r="DB408" s="5" t="s">
        <v>238</v>
      </c>
      <c r="DD408" s="5" t="s">
        <v>238</v>
      </c>
      <c r="DG408" s="5" t="s">
        <v>238</v>
      </c>
      <c r="DH408" s="5" t="s">
        <v>238</v>
      </c>
      <c r="DI408" s="5" t="s">
        <v>238</v>
      </c>
      <c r="DJ408" s="5" t="s">
        <v>238</v>
      </c>
      <c r="DK408" s="5" t="s">
        <v>271</v>
      </c>
      <c r="DL408" s="5" t="s">
        <v>272</v>
      </c>
      <c r="DM408" s="7">
        <f>20</f>
        <v>20</v>
      </c>
      <c r="DN408" s="5" t="s">
        <v>238</v>
      </c>
      <c r="DO408" s="5" t="s">
        <v>238</v>
      </c>
      <c r="DP408" s="5" t="s">
        <v>238</v>
      </c>
      <c r="DQ408" s="5" t="s">
        <v>238</v>
      </c>
      <c r="DT408" s="5" t="s">
        <v>422</v>
      </c>
      <c r="DU408" s="5" t="s">
        <v>356</v>
      </c>
      <c r="HM408" s="5" t="s">
        <v>271</v>
      </c>
      <c r="HP408" s="5" t="s">
        <v>272</v>
      </c>
      <c r="HQ408" s="5" t="s">
        <v>272</v>
      </c>
    </row>
    <row r="409" spans="1:238" x14ac:dyDescent="0.4">
      <c r="A409" s="5">
        <v>445</v>
      </c>
      <c r="B409" s="5">
        <v>1</v>
      </c>
      <c r="C409" s="5">
        <v>4</v>
      </c>
      <c r="D409" s="5" t="s">
        <v>420</v>
      </c>
      <c r="E409" s="5" t="s">
        <v>347</v>
      </c>
      <c r="F409" s="5" t="s">
        <v>282</v>
      </c>
      <c r="G409" s="5" t="s">
        <v>1666</v>
      </c>
      <c r="H409" s="6" t="s">
        <v>421</v>
      </c>
      <c r="I409" s="5" t="s">
        <v>1308</v>
      </c>
      <c r="J409" s="7">
        <f>907</f>
        <v>907</v>
      </c>
      <c r="K409" s="5" t="s">
        <v>270</v>
      </c>
      <c r="L409" s="8">
        <f>1750510</f>
        <v>1750510</v>
      </c>
      <c r="M409" s="8">
        <f>175051000</f>
        <v>175051000</v>
      </c>
      <c r="N409" s="6" t="s">
        <v>1760</v>
      </c>
      <c r="O409" s="5" t="s">
        <v>755</v>
      </c>
      <c r="P409" s="5" t="s">
        <v>650</v>
      </c>
      <c r="Q409" s="8">
        <f>5251530</f>
        <v>5251530</v>
      </c>
      <c r="R409" s="8">
        <f>173300490</f>
        <v>173300490</v>
      </c>
      <c r="S409" s="5" t="s">
        <v>240</v>
      </c>
      <c r="T409" s="5" t="s">
        <v>237</v>
      </c>
      <c r="U409" s="5" t="s">
        <v>238</v>
      </c>
      <c r="V409" s="5" t="s">
        <v>238</v>
      </c>
      <c r="W409" s="5" t="s">
        <v>241</v>
      </c>
      <c r="X409" s="5" t="s">
        <v>337</v>
      </c>
      <c r="Y409" s="5" t="s">
        <v>238</v>
      </c>
      <c r="AB409" s="5" t="s">
        <v>238</v>
      </c>
      <c r="AC409" s="6" t="s">
        <v>238</v>
      </c>
      <c r="AD409" s="6" t="s">
        <v>238</v>
      </c>
      <c r="AF409" s="6" t="s">
        <v>238</v>
      </c>
      <c r="AG409" s="6" t="s">
        <v>246</v>
      </c>
      <c r="AH409" s="5" t="s">
        <v>247</v>
      </c>
      <c r="AI409" s="5" t="s">
        <v>248</v>
      </c>
      <c r="AO409" s="5" t="s">
        <v>238</v>
      </c>
      <c r="AP409" s="5" t="s">
        <v>238</v>
      </c>
      <c r="AQ409" s="5" t="s">
        <v>238</v>
      </c>
      <c r="AR409" s="6" t="s">
        <v>238</v>
      </c>
      <c r="AS409" s="6" t="s">
        <v>238</v>
      </c>
      <c r="AT409" s="6" t="s">
        <v>238</v>
      </c>
      <c r="AW409" s="5" t="s">
        <v>304</v>
      </c>
      <c r="AX409" s="5" t="s">
        <v>304</v>
      </c>
      <c r="AY409" s="5" t="s">
        <v>250</v>
      </c>
      <c r="AZ409" s="5" t="s">
        <v>305</v>
      </c>
      <c r="BA409" s="5" t="s">
        <v>251</v>
      </c>
      <c r="BB409" s="5" t="s">
        <v>238</v>
      </c>
      <c r="BC409" s="5" t="s">
        <v>253</v>
      </c>
      <c r="BD409" s="5" t="s">
        <v>238</v>
      </c>
      <c r="BF409" s="5" t="s">
        <v>238</v>
      </c>
      <c r="BH409" s="5" t="s">
        <v>283</v>
      </c>
      <c r="BI409" s="6" t="s">
        <v>293</v>
      </c>
      <c r="BJ409" s="5" t="s">
        <v>294</v>
      </c>
      <c r="BK409" s="5" t="s">
        <v>294</v>
      </c>
      <c r="BL409" s="5" t="s">
        <v>238</v>
      </c>
      <c r="BM409" s="7">
        <f>0</f>
        <v>0</v>
      </c>
      <c r="BN409" s="8">
        <f>-5251530</f>
        <v>-5251530</v>
      </c>
      <c r="BO409" s="5" t="s">
        <v>257</v>
      </c>
      <c r="BP409" s="5" t="s">
        <v>258</v>
      </c>
      <c r="BQ409" s="5" t="s">
        <v>238</v>
      </c>
      <c r="BR409" s="5" t="s">
        <v>238</v>
      </c>
      <c r="BS409" s="5" t="s">
        <v>238</v>
      </c>
      <c r="BT409" s="5" t="s">
        <v>238</v>
      </c>
      <c r="CC409" s="5" t="s">
        <v>258</v>
      </c>
      <c r="CD409" s="5" t="s">
        <v>238</v>
      </c>
      <c r="CE409" s="5" t="s">
        <v>238</v>
      </c>
      <c r="CI409" s="5" t="s">
        <v>259</v>
      </c>
      <c r="CJ409" s="5" t="s">
        <v>260</v>
      </c>
      <c r="CK409" s="5" t="s">
        <v>238</v>
      </c>
      <c r="CM409" s="5" t="s">
        <v>1034</v>
      </c>
      <c r="CN409" s="6" t="s">
        <v>262</v>
      </c>
      <c r="CO409" s="5" t="s">
        <v>263</v>
      </c>
      <c r="CP409" s="5" t="s">
        <v>264</v>
      </c>
      <c r="CQ409" s="5" t="s">
        <v>285</v>
      </c>
      <c r="CR409" s="5" t="s">
        <v>238</v>
      </c>
      <c r="CS409" s="5">
        <v>0.03</v>
      </c>
      <c r="CT409" s="5" t="s">
        <v>265</v>
      </c>
      <c r="CU409" s="5" t="s">
        <v>1330</v>
      </c>
      <c r="CV409" s="5" t="s">
        <v>649</v>
      </c>
      <c r="CW409" s="7">
        <f>0</f>
        <v>0</v>
      </c>
      <c r="CX409" s="8">
        <f>175051000</f>
        <v>175051000</v>
      </c>
      <c r="CY409" s="8">
        <f>7002040</f>
        <v>7002040</v>
      </c>
      <c r="DA409" s="5" t="s">
        <v>238</v>
      </c>
      <c r="DB409" s="5" t="s">
        <v>238</v>
      </c>
      <c r="DD409" s="5" t="s">
        <v>238</v>
      </c>
      <c r="DE409" s="8">
        <f>0</f>
        <v>0</v>
      </c>
      <c r="DG409" s="5" t="s">
        <v>238</v>
      </c>
      <c r="DH409" s="5" t="s">
        <v>238</v>
      </c>
      <c r="DI409" s="5" t="s">
        <v>238</v>
      </c>
      <c r="DJ409" s="5" t="s">
        <v>238</v>
      </c>
      <c r="DK409" s="5" t="s">
        <v>271</v>
      </c>
      <c r="DL409" s="5" t="s">
        <v>272</v>
      </c>
      <c r="DM409" s="7">
        <f>907</f>
        <v>907</v>
      </c>
      <c r="DN409" s="5" t="s">
        <v>238</v>
      </c>
      <c r="DO409" s="5" t="s">
        <v>238</v>
      </c>
      <c r="DP409" s="5" t="s">
        <v>238</v>
      </c>
      <c r="DQ409" s="5" t="s">
        <v>238</v>
      </c>
      <c r="DT409" s="5" t="s">
        <v>422</v>
      </c>
      <c r="DU409" s="5" t="s">
        <v>310</v>
      </c>
      <c r="GL409" s="5" t="s">
        <v>1761</v>
      </c>
      <c r="HM409" s="5" t="s">
        <v>313</v>
      </c>
      <c r="HP409" s="5" t="s">
        <v>272</v>
      </c>
      <c r="HQ409" s="5" t="s">
        <v>272</v>
      </c>
      <c r="HR409" s="5" t="s">
        <v>238</v>
      </c>
      <c r="HS409" s="5" t="s">
        <v>238</v>
      </c>
      <c r="HT409" s="5" t="s">
        <v>238</v>
      </c>
      <c r="HU409" s="5" t="s">
        <v>238</v>
      </c>
      <c r="HV409" s="5" t="s">
        <v>238</v>
      </c>
      <c r="HW409" s="5" t="s">
        <v>238</v>
      </c>
      <c r="HX409" s="5" t="s">
        <v>238</v>
      </c>
      <c r="HY409" s="5" t="s">
        <v>238</v>
      </c>
      <c r="HZ409" s="5" t="s">
        <v>238</v>
      </c>
      <c r="IA409" s="5" t="s">
        <v>238</v>
      </c>
      <c r="IB409" s="5" t="s">
        <v>238</v>
      </c>
      <c r="IC409" s="5" t="s">
        <v>238</v>
      </c>
      <c r="ID409" s="5" t="s">
        <v>238</v>
      </c>
    </row>
    <row r="410" spans="1:238" x14ac:dyDescent="0.4">
      <c r="A410" s="5">
        <v>446</v>
      </c>
      <c r="B410" s="5">
        <v>1</v>
      </c>
      <c r="C410" s="5">
        <v>4</v>
      </c>
      <c r="D410" s="5" t="s">
        <v>420</v>
      </c>
      <c r="E410" s="5" t="s">
        <v>347</v>
      </c>
      <c r="F410" s="5" t="s">
        <v>282</v>
      </c>
      <c r="G410" s="5" t="s">
        <v>1499</v>
      </c>
      <c r="H410" s="6" t="s">
        <v>421</v>
      </c>
      <c r="I410" s="5" t="s">
        <v>1314</v>
      </c>
      <c r="J410" s="7">
        <f>344</f>
        <v>344</v>
      </c>
      <c r="K410" s="5" t="s">
        <v>270</v>
      </c>
      <c r="L410" s="8">
        <f>28957920</f>
        <v>28957920</v>
      </c>
      <c r="M410" s="8">
        <f>62952000</f>
        <v>62952000</v>
      </c>
      <c r="N410" s="6" t="s">
        <v>1543</v>
      </c>
      <c r="O410" s="5" t="s">
        <v>755</v>
      </c>
      <c r="P410" s="5" t="s">
        <v>269</v>
      </c>
      <c r="Q410" s="8">
        <f>1888560</f>
        <v>1888560</v>
      </c>
      <c r="R410" s="8">
        <f>33994080</f>
        <v>33994080</v>
      </c>
      <c r="S410" s="5" t="s">
        <v>240</v>
      </c>
      <c r="T410" s="5" t="s">
        <v>237</v>
      </c>
      <c r="U410" s="5" t="s">
        <v>238</v>
      </c>
      <c r="V410" s="5" t="s">
        <v>238</v>
      </c>
      <c r="W410" s="5" t="s">
        <v>241</v>
      </c>
      <c r="X410" s="5" t="s">
        <v>337</v>
      </c>
      <c r="Y410" s="5" t="s">
        <v>238</v>
      </c>
      <c r="AB410" s="5" t="s">
        <v>238</v>
      </c>
      <c r="AC410" s="6" t="s">
        <v>238</v>
      </c>
      <c r="AD410" s="6" t="s">
        <v>238</v>
      </c>
      <c r="AF410" s="6" t="s">
        <v>238</v>
      </c>
      <c r="AG410" s="6" t="s">
        <v>246</v>
      </c>
      <c r="AH410" s="5" t="s">
        <v>247</v>
      </c>
      <c r="AI410" s="5" t="s">
        <v>248</v>
      </c>
      <c r="AO410" s="5" t="s">
        <v>238</v>
      </c>
      <c r="AP410" s="5" t="s">
        <v>238</v>
      </c>
      <c r="AQ410" s="5" t="s">
        <v>238</v>
      </c>
      <c r="AR410" s="6" t="s">
        <v>238</v>
      </c>
      <c r="AS410" s="6" t="s">
        <v>238</v>
      </c>
      <c r="AT410" s="6" t="s">
        <v>238</v>
      </c>
      <c r="AW410" s="5" t="s">
        <v>304</v>
      </c>
      <c r="AX410" s="5" t="s">
        <v>304</v>
      </c>
      <c r="AY410" s="5" t="s">
        <v>250</v>
      </c>
      <c r="AZ410" s="5" t="s">
        <v>305</v>
      </c>
      <c r="BA410" s="5" t="s">
        <v>251</v>
      </c>
      <c r="BB410" s="5" t="s">
        <v>238</v>
      </c>
      <c r="BC410" s="5" t="s">
        <v>253</v>
      </c>
      <c r="BD410" s="5" t="s">
        <v>238</v>
      </c>
      <c r="BF410" s="5" t="s">
        <v>238</v>
      </c>
      <c r="BH410" s="5" t="s">
        <v>283</v>
      </c>
      <c r="BI410" s="6" t="s">
        <v>293</v>
      </c>
      <c r="BJ410" s="5" t="s">
        <v>294</v>
      </c>
      <c r="BK410" s="5" t="s">
        <v>294</v>
      </c>
      <c r="BL410" s="5" t="s">
        <v>238</v>
      </c>
      <c r="BM410" s="7">
        <f>0</f>
        <v>0</v>
      </c>
      <c r="BN410" s="8">
        <f>-1888560</f>
        <v>-1888560</v>
      </c>
      <c r="BO410" s="5" t="s">
        <v>257</v>
      </c>
      <c r="BP410" s="5" t="s">
        <v>258</v>
      </c>
      <c r="BQ410" s="5" t="s">
        <v>238</v>
      </c>
      <c r="BR410" s="5" t="s">
        <v>238</v>
      </c>
      <c r="BS410" s="5" t="s">
        <v>238</v>
      </c>
      <c r="BT410" s="5" t="s">
        <v>238</v>
      </c>
      <c r="CC410" s="5" t="s">
        <v>258</v>
      </c>
      <c r="CD410" s="5" t="s">
        <v>238</v>
      </c>
      <c r="CE410" s="5" t="s">
        <v>238</v>
      </c>
      <c r="CI410" s="5" t="s">
        <v>259</v>
      </c>
      <c r="CJ410" s="5" t="s">
        <v>260</v>
      </c>
      <c r="CK410" s="5" t="s">
        <v>238</v>
      </c>
      <c r="CM410" s="5" t="s">
        <v>682</v>
      </c>
      <c r="CN410" s="6" t="s">
        <v>262</v>
      </c>
      <c r="CO410" s="5" t="s">
        <v>263</v>
      </c>
      <c r="CP410" s="5" t="s">
        <v>264</v>
      </c>
      <c r="CQ410" s="5" t="s">
        <v>285</v>
      </c>
      <c r="CR410" s="5" t="s">
        <v>238</v>
      </c>
      <c r="CS410" s="5">
        <v>0.03</v>
      </c>
      <c r="CT410" s="5" t="s">
        <v>265</v>
      </c>
      <c r="CU410" s="5" t="s">
        <v>1493</v>
      </c>
      <c r="CV410" s="5" t="s">
        <v>649</v>
      </c>
      <c r="CW410" s="7">
        <f>0</f>
        <v>0</v>
      </c>
      <c r="CX410" s="8">
        <f>62952000</f>
        <v>62952000</v>
      </c>
      <c r="CY410" s="8">
        <f>30846480</f>
        <v>30846480</v>
      </c>
      <c r="DA410" s="5" t="s">
        <v>238</v>
      </c>
      <c r="DB410" s="5" t="s">
        <v>238</v>
      </c>
      <c r="DD410" s="5" t="s">
        <v>238</v>
      </c>
      <c r="DE410" s="8">
        <f>0</f>
        <v>0</v>
      </c>
      <c r="DG410" s="5" t="s">
        <v>238</v>
      </c>
      <c r="DH410" s="5" t="s">
        <v>238</v>
      </c>
      <c r="DI410" s="5" t="s">
        <v>238</v>
      </c>
      <c r="DJ410" s="5" t="s">
        <v>238</v>
      </c>
      <c r="DK410" s="5" t="s">
        <v>271</v>
      </c>
      <c r="DL410" s="5" t="s">
        <v>272</v>
      </c>
      <c r="DM410" s="7">
        <f>344</f>
        <v>344</v>
      </c>
      <c r="DN410" s="5" t="s">
        <v>238</v>
      </c>
      <c r="DO410" s="5" t="s">
        <v>238</v>
      </c>
      <c r="DP410" s="5" t="s">
        <v>238</v>
      </c>
      <c r="DQ410" s="5" t="s">
        <v>238</v>
      </c>
      <c r="DT410" s="5" t="s">
        <v>422</v>
      </c>
      <c r="DU410" s="5" t="s">
        <v>379</v>
      </c>
      <c r="GL410" s="5" t="s">
        <v>1567</v>
      </c>
      <c r="HM410" s="5" t="s">
        <v>313</v>
      </c>
      <c r="HP410" s="5" t="s">
        <v>272</v>
      </c>
      <c r="HQ410" s="5" t="s">
        <v>272</v>
      </c>
      <c r="HR410" s="5" t="s">
        <v>238</v>
      </c>
      <c r="HS410" s="5" t="s">
        <v>238</v>
      </c>
      <c r="HT410" s="5" t="s">
        <v>238</v>
      </c>
      <c r="HU410" s="5" t="s">
        <v>238</v>
      </c>
      <c r="HV410" s="5" t="s">
        <v>238</v>
      </c>
      <c r="HW410" s="5" t="s">
        <v>238</v>
      </c>
      <c r="HX410" s="5" t="s">
        <v>238</v>
      </c>
      <c r="HY410" s="5" t="s">
        <v>238</v>
      </c>
      <c r="HZ410" s="5" t="s">
        <v>238</v>
      </c>
      <c r="IA410" s="5" t="s">
        <v>238</v>
      </c>
      <c r="IB410" s="5" t="s">
        <v>238</v>
      </c>
      <c r="IC410" s="5" t="s">
        <v>238</v>
      </c>
      <c r="ID410" s="5" t="s">
        <v>238</v>
      </c>
    </row>
    <row r="411" spans="1:238" x14ac:dyDescent="0.4">
      <c r="A411" s="5">
        <v>447</v>
      </c>
      <c r="B411" s="5">
        <v>1</v>
      </c>
      <c r="C411" s="5">
        <v>4</v>
      </c>
      <c r="D411" s="5" t="s">
        <v>420</v>
      </c>
      <c r="E411" s="5" t="s">
        <v>347</v>
      </c>
      <c r="F411" s="5" t="s">
        <v>282</v>
      </c>
      <c r="G411" s="5" t="s">
        <v>349</v>
      </c>
      <c r="H411" s="6" t="s">
        <v>421</v>
      </c>
      <c r="I411" s="5" t="s">
        <v>345</v>
      </c>
      <c r="J411" s="7">
        <f>0</f>
        <v>0</v>
      </c>
      <c r="K411" s="5" t="s">
        <v>270</v>
      </c>
      <c r="L411" s="8">
        <f>21517962</f>
        <v>21517962</v>
      </c>
      <c r="M411" s="8">
        <f>27981744</f>
        <v>27981744</v>
      </c>
      <c r="N411" s="6" t="s">
        <v>348</v>
      </c>
      <c r="O411" s="5" t="s">
        <v>319</v>
      </c>
      <c r="P411" s="5" t="s">
        <v>271</v>
      </c>
      <c r="Q411" s="8">
        <f>2154594</f>
        <v>2154594</v>
      </c>
      <c r="R411" s="8">
        <f>6463782</f>
        <v>6463782</v>
      </c>
      <c r="S411" s="5" t="s">
        <v>240</v>
      </c>
      <c r="T411" s="5" t="s">
        <v>287</v>
      </c>
      <c r="U411" s="5" t="s">
        <v>238</v>
      </c>
      <c r="V411" s="5" t="s">
        <v>238</v>
      </c>
      <c r="W411" s="5" t="s">
        <v>241</v>
      </c>
      <c r="X411" s="5" t="s">
        <v>238</v>
      </c>
      <c r="Y411" s="5" t="s">
        <v>238</v>
      </c>
      <c r="AB411" s="5" t="s">
        <v>238</v>
      </c>
      <c r="AC411" s="6" t="s">
        <v>238</v>
      </c>
      <c r="AD411" s="6" t="s">
        <v>238</v>
      </c>
      <c r="AF411" s="6" t="s">
        <v>238</v>
      </c>
      <c r="AG411" s="6" t="s">
        <v>246</v>
      </c>
      <c r="AH411" s="5" t="s">
        <v>247</v>
      </c>
      <c r="AI411" s="5" t="s">
        <v>248</v>
      </c>
      <c r="AO411" s="5" t="s">
        <v>238</v>
      </c>
      <c r="AP411" s="5" t="s">
        <v>238</v>
      </c>
      <c r="AQ411" s="5" t="s">
        <v>238</v>
      </c>
      <c r="AR411" s="6" t="s">
        <v>238</v>
      </c>
      <c r="AS411" s="6" t="s">
        <v>238</v>
      </c>
      <c r="AT411" s="6" t="s">
        <v>238</v>
      </c>
      <c r="AW411" s="5" t="s">
        <v>304</v>
      </c>
      <c r="AX411" s="5" t="s">
        <v>304</v>
      </c>
      <c r="AY411" s="5" t="s">
        <v>250</v>
      </c>
      <c r="AZ411" s="5" t="s">
        <v>305</v>
      </c>
      <c r="BA411" s="5" t="s">
        <v>251</v>
      </c>
      <c r="BB411" s="5" t="s">
        <v>238</v>
      </c>
      <c r="BC411" s="5" t="s">
        <v>253</v>
      </c>
      <c r="BD411" s="5" t="s">
        <v>238</v>
      </c>
      <c r="BF411" s="5" t="s">
        <v>238</v>
      </c>
      <c r="BH411" s="5" t="s">
        <v>283</v>
      </c>
      <c r="BI411" s="6" t="s">
        <v>293</v>
      </c>
      <c r="BJ411" s="5" t="s">
        <v>294</v>
      </c>
      <c r="BK411" s="5" t="s">
        <v>294</v>
      </c>
      <c r="BL411" s="5" t="s">
        <v>238</v>
      </c>
      <c r="BM411" s="7">
        <f>0</f>
        <v>0</v>
      </c>
      <c r="BN411" s="8">
        <f>-2154594</f>
        <v>-2154594</v>
      </c>
      <c r="BO411" s="5" t="s">
        <v>257</v>
      </c>
      <c r="BP411" s="5" t="s">
        <v>258</v>
      </c>
      <c r="BQ411" s="5" t="s">
        <v>238</v>
      </c>
      <c r="BR411" s="5" t="s">
        <v>238</v>
      </c>
      <c r="BS411" s="5" t="s">
        <v>238</v>
      </c>
      <c r="BT411" s="5" t="s">
        <v>238</v>
      </c>
      <c r="CC411" s="5" t="s">
        <v>258</v>
      </c>
      <c r="CD411" s="5" t="s">
        <v>238</v>
      </c>
      <c r="CE411" s="5" t="s">
        <v>238</v>
      </c>
      <c r="CI411" s="5" t="s">
        <v>259</v>
      </c>
      <c r="CJ411" s="5" t="s">
        <v>260</v>
      </c>
      <c r="CK411" s="5" t="s">
        <v>238</v>
      </c>
      <c r="CM411" s="5" t="s">
        <v>291</v>
      </c>
      <c r="CN411" s="6" t="s">
        <v>262</v>
      </c>
      <c r="CO411" s="5" t="s">
        <v>263</v>
      </c>
      <c r="CP411" s="5" t="s">
        <v>264</v>
      </c>
      <c r="CQ411" s="5" t="s">
        <v>285</v>
      </c>
      <c r="CR411" s="5" t="s">
        <v>238</v>
      </c>
      <c r="CS411" s="5">
        <v>7.6999999999999999E-2</v>
      </c>
      <c r="CT411" s="5" t="s">
        <v>265</v>
      </c>
      <c r="CU411" s="5" t="s">
        <v>351</v>
      </c>
      <c r="CV411" s="5" t="s">
        <v>352</v>
      </c>
      <c r="CW411" s="7">
        <f>0</f>
        <v>0</v>
      </c>
      <c r="CX411" s="8">
        <f>27981744</f>
        <v>27981744</v>
      </c>
      <c r="CY411" s="8">
        <f>23672556</f>
        <v>23672556</v>
      </c>
      <c r="DA411" s="5" t="s">
        <v>238</v>
      </c>
      <c r="DB411" s="5" t="s">
        <v>238</v>
      </c>
      <c r="DD411" s="5" t="s">
        <v>238</v>
      </c>
      <c r="DE411" s="8">
        <f>0</f>
        <v>0</v>
      </c>
      <c r="DG411" s="5" t="s">
        <v>238</v>
      </c>
      <c r="DH411" s="5" t="s">
        <v>238</v>
      </c>
      <c r="DI411" s="5" t="s">
        <v>238</v>
      </c>
      <c r="DJ411" s="5" t="s">
        <v>238</v>
      </c>
      <c r="DK411" s="5" t="s">
        <v>272</v>
      </c>
      <c r="DL411" s="5" t="s">
        <v>272</v>
      </c>
      <c r="DM411" s="8" t="s">
        <v>238</v>
      </c>
      <c r="DN411" s="5" t="s">
        <v>238</v>
      </c>
      <c r="DO411" s="5" t="s">
        <v>238</v>
      </c>
      <c r="DP411" s="5" t="s">
        <v>238</v>
      </c>
      <c r="DQ411" s="5" t="s">
        <v>238</v>
      </c>
      <c r="DT411" s="5" t="s">
        <v>422</v>
      </c>
      <c r="DU411" s="5" t="s">
        <v>313</v>
      </c>
      <c r="GL411" s="5" t="s">
        <v>423</v>
      </c>
      <c r="HM411" s="5" t="s">
        <v>356</v>
      </c>
      <c r="HP411" s="5" t="s">
        <v>272</v>
      </c>
      <c r="HQ411" s="5" t="s">
        <v>272</v>
      </c>
      <c r="HR411" s="5" t="s">
        <v>238</v>
      </c>
      <c r="HS411" s="5" t="s">
        <v>238</v>
      </c>
      <c r="HT411" s="5" t="s">
        <v>238</v>
      </c>
      <c r="HU411" s="5" t="s">
        <v>238</v>
      </c>
      <c r="HV411" s="5" t="s">
        <v>238</v>
      </c>
      <c r="HW411" s="5" t="s">
        <v>238</v>
      </c>
      <c r="HX411" s="5" t="s">
        <v>238</v>
      </c>
      <c r="HY411" s="5" t="s">
        <v>238</v>
      </c>
      <c r="HZ411" s="5" t="s">
        <v>238</v>
      </c>
      <c r="IA411" s="5" t="s">
        <v>238</v>
      </c>
      <c r="IB411" s="5" t="s">
        <v>238</v>
      </c>
      <c r="IC411" s="5" t="s">
        <v>238</v>
      </c>
      <c r="ID411" s="5" t="s">
        <v>238</v>
      </c>
    </row>
    <row r="412" spans="1:238" x14ac:dyDescent="0.4">
      <c r="A412" s="5">
        <v>448</v>
      </c>
      <c r="B412" s="5">
        <v>1</v>
      </c>
      <c r="C412" s="5">
        <v>4</v>
      </c>
      <c r="D412" s="5" t="s">
        <v>420</v>
      </c>
      <c r="E412" s="5" t="s">
        <v>347</v>
      </c>
      <c r="F412" s="5" t="s">
        <v>282</v>
      </c>
      <c r="G412" s="5" t="s">
        <v>349</v>
      </c>
      <c r="H412" s="6" t="s">
        <v>421</v>
      </c>
      <c r="I412" s="5" t="s">
        <v>1575</v>
      </c>
      <c r="J412" s="7">
        <f>0</f>
        <v>0</v>
      </c>
      <c r="K412" s="5" t="s">
        <v>270</v>
      </c>
      <c r="L412" s="8">
        <f>210320</f>
        <v>210320</v>
      </c>
      <c r="M412" s="8">
        <f>220000</f>
        <v>220000</v>
      </c>
      <c r="N412" s="6" t="s">
        <v>1576</v>
      </c>
      <c r="O412" s="5" t="s">
        <v>898</v>
      </c>
      <c r="P412" s="5" t="s">
        <v>272</v>
      </c>
      <c r="Q412" s="8">
        <f>4840</f>
        <v>4840</v>
      </c>
      <c r="R412" s="8">
        <f>9680</f>
        <v>9680</v>
      </c>
      <c r="S412" s="5" t="s">
        <v>240</v>
      </c>
      <c r="T412" s="5" t="s">
        <v>287</v>
      </c>
      <c r="U412" s="5" t="s">
        <v>238</v>
      </c>
      <c r="V412" s="5" t="s">
        <v>238</v>
      </c>
      <c r="W412" s="5" t="s">
        <v>241</v>
      </c>
      <c r="X412" s="5" t="s">
        <v>238</v>
      </c>
      <c r="Y412" s="5" t="s">
        <v>238</v>
      </c>
      <c r="AB412" s="5" t="s">
        <v>238</v>
      </c>
      <c r="AC412" s="6" t="s">
        <v>238</v>
      </c>
      <c r="AD412" s="6" t="s">
        <v>238</v>
      </c>
      <c r="AF412" s="6" t="s">
        <v>238</v>
      </c>
      <c r="AG412" s="6" t="s">
        <v>246</v>
      </c>
      <c r="AH412" s="5" t="s">
        <v>247</v>
      </c>
      <c r="AI412" s="5" t="s">
        <v>248</v>
      </c>
      <c r="AO412" s="5" t="s">
        <v>238</v>
      </c>
      <c r="AP412" s="5" t="s">
        <v>238</v>
      </c>
      <c r="AQ412" s="5" t="s">
        <v>238</v>
      </c>
      <c r="AR412" s="6" t="s">
        <v>238</v>
      </c>
      <c r="AS412" s="6" t="s">
        <v>238</v>
      </c>
      <c r="AT412" s="6" t="s">
        <v>238</v>
      </c>
      <c r="AW412" s="5" t="s">
        <v>304</v>
      </c>
      <c r="AX412" s="5" t="s">
        <v>304</v>
      </c>
      <c r="AY412" s="5" t="s">
        <v>250</v>
      </c>
      <c r="AZ412" s="5" t="s">
        <v>305</v>
      </c>
      <c r="BA412" s="5" t="s">
        <v>251</v>
      </c>
      <c r="BB412" s="5" t="s">
        <v>238</v>
      </c>
      <c r="BC412" s="5" t="s">
        <v>253</v>
      </c>
      <c r="BD412" s="5" t="s">
        <v>238</v>
      </c>
      <c r="BF412" s="5" t="s">
        <v>238</v>
      </c>
      <c r="BH412" s="5" t="s">
        <v>283</v>
      </c>
      <c r="BI412" s="6" t="s">
        <v>293</v>
      </c>
      <c r="BJ412" s="5" t="s">
        <v>294</v>
      </c>
      <c r="BK412" s="5" t="s">
        <v>294</v>
      </c>
      <c r="BL412" s="5" t="s">
        <v>238</v>
      </c>
      <c r="BM412" s="7">
        <f>0</f>
        <v>0</v>
      </c>
      <c r="BN412" s="8">
        <f>-4840</f>
        <v>-4840</v>
      </c>
      <c r="BO412" s="5" t="s">
        <v>257</v>
      </c>
      <c r="BP412" s="5" t="s">
        <v>258</v>
      </c>
      <c r="BQ412" s="5" t="s">
        <v>238</v>
      </c>
      <c r="BR412" s="5" t="s">
        <v>238</v>
      </c>
      <c r="BS412" s="5" t="s">
        <v>238</v>
      </c>
      <c r="BT412" s="5" t="s">
        <v>238</v>
      </c>
      <c r="CC412" s="5" t="s">
        <v>258</v>
      </c>
      <c r="CD412" s="5" t="s">
        <v>238</v>
      </c>
      <c r="CE412" s="5" t="s">
        <v>238</v>
      </c>
      <c r="CI412" s="5" t="s">
        <v>259</v>
      </c>
      <c r="CJ412" s="5" t="s">
        <v>260</v>
      </c>
      <c r="CK412" s="5" t="s">
        <v>238</v>
      </c>
      <c r="CM412" s="5" t="s">
        <v>408</v>
      </c>
      <c r="CN412" s="6" t="s">
        <v>262</v>
      </c>
      <c r="CO412" s="5" t="s">
        <v>263</v>
      </c>
      <c r="CP412" s="5" t="s">
        <v>264</v>
      </c>
      <c r="CQ412" s="5" t="s">
        <v>285</v>
      </c>
      <c r="CR412" s="5" t="s">
        <v>238</v>
      </c>
      <c r="CS412" s="5">
        <v>2.1999999999999999E-2</v>
      </c>
      <c r="CT412" s="5" t="s">
        <v>265</v>
      </c>
      <c r="CU412" s="5" t="s">
        <v>1493</v>
      </c>
      <c r="CV412" s="5" t="s">
        <v>308</v>
      </c>
      <c r="CW412" s="7">
        <f>0</f>
        <v>0</v>
      </c>
      <c r="CX412" s="8">
        <f>220000</f>
        <v>220000</v>
      </c>
      <c r="CY412" s="8">
        <f>215160</f>
        <v>215160</v>
      </c>
      <c r="DA412" s="5" t="s">
        <v>238</v>
      </c>
      <c r="DB412" s="5" t="s">
        <v>238</v>
      </c>
      <c r="DD412" s="5" t="s">
        <v>238</v>
      </c>
      <c r="DE412" s="8">
        <f>0</f>
        <v>0</v>
      </c>
      <c r="DG412" s="5" t="s">
        <v>238</v>
      </c>
      <c r="DH412" s="5" t="s">
        <v>238</v>
      </c>
      <c r="DI412" s="5" t="s">
        <v>238</v>
      </c>
      <c r="DJ412" s="5" t="s">
        <v>238</v>
      </c>
      <c r="DK412" s="5" t="s">
        <v>272</v>
      </c>
      <c r="DL412" s="5" t="s">
        <v>272</v>
      </c>
      <c r="DM412" s="8" t="s">
        <v>238</v>
      </c>
      <c r="DN412" s="5" t="s">
        <v>238</v>
      </c>
      <c r="DO412" s="5" t="s">
        <v>238</v>
      </c>
      <c r="DP412" s="5" t="s">
        <v>238</v>
      </c>
      <c r="DQ412" s="5" t="s">
        <v>238</v>
      </c>
      <c r="DT412" s="5" t="s">
        <v>422</v>
      </c>
      <c r="DU412" s="5" t="s">
        <v>389</v>
      </c>
      <c r="GL412" s="5" t="s">
        <v>1577</v>
      </c>
      <c r="HM412" s="5" t="s">
        <v>274</v>
      </c>
      <c r="HP412" s="5" t="s">
        <v>272</v>
      </c>
      <c r="HQ412" s="5" t="s">
        <v>272</v>
      </c>
      <c r="HR412" s="5" t="s">
        <v>238</v>
      </c>
      <c r="HS412" s="5" t="s">
        <v>238</v>
      </c>
      <c r="HT412" s="5" t="s">
        <v>238</v>
      </c>
      <c r="HU412" s="5" t="s">
        <v>238</v>
      </c>
      <c r="HV412" s="5" t="s">
        <v>238</v>
      </c>
      <c r="HW412" s="5" t="s">
        <v>238</v>
      </c>
      <c r="HX412" s="5" t="s">
        <v>238</v>
      </c>
      <c r="HY412" s="5" t="s">
        <v>238</v>
      </c>
      <c r="HZ412" s="5" t="s">
        <v>238</v>
      </c>
      <c r="IA412" s="5" t="s">
        <v>238</v>
      </c>
      <c r="IB412" s="5" t="s">
        <v>238</v>
      </c>
      <c r="IC412" s="5" t="s">
        <v>238</v>
      </c>
      <c r="ID412" s="5" t="s">
        <v>238</v>
      </c>
    </row>
    <row r="413" spans="1:238" x14ac:dyDescent="0.4">
      <c r="A413" s="5">
        <v>449</v>
      </c>
      <c r="B413" s="5">
        <v>1</v>
      </c>
      <c r="C413" s="5">
        <v>4</v>
      </c>
      <c r="D413" s="5" t="s">
        <v>416</v>
      </c>
      <c r="E413" s="5" t="s">
        <v>347</v>
      </c>
      <c r="F413" s="5" t="s">
        <v>282</v>
      </c>
      <c r="G413" s="5" t="s">
        <v>1499</v>
      </c>
      <c r="H413" s="6" t="s">
        <v>417</v>
      </c>
      <c r="I413" s="5" t="s">
        <v>1314</v>
      </c>
      <c r="J413" s="7">
        <f>2841</f>
        <v>2841</v>
      </c>
      <c r="K413" s="5" t="s">
        <v>270</v>
      </c>
      <c r="L413" s="8">
        <f>20710890</f>
        <v>20710890</v>
      </c>
      <c r="M413" s="8">
        <f>383535000</f>
        <v>383535000</v>
      </c>
      <c r="N413" s="6" t="s">
        <v>1578</v>
      </c>
      <c r="O413" s="5" t="s">
        <v>898</v>
      </c>
      <c r="P413" s="5" t="s">
        <v>965</v>
      </c>
      <c r="Q413" s="8">
        <f>8437770</f>
        <v>8437770</v>
      </c>
      <c r="R413" s="8">
        <f>362824110</f>
        <v>362824110</v>
      </c>
      <c r="S413" s="5" t="s">
        <v>240</v>
      </c>
      <c r="T413" s="5" t="s">
        <v>237</v>
      </c>
      <c r="U413" s="5" t="s">
        <v>238</v>
      </c>
      <c r="V413" s="5" t="s">
        <v>238</v>
      </c>
      <c r="W413" s="5" t="s">
        <v>241</v>
      </c>
      <c r="X413" s="5" t="s">
        <v>337</v>
      </c>
      <c r="Y413" s="5" t="s">
        <v>238</v>
      </c>
      <c r="AB413" s="5" t="s">
        <v>238</v>
      </c>
      <c r="AC413" s="6" t="s">
        <v>238</v>
      </c>
      <c r="AD413" s="6" t="s">
        <v>238</v>
      </c>
      <c r="AF413" s="6" t="s">
        <v>238</v>
      </c>
      <c r="AG413" s="6" t="s">
        <v>246</v>
      </c>
      <c r="AH413" s="5" t="s">
        <v>247</v>
      </c>
      <c r="AI413" s="5" t="s">
        <v>248</v>
      </c>
      <c r="AO413" s="5" t="s">
        <v>238</v>
      </c>
      <c r="AP413" s="5" t="s">
        <v>238</v>
      </c>
      <c r="AQ413" s="5" t="s">
        <v>238</v>
      </c>
      <c r="AR413" s="6" t="s">
        <v>238</v>
      </c>
      <c r="AS413" s="6" t="s">
        <v>238</v>
      </c>
      <c r="AT413" s="6" t="s">
        <v>238</v>
      </c>
      <c r="AW413" s="5" t="s">
        <v>304</v>
      </c>
      <c r="AX413" s="5" t="s">
        <v>304</v>
      </c>
      <c r="AY413" s="5" t="s">
        <v>250</v>
      </c>
      <c r="AZ413" s="5" t="s">
        <v>305</v>
      </c>
      <c r="BA413" s="5" t="s">
        <v>251</v>
      </c>
      <c r="BB413" s="5" t="s">
        <v>238</v>
      </c>
      <c r="BC413" s="5" t="s">
        <v>253</v>
      </c>
      <c r="BD413" s="5" t="s">
        <v>238</v>
      </c>
      <c r="BF413" s="5" t="s">
        <v>238</v>
      </c>
      <c r="BH413" s="5" t="s">
        <v>283</v>
      </c>
      <c r="BI413" s="6" t="s">
        <v>293</v>
      </c>
      <c r="BJ413" s="5" t="s">
        <v>294</v>
      </c>
      <c r="BK413" s="5" t="s">
        <v>294</v>
      </c>
      <c r="BL413" s="5" t="s">
        <v>238</v>
      </c>
      <c r="BM413" s="7">
        <f>0</f>
        <v>0</v>
      </c>
      <c r="BN413" s="8">
        <f>-8437770</f>
        <v>-8437770</v>
      </c>
      <c r="BO413" s="5" t="s">
        <v>257</v>
      </c>
      <c r="BP413" s="5" t="s">
        <v>258</v>
      </c>
      <c r="BQ413" s="5" t="s">
        <v>238</v>
      </c>
      <c r="BR413" s="5" t="s">
        <v>238</v>
      </c>
      <c r="BS413" s="5" t="s">
        <v>238</v>
      </c>
      <c r="BT413" s="5" t="s">
        <v>238</v>
      </c>
      <c r="CC413" s="5" t="s">
        <v>258</v>
      </c>
      <c r="CD413" s="5" t="s">
        <v>238</v>
      </c>
      <c r="CE413" s="5" t="s">
        <v>238</v>
      </c>
      <c r="CI413" s="5" t="s">
        <v>527</v>
      </c>
      <c r="CJ413" s="5" t="s">
        <v>260</v>
      </c>
      <c r="CK413" s="5" t="s">
        <v>238</v>
      </c>
      <c r="CM413" s="5" t="s">
        <v>865</v>
      </c>
      <c r="CN413" s="6" t="s">
        <v>262</v>
      </c>
      <c r="CO413" s="5" t="s">
        <v>263</v>
      </c>
      <c r="CP413" s="5" t="s">
        <v>264</v>
      </c>
      <c r="CQ413" s="5" t="s">
        <v>285</v>
      </c>
      <c r="CR413" s="5" t="s">
        <v>238</v>
      </c>
      <c r="CS413" s="5">
        <v>2.1999999999999999E-2</v>
      </c>
      <c r="CT413" s="5" t="s">
        <v>265</v>
      </c>
      <c r="CU413" s="5" t="s">
        <v>1493</v>
      </c>
      <c r="CV413" s="5" t="s">
        <v>308</v>
      </c>
      <c r="CW413" s="7">
        <f>0</f>
        <v>0</v>
      </c>
      <c r="CX413" s="8">
        <f>383535000</f>
        <v>383535000</v>
      </c>
      <c r="CY413" s="8">
        <f>29148660</f>
        <v>29148660</v>
      </c>
      <c r="DA413" s="5" t="s">
        <v>238</v>
      </c>
      <c r="DB413" s="5" t="s">
        <v>238</v>
      </c>
      <c r="DD413" s="5" t="s">
        <v>238</v>
      </c>
      <c r="DE413" s="8">
        <f>0</f>
        <v>0</v>
      </c>
      <c r="DG413" s="5" t="s">
        <v>238</v>
      </c>
      <c r="DH413" s="5" t="s">
        <v>238</v>
      </c>
      <c r="DI413" s="5" t="s">
        <v>238</v>
      </c>
      <c r="DJ413" s="5" t="s">
        <v>238</v>
      </c>
      <c r="DK413" s="5" t="s">
        <v>356</v>
      </c>
      <c r="DL413" s="5" t="s">
        <v>272</v>
      </c>
      <c r="DM413" s="7">
        <f>2841</f>
        <v>2841</v>
      </c>
      <c r="DN413" s="5" t="s">
        <v>238</v>
      </c>
      <c r="DO413" s="5" t="s">
        <v>238</v>
      </c>
      <c r="DP413" s="5" t="s">
        <v>238</v>
      </c>
      <c r="DQ413" s="5" t="s">
        <v>238</v>
      </c>
      <c r="DT413" s="5" t="s">
        <v>418</v>
      </c>
      <c r="DU413" s="5" t="s">
        <v>271</v>
      </c>
      <c r="GL413" s="5" t="s">
        <v>1579</v>
      </c>
      <c r="HM413" s="5" t="s">
        <v>313</v>
      </c>
      <c r="HP413" s="5" t="s">
        <v>272</v>
      </c>
      <c r="HQ413" s="5" t="s">
        <v>272</v>
      </c>
      <c r="HR413" s="5" t="s">
        <v>238</v>
      </c>
      <c r="HS413" s="5" t="s">
        <v>238</v>
      </c>
      <c r="HT413" s="5" t="s">
        <v>238</v>
      </c>
      <c r="HU413" s="5" t="s">
        <v>238</v>
      </c>
      <c r="HV413" s="5" t="s">
        <v>238</v>
      </c>
      <c r="HW413" s="5" t="s">
        <v>238</v>
      </c>
      <c r="HX413" s="5" t="s">
        <v>238</v>
      </c>
      <c r="HY413" s="5" t="s">
        <v>238</v>
      </c>
      <c r="HZ413" s="5" t="s">
        <v>238</v>
      </c>
      <c r="IA413" s="5" t="s">
        <v>238</v>
      </c>
      <c r="IB413" s="5" t="s">
        <v>238</v>
      </c>
      <c r="IC413" s="5" t="s">
        <v>238</v>
      </c>
      <c r="ID413" s="5" t="s">
        <v>238</v>
      </c>
    </row>
    <row r="414" spans="1:238" x14ac:dyDescent="0.4">
      <c r="A414" s="5">
        <v>450</v>
      </c>
      <c r="B414" s="5">
        <v>1</v>
      </c>
      <c r="C414" s="5">
        <v>1</v>
      </c>
      <c r="D414" s="5" t="s">
        <v>416</v>
      </c>
      <c r="E414" s="5" t="s">
        <v>347</v>
      </c>
      <c r="F414" s="5" t="s">
        <v>282</v>
      </c>
      <c r="G414" s="5" t="s">
        <v>239</v>
      </c>
      <c r="H414" s="6" t="s">
        <v>417</v>
      </c>
      <c r="I414" s="5" t="s">
        <v>239</v>
      </c>
      <c r="J414" s="7">
        <f>28</f>
        <v>28</v>
      </c>
      <c r="K414" s="5" t="s">
        <v>270</v>
      </c>
      <c r="L414" s="8">
        <f>1</f>
        <v>1</v>
      </c>
      <c r="M414" s="8">
        <f>1680000</f>
        <v>1680000</v>
      </c>
      <c r="N414" s="6" t="s">
        <v>896</v>
      </c>
      <c r="O414" s="5" t="s">
        <v>651</v>
      </c>
      <c r="P414" s="5" t="s">
        <v>898</v>
      </c>
      <c r="R414" s="8">
        <f>1679999</f>
        <v>1679999</v>
      </c>
      <c r="S414" s="5" t="s">
        <v>240</v>
      </c>
      <c r="T414" s="5" t="s">
        <v>237</v>
      </c>
      <c r="U414" s="5" t="s">
        <v>238</v>
      </c>
      <c r="V414" s="5" t="s">
        <v>238</v>
      </c>
      <c r="W414" s="5" t="s">
        <v>241</v>
      </c>
      <c r="X414" s="5" t="s">
        <v>337</v>
      </c>
      <c r="Y414" s="5" t="s">
        <v>238</v>
      </c>
      <c r="AB414" s="5" t="s">
        <v>238</v>
      </c>
      <c r="AD414" s="6" t="s">
        <v>238</v>
      </c>
      <c r="AG414" s="6" t="s">
        <v>246</v>
      </c>
      <c r="AH414" s="5" t="s">
        <v>247</v>
      </c>
      <c r="AI414" s="5" t="s">
        <v>248</v>
      </c>
      <c r="AY414" s="5" t="s">
        <v>250</v>
      </c>
      <c r="AZ414" s="5" t="s">
        <v>238</v>
      </c>
      <c r="BA414" s="5" t="s">
        <v>251</v>
      </c>
      <c r="BB414" s="5" t="s">
        <v>238</v>
      </c>
      <c r="BC414" s="5" t="s">
        <v>253</v>
      </c>
      <c r="BD414" s="5" t="s">
        <v>238</v>
      </c>
      <c r="BF414" s="5" t="s">
        <v>238</v>
      </c>
      <c r="BH414" s="5" t="s">
        <v>798</v>
      </c>
      <c r="BI414" s="6" t="s">
        <v>799</v>
      </c>
      <c r="BJ414" s="5" t="s">
        <v>255</v>
      </c>
      <c r="BK414" s="5" t="s">
        <v>256</v>
      </c>
      <c r="BL414" s="5" t="s">
        <v>238</v>
      </c>
      <c r="BM414" s="7">
        <f>0</f>
        <v>0</v>
      </c>
      <c r="BN414" s="8">
        <f>0</f>
        <v>0</v>
      </c>
      <c r="BO414" s="5" t="s">
        <v>257</v>
      </c>
      <c r="BP414" s="5" t="s">
        <v>258</v>
      </c>
      <c r="CD414" s="5" t="s">
        <v>238</v>
      </c>
      <c r="CE414" s="5" t="s">
        <v>238</v>
      </c>
      <c r="CI414" s="5" t="s">
        <v>527</v>
      </c>
      <c r="CJ414" s="5" t="s">
        <v>260</v>
      </c>
      <c r="CK414" s="5" t="s">
        <v>238</v>
      </c>
      <c r="CM414" s="5" t="s">
        <v>897</v>
      </c>
      <c r="CN414" s="6" t="s">
        <v>262</v>
      </c>
      <c r="CO414" s="5" t="s">
        <v>263</v>
      </c>
      <c r="CP414" s="5" t="s">
        <v>264</v>
      </c>
      <c r="CQ414" s="5" t="s">
        <v>238</v>
      </c>
      <c r="CR414" s="5" t="s">
        <v>238</v>
      </c>
      <c r="CS414" s="5">
        <v>0</v>
      </c>
      <c r="CT414" s="5" t="s">
        <v>265</v>
      </c>
      <c r="CU414" s="5" t="s">
        <v>266</v>
      </c>
      <c r="CV414" s="5" t="s">
        <v>331</v>
      </c>
      <c r="CX414" s="8">
        <f>1680000</f>
        <v>1680000</v>
      </c>
      <c r="CY414" s="8">
        <f>0</f>
        <v>0</v>
      </c>
      <c r="DA414" s="5" t="s">
        <v>238</v>
      </c>
      <c r="DB414" s="5" t="s">
        <v>238</v>
      </c>
      <c r="DD414" s="5" t="s">
        <v>238</v>
      </c>
      <c r="DG414" s="5" t="s">
        <v>238</v>
      </c>
      <c r="DH414" s="5" t="s">
        <v>238</v>
      </c>
      <c r="DI414" s="5" t="s">
        <v>238</v>
      </c>
      <c r="DJ414" s="5" t="s">
        <v>238</v>
      </c>
      <c r="DK414" s="5" t="s">
        <v>271</v>
      </c>
      <c r="DL414" s="5" t="s">
        <v>272</v>
      </c>
      <c r="DM414" s="7">
        <f>28</f>
        <v>28</v>
      </c>
      <c r="DN414" s="5" t="s">
        <v>238</v>
      </c>
      <c r="DO414" s="5" t="s">
        <v>238</v>
      </c>
      <c r="DP414" s="5" t="s">
        <v>238</v>
      </c>
      <c r="DQ414" s="5" t="s">
        <v>238</v>
      </c>
      <c r="DT414" s="5" t="s">
        <v>418</v>
      </c>
      <c r="DU414" s="5" t="s">
        <v>274</v>
      </c>
      <c r="HM414" s="5" t="s">
        <v>271</v>
      </c>
      <c r="HP414" s="5" t="s">
        <v>272</v>
      </c>
      <c r="HQ414" s="5" t="s">
        <v>272</v>
      </c>
    </row>
    <row r="415" spans="1:238" x14ac:dyDescent="0.4">
      <c r="A415" s="5">
        <v>451</v>
      </c>
      <c r="B415" s="5">
        <v>1</v>
      </c>
      <c r="C415" s="5">
        <v>1</v>
      </c>
      <c r="D415" s="5" t="s">
        <v>416</v>
      </c>
      <c r="E415" s="5" t="s">
        <v>347</v>
      </c>
      <c r="F415" s="5" t="s">
        <v>282</v>
      </c>
      <c r="G415" s="5" t="s">
        <v>3027</v>
      </c>
      <c r="H415" s="6" t="s">
        <v>417</v>
      </c>
      <c r="I415" s="5" t="s">
        <v>3027</v>
      </c>
      <c r="J415" s="7">
        <f>43</f>
        <v>43</v>
      </c>
      <c r="K415" s="5" t="s">
        <v>270</v>
      </c>
      <c r="L415" s="8">
        <f>1</f>
        <v>1</v>
      </c>
      <c r="M415" s="8">
        <f>2580000</f>
        <v>2580000</v>
      </c>
      <c r="N415" s="6" t="s">
        <v>968</v>
      </c>
      <c r="O415" s="5" t="s">
        <v>268</v>
      </c>
      <c r="P415" s="5" t="s">
        <v>971</v>
      </c>
      <c r="R415" s="8">
        <f>2579999</f>
        <v>2579999</v>
      </c>
      <c r="S415" s="5" t="s">
        <v>240</v>
      </c>
      <c r="T415" s="5" t="s">
        <v>237</v>
      </c>
      <c r="U415" s="5" t="s">
        <v>238</v>
      </c>
      <c r="V415" s="5" t="s">
        <v>238</v>
      </c>
      <c r="W415" s="5" t="s">
        <v>241</v>
      </c>
      <c r="X415" s="5" t="s">
        <v>337</v>
      </c>
      <c r="Y415" s="5" t="s">
        <v>238</v>
      </c>
      <c r="AB415" s="5" t="s">
        <v>238</v>
      </c>
      <c r="AD415" s="6" t="s">
        <v>238</v>
      </c>
      <c r="AG415" s="6" t="s">
        <v>246</v>
      </c>
      <c r="AH415" s="5" t="s">
        <v>247</v>
      </c>
      <c r="AI415" s="5" t="s">
        <v>248</v>
      </c>
      <c r="AY415" s="5" t="s">
        <v>250</v>
      </c>
      <c r="AZ415" s="5" t="s">
        <v>238</v>
      </c>
      <c r="BA415" s="5" t="s">
        <v>251</v>
      </c>
      <c r="BB415" s="5" t="s">
        <v>238</v>
      </c>
      <c r="BC415" s="5" t="s">
        <v>253</v>
      </c>
      <c r="BD415" s="5" t="s">
        <v>238</v>
      </c>
      <c r="BF415" s="5" t="s">
        <v>238</v>
      </c>
      <c r="BH415" s="5" t="s">
        <v>254</v>
      </c>
      <c r="BI415" s="6" t="s">
        <v>246</v>
      </c>
      <c r="BJ415" s="5" t="s">
        <v>255</v>
      </c>
      <c r="BK415" s="5" t="s">
        <v>256</v>
      </c>
      <c r="BL415" s="5" t="s">
        <v>238</v>
      </c>
      <c r="BM415" s="7">
        <f>0</f>
        <v>0</v>
      </c>
      <c r="BN415" s="8">
        <f>0</f>
        <v>0</v>
      </c>
      <c r="BO415" s="5" t="s">
        <v>257</v>
      </c>
      <c r="BP415" s="5" t="s">
        <v>258</v>
      </c>
      <c r="CD415" s="5" t="s">
        <v>238</v>
      </c>
      <c r="CE415" s="5" t="s">
        <v>238</v>
      </c>
      <c r="CI415" s="5" t="s">
        <v>527</v>
      </c>
      <c r="CJ415" s="5" t="s">
        <v>260</v>
      </c>
      <c r="CK415" s="5" t="s">
        <v>238</v>
      </c>
      <c r="CM415" s="5" t="s">
        <v>970</v>
      </c>
      <c r="CN415" s="6" t="s">
        <v>262</v>
      </c>
      <c r="CO415" s="5" t="s">
        <v>263</v>
      </c>
      <c r="CP415" s="5" t="s">
        <v>264</v>
      </c>
      <c r="CQ415" s="5" t="s">
        <v>238</v>
      </c>
      <c r="CR415" s="5" t="s">
        <v>238</v>
      </c>
      <c r="CS415" s="5">
        <v>0</v>
      </c>
      <c r="CT415" s="5" t="s">
        <v>265</v>
      </c>
      <c r="CU415" s="5" t="s">
        <v>351</v>
      </c>
      <c r="CV415" s="5" t="s">
        <v>394</v>
      </c>
      <c r="CX415" s="8">
        <f>2580000</f>
        <v>2580000</v>
      </c>
      <c r="CY415" s="8">
        <f>0</f>
        <v>0</v>
      </c>
      <c r="DA415" s="5" t="s">
        <v>238</v>
      </c>
      <c r="DB415" s="5" t="s">
        <v>238</v>
      </c>
      <c r="DD415" s="5" t="s">
        <v>238</v>
      </c>
      <c r="DG415" s="5" t="s">
        <v>238</v>
      </c>
      <c r="DH415" s="5" t="s">
        <v>238</v>
      </c>
      <c r="DI415" s="5" t="s">
        <v>238</v>
      </c>
      <c r="DJ415" s="5" t="s">
        <v>238</v>
      </c>
      <c r="DK415" s="5" t="s">
        <v>271</v>
      </c>
      <c r="DL415" s="5" t="s">
        <v>272</v>
      </c>
      <c r="DM415" s="7">
        <f>43</f>
        <v>43</v>
      </c>
      <c r="DN415" s="5" t="s">
        <v>238</v>
      </c>
      <c r="DO415" s="5" t="s">
        <v>238</v>
      </c>
      <c r="DP415" s="5" t="s">
        <v>238</v>
      </c>
      <c r="DQ415" s="5" t="s">
        <v>238</v>
      </c>
      <c r="DT415" s="5" t="s">
        <v>418</v>
      </c>
      <c r="DU415" s="5" t="s">
        <v>356</v>
      </c>
      <c r="HM415" s="5" t="s">
        <v>271</v>
      </c>
      <c r="HP415" s="5" t="s">
        <v>272</v>
      </c>
      <c r="HQ415" s="5" t="s">
        <v>272</v>
      </c>
    </row>
    <row r="416" spans="1:238" x14ac:dyDescent="0.4">
      <c r="A416" s="5">
        <v>452</v>
      </c>
      <c r="B416" s="5">
        <v>1</v>
      </c>
      <c r="C416" s="5">
        <v>4</v>
      </c>
      <c r="D416" s="5" t="s">
        <v>416</v>
      </c>
      <c r="E416" s="5" t="s">
        <v>347</v>
      </c>
      <c r="F416" s="5" t="s">
        <v>282</v>
      </c>
      <c r="G416" s="5" t="s">
        <v>1499</v>
      </c>
      <c r="H416" s="6" t="s">
        <v>417</v>
      </c>
      <c r="I416" s="5" t="s">
        <v>1314</v>
      </c>
      <c r="J416" s="7">
        <f>259</f>
        <v>259</v>
      </c>
      <c r="K416" s="5" t="s">
        <v>270</v>
      </c>
      <c r="L416" s="8">
        <f>16482760</f>
        <v>16482760</v>
      </c>
      <c r="M416" s="8">
        <f>55685000</f>
        <v>55685000</v>
      </c>
      <c r="N416" s="6" t="s">
        <v>1580</v>
      </c>
      <c r="O416" s="5" t="s">
        <v>898</v>
      </c>
      <c r="P416" s="5" t="s">
        <v>332</v>
      </c>
      <c r="Q416" s="8">
        <f>1225070</f>
        <v>1225070</v>
      </c>
      <c r="R416" s="8">
        <f>39202240</f>
        <v>39202240</v>
      </c>
      <c r="S416" s="5" t="s">
        <v>240</v>
      </c>
      <c r="T416" s="5" t="s">
        <v>237</v>
      </c>
      <c r="U416" s="5" t="s">
        <v>238</v>
      </c>
      <c r="V416" s="5" t="s">
        <v>238</v>
      </c>
      <c r="W416" s="5" t="s">
        <v>241</v>
      </c>
      <c r="X416" s="5" t="s">
        <v>337</v>
      </c>
      <c r="Y416" s="5" t="s">
        <v>238</v>
      </c>
      <c r="AB416" s="5" t="s">
        <v>238</v>
      </c>
      <c r="AC416" s="6" t="s">
        <v>238</v>
      </c>
      <c r="AD416" s="6" t="s">
        <v>238</v>
      </c>
      <c r="AF416" s="6" t="s">
        <v>238</v>
      </c>
      <c r="AG416" s="6" t="s">
        <v>246</v>
      </c>
      <c r="AH416" s="5" t="s">
        <v>247</v>
      </c>
      <c r="AI416" s="5" t="s">
        <v>248</v>
      </c>
      <c r="AO416" s="5" t="s">
        <v>238</v>
      </c>
      <c r="AP416" s="5" t="s">
        <v>238</v>
      </c>
      <c r="AQ416" s="5" t="s">
        <v>238</v>
      </c>
      <c r="AR416" s="6" t="s">
        <v>238</v>
      </c>
      <c r="AS416" s="6" t="s">
        <v>238</v>
      </c>
      <c r="AT416" s="6" t="s">
        <v>238</v>
      </c>
      <c r="AW416" s="5" t="s">
        <v>304</v>
      </c>
      <c r="AX416" s="5" t="s">
        <v>304</v>
      </c>
      <c r="AY416" s="5" t="s">
        <v>250</v>
      </c>
      <c r="AZ416" s="5" t="s">
        <v>305</v>
      </c>
      <c r="BA416" s="5" t="s">
        <v>251</v>
      </c>
      <c r="BB416" s="5" t="s">
        <v>238</v>
      </c>
      <c r="BC416" s="5" t="s">
        <v>253</v>
      </c>
      <c r="BD416" s="5" t="s">
        <v>238</v>
      </c>
      <c r="BF416" s="5" t="s">
        <v>238</v>
      </c>
      <c r="BH416" s="5" t="s">
        <v>283</v>
      </c>
      <c r="BI416" s="6" t="s">
        <v>293</v>
      </c>
      <c r="BJ416" s="5" t="s">
        <v>294</v>
      </c>
      <c r="BK416" s="5" t="s">
        <v>294</v>
      </c>
      <c r="BL416" s="5" t="s">
        <v>238</v>
      </c>
      <c r="BM416" s="7">
        <f>0</f>
        <v>0</v>
      </c>
      <c r="BN416" s="8">
        <f>-1225070</f>
        <v>-1225070</v>
      </c>
      <c r="BO416" s="5" t="s">
        <v>257</v>
      </c>
      <c r="BP416" s="5" t="s">
        <v>258</v>
      </c>
      <c r="BQ416" s="5" t="s">
        <v>238</v>
      </c>
      <c r="BR416" s="5" t="s">
        <v>238</v>
      </c>
      <c r="BS416" s="5" t="s">
        <v>238</v>
      </c>
      <c r="BT416" s="5" t="s">
        <v>238</v>
      </c>
      <c r="CC416" s="5" t="s">
        <v>258</v>
      </c>
      <c r="CD416" s="5" t="s">
        <v>238</v>
      </c>
      <c r="CE416" s="5" t="s">
        <v>238</v>
      </c>
      <c r="CI416" s="5" t="s">
        <v>259</v>
      </c>
      <c r="CJ416" s="5" t="s">
        <v>260</v>
      </c>
      <c r="CK416" s="5" t="s">
        <v>238</v>
      </c>
      <c r="CM416" s="5" t="s">
        <v>342</v>
      </c>
      <c r="CN416" s="6" t="s">
        <v>262</v>
      </c>
      <c r="CO416" s="5" t="s">
        <v>263</v>
      </c>
      <c r="CP416" s="5" t="s">
        <v>264</v>
      </c>
      <c r="CQ416" s="5" t="s">
        <v>285</v>
      </c>
      <c r="CR416" s="5" t="s">
        <v>238</v>
      </c>
      <c r="CS416" s="5">
        <v>2.1999999999999999E-2</v>
      </c>
      <c r="CT416" s="5" t="s">
        <v>265</v>
      </c>
      <c r="CU416" s="5" t="s">
        <v>1493</v>
      </c>
      <c r="CV416" s="5" t="s">
        <v>308</v>
      </c>
      <c r="CW416" s="7">
        <f>0</f>
        <v>0</v>
      </c>
      <c r="CX416" s="8">
        <f>55685000</f>
        <v>55685000</v>
      </c>
      <c r="CY416" s="8">
        <f>17707830</f>
        <v>17707830</v>
      </c>
      <c r="DA416" s="5" t="s">
        <v>238</v>
      </c>
      <c r="DB416" s="5" t="s">
        <v>238</v>
      </c>
      <c r="DD416" s="5" t="s">
        <v>238</v>
      </c>
      <c r="DE416" s="8">
        <f>0</f>
        <v>0</v>
      </c>
      <c r="DG416" s="5" t="s">
        <v>238</v>
      </c>
      <c r="DH416" s="5" t="s">
        <v>238</v>
      </c>
      <c r="DI416" s="5" t="s">
        <v>238</v>
      </c>
      <c r="DJ416" s="5" t="s">
        <v>238</v>
      </c>
      <c r="DK416" s="5" t="s">
        <v>274</v>
      </c>
      <c r="DL416" s="5" t="s">
        <v>272</v>
      </c>
      <c r="DM416" s="7">
        <f>259</f>
        <v>259</v>
      </c>
      <c r="DN416" s="5" t="s">
        <v>238</v>
      </c>
      <c r="DO416" s="5" t="s">
        <v>238</v>
      </c>
      <c r="DP416" s="5" t="s">
        <v>238</v>
      </c>
      <c r="DQ416" s="5" t="s">
        <v>238</v>
      </c>
      <c r="DT416" s="5" t="s">
        <v>418</v>
      </c>
      <c r="DU416" s="5" t="s">
        <v>310</v>
      </c>
      <c r="GL416" s="5" t="s">
        <v>1581</v>
      </c>
      <c r="HM416" s="5" t="s">
        <v>313</v>
      </c>
      <c r="HP416" s="5" t="s">
        <v>272</v>
      </c>
      <c r="HQ416" s="5" t="s">
        <v>272</v>
      </c>
      <c r="HR416" s="5" t="s">
        <v>238</v>
      </c>
      <c r="HS416" s="5" t="s">
        <v>238</v>
      </c>
      <c r="HT416" s="5" t="s">
        <v>238</v>
      </c>
      <c r="HU416" s="5" t="s">
        <v>238</v>
      </c>
      <c r="HV416" s="5" t="s">
        <v>238</v>
      </c>
      <c r="HW416" s="5" t="s">
        <v>238</v>
      </c>
      <c r="HX416" s="5" t="s">
        <v>238</v>
      </c>
      <c r="HY416" s="5" t="s">
        <v>238</v>
      </c>
      <c r="HZ416" s="5" t="s">
        <v>238</v>
      </c>
      <c r="IA416" s="5" t="s">
        <v>238</v>
      </c>
      <c r="IB416" s="5" t="s">
        <v>238</v>
      </c>
      <c r="IC416" s="5" t="s">
        <v>238</v>
      </c>
      <c r="ID416" s="5" t="s">
        <v>238</v>
      </c>
    </row>
    <row r="417" spans="1:238" x14ac:dyDescent="0.4">
      <c r="A417" s="5">
        <v>453</v>
      </c>
      <c r="B417" s="5">
        <v>1</v>
      </c>
      <c r="C417" s="5">
        <v>4</v>
      </c>
      <c r="D417" s="5" t="s">
        <v>416</v>
      </c>
      <c r="E417" s="5" t="s">
        <v>347</v>
      </c>
      <c r="F417" s="5" t="s">
        <v>282</v>
      </c>
      <c r="G417" s="5" t="s">
        <v>1666</v>
      </c>
      <c r="H417" s="6" t="s">
        <v>417</v>
      </c>
      <c r="I417" s="5" t="s">
        <v>1308</v>
      </c>
      <c r="J417" s="7">
        <f>834</f>
        <v>834</v>
      </c>
      <c r="K417" s="5" t="s">
        <v>270</v>
      </c>
      <c r="L417" s="8">
        <f>25753920</f>
        <v>25753920</v>
      </c>
      <c r="M417" s="8">
        <f>160962000</f>
        <v>160962000</v>
      </c>
      <c r="N417" s="6" t="s">
        <v>1699</v>
      </c>
      <c r="O417" s="5" t="s">
        <v>755</v>
      </c>
      <c r="P417" s="5" t="s">
        <v>1035</v>
      </c>
      <c r="Q417" s="8">
        <f>4828860</f>
        <v>4828860</v>
      </c>
      <c r="R417" s="8">
        <f>135208080</f>
        <v>135208080</v>
      </c>
      <c r="S417" s="5" t="s">
        <v>240</v>
      </c>
      <c r="T417" s="5" t="s">
        <v>237</v>
      </c>
      <c r="U417" s="5" t="s">
        <v>238</v>
      </c>
      <c r="V417" s="5" t="s">
        <v>238</v>
      </c>
      <c r="W417" s="5" t="s">
        <v>241</v>
      </c>
      <c r="X417" s="5" t="s">
        <v>337</v>
      </c>
      <c r="Y417" s="5" t="s">
        <v>238</v>
      </c>
      <c r="AB417" s="5" t="s">
        <v>238</v>
      </c>
      <c r="AC417" s="6" t="s">
        <v>238</v>
      </c>
      <c r="AD417" s="6" t="s">
        <v>238</v>
      </c>
      <c r="AF417" s="6" t="s">
        <v>238</v>
      </c>
      <c r="AG417" s="6" t="s">
        <v>246</v>
      </c>
      <c r="AH417" s="5" t="s">
        <v>247</v>
      </c>
      <c r="AI417" s="5" t="s">
        <v>248</v>
      </c>
      <c r="AO417" s="5" t="s">
        <v>238</v>
      </c>
      <c r="AP417" s="5" t="s">
        <v>238</v>
      </c>
      <c r="AQ417" s="5" t="s">
        <v>238</v>
      </c>
      <c r="AR417" s="6" t="s">
        <v>238</v>
      </c>
      <c r="AS417" s="6" t="s">
        <v>238</v>
      </c>
      <c r="AT417" s="6" t="s">
        <v>238</v>
      </c>
      <c r="AW417" s="5" t="s">
        <v>304</v>
      </c>
      <c r="AX417" s="5" t="s">
        <v>304</v>
      </c>
      <c r="AY417" s="5" t="s">
        <v>250</v>
      </c>
      <c r="AZ417" s="5" t="s">
        <v>305</v>
      </c>
      <c r="BA417" s="5" t="s">
        <v>251</v>
      </c>
      <c r="BB417" s="5" t="s">
        <v>238</v>
      </c>
      <c r="BC417" s="5" t="s">
        <v>253</v>
      </c>
      <c r="BD417" s="5" t="s">
        <v>238</v>
      </c>
      <c r="BF417" s="5" t="s">
        <v>238</v>
      </c>
      <c r="BH417" s="5" t="s">
        <v>283</v>
      </c>
      <c r="BI417" s="6" t="s">
        <v>293</v>
      </c>
      <c r="BJ417" s="5" t="s">
        <v>294</v>
      </c>
      <c r="BK417" s="5" t="s">
        <v>294</v>
      </c>
      <c r="BL417" s="5" t="s">
        <v>238</v>
      </c>
      <c r="BM417" s="7">
        <f>0</f>
        <v>0</v>
      </c>
      <c r="BN417" s="8">
        <f>-4828860</f>
        <v>-4828860</v>
      </c>
      <c r="BO417" s="5" t="s">
        <v>257</v>
      </c>
      <c r="BP417" s="5" t="s">
        <v>258</v>
      </c>
      <c r="BQ417" s="5" t="s">
        <v>238</v>
      </c>
      <c r="BR417" s="5" t="s">
        <v>238</v>
      </c>
      <c r="BS417" s="5" t="s">
        <v>238</v>
      </c>
      <c r="BT417" s="5" t="s">
        <v>238</v>
      </c>
      <c r="CC417" s="5" t="s">
        <v>258</v>
      </c>
      <c r="CD417" s="5" t="s">
        <v>238</v>
      </c>
      <c r="CE417" s="5" t="s">
        <v>238</v>
      </c>
      <c r="CI417" s="5" t="s">
        <v>259</v>
      </c>
      <c r="CJ417" s="5" t="s">
        <v>260</v>
      </c>
      <c r="CK417" s="5" t="s">
        <v>238</v>
      </c>
      <c r="CM417" s="5" t="s">
        <v>937</v>
      </c>
      <c r="CN417" s="6" t="s">
        <v>262</v>
      </c>
      <c r="CO417" s="5" t="s">
        <v>263</v>
      </c>
      <c r="CP417" s="5" t="s">
        <v>264</v>
      </c>
      <c r="CQ417" s="5" t="s">
        <v>285</v>
      </c>
      <c r="CR417" s="5" t="s">
        <v>238</v>
      </c>
      <c r="CS417" s="5">
        <v>0.03</v>
      </c>
      <c r="CT417" s="5" t="s">
        <v>265</v>
      </c>
      <c r="CU417" s="5" t="s">
        <v>1330</v>
      </c>
      <c r="CV417" s="5" t="s">
        <v>649</v>
      </c>
      <c r="CW417" s="7">
        <f>0</f>
        <v>0</v>
      </c>
      <c r="CX417" s="8">
        <f>160962000</f>
        <v>160962000</v>
      </c>
      <c r="CY417" s="8">
        <f>30582780</f>
        <v>30582780</v>
      </c>
      <c r="DA417" s="5" t="s">
        <v>238</v>
      </c>
      <c r="DB417" s="5" t="s">
        <v>238</v>
      </c>
      <c r="DD417" s="5" t="s">
        <v>238</v>
      </c>
      <c r="DE417" s="8">
        <f>0</f>
        <v>0</v>
      </c>
      <c r="DG417" s="5" t="s">
        <v>238</v>
      </c>
      <c r="DH417" s="5" t="s">
        <v>238</v>
      </c>
      <c r="DI417" s="5" t="s">
        <v>238</v>
      </c>
      <c r="DJ417" s="5" t="s">
        <v>238</v>
      </c>
      <c r="DK417" s="5" t="s">
        <v>271</v>
      </c>
      <c r="DL417" s="5" t="s">
        <v>272</v>
      </c>
      <c r="DM417" s="7">
        <f>834</f>
        <v>834</v>
      </c>
      <c r="DN417" s="5" t="s">
        <v>238</v>
      </c>
      <c r="DO417" s="5" t="s">
        <v>238</v>
      </c>
      <c r="DP417" s="5" t="s">
        <v>238</v>
      </c>
      <c r="DQ417" s="5" t="s">
        <v>238</v>
      </c>
      <c r="DT417" s="5" t="s">
        <v>418</v>
      </c>
      <c r="DU417" s="5" t="s">
        <v>379</v>
      </c>
      <c r="GL417" s="5" t="s">
        <v>1700</v>
      </c>
      <c r="HM417" s="5" t="s">
        <v>313</v>
      </c>
      <c r="HP417" s="5" t="s">
        <v>272</v>
      </c>
      <c r="HQ417" s="5" t="s">
        <v>272</v>
      </c>
      <c r="HR417" s="5" t="s">
        <v>238</v>
      </c>
      <c r="HS417" s="5" t="s">
        <v>238</v>
      </c>
      <c r="HT417" s="5" t="s">
        <v>238</v>
      </c>
      <c r="HU417" s="5" t="s">
        <v>238</v>
      </c>
      <c r="HV417" s="5" t="s">
        <v>238</v>
      </c>
      <c r="HW417" s="5" t="s">
        <v>238</v>
      </c>
      <c r="HX417" s="5" t="s">
        <v>238</v>
      </c>
      <c r="HY417" s="5" t="s">
        <v>238</v>
      </c>
      <c r="HZ417" s="5" t="s">
        <v>238</v>
      </c>
      <c r="IA417" s="5" t="s">
        <v>238</v>
      </c>
      <c r="IB417" s="5" t="s">
        <v>238</v>
      </c>
      <c r="IC417" s="5" t="s">
        <v>238</v>
      </c>
      <c r="ID417" s="5" t="s">
        <v>238</v>
      </c>
    </row>
    <row r="418" spans="1:238" x14ac:dyDescent="0.4">
      <c r="A418" s="5">
        <v>454</v>
      </c>
      <c r="B418" s="5">
        <v>1</v>
      </c>
      <c r="C418" s="5">
        <v>4</v>
      </c>
      <c r="D418" s="5" t="s">
        <v>416</v>
      </c>
      <c r="E418" s="5" t="s">
        <v>347</v>
      </c>
      <c r="F418" s="5" t="s">
        <v>282</v>
      </c>
      <c r="G418" s="5" t="s">
        <v>646</v>
      </c>
      <c r="H418" s="6" t="s">
        <v>417</v>
      </c>
      <c r="I418" s="5" t="s">
        <v>239</v>
      </c>
      <c r="J418" s="7">
        <f>66</f>
        <v>66</v>
      </c>
      <c r="K418" s="5" t="s">
        <v>270</v>
      </c>
      <c r="L418" s="8">
        <f>4052160</f>
        <v>4052160</v>
      </c>
      <c r="M418" s="8">
        <f>6048000</f>
        <v>6048000</v>
      </c>
      <c r="N418" s="6" t="s">
        <v>998</v>
      </c>
      <c r="O418" s="5" t="s">
        <v>650</v>
      </c>
      <c r="P418" s="5" t="s">
        <v>354</v>
      </c>
      <c r="Q418" s="8">
        <f>199584</f>
        <v>199584</v>
      </c>
      <c r="R418" s="8">
        <f>1995840</f>
        <v>1995840</v>
      </c>
      <c r="S418" s="5" t="s">
        <v>240</v>
      </c>
      <c r="T418" s="5" t="s">
        <v>237</v>
      </c>
      <c r="U418" s="5" t="s">
        <v>238</v>
      </c>
      <c r="V418" s="5" t="s">
        <v>238</v>
      </c>
      <c r="W418" s="5" t="s">
        <v>241</v>
      </c>
      <c r="X418" s="5" t="s">
        <v>337</v>
      </c>
      <c r="Y418" s="5" t="s">
        <v>238</v>
      </c>
      <c r="AB418" s="5" t="s">
        <v>238</v>
      </c>
      <c r="AC418" s="6" t="s">
        <v>238</v>
      </c>
      <c r="AD418" s="6" t="s">
        <v>238</v>
      </c>
      <c r="AF418" s="6" t="s">
        <v>238</v>
      </c>
      <c r="AG418" s="6" t="s">
        <v>246</v>
      </c>
      <c r="AH418" s="5" t="s">
        <v>247</v>
      </c>
      <c r="AI418" s="5" t="s">
        <v>248</v>
      </c>
      <c r="AO418" s="5" t="s">
        <v>238</v>
      </c>
      <c r="AP418" s="5" t="s">
        <v>238</v>
      </c>
      <c r="AQ418" s="5" t="s">
        <v>238</v>
      </c>
      <c r="AR418" s="6" t="s">
        <v>238</v>
      </c>
      <c r="AS418" s="6" t="s">
        <v>238</v>
      </c>
      <c r="AT418" s="6" t="s">
        <v>238</v>
      </c>
      <c r="AW418" s="5" t="s">
        <v>304</v>
      </c>
      <c r="AX418" s="5" t="s">
        <v>304</v>
      </c>
      <c r="AY418" s="5" t="s">
        <v>250</v>
      </c>
      <c r="AZ418" s="5" t="s">
        <v>305</v>
      </c>
      <c r="BA418" s="5" t="s">
        <v>251</v>
      </c>
      <c r="BB418" s="5" t="s">
        <v>238</v>
      </c>
      <c r="BC418" s="5" t="s">
        <v>253</v>
      </c>
      <c r="BD418" s="5" t="s">
        <v>238</v>
      </c>
      <c r="BF418" s="5" t="s">
        <v>238</v>
      </c>
      <c r="BH418" s="5" t="s">
        <v>283</v>
      </c>
      <c r="BI418" s="6" t="s">
        <v>293</v>
      </c>
      <c r="BJ418" s="5" t="s">
        <v>294</v>
      </c>
      <c r="BK418" s="5" t="s">
        <v>294</v>
      </c>
      <c r="BL418" s="5" t="s">
        <v>238</v>
      </c>
      <c r="BM418" s="7">
        <f>0</f>
        <v>0</v>
      </c>
      <c r="BN418" s="8">
        <f>-199584</f>
        <v>-199584</v>
      </c>
      <c r="BO418" s="5" t="s">
        <v>257</v>
      </c>
      <c r="BP418" s="5" t="s">
        <v>258</v>
      </c>
      <c r="BQ418" s="5" t="s">
        <v>238</v>
      </c>
      <c r="BR418" s="5" t="s">
        <v>238</v>
      </c>
      <c r="BS418" s="5" t="s">
        <v>238</v>
      </c>
      <c r="BT418" s="5" t="s">
        <v>238</v>
      </c>
      <c r="CC418" s="5" t="s">
        <v>258</v>
      </c>
      <c r="CD418" s="5" t="s">
        <v>238</v>
      </c>
      <c r="CE418" s="5" t="s">
        <v>238</v>
      </c>
      <c r="CI418" s="5" t="s">
        <v>259</v>
      </c>
      <c r="CJ418" s="5" t="s">
        <v>260</v>
      </c>
      <c r="CK418" s="5" t="s">
        <v>238</v>
      </c>
      <c r="CM418" s="5" t="s">
        <v>670</v>
      </c>
      <c r="CN418" s="6" t="s">
        <v>262</v>
      </c>
      <c r="CO418" s="5" t="s">
        <v>263</v>
      </c>
      <c r="CP418" s="5" t="s">
        <v>264</v>
      </c>
      <c r="CQ418" s="5" t="s">
        <v>285</v>
      </c>
      <c r="CR418" s="5" t="s">
        <v>238</v>
      </c>
      <c r="CS418" s="5">
        <v>3.3000000000000002E-2</v>
      </c>
      <c r="CT418" s="5" t="s">
        <v>265</v>
      </c>
      <c r="CU418" s="5" t="s">
        <v>266</v>
      </c>
      <c r="CV418" s="5" t="s">
        <v>649</v>
      </c>
      <c r="CW418" s="7">
        <f>0</f>
        <v>0</v>
      </c>
      <c r="CX418" s="8">
        <f>6048000</f>
        <v>6048000</v>
      </c>
      <c r="CY418" s="8">
        <f>4251744</f>
        <v>4251744</v>
      </c>
      <c r="DA418" s="5" t="s">
        <v>238</v>
      </c>
      <c r="DB418" s="5" t="s">
        <v>238</v>
      </c>
      <c r="DD418" s="5" t="s">
        <v>238</v>
      </c>
      <c r="DE418" s="8">
        <f>0</f>
        <v>0</v>
      </c>
      <c r="DG418" s="5" t="s">
        <v>238</v>
      </c>
      <c r="DH418" s="5" t="s">
        <v>238</v>
      </c>
      <c r="DI418" s="5" t="s">
        <v>238</v>
      </c>
      <c r="DJ418" s="5" t="s">
        <v>238</v>
      </c>
      <c r="DK418" s="5" t="s">
        <v>271</v>
      </c>
      <c r="DL418" s="5" t="s">
        <v>272</v>
      </c>
      <c r="DM418" s="7">
        <f>66</f>
        <v>66</v>
      </c>
      <c r="DN418" s="5" t="s">
        <v>238</v>
      </c>
      <c r="DO418" s="5" t="s">
        <v>238</v>
      </c>
      <c r="DP418" s="5" t="s">
        <v>238</v>
      </c>
      <c r="DQ418" s="5" t="s">
        <v>238</v>
      </c>
      <c r="DT418" s="5" t="s">
        <v>418</v>
      </c>
      <c r="DU418" s="5" t="s">
        <v>313</v>
      </c>
      <c r="GL418" s="5" t="s">
        <v>999</v>
      </c>
      <c r="HM418" s="5" t="s">
        <v>313</v>
      </c>
      <c r="HP418" s="5" t="s">
        <v>272</v>
      </c>
      <c r="HQ418" s="5" t="s">
        <v>272</v>
      </c>
      <c r="HR418" s="5" t="s">
        <v>238</v>
      </c>
      <c r="HS418" s="5" t="s">
        <v>238</v>
      </c>
      <c r="HT418" s="5" t="s">
        <v>238</v>
      </c>
      <c r="HU418" s="5" t="s">
        <v>238</v>
      </c>
      <c r="HV418" s="5" t="s">
        <v>238</v>
      </c>
      <c r="HW418" s="5" t="s">
        <v>238</v>
      </c>
      <c r="HX418" s="5" t="s">
        <v>238</v>
      </c>
      <c r="HY418" s="5" t="s">
        <v>238</v>
      </c>
      <c r="HZ418" s="5" t="s">
        <v>238</v>
      </c>
      <c r="IA418" s="5" t="s">
        <v>238</v>
      </c>
      <c r="IB418" s="5" t="s">
        <v>238</v>
      </c>
      <c r="IC418" s="5" t="s">
        <v>238</v>
      </c>
      <c r="ID418" s="5" t="s">
        <v>238</v>
      </c>
    </row>
    <row r="419" spans="1:238" x14ac:dyDescent="0.4">
      <c r="A419" s="5">
        <v>455</v>
      </c>
      <c r="B419" s="5">
        <v>1</v>
      </c>
      <c r="C419" s="5">
        <v>4</v>
      </c>
      <c r="D419" s="5" t="s">
        <v>416</v>
      </c>
      <c r="E419" s="5" t="s">
        <v>347</v>
      </c>
      <c r="F419" s="5" t="s">
        <v>282</v>
      </c>
      <c r="G419" s="5" t="s">
        <v>349</v>
      </c>
      <c r="H419" s="6" t="s">
        <v>417</v>
      </c>
      <c r="I419" s="5" t="s">
        <v>345</v>
      </c>
      <c r="J419" s="7">
        <f>0</f>
        <v>0</v>
      </c>
      <c r="K419" s="5" t="s">
        <v>270</v>
      </c>
      <c r="L419" s="8">
        <f>21258329</f>
        <v>21258329</v>
      </c>
      <c r="M419" s="8">
        <f>27644120</f>
        <v>27644120</v>
      </c>
      <c r="N419" s="6" t="s">
        <v>348</v>
      </c>
      <c r="O419" s="5" t="s">
        <v>319</v>
      </c>
      <c r="P419" s="5" t="s">
        <v>271</v>
      </c>
      <c r="Q419" s="8">
        <f>2128597</f>
        <v>2128597</v>
      </c>
      <c r="R419" s="8">
        <f>6385791</f>
        <v>6385791</v>
      </c>
      <c r="S419" s="5" t="s">
        <v>240</v>
      </c>
      <c r="T419" s="5" t="s">
        <v>287</v>
      </c>
      <c r="U419" s="5" t="s">
        <v>238</v>
      </c>
      <c r="V419" s="5" t="s">
        <v>238</v>
      </c>
      <c r="W419" s="5" t="s">
        <v>241</v>
      </c>
      <c r="X419" s="5" t="s">
        <v>238</v>
      </c>
      <c r="Y419" s="5" t="s">
        <v>238</v>
      </c>
      <c r="AB419" s="5" t="s">
        <v>238</v>
      </c>
      <c r="AC419" s="6" t="s">
        <v>238</v>
      </c>
      <c r="AD419" s="6" t="s">
        <v>238</v>
      </c>
      <c r="AF419" s="6" t="s">
        <v>238</v>
      </c>
      <c r="AG419" s="6" t="s">
        <v>246</v>
      </c>
      <c r="AH419" s="5" t="s">
        <v>247</v>
      </c>
      <c r="AI419" s="5" t="s">
        <v>248</v>
      </c>
      <c r="AO419" s="5" t="s">
        <v>238</v>
      </c>
      <c r="AP419" s="5" t="s">
        <v>238</v>
      </c>
      <c r="AQ419" s="5" t="s">
        <v>238</v>
      </c>
      <c r="AR419" s="6" t="s">
        <v>238</v>
      </c>
      <c r="AS419" s="6" t="s">
        <v>238</v>
      </c>
      <c r="AT419" s="6" t="s">
        <v>238</v>
      </c>
      <c r="AW419" s="5" t="s">
        <v>304</v>
      </c>
      <c r="AX419" s="5" t="s">
        <v>304</v>
      </c>
      <c r="AY419" s="5" t="s">
        <v>250</v>
      </c>
      <c r="AZ419" s="5" t="s">
        <v>305</v>
      </c>
      <c r="BA419" s="5" t="s">
        <v>251</v>
      </c>
      <c r="BB419" s="5" t="s">
        <v>238</v>
      </c>
      <c r="BC419" s="5" t="s">
        <v>253</v>
      </c>
      <c r="BD419" s="5" t="s">
        <v>238</v>
      </c>
      <c r="BF419" s="5" t="s">
        <v>238</v>
      </c>
      <c r="BH419" s="5" t="s">
        <v>283</v>
      </c>
      <c r="BI419" s="6" t="s">
        <v>293</v>
      </c>
      <c r="BJ419" s="5" t="s">
        <v>294</v>
      </c>
      <c r="BK419" s="5" t="s">
        <v>294</v>
      </c>
      <c r="BL419" s="5" t="s">
        <v>238</v>
      </c>
      <c r="BM419" s="7">
        <f>0</f>
        <v>0</v>
      </c>
      <c r="BN419" s="8">
        <f>-2128597</f>
        <v>-2128597</v>
      </c>
      <c r="BO419" s="5" t="s">
        <v>257</v>
      </c>
      <c r="BP419" s="5" t="s">
        <v>258</v>
      </c>
      <c r="BQ419" s="5" t="s">
        <v>238</v>
      </c>
      <c r="BR419" s="5" t="s">
        <v>238</v>
      </c>
      <c r="BS419" s="5" t="s">
        <v>238</v>
      </c>
      <c r="BT419" s="5" t="s">
        <v>238</v>
      </c>
      <c r="CC419" s="5" t="s">
        <v>258</v>
      </c>
      <c r="CD419" s="5" t="s">
        <v>238</v>
      </c>
      <c r="CE419" s="5" t="s">
        <v>238</v>
      </c>
      <c r="CI419" s="5" t="s">
        <v>259</v>
      </c>
      <c r="CJ419" s="5" t="s">
        <v>260</v>
      </c>
      <c r="CK419" s="5" t="s">
        <v>238</v>
      </c>
      <c r="CM419" s="5" t="s">
        <v>291</v>
      </c>
      <c r="CN419" s="6" t="s">
        <v>262</v>
      </c>
      <c r="CO419" s="5" t="s">
        <v>263</v>
      </c>
      <c r="CP419" s="5" t="s">
        <v>264</v>
      </c>
      <c r="CQ419" s="5" t="s">
        <v>285</v>
      </c>
      <c r="CR419" s="5" t="s">
        <v>238</v>
      </c>
      <c r="CS419" s="5">
        <v>7.6999999999999999E-2</v>
      </c>
      <c r="CT419" s="5" t="s">
        <v>265</v>
      </c>
      <c r="CU419" s="5" t="s">
        <v>351</v>
      </c>
      <c r="CV419" s="5" t="s">
        <v>352</v>
      </c>
      <c r="CW419" s="7">
        <f>0</f>
        <v>0</v>
      </c>
      <c r="CX419" s="8">
        <f>27644120</f>
        <v>27644120</v>
      </c>
      <c r="CY419" s="8">
        <f>23386926</f>
        <v>23386926</v>
      </c>
      <c r="DA419" s="5" t="s">
        <v>238</v>
      </c>
      <c r="DB419" s="5" t="s">
        <v>238</v>
      </c>
      <c r="DD419" s="5" t="s">
        <v>238</v>
      </c>
      <c r="DE419" s="8">
        <f>0</f>
        <v>0</v>
      </c>
      <c r="DG419" s="5" t="s">
        <v>238</v>
      </c>
      <c r="DH419" s="5" t="s">
        <v>238</v>
      </c>
      <c r="DI419" s="5" t="s">
        <v>238</v>
      </c>
      <c r="DJ419" s="5" t="s">
        <v>238</v>
      </c>
      <c r="DK419" s="5" t="s">
        <v>272</v>
      </c>
      <c r="DL419" s="5" t="s">
        <v>272</v>
      </c>
      <c r="DM419" s="8" t="s">
        <v>238</v>
      </c>
      <c r="DN419" s="5" t="s">
        <v>238</v>
      </c>
      <c r="DO419" s="5" t="s">
        <v>238</v>
      </c>
      <c r="DP419" s="5" t="s">
        <v>238</v>
      </c>
      <c r="DQ419" s="5" t="s">
        <v>238</v>
      </c>
      <c r="DT419" s="5" t="s">
        <v>418</v>
      </c>
      <c r="DU419" s="5" t="s">
        <v>389</v>
      </c>
      <c r="GL419" s="5" t="s">
        <v>419</v>
      </c>
      <c r="HM419" s="5" t="s">
        <v>356</v>
      </c>
      <c r="HP419" s="5" t="s">
        <v>272</v>
      </c>
      <c r="HQ419" s="5" t="s">
        <v>272</v>
      </c>
      <c r="HR419" s="5" t="s">
        <v>238</v>
      </c>
      <c r="HS419" s="5" t="s">
        <v>238</v>
      </c>
      <c r="HT419" s="5" t="s">
        <v>238</v>
      </c>
      <c r="HU419" s="5" t="s">
        <v>238</v>
      </c>
      <c r="HV419" s="5" t="s">
        <v>238</v>
      </c>
      <c r="HW419" s="5" t="s">
        <v>238</v>
      </c>
      <c r="HX419" s="5" t="s">
        <v>238</v>
      </c>
      <c r="HY419" s="5" t="s">
        <v>238</v>
      </c>
      <c r="HZ419" s="5" t="s">
        <v>238</v>
      </c>
      <c r="IA419" s="5" t="s">
        <v>238</v>
      </c>
      <c r="IB419" s="5" t="s">
        <v>238</v>
      </c>
      <c r="IC419" s="5" t="s">
        <v>238</v>
      </c>
      <c r="ID419" s="5" t="s">
        <v>238</v>
      </c>
    </row>
    <row r="420" spans="1:238" x14ac:dyDescent="0.4">
      <c r="A420" s="5">
        <v>456</v>
      </c>
      <c r="B420" s="5">
        <v>1</v>
      </c>
      <c r="C420" s="5">
        <v>4</v>
      </c>
      <c r="D420" s="5" t="s">
        <v>412</v>
      </c>
      <c r="E420" s="5" t="s">
        <v>347</v>
      </c>
      <c r="F420" s="5" t="s">
        <v>282</v>
      </c>
      <c r="G420" s="5" t="s">
        <v>1499</v>
      </c>
      <c r="H420" s="6" t="s">
        <v>413</v>
      </c>
      <c r="I420" s="5" t="s">
        <v>1314</v>
      </c>
      <c r="J420" s="7">
        <f>3027</f>
        <v>3027</v>
      </c>
      <c r="K420" s="5" t="s">
        <v>270</v>
      </c>
      <c r="L420" s="8">
        <f>421721640</f>
        <v>421721640</v>
      </c>
      <c r="M420" s="8">
        <f>650805000</f>
        <v>650805000</v>
      </c>
      <c r="N420" s="6" t="s">
        <v>1111</v>
      </c>
      <c r="O420" s="5" t="s">
        <v>898</v>
      </c>
      <c r="P420" s="5" t="s">
        <v>1114</v>
      </c>
      <c r="Q420" s="8">
        <f>14317710</f>
        <v>14317710</v>
      </c>
      <c r="R420" s="8">
        <f>229083360</f>
        <v>229083360</v>
      </c>
      <c r="S420" s="5" t="s">
        <v>240</v>
      </c>
      <c r="T420" s="5" t="s">
        <v>237</v>
      </c>
      <c r="U420" s="5" t="s">
        <v>238</v>
      </c>
      <c r="V420" s="5" t="s">
        <v>238</v>
      </c>
      <c r="W420" s="5" t="s">
        <v>241</v>
      </c>
      <c r="X420" s="5" t="s">
        <v>337</v>
      </c>
      <c r="Y420" s="5" t="s">
        <v>238</v>
      </c>
      <c r="AB420" s="5" t="s">
        <v>238</v>
      </c>
      <c r="AC420" s="6" t="s">
        <v>238</v>
      </c>
      <c r="AD420" s="6" t="s">
        <v>238</v>
      </c>
      <c r="AF420" s="6" t="s">
        <v>238</v>
      </c>
      <c r="AG420" s="6" t="s">
        <v>246</v>
      </c>
      <c r="AH420" s="5" t="s">
        <v>247</v>
      </c>
      <c r="AI420" s="5" t="s">
        <v>248</v>
      </c>
      <c r="AO420" s="5" t="s">
        <v>238</v>
      </c>
      <c r="AP420" s="5" t="s">
        <v>238</v>
      </c>
      <c r="AQ420" s="5" t="s">
        <v>238</v>
      </c>
      <c r="AR420" s="6" t="s">
        <v>238</v>
      </c>
      <c r="AS420" s="6" t="s">
        <v>238</v>
      </c>
      <c r="AT420" s="6" t="s">
        <v>238</v>
      </c>
      <c r="AW420" s="5" t="s">
        <v>304</v>
      </c>
      <c r="AX420" s="5" t="s">
        <v>304</v>
      </c>
      <c r="AY420" s="5" t="s">
        <v>250</v>
      </c>
      <c r="AZ420" s="5" t="s">
        <v>305</v>
      </c>
      <c r="BA420" s="5" t="s">
        <v>251</v>
      </c>
      <c r="BB420" s="5" t="s">
        <v>238</v>
      </c>
      <c r="BC420" s="5" t="s">
        <v>253</v>
      </c>
      <c r="BD420" s="5" t="s">
        <v>238</v>
      </c>
      <c r="BF420" s="5" t="s">
        <v>1495</v>
      </c>
      <c r="BH420" s="5" t="s">
        <v>283</v>
      </c>
      <c r="BI420" s="6" t="s">
        <v>293</v>
      </c>
      <c r="BJ420" s="5" t="s">
        <v>294</v>
      </c>
      <c r="BK420" s="5" t="s">
        <v>294</v>
      </c>
      <c r="BL420" s="5" t="s">
        <v>238</v>
      </c>
      <c r="BM420" s="7">
        <f>0</f>
        <v>0</v>
      </c>
      <c r="BN420" s="8">
        <f>-14317710</f>
        <v>-14317710</v>
      </c>
      <c r="BO420" s="5" t="s">
        <v>257</v>
      </c>
      <c r="BP420" s="5" t="s">
        <v>258</v>
      </c>
      <c r="BQ420" s="5" t="s">
        <v>238</v>
      </c>
      <c r="BR420" s="5" t="s">
        <v>238</v>
      </c>
      <c r="BS420" s="5" t="s">
        <v>238</v>
      </c>
      <c r="BT420" s="5" t="s">
        <v>238</v>
      </c>
      <c r="CC420" s="5" t="s">
        <v>258</v>
      </c>
      <c r="CD420" s="5" t="s">
        <v>238</v>
      </c>
      <c r="CE420" s="5" t="s">
        <v>238</v>
      </c>
      <c r="CI420" s="5" t="s">
        <v>259</v>
      </c>
      <c r="CJ420" s="5" t="s">
        <v>260</v>
      </c>
      <c r="CK420" s="5" t="s">
        <v>238</v>
      </c>
      <c r="CM420" s="5" t="s">
        <v>1113</v>
      </c>
      <c r="CN420" s="6" t="s">
        <v>262</v>
      </c>
      <c r="CO420" s="5" t="s">
        <v>263</v>
      </c>
      <c r="CP420" s="5" t="s">
        <v>264</v>
      </c>
      <c r="CQ420" s="5" t="s">
        <v>285</v>
      </c>
      <c r="CR420" s="5" t="s">
        <v>238</v>
      </c>
      <c r="CS420" s="5">
        <v>2.1999999999999999E-2</v>
      </c>
      <c r="CT420" s="5" t="s">
        <v>265</v>
      </c>
      <c r="CU420" s="5" t="s">
        <v>1493</v>
      </c>
      <c r="CV420" s="5" t="s">
        <v>308</v>
      </c>
      <c r="CW420" s="7">
        <f>0</f>
        <v>0</v>
      </c>
      <c r="CX420" s="8">
        <f>650805000</f>
        <v>650805000</v>
      </c>
      <c r="CY420" s="8">
        <f>436039350</f>
        <v>436039350</v>
      </c>
      <c r="DA420" s="5" t="s">
        <v>238</v>
      </c>
      <c r="DB420" s="5" t="s">
        <v>238</v>
      </c>
      <c r="DD420" s="5" t="s">
        <v>238</v>
      </c>
      <c r="DE420" s="8">
        <f>0</f>
        <v>0</v>
      </c>
      <c r="DG420" s="5" t="s">
        <v>238</v>
      </c>
      <c r="DH420" s="5" t="s">
        <v>238</v>
      </c>
      <c r="DI420" s="5" t="s">
        <v>238</v>
      </c>
      <c r="DJ420" s="5" t="s">
        <v>238</v>
      </c>
      <c r="DK420" s="5" t="s">
        <v>274</v>
      </c>
      <c r="DL420" s="5" t="s">
        <v>272</v>
      </c>
      <c r="DM420" s="7">
        <f>3027</f>
        <v>3027</v>
      </c>
      <c r="DN420" s="5" t="s">
        <v>238</v>
      </c>
      <c r="DO420" s="5" t="s">
        <v>238</v>
      </c>
      <c r="DP420" s="5" t="s">
        <v>238</v>
      </c>
      <c r="DQ420" s="5" t="s">
        <v>238</v>
      </c>
      <c r="DT420" s="5" t="s">
        <v>414</v>
      </c>
      <c r="DU420" s="5" t="s">
        <v>271</v>
      </c>
      <c r="GL420" s="5" t="s">
        <v>1591</v>
      </c>
      <c r="HM420" s="5" t="s">
        <v>313</v>
      </c>
      <c r="HP420" s="5" t="s">
        <v>272</v>
      </c>
      <c r="HQ420" s="5" t="s">
        <v>272</v>
      </c>
      <c r="HR420" s="5" t="s">
        <v>238</v>
      </c>
      <c r="HS420" s="5" t="s">
        <v>238</v>
      </c>
      <c r="HT420" s="5" t="s">
        <v>238</v>
      </c>
      <c r="HU420" s="5" t="s">
        <v>238</v>
      </c>
      <c r="HV420" s="5" t="s">
        <v>238</v>
      </c>
      <c r="HW420" s="5" t="s">
        <v>238</v>
      </c>
      <c r="HX420" s="5" t="s">
        <v>238</v>
      </c>
      <c r="HY420" s="5" t="s">
        <v>238</v>
      </c>
      <c r="HZ420" s="5" t="s">
        <v>238</v>
      </c>
      <c r="IA420" s="5" t="s">
        <v>238</v>
      </c>
      <c r="IB420" s="5" t="s">
        <v>238</v>
      </c>
      <c r="IC420" s="5" t="s">
        <v>238</v>
      </c>
      <c r="ID420" s="5" t="s">
        <v>238</v>
      </c>
    </row>
    <row r="421" spans="1:238" x14ac:dyDescent="0.4">
      <c r="A421" s="5">
        <v>457</v>
      </c>
      <c r="B421" s="5">
        <v>1</v>
      </c>
      <c r="C421" s="5">
        <v>4</v>
      </c>
      <c r="D421" s="5" t="s">
        <v>412</v>
      </c>
      <c r="E421" s="5" t="s">
        <v>347</v>
      </c>
      <c r="F421" s="5" t="s">
        <v>282</v>
      </c>
      <c r="G421" s="5" t="s">
        <v>1603</v>
      </c>
      <c r="H421" s="6" t="s">
        <v>413</v>
      </c>
      <c r="I421" s="5" t="s">
        <v>1314</v>
      </c>
      <c r="J421" s="7">
        <f>63</f>
        <v>63</v>
      </c>
      <c r="K421" s="5" t="s">
        <v>270</v>
      </c>
      <c r="L421" s="8">
        <f>5995080</f>
        <v>5995080</v>
      </c>
      <c r="M421" s="8">
        <f>11529000</f>
        <v>11529000</v>
      </c>
      <c r="N421" s="6" t="s">
        <v>1111</v>
      </c>
      <c r="O421" s="5" t="s">
        <v>755</v>
      </c>
      <c r="P421" s="5" t="s">
        <v>1114</v>
      </c>
      <c r="Q421" s="8">
        <f>345870</f>
        <v>345870</v>
      </c>
      <c r="R421" s="8">
        <f>5533920</f>
        <v>5533920</v>
      </c>
      <c r="S421" s="5" t="s">
        <v>240</v>
      </c>
      <c r="T421" s="5" t="s">
        <v>237</v>
      </c>
      <c r="U421" s="5" t="s">
        <v>238</v>
      </c>
      <c r="V421" s="5" t="s">
        <v>238</v>
      </c>
      <c r="W421" s="5" t="s">
        <v>241</v>
      </c>
      <c r="X421" s="5" t="s">
        <v>337</v>
      </c>
      <c r="Y421" s="5" t="s">
        <v>238</v>
      </c>
      <c r="AB421" s="5" t="s">
        <v>238</v>
      </c>
      <c r="AC421" s="6" t="s">
        <v>238</v>
      </c>
      <c r="AD421" s="6" t="s">
        <v>238</v>
      </c>
      <c r="AF421" s="6" t="s">
        <v>238</v>
      </c>
      <c r="AG421" s="6" t="s">
        <v>246</v>
      </c>
      <c r="AH421" s="5" t="s">
        <v>247</v>
      </c>
      <c r="AI421" s="5" t="s">
        <v>248</v>
      </c>
      <c r="AO421" s="5" t="s">
        <v>238</v>
      </c>
      <c r="AP421" s="5" t="s">
        <v>238</v>
      </c>
      <c r="AQ421" s="5" t="s">
        <v>238</v>
      </c>
      <c r="AR421" s="6" t="s">
        <v>238</v>
      </c>
      <c r="AS421" s="6" t="s">
        <v>238</v>
      </c>
      <c r="AT421" s="6" t="s">
        <v>238</v>
      </c>
      <c r="AW421" s="5" t="s">
        <v>304</v>
      </c>
      <c r="AX421" s="5" t="s">
        <v>304</v>
      </c>
      <c r="AY421" s="5" t="s">
        <v>250</v>
      </c>
      <c r="AZ421" s="5" t="s">
        <v>305</v>
      </c>
      <c r="BA421" s="5" t="s">
        <v>251</v>
      </c>
      <c r="BB421" s="5" t="s">
        <v>238</v>
      </c>
      <c r="BC421" s="5" t="s">
        <v>253</v>
      </c>
      <c r="BD421" s="5" t="s">
        <v>238</v>
      </c>
      <c r="BF421" s="5" t="s">
        <v>238</v>
      </c>
      <c r="BH421" s="5" t="s">
        <v>283</v>
      </c>
      <c r="BI421" s="6" t="s">
        <v>293</v>
      </c>
      <c r="BJ421" s="5" t="s">
        <v>294</v>
      </c>
      <c r="BK421" s="5" t="s">
        <v>294</v>
      </c>
      <c r="BL421" s="5" t="s">
        <v>238</v>
      </c>
      <c r="BM421" s="7">
        <f>0</f>
        <v>0</v>
      </c>
      <c r="BN421" s="8">
        <f>-345870</f>
        <v>-345870</v>
      </c>
      <c r="BO421" s="5" t="s">
        <v>257</v>
      </c>
      <c r="BP421" s="5" t="s">
        <v>258</v>
      </c>
      <c r="BQ421" s="5" t="s">
        <v>238</v>
      </c>
      <c r="BR421" s="5" t="s">
        <v>238</v>
      </c>
      <c r="BS421" s="5" t="s">
        <v>238</v>
      </c>
      <c r="BT421" s="5" t="s">
        <v>238</v>
      </c>
      <c r="CC421" s="5" t="s">
        <v>258</v>
      </c>
      <c r="CD421" s="5" t="s">
        <v>238</v>
      </c>
      <c r="CE421" s="5" t="s">
        <v>238</v>
      </c>
      <c r="CI421" s="5" t="s">
        <v>259</v>
      </c>
      <c r="CJ421" s="5" t="s">
        <v>260</v>
      </c>
      <c r="CK421" s="5" t="s">
        <v>238</v>
      </c>
      <c r="CM421" s="5" t="s">
        <v>1113</v>
      </c>
      <c r="CN421" s="6" t="s">
        <v>262</v>
      </c>
      <c r="CO421" s="5" t="s">
        <v>263</v>
      </c>
      <c r="CP421" s="5" t="s">
        <v>264</v>
      </c>
      <c r="CQ421" s="5" t="s">
        <v>285</v>
      </c>
      <c r="CR421" s="5" t="s">
        <v>238</v>
      </c>
      <c r="CS421" s="5">
        <v>0.03</v>
      </c>
      <c r="CT421" s="5" t="s">
        <v>265</v>
      </c>
      <c r="CU421" s="5" t="s">
        <v>1493</v>
      </c>
      <c r="CV421" s="5" t="s">
        <v>649</v>
      </c>
      <c r="CW421" s="7">
        <f>0</f>
        <v>0</v>
      </c>
      <c r="CX421" s="8">
        <f>11529000</f>
        <v>11529000</v>
      </c>
      <c r="CY421" s="8">
        <f>6340950</f>
        <v>6340950</v>
      </c>
      <c r="DA421" s="5" t="s">
        <v>238</v>
      </c>
      <c r="DB421" s="5" t="s">
        <v>238</v>
      </c>
      <c r="DD421" s="5" t="s">
        <v>238</v>
      </c>
      <c r="DE421" s="8">
        <f>0</f>
        <v>0</v>
      </c>
      <c r="DG421" s="5" t="s">
        <v>238</v>
      </c>
      <c r="DH421" s="5" t="s">
        <v>238</v>
      </c>
      <c r="DI421" s="5" t="s">
        <v>238</v>
      </c>
      <c r="DJ421" s="5" t="s">
        <v>238</v>
      </c>
      <c r="DK421" s="5" t="s">
        <v>356</v>
      </c>
      <c r="DL421" s="5" t="s">
        <v>272</v>
      </c>
      <c r="DM421" s="7">
        <f>63</f>
        <v>63</v>
      </c>
      <c r="DN421" s="5" t="s">
        <v>238</v>
      </c>
      <c r="DO421" s="5" t="s">
        <v>238</v>
      </c>
      <c r="DP421" s="5" t="s">
        <v>238</v>
      </c>
      <c r="DQ421" s="5" t="s">
        <v>238</v>
      </c>
      <c r="DT421" s="5" t="s">
        <v>414</v>
      </c>
      <c r="DU421" s="5" t="s">
        <v>274</v>
      </c>
      <c r="GL421" s="5" t="s">
        <v>1604</v>
      </c>
      <c r="HM421" s="5" t="s">
        <v>313</v>
      </c>
      <c r="HP421" s="5" t="s">
        <v>272</v>
      </c>
      <c r="HQ421" s="5" t="s">
        <v>272</v>
      </c>
      <c r="HR421" s="5" t="s">
        <v>238</v>
      </c>
      <c r="HS421" s="5" t="s">
        <v>238</v>
      </c>
      <c r="HT421" s="5" t="s">
        <v>238</v>
      </c>
      <c r="HU421" s="5" t="s">
        <v>238</v>
      </c>
      <c r="HV421" s="5" t="s">
        <v>238</v>
      </c>
      <c r="HW421" s="5" t="s">
        <v>238</v>
      </c>
      <c r="HX421" s="5" t="s">
        <v>238</v>
      </c>
      <c r="HY421" s="5" t="s">
        <v>238</v>
      </c>
      <c r="HZ421" s="5" t="s">
        <v>238</v>
      </c>
      <c r="IA421" s="5" t="s">
        <v>238</v>
      </c>
      <c r="IB421" s="5" t="s">
        <v>238</v>
      </c>
      <c r="IC421" s="5" t="s">
        <v>238</v>
      </c>
      <c r="ID421" s="5" t="s">
        <v>238</v>
      </c>
    </row>
    <row r="422" spans="1:238" x14ac:dyDescent="0.4">
      <c r="A422" s="5">
        <v>458</v>
      </c>
      <c r="B422" s="5">
        <v>1</v>
      </c>
      <c r="C422" s="5">
        <v>4</v>
      </c>
      <c r="D422" s="5" t="s">
        <v>412</v>
      </c>
      <c r="E422" s="5" t="s">
        <v>347</v>
      </c>
      <c r="F422" s="5" t="s">
        <v>282</v>
      </c>
      <c r="G422" s="5" t="s">
        <v>1666</v>
      </c>
      <c r="H422" s="6" t="s">
        <v>413</v>
      </c>
      <c r="I422" s="5" t="s">
        <v>1308</v>
      </c>
      <c r="J422" s="7">
        <f>556</f>
        <v>556</v>
      </c>
      <c r="K422" s="5" t="s">
        <v>270</v>
      </c>
      <c r="L422" s="8">
        <f>52908960</f>
        <v>52908960</v>
      </c>
      <c r="M422" s="8">
        <f>101748000</f>
        <v>101748000</v>
      </c>
      <c r="N422" s="6" t="s">
        <v>1111</v>
      </c>
      <c r="O422" s="5" t="s">
        <v>755</v>
      </c>
      <c r="P422" s="5" t="s">
        <v>1114</v>
      </c>
      <c r="Q422" s="8">
        <f>3052440</f>
        <v>3052440</v>
      </c>
      <c r="R422" s="8">
        <f>48839040</f>
        <v>48839040</v>
      </c>
      <c r="S422" s="5" t="s">
        <v>240</v>
      </c>
      <c r="T422" s="5" t="s">
        <v>237</v>
      </c>
      <c r="U422" s="5" t="s">
        <v>238</v>
      </c>
      <c r="V422" s="5" t="s">
        <v>238</v>
      </c>
      <c r="W422" s="5" t="s">
        <v>241</v>
      </c>
      <c r="X422" s="5" t="s">
        <v>337</v>
      </c>
      <c r="Y422" s="5" t="s">
        <v>238</v>
      </c>
      <c r="AB422" s="5" t="s">
        <v>238</v>
      </c>
      <c r="AC422" s="6" t="s">
        <v>238</v>
      </c>
      <c r="AD422" s="6" t="s">
        <v>238</v>
      </c>
      <c r="AF422" s="6" t="s">
        <v>238</v>
      </c>
      <c r="AG422" s="6" t="s">
        <v>246</v>
      </c>
      <c r="AH422" s="5" t="s">
        <v>247</v>
      </c>
      <c r="AI422" s="5" t="s">
        <v>248</v>
      </c>
      <c r="AO422" s="5" t="s">
        <v>238</v>
      </c>
      <c r="AP422" s="5" t="s">
        <v>238</v>
      </c>
      <c r="AQ422" s="5" t="s">
        <v>238</v>
      </c>
      <c r="AR422" s="6" t="s">
        <v>238</v>
      </c>
      <c r="AS422" s="6" t="s">
        <v>238</v>
      </c>
      <c r="AT422" s="6" t="s">
        <v>238</v>
      </c>
      <c r="AW422" s="5" t="s">
        <v>304</v>
      </c>
      <c r="AX422" s="5" t="s">
        <v>304</v>
      </c>
      <c r="AY422" s="5" t="s">
        <v>250</v>
      </c>
      <c r="AZ422" s="5" t="s">
        <v>305</v>
      </c>
      <c r="BA422" s="5" t="s">
        <v>251</v>
      </c>
      <c r="BB422" s="5" t="s">
        <v>238</v>
      </c>
      <c r="BC422" s="5" t="s">
        <v>253</v>
      </c>
      <c r="BD422" s="5" t="s">
        <v>238</v>
      </c>
      <c r="BF422" s="5" t="s">
        <v>238</v>
      </c>
      <c r="BH422" s="5" t="s">
        <v>283</v>
      </c>
      <c r="BI422" s="6" t="s">
        <v>293</v>
      </c>
      <c r="BJ422" s="5" t="s">
        <v>294</v>
      </c>
      <c r="BK422" s="5" t="s">
        <v>294</v>
      </c>
      <c r="BL422" s="5" t="s">
        <v>238</v>
      </c>
      <c r="BM422" s="7">
        <f>0</f>
        <v>0</v>
      </c>
      <c r="BN422" s="8">
        <f>-3052440</f>
        <v>-3052440</v>
      </c>
      <c r="BO422" s="5" t="s">
        <v>257</v>
      </c>
      <c r="BP422" s="5" t="s">
        <v>258</v>
      </c>
      <c r="BQ422" s="5" t="s">
        <v>238</v>
      </c>
      <c r="BR422" s="5" t="s">
        <v>238</v>
      </c>
      <c r="BS422" s="5" t="s">
        <v>238</v>
      </c>
      <c r="BT422" s="5" t="s">
        <v>238</v>
      </c>
      <c r="CC422" s="5" t="s">
        <v>258</v>
      </c>
      <c r="CD422" s="5" t="s">
        <v>238</v>
      </c>
      <c r="CE422" s="5" t="s">
        <v>238</v>
      </c>
      <c r="CI422" s="5" t="s">
        <v>259</v>
      </c>
      <c r="CJ422" s="5" t="s">
        <v>260</v>
      </c>
      <c r="CK422" s="5" t="s">
        <v>238</v>
      </c>
      <c r="CM422" s="5" t="s">
        <v>1113</v>
      </c>
      <c r="CN422" s="6" t="s">
        <v>262</v>
      </c>
      <c r="CO422" s="5" t="s">
        <v>263</v>
      </c>
      <c r="CP422" s="5" t="s">
        <v>264</v>
      </c>
      <c r="CQ422" s="5" t="s">
        <v>285</v>
      </c>
      <c r="CR422" s="5" t="s">
        <v>238</v>
      </c>
      <c r="CS422" s="5">
        <v>0.03</v>
      </c>
      <c r="CT422" s="5" t="s">
        <v>265</v>
      </c>
      <c r="CU422" s="5" t="s">
        <v>1330</v>
      </c>
      <c r="CV422" s="5" t="s">
        <v>649</v>
      </c>
      <c r="CW422" s="7">
        <f>0</f>
        <v>0</v>
      </c>
      <c r="CX422" s="8">
        <f>101748000</f>
        <v>101748000</v>
      </c>
      <c r="CY422" s="8">
        <f>55961400</f>
        <v>55961400</v>
      </c>
      <c r="DA422" s="5" t="s">
        <v>238</v>
      </c>
      <c r="DB422" s="5" t="s">
        <v>238</v>
      </c>
      <c r="DD422" s="5" t="s">
        <v>238</v>
      </c>
      <c r="DE422" s="8">
        <f>0</f>
        <v>0</v>
      </c>
      <c r="DG422" s="5" t="s">
        <v>238</v>
      </c>
      <c r="DH422" s="5" t="s">
        <v>238</v>
      </c>
      <c r="DI422" s="5" t="s">
        <v>238</v>
      </c>
      <c r="DJ422" s="5" t="s">
        <v>238</v>
      </c>
      <c r="DK422" s="5" t="s">
        <v>271</v>
      </c>
      <c r="DL422" s="5" t="s">
        <v>272</v>
      </c>
      <c r="DM422" s="7">
        <f>556</f>
        <v>556</v>
      </c>
      <c r="DN422" s="5" t="s">
        <v>238</v>
      </c>
      <c r="DO422" s="5" t="s">
        <v>238</v>
      </c>
      <c r="DP422" s="5" t="s">
        <v>238</v>
      </c>
      <c r="DQ422" s="5" t="s">
        <v>238</v>
      </c>
      <c r="DT422" s="5" t="s">
        <v>414</v>
      </c>
      <c r="DU422" s="5" t="s">
        <v>356</v>
      </c>
      <c r="GL422" s="5" t="s">
        <v>1797</v>
      </c>
      <c r="HM422" s="5" t="s">
        <v>313</v>
      </c>
      <c r="HP422" s="5" t="s">
        <v>272</v>
      </c>
      <c r="HQ422" s="5" t="s">
        <v>272</v>
      </c>
      <c r="HR422" s="5" t="s">
        <v>238</v>
      </c>
      <c r="HS422" s="5" t="s">
        <v>238</v>
      </c>
      <c r="HT422" s="5" t="s">
        <v>238</v>
      </c>
      <c r="HU422" s="5" t="s">
        <v>238</v>
      </c>
      <c r="HV422" s="5" t="s">
        <v>238</v>
      </c>
      <c r="HW422" s="5" t="s">
        <v>238</v>
      </c>
      <c r="HX422" s="5" t="s">
        <v>238</v>
      </c>
      <c r="HY422" s="5" t="s">
        <v>238</v>
      </c>
      <c r="HZ422" s="5" t="s">
        <v>238</v>
      </c>
      <c r="IA422" s="5" t="s">
        <v>238</v>
      </c>
      <c r="IB422" s="5" t="s">
        <v>238</v>
      </c>
      <c r="IC422" s="5" t="s">
        <v>238</v>
      </c>
      <c r="ID422" s="5" t="s">
        <v>238</v>
      </c>
    </row>
    <row r="423" spans="1:238" x14ac:dyDescent="0.4">
      <c r="A423" s="5">
        <v>459</v>
      </c>
      <c r="B423" s="5">
        <v>1</v>
      </c>
      <c r="C423" s="5">
        <v>3</v>
      </c>
      <c r="D423" s="5" t="s">
        <v>412</v>
      </c>
      <c r="E423" s="5" t="s">
        <v>347</v>
      </c>
      <c r="F423" s="5" t="s">
        <v>282</v>
      </c>
      <c r="G423" s="5" t="s">
        <v>3027</v>
      </c>
      <c r="H423" s="6" t="s">
        <v>413</v>
      </c>
      <c r="I423" s="5" t="s">
        <v>3027</v>
      </c>
      <c r="J423" s="7">
        <f>133</f>
        <v>133</v>
      </c>
      <c r="K423" s="5" t="s">
        <v>270</v>
      </c>
      <c r="L423" s="8">
        <f>1</f>
        <v>1</v>
      </c>
      <c r="M423" s="8">
        <f>21679000</f>
        <v>21679000</v>
      </c>
      <c r="N423" s="6" t="s">
        <v>1111</v>
      </c>
      <c r="O423" s="5" t="s">
        <v>268</v>
      </c>
      <c r="P423" s="5" t="s">
        <v>1114</v>
      </c>
      <c r="Q423" s="8">
        <f>1344097</f>
        <v>1344097</v>
      </c>
      <c r="R423" s="8">
        <f>21678999</f>
        <v>21678999</v>
      </c>
      <c r="S423" s="5" t="s">
        <v>240</v>
      </c>
      <c r="T423" s="5" t="s">
        <v>237</v>
      </c>
      <c r="U423" s="5" t="s">
        <v>238</v>
      </c>
      <c r="V423" s="5" t="s">
        <v>238</v>
      </c>
      <c r="W423" s="5" t="s">
        <v>241</v>
      </c>
      <c r="X423" s="5" t="s">
        <v>337</v>
      </c>
      <c r="Y423" s="5" t="s">
        <v>238</v>
      </c>
      <c r="AB423" s="5" t="s">
        <v>238</v>
      </c>
      <c r="AC423" s="6" t="s">
        <v>238</v>
      </c>
      <c r="AD423" s="6" t="s">
        <v>238</v>
      </c>
      <c r="AF423" s="6" t="s">
        <v>238</v>
      </c>
      <c r="AG423" s="6" t="s">
        <v>246</v>
      </c>
      <c r="AH423" s="5" t="s">
        <v>247</v>
      </c>
      <c r="AI423" s="5" t="s">
        <v>248</v>
      </c>
      <c r="AO423" s="5" t="s">
        <v>238</v>
      </c>
      <c r="AP423" s="5" t="s">
        <v>238</v>
      </c>
      <c r="AQ423" s="5" t="s">
        <v>238</v>
      </c>
      <c r="AR423" s="6" t="s">
        <v>238</v>
      </c>
      <c r="AS423" s="6" t="s">
        <v>238</v>
      </c>
      <c r="AT423" s="6" t="s">
        <v>238</v>
      </c>
      <c r="AW423" s="5" t="s">
        <v>304</v>
      </c>
      <c r="AX423" s="5" t="s">
        <v>304</v>
      </c>
      <c r="AY423" s="5" t="s">
        <v>250</v>
      </c>
      <c r="AZ423" s="5" t="s">
        <v>305</v>
      </c>
      <c r="BA423" s="5" t="s">
        <v>251</v>
      </c>
      <c r="BB423" s="5" t="s">
        <v>238</v>
      </c>
      <c r="BC423" s="5" t="s">
        <v>253</v>
      </c>
      <c r="BD423" s="5" t="s">
        <v>238</v>
      </c>
      <c r="BF423" s="5" t="s">
        <v>238</v>
      </c>
      <c r="BH423" s="5" t="s">
        <v>1076</v>
      </c>
      <c r="BI423" s="6" t="s">
        <v>1077</v>
      </c>
      <c r="BJ423" s="5" t="s">
        <v>294</v>
      </c>
      <c r="BK423" s="5" t="s">
        <v>294</v>
      </c>
      <c r="BL423" s="5" t="s">
        <v>238</v>
      </c>
      <c r="BM423" s="7">
        <f>0</f>
        <v>0</v>
      </c>
      <c r="BN423" s="8">
        <f>-1344097</f>
        <v>-1344097</v>
      </c>
      <c r="BO423" s="5" t="s">
        <v>257</v>
      </c>
      <c r="BP423" s="5" t="s">
        <v>258</v>
      </c>
      <c r="BQ423" s="5" t="s">
        <v>238</v>
      </c>
      <c r="BR423" s="5" t="s">
        <v>238</v>
      </c>
      <c r="BS423" s="5" t="s">
        <v>238</v>
      </c>
      <c r="BT423" s="5" t="s">
        <v>238</v>
      </c>
      <c r="CC423" s="5" t="s">
        <v>258</v>
      </c>
      <c r="CD423" s="5" t="s">
        <v>238</v>
      </c>
      <c r="CE423" s="5" t="s">
        <v>238</v>
      </c>
      <c r="CI423" s="5" t="s">
        <v>259</v>
      </c>
      <c r="CJ423" s="5" t="s">
        <v>260</v>
      </c>
      <c r="CK423" s="5" t="s">
        <v>238</v>
      </c>
      <c r="CM423" s="5" t="s">
        <v>1113</v>
      </c>
      <c r="CN423" s="6" t="s">
        <v>262</v>
      </c>
      <c r="CO423" s="5" t="s">
        <v>263</v>
      </c>
      <c r="CP423" s="5" t="s">
        <v>264</v>
      </c>
      <c r="CQ423" s="5" t="s">
        <v>285</v>
      </c>
      <c r="CR423" s="5" t="s">
        <v>238</v>
      </c>
      <c r="CS423" s="5">
        <v>6.7000000000000004E-2</v>
      </c>
      <c r="CT423" s="5" t="s">
        <v>265</v>
      </c>
      <c r="CU423" s="5" t="s">
        <v>351</v>
      </c>
      <c r="CV423" s="5" t="s">
        <v>394</v>
      </c>
      <c r="CW423" s="7">
        <f>0</f>
        <v>0</v>
      </c>
      <c r="CX423" s="8">
        <f>21679000</f>
        <v>21679000</v>
      </c>
      <c r="CY423" s="8">
        <f>1</f>
        <v>1</v>
      </c>
      <c r="DA423" s="5" t="s">
        <v>238</v>
      </c>
      <c r="DB423" s="5" t="s">
        <v>238</v>
      </c>
      <c r="DD423" s="5" t="s">
        <v>238</v>
      </c>
      <c r="DE423" s="8">
        <f>0</f>
        <v>0</v>
      </c>
      <c r="DG423" s="5" t="s">
        <v>238</v>
      </c>
      <c r="DH423" s="5" t="s">
        <v>238</v>
      </c>
      <c r="DI423" s="5" t="s">
        <v>238</v>
      </c>
      <c r="DJ423" s="5" t="s">
        <v>238</v>
      </c>
      <c r="DK423" s="5" t="s">
        <v>271</v>
      </c>
      <c r="DL423" s="5" t="s">
        <v>272</v>
      </c>
      <c r="DM423" s="7">
        <f>133</f>
        <v>133</v>
      </c>
      <c r="DN423" s="5" t="s">
        <v>238</v>
      </c>
      <c r="DO423" s="5" t="s">
        <v>238</v>
      </c>
      <c r="DP423" s="5" t="s">
        <v>238</v>
      </c>
      <c r="DQ423" s="5" t="s">
        <v>238</v>
      </c>
      <c r="DT423" s="5" t="s">
        <v>414</v>
      </c>
      <c r="DU423" s="5" t="s">
        <v>310</v>
      </c>
      <c r="GL423" s="5" t="s">
        <v>3076</v>
      </c>
      <c r="HM423" s="5" t="s">
        <v>313</v>
      </c>
      <c r="HP423" s="5" t="s">
        <v>272</v>
      </c>
      <c r="HQ423" s="5" t="s">
        <v>272</v>
      </c>
      <c r="HR423" s="5" t="s">
        <v>238</v>
      </c>
      <c r="HS423" s="5" t="s">
        <v>238</v>
      </c>
      <c r="HT423" s="5" t="s">
        <v>238</v>
      </c>
      <c r="HU423" s="5" t="s">
        <v>238</v>
      </c>
      <c r="HV423" s="5" t="s">
        <v>238</v>
      </c>
      <c r="HW423" s="5" t="s">
        <v>238</v>
      </c>
      <c r="HX423" s="5" t="s">
        <v>238</v>
      </c>
      <c r="HY423" s="5" t="s">
        <v>238</v>
      </c>
      <c r="HZ423" s="5" t="s">
        <v>238</v>
      </c>
      <c r="IA423" s="5" t="s">
        <v>238</v>
      </c>
      <c r="IB423" s="5" t="s">
        <v>238</v>
      </c>
      <c r="IC423" s="5" t="s">
        <v>238</v>
      </c>
      <c r="ID423" s="5" t="s">
        <v>238</v>
      </c>
    </row>
    <row r="424" spans="1:238" x14ac:dyDescent="0.4">
      <c r="A424" s="5">
        <v>460</v>
      </c>
      <c r="B424" s="5">
        <v>1</v>
      </c>
      <c r="C424" s="5">
        <v>4</v>
      </c>
      <c r="D424" s="5" t="s">
        <v>412</v>
      </c>
      <c r="E424" s="5" t="s">
        <v>347</v>
      </c>
      <c r="F424" s="5" t="s">
        <v>282</v>
      </c>
      <c r="G424" s="5" t="s">
        <v>349</v>
      </c>
      <c r="H424" s="6" t="s">
        <v>413</v>
      </c>
      <c r="I424" s="5" t="s">
        <v>345</v>
      </c>
      <c r="J424" s="7">
        <f>0</f>
        <v>0</v>
      </c>
      <c r="K424" s="5" t="s">
        <v>270</v>
      </c>
      <c r="L424" s="8">
        <f>43804580</f>
        <v>43804580</v>
      </c>
      <c r="M424" s="8">
        <f>56963042</f>
        <v>56963042</v>
      </c>
      <c r="N424" s="6" t="s">
        <v>348</v>
      </c>
      <c r="O424" s="5" t="s">
        <v>319</v>
      </c>
      <c r="P424" s="5" t="s">
        <v>271</v>
      </c>
      <c r="Q424" s="8">
        <f>4386154</f>
        <v>4386154</v>
      </c>
      <c r="R424" s="8">
        <f>13158462</f>
        <v>13158462</v>
      </c>
      <c r="S424" s="5" t="s">
        <v>240</v>
      </c>
      <c r="T424" s="5" t="s">
        <v>287</v>
      </c>
      <c r="U424" s="5" t="s">
        <v>238</v>
      </c>
      <c r="V424" s="5" t="s">
        <v>238</v>
      </c>
      <c r="W424" s="5" t="s">
        <v>241</v>
      </c>
      <c r="X424" s="5" t="s">
        <v>238</v>
      </c>
      <c r="Y424" s="5" t="s">
        <v>238</v>
      </c>
      <c r="AB424" s="5" t="s">
        <v>238</v>
      </c>
      <c r="AC424" s="6" t="s">
        <v>238</v>
      </c>
      <c r="AD424" s="6" t="s">
        <v>238</v>
      </c>
      <c r="AF424" s="6" t="s">
        <v>238</v>
      </c>
      <c r="AG424" s="6" t="s">
        <v>246</v>
      </c>
      <c r="AH424" s="5" t="s">
        <v>247</v>
      </c>
      <c r="AI424" s="5" t="s">
        <v>248</v>
      </c>
      <c r="AO424" s="5" t="s">
        <v>238</v>
      </c>
      <c r="AP424" s="5" t="s">
        <v>238</v>
      </c>
      <c r="AQ424" s="5" t="s">
        <v>238</v>
      </c>
      <c r="AR424" s="6" t="s">
        <v>238</v>
      </c>
      <c r="AS424" s="6" t="s">
        <v>238</v>
      </c>
      <c r="AT424" s="6" t="s">
        <v>238</v>
      </c>
      <c r="AW424" s="5" t="s">
        <v>304</v>
      </c>
      <c r="AX424" s="5" t="s">
        <v>304</v>
      </c>
      <c r="AY424" s="5" t="s">
        <v>250</v>
      </c>
      <c r="AZ424" s="5" t="s">
        <v>305</v>
      </c>
      <c r="BA424" s="5" t="s">
        <v>251</v>
      </c>
      <c r="BB424" s="5" t="s">
        <v>238</v>
      </c>
      <c r="BC424" s="5" t="s">
        <v>253</v>
      </c>
      <c r="BD424" s="5" t="s">
        <v>238</v>
      </c>
      <c r="BF424" s="5" t="s">
        <v>238</v>
      </c>
      <c r="BH424" s="5" t="s">
        <v>283</v>
      </c>
      <c r="BI424" s="6" t="s">
        <v>293</v>
      </c>
      <c r="BJ424" s="5" t="s">
        <v>294</v>
      </c>
      <c r="BK424" s="5" t="s">
        <v>294</v>
      </c>
      <c r="BL424" s="5" t="s">
        <v>238</v>
      </c>
      <c r="BM424" s="7">
        <f>0</f>
        <v>0</v>
      </c>
      <c r="BN424" s="8">
        <f>-4386154</f>
        <v>-4386154</v>
      </c>
      <c r="BO424" s="5" t="s">
        <v>257</v>
      </c>
      <c r="BP424" s="5" t="s">
        <v>258</v>
      </c>
      <c r="BQ424" s="5" t="s">
        <v>238</v>
      </c>
      <c r="BR424" s="5" t="s">
        <v>238</v>
      </c>
      <c r="BS424" s="5" t="s">
        <v>238</v>
      </c>
      <c r="BT424" s="5" t="s">
        <v>238</v>
      </c>
      <c r="CC424" s="5" t="s">
        <v>258</v>
      </c>
      <c r="CD424" s="5" t="s">
        <v>238</v>
      </c>
      <c r="CE424" s="5" t="s">
        <v>238</v>
      </c>
      <c r="CI424" s="5" t="s">
        <v>259</v>
      </c>
      <c r="CJ424" s="5" t="s">
        <v>260</v>
      </c>
      <c r="CK424" s="5" t="s">
        <v>238</v>
      </c>
      <c r="CM424" s="5" t="s">
        <v>291</v>
      </c>
      <c r="CN424" s="6" t="s">
        <v>262</v>
      </c>
      <c r="CO424" s="5" t="s">
        <v>263</v>
      </c>
      <c r="CP424" s="5" t="s">
        <v>264</v>
      </c>
      <c r="CQ424" s="5" t="s">
        <v>285</v>
      </c>
      <c r="CR424" s="5" t="s">
        <v>238</v>
      </c>
      <c r="CS424" s="5">
        <v>7.6999999999999999E-2</v>
      </c>
      <c r="CT424" s="5" t="s">
        <v>265</v>
      </c>
      <c r="CU424" s="5" t="s">
        <v>351</v>
      </c>
      <c r="CV424" s="5" t="s">
        <v>352</v>
      </c>
      <c r="CW424" s="7">
        <f>0</f>
        <v>0</v>
      </c>
      <c r="CX424" s="8">
        <f>56963042</f>
        <v>56963042</v>
      </c>
      <c r="CY424" s="8">
        <f>48190734</f>
        <v>48190734</v>
      </c>
      <c r="DA424" s="5" t="s">
        <v>238</v>
      </c>
      <c r="DB424" s="5" t="s">
        <v>238</v>
      </c>
      <c r="DD424" s="5" t="s">
        <v>238</v>
      </c>
      <c r="DE424" s="8">
        <f>0</f>
        <v>0</v>
      </c>
      <c r="DG424" s="5" t="s">
        <v>238</v>
      </c>
      <c r="DH424" s="5" t="s">
        <v>238</v>
      </c>
      <c r="DI424" s="5" t="s">
        <v>238</v>
      </c>
      <c r="DJ424" s="5" t="s">
        <v>238</v>
      </c>
      <c r="DK424" s="5" t="s">
        <v>272</v>
      </c>
      <c r="DL424" s="5" t="s">
        <v>272</v>
      </c>
      <c r="DM424" s="8" t="s">
        <v>238</v>
      </c>
      <c r="DN424" s="5" t="s">
        <v>238</v>
      </c>
      <c r="DO424" s="5" t="s">
        <v>238</v>
      </c>
      <c r="DP424" s="5" t="s">
        <v>238</v>
      </c>
      <c r="DQ424" s="5" t="s">
        <v>238</v>
      </c>
      <c r="DT424" s="5" t="s">
        <v>414</v>
      </c>
      <c r="DU424" s="5" t="s">
        <v>379</v>
      </c>
      <c r="GL424" s="5" t="s">
        <v>415</v>
      </c>
      <c r="HM424" s="5" t="s">
        <v>356</v>
      </c>
      <c r="HP424" s="5" t="s">
        <v>272</v>
      </c>
      <c r="HQ424" s="5" t="s">
        <v>272</v>
      </c>
      <c r="HR424" s="5" t="s">
        <v>238</v>
      </c>
      <c r="HS424" s="5" t="s">
        <v>238</v>
      </c>
      <c r="HT424" s="5" t="s">
        <v>238</v>
      </c>
      <c r="HU424" s="5" t="s">
        <v>238</v>
      </c>
      <c r="HV424" s="5" t="s">
        <v>238</v>
      </c>
      <c r="HW424" s="5" t="s">
        <v>238</v>
      </c>
      <c r="HX424" s="5" t="s">
        <v>238</v>
      </c>
      <c r="HY424" s="5" t="s">
        <v>238</v>
      </c>
      <c r="HZ424" s="5" t="s">
        <v>238</v>
      </c>
      <c r="IA424" s="5" t="s">
        <v>238</v>
      </c>
      <c r="IB424" s="5" t="s">
        <v>238</v>
      </c>
      <c r="IC424" s="5" t="s">
        <v>238</v>
      </c>
      <c r="ID424" s="5" t="s">
        <v>238</v>
      </c>
    </row>
    <row r="425" spans="1:238" x14ac:dyDescent="0.4">
      <c r="A425" s="5">
        <v>461</v>
      </c>
      <c r="B425" s="5">
        <v>1</v>
      </c>
      <c r="C425" s="5">
        <v>1</v>
      </c>
      <c r="D425" s="5" t="s">
        <v>405</v>
      </c>
      <c r="E425" s="5" t="s">
        <v>347</v>
      </c>
      <c r="F425" s="5" t="s">
        <v>282</v>
      </c>
      <c r="G425" s="5" t="s">
        <v>3027</v>
      </c>
      <c r="H425" s="6" t="s">
        <v>407</v>
      </c>
      <c r="I425" s="5" t="s">
        <v>3027</v>
      </c>
      <c r="J425" s="7">
        <f>43</f>
        <v>43</v>
      </c>
      <c r="K425" s="5" t="s">
        <v>270</v>
      </c>
      <c r="L425" s="8">
        <f>1</f>
        <v>1</v>
      </c>
      <c r="M425" s="8">
        <f>2580000</f>
        <v>2580000</v>
      </c>
      <c r="N425" s="6" t="s">
        <v>1117</v>
      </c>
      <c r="O425" s="5" t="s">
        <v>268</v>
      </c>
      <c r="P425" s="5" t="s">
        <v>971</v>
      </c>
      <c r="R425" s="8">
        <f>2579999</f>
        <v>2579999</v>
      </c>
      <c r="S425" s="5" t="s">
        <v>240</v>
      </c>
      <c r="T425" s="5" t="s">
        <v>237</v>
      </c>
      <c r="U425" s="5" t="s">
        <v>238</v>
      </c>
      <c r="V425" s="5" t="s">
        <v>238</v>
      </c>
      <c r="W425" s="5" t="s">
        <v>241</v>
      </c>
      <c r="X425" s="5" t="s">
        <v>337</v>
      </c>
      <c r="Y425" s="5" t="s">
        <v>238</v>
      </c>
      <c r="AB425" s="5" t="s">
        <v>238</v>
      </c>
      <c r="AD425" s="6" t="s">
        <v>238</v>
      </c>
      <c r="AG425" s="6" t="s">
        <v>246</v>
      </c>
      <c r="AH425" s="5" t="s">
        <v>247</v>
      </c>
      <c r="AI425" s="5" t="s">
        <v>248</v>
      </c>
      <c r="AY425" s="5" t="s">
        <v>250</v>
      </c>
      <c r="AZ425" s="5" t="s">
        <v>238</v>
      </c>
      <c r="BA425" s="5" t="s">
        <v>251</v>
      </c>
      <c r="BB425" s="5" t="s">
        <v>238</v>
      </c>
      <c r="BC425" s="5" t="s">
        <v>253</v>
      </c>
      <c r="BD425" s="5" t="s">
        <v>238</v>
      </c>
      <c r="BF425" s="5" t="s">
        <v>238</v>
      </c>
      <c r="BH425" s="5" t="s">
        <v>697</v>
      </c>
      <c r="BI425" s="6" t="s">
        <v>698</v>
      </c>
      <c r="BJ425" s="5" t="s">
        <v>255</v>
      </c>
      <c r="BK425" s="5" t="s">
        <v>256</v>
      </c>
      <c r="BL425" s="5" t="s">
        <v>238</v>
      </c>
      <c r="BM425" s="7">
        <f>0</f>
        <v>0</v>
      </c>
      <c r="BN425" s="8">
        <f>0</f>
        <v>0</v>
      </c>
      <c r="BO425" s="5" t="s">
        <v>257</v>
      </c>
      <c r="BP425" s="5" t="s">
        <v>258</v>
      </c>
      <c r="CD425" s="5" t="s">
        <v>238</v>
      </c>
      <c r="CE425" s="5" t="s">
        <v>238</v>
      </c>
      <c r="CI425" s="5" t="s">
        <v>527</v>
      </c>
      <c r="CJ425" s="5" t="s">
        <v>260</v>
      </c>
      <c r="CK425" s="5" t="s">
        <v>238</v>
      </c>
      <c r="CM425" s="5" t="s">
        <v>970</v>
      </c>
      <c r="CN425" s="6" t="s">
        <v>262</v>
      </c>
      <c r="CO425" s="5" t="s">
        <v>263</v>
      </c>
      <c r="CP425" s="5" t="s">
        <v>264</v>
      </c>
      <c r="CQ425" s="5" t="s">
        <v>238</v>
      </c>
      <c r="CR425" s="5" t="s">
        <v>238</v>
      </c>
      <c r="CS425" s="5">
        <v>0</v>
      </c>
      <c r="CT425" s="5" t="s">
        <v>265</v>
      </c>
      <c r="CU425" s="5" t="s">
        <v>351</v>
      </c>
      <c r="CV425" s="5" t="s">
        <v>394</v>
      </c>
      <c r="CX425" s="8">
        <f>2580000</f>
        <v>2580000</v>
      </c>
      <c r="CY425" s="8">
        <f>0</f>
        <v>0</v>
      </c>
      <c r="DA425" s="5" t="s">
        <v>238</v>
      </c>
      <c r="DB425" s="5" t="s">
        <v>238</v>
      </c>
      <c r="DD425" s="5" t="s">
        <v>238</v>
      </c>
      <c r="DG425" s="5" t="s">
        <v>238</v>
      </c>
      <c r="DH425" s="5" t="s">
        <v>238</v>
      </c>
      <c r="DI425" s="5" t="s">
        <v>238</v>
      </c>
      <c r="DJ425" s="5" t="s">
        <v>238</v>
      </c>
      <c r="DK425" s="5" t="s">
        <v>271</v>
      </c>
      <c r="DL425" s="5" t="s">
        <v>272</v>
      </c>
      <c r="DM425" s="7">
        <f>43</f>
        <v>43</v>
      </c>
      <c r="DN425" s="5" t="s">
        <v>238</v>
      </c>
      <c r="DO425" s="5" t="s">
        <v>238</v>
      </c>
      <c r="DP425" s="5" t="s">
        <v>238</v>
      </c>
      <c r="DQ425" s="5" t="s">
        <v>238</v>
      </c>
      <c r="DT425" s="5" t="s">
        <v>409</v>
      </c>
      <c r="DU425" s="5" t="s">
        <v>271</v>
      </c>
      <c r="HM425" s="5" t="s">
        <v>271</v>
      </c>
      <c r="HP425" s="5" t="s">
        <v>272</v>
      </c>
      <c r="HQ425" s="5" t="s">
        <v>272</v>
      </c>
    </row>
    <row r="426" spans="1:238" x14ac:dyDescent="0.4">
      <c r="A426" s="5">
        <v>462</v>
      </c>
      <c r="B426" s="5">
        <v>1</v>
      </c>
      <c r="C426" s="5">
        <v>4</v>
      </c>
      <c r="D426" s="5" t="s">
        <v>405</v>
      </c>
      <c r="E426" s="5" t="s">
        <v>347</v>
      </c>
      <c r="F426" s="5" t="s">
        <v>282</v>
      </c>
      <c r="G426" s="5" t="s">
        <v>1499</v>
      </c>
      <c r="H426" s="6" t="s">
        <v>407</v>
      </c>
      <c r="I426" s="5" t="s">
        <v>1314</v>
      </c>
      <c r="J426" s="7">
        <f>3517</f>
        <v>3517</v>
      </c>
      <c r="K426" s="5" t="s">
        <v>270</v>
      </c>
      <c r="L426" s="8">
        <f>15193440</f>
        <v>15193440</v>
      </c>
      <c r="M426" s="8">
        <f>474795000</f>
        <v>474795000</v>
      </c>
      <c r="N426" s="6" t="s">
        <v>1117</v>
      </c>
      <c r="O426" s="5" t="s">
        <v>898</v>
      </c>
      <c r="P426" s="5" t="s">
        <v>861</v>
      </c>
      <c r="Q426" s="8">
        <f>10445490</f>
        <v>10445490</v>
      </c>
      <c r="R426" s="8">
        <f>459601560</f>
        <v>459601560</v>
      </c>
      <c r="S426" s="5" t="s">
        <v>240</v>
      </c>
      <c r="T426" s="5" t="s">
        <v>237</v>
      </c>
      <c r="U426" s="5" t="s">
        <v>238</v>
      </c>
      <c r="V426" s="5" t="s">
        <v>238</v>
      </c>
      <c r="W426" s="5" t="s">
        <v>241</v>
      </c>
      <c r="X426" s="5" t="s">
        <v>337</v>
      </c>
      <c r="Y426" s="5" t="s">
        <v>238</v>
      </c>
      <c r="AB426" s="5" t="s">
        <v>238</v>
      </c>
      <c r="AC426" s="6" t="s">
        <v>238</v>
      </c>
      <c r="AD426" s="6" t="s">
        <v>238</v>
      </c>
      <c r="AF426" s="6" t="s">
        <v>238</v>
      </c>
      <c r="AG426" s="6" t="s">
        <v>246</v>
      </c>
      <c r="AH426" s="5" t="s">
        <v>247</v>
      </c>
      <c r="AI426" s="5" t="s">
        <v>248</v>
      </c>
      <c r="AO426" s="5" t="s">
        <v>238</v>
      </c>
      <c r="AP426" s="5" t="s">
        <v>238</v>
      </c>
      <c r="AQ426" s="5" t="s">
        <v>238</v>
      </c>
      <c r="AR426" s="6" t="s">
        <v>238</v>
      </c>
      <c r="AS426" s="6" t="s">
        <v>238</v>
      </c>
      <c r="AT426" s="6" t="s">
        <v>238</v>
      </c>
      <c r="AW426" s="5" t="s">
        <v>304</v>
      </c>
      <c r="AX426" s="5" t="s">
        <v>304</v>
      </c>
      <c r="AY426" s="5" t="s">
        <v>250</v>
      </c>
      <c r="AZ426" s="5" t="s">
        <v>305</v>
      </c>
      <c r="BA426" s="5" t="s">
        <v>251</v>
      </c>
      <c r="BB426" s="5" t="s">
        <v>238</v>
      </c>
      <c r="BC426" s="5" t="s">
        <v>253</v>
      </c>
      <c r="BD426" s="5" t="s">
        <v>238</v>
      </c>
      <c r="BF426" s="5" t="s">
        <v>1495</v>
      </c>
      <c r="BH426" s="5" t="s">
        <v>283</v>
      </c>
      <c r="BI426" s="6" t="s">
        <v>293</v>
      </c>
      <c r="BJ426" s="5" t="s">
        <v>294</v>
      </c>
      <c r="BK426" s="5" t="s">
        <v>294</v>
      </c>
      <c r="BL426" s="5" t="s">
        <v>238</v>
      </c>
      <c r="BM426" s="7">
        <f>0</f>
        <v>0</v>
      </c>
      <c r="BN426" s="8">
        <f>-10445490</f>
        <v>-10445490</v>
      </c>
      <c r="BO426" s="5" t="s">
        <v>257</v>
      </c>
      <c r="BP426" s="5" t="s">
        <v>258</v>
      </c>
      <c r="BQ426" s="5" t="s">
        <v>238</v>
      </c>
      <c r="BR426" s="5" t="s">
        <v>238</v>
      </c>
      <c r="BS426" s="5" t="s">
        <v>238</v>
      </c>
      <c r="BT426" s="5" t="s">
        <v>238</v>
      </c>
      <c r="CC426" s="5" t="s">
        <v>258</v>
      </c>
      <c r="CD426" s="5" t="s">
        <v>238</v>
      </c>
      <c r="CE426" s="5" t="s">
        <v>238</v>
      </c>
      <c r="CI426" s="5" t="s">
        <v>527</v>
      </c>
      <c r="CJ426" s="5" t="s">
        <v>260</v>
      </c>
      <c r="CK426" s="5" t="s">
        <v>238</v>
      </c>
      <c r="CM426" s="5" t="s">
        <v>970</v>
      </c>
      <c r="CN426" s="6" t="s">
        <v>262</v>
      </c>
      <c r="CO426" s="5" t="s">
        <v>263</v>
      </c>
      <c r="CP426" s="5" t="s">
        <v>264</v>
      </c>
      <c r="CQ426" s="5" t="s">
        <v>285</v>
      </c>
      <c r="CR426" s="5" t="s">
        <v>238</v>
      </c>
      <c r="CS426" s="5">
        <v>2.1999999999999999E-2</v>
      </c>
      <c r="CT426" s="5" t="s">
        <v>265</v>
      </c>
      <c r="CU426" s="5" t="s">
        <v>1493</v>
      </c>
      <c r="CV426" s="5" t="s">
        <v>308</v>
      </c>
      <c r="CW426" s="7">
        <f>0</f>
        <v>0</v>
      </c>
      <c r="CX426" s="8">
        <f>474795000</f>
        <v>474795000</v>
      </c>
      <c r="CY426" s="8">
        <f>25638930</f>
        <v>25638930</v>
      </c>
      <c r="DA426" s="5" t="s">
        <v>238</v>
      </c>
      <c r="DB426" s="5" t="s">
        <v>238</v>
      </c>
      <c r="DD426" s="5" t="s">
        <v>238</v>
      </c>
      <c r="DE426" s="8">
        <f>0</f>
        <v>0</v>
      </c>
      <c r="DG426" s="5" t="s">
        <v>238</v>
      </c>
      <c r="DH426" s="5" t="s">
        <v>238</v>
      </c>
      <c r="DI426" s="5" t="s">
        <v>238</v>
      </c>
      <c r="DJ426" s="5" t="s">
        <v>238</v>
      </c>
      <c r="DK426" s="5" t="s">
        <v>356</v>
      </c>
      <c r="DL426" s="5" t="s">
        <v>272</v>
      </c>
      <c r="DM426" s="7">
        <f>3517</f>
        <v>3517</v>
      </c>
      <c r="DN426" s="5" t="s">
        <v>238</v>
      </c>
      <c r="DO426" s="5" t="s">
        <v>238</v>
      </c>
      <c r="DP426" s="5" t="s">
        <v>238</v>
      </c>
      <c r="DQ426" s="5" t="s">
        <v>238</v>
      </c>
      <c r="DT426" s="5" t="s">
        <v>409</v>
      </c>
      <c r="DU426" s="5" t="s">
        <v>274</v>
      </c>
      <c r="GL426" s="5" t="s">
        <v>1609</v>
      </c>
      <c r="HM426" s="5" t="s">
        <v>313</v>
      </c>
      <c r="HP426" s="5" t="s">
        <v>272</v>
      </c>
      <c r="HQ426" s="5" t="s">
        <v>272</v>
      </c>
      <c r="HR426" s="5" t="s">
        <v>238</v>
      </c>
      <c r="HS426" s="5" t="s">
        <v>238</v>
      </c>
      <c r="HT426" s="5" t="s">
        <v>238</v>
      </c>
      <c r="HU426" s="5" t="s">
        <v>238</v>
      </c>
      <c r="HV426" s="5" t="s">
        <v>238</v>
      </c>
      <c r="HW426" s="5" t="s">
        <v>238</v>
      </c>
      <c r="HX426" s="5" t="s">
        <v>238</v>
      </c>
      <c r="HY426" s="5" t="s">
        <v>238</v>
      </c>
      <c r="HZ426" s="5" t="s">
        <v>238</v>
      </c>
      <c r="IA426" s="5" t="s">
        <v>238</v>
      </c>
      <c r="IB426" s="5" t="s">
        <v>238</v>
      </c>
      <c r="IC426" s="5" t="s">
        <v>238</v>
      </c>
      <c r="ID426" s="5" t="s">
        <v>238</v>
      </c>
    </row>
    <row r="427" spans="1:238" x14ac:dyDescent="0.4">
      <c r="A427" s="5">
        <v>463</v>
      </c>
      <c r="B427" s="5">
        <v>1</v>
      </c>
      <c r="C427" s="5">
        <v>1</v>
      </c>
      <c r="D427" s="5" t="s">
        <v>405</v>
      </c>
      <c r="E427" s="5" t="s">
        <v>347</v>
      </c>
      <c r="F427" s="5" t="s">
        <v>282</v>
      </c>
      <c r="G427" s="5" t="s">
        <v>1308</v>
      </c>
      <c r="H427" s="6" t="s">
        <v>407</v>
      </c>
      <c r="I427" s="5" t="s">
        <v>1308</v>
      </c>
      <c r="J427" s="7">
        <f>911</f>
        <v>911</v>
      </c>
      <c r="K427" s="5" t="s">
        <v>270</v>
      </c>
      <c r="L427" s="8">
        <f>1</f>
        <v>1</v>
      </c>
      <c r="M427" s="8">
        <f>72880000</f>
        <v>72880000</v>
      </c>
      <c r="N427" s="6" t="s">
        <v>1713</v>
      </c>
      <c r="O427" s="5" t="s">
        <v>755</v>
      </c>
      <c r="P427" s="5" t="s">
        <v>861</v>
      </c>
      <c r="R427" s="8">
        <f>72879999</f>
        <v>72879999</v>
      </c>
      <c r="S427" s="5" t="s">
        <v>240</v>
      </c>
      <c r="T427" s="5" t="s">
        <v>237</v>
      </c>
      <c r="U427" s="5" t="s">
        <v>238</v>
      </c>
      <c r="V427" s="5" t="s">
        <v>238</v>
      </c>
      <c r="W427" s="5" t="s">
        <v>241</v>
      </c>
      <c r="X427" s="5" t="s">
        <v>337</v>
      </c>
      <c r="Y427" s="5" t="s">
        <v>238</v>
      </c>
      <c r="AB427" s="5" t="s">
        <v>238</v>
      </c>
      <c r="AD427" s="6" t="s">
        <v>238</v>
      </c>
      <c r="AG427" s="6" t="s">
        <v>246</v>
      </c>
      <c r="AH427" s="5" t="s">
        <v>247</v>
      </c>
      <c r="AI427" s="5" t="s">
        <v>248</v>
      </c>
      <c r="AY427" s="5" t="s">
        <v>250</v>
      </c>
      <c r="AZ427" s="5" t="s">
        <v>238</v>
      </c>
      <c r="BA427" s="5" t="s">
        <v>251</v>
      </c>
      <c r="BB427" s="5" t="s">
        <v>238</v>
      </c>
      <c r="BC427" s="5" t="s">
        <v>253</v>
      </c>
      <c r="BD427" s="5" t="s">
        <v>238</v>
      </c>
      <c r="BF427" s="5" t="s">
        <v>238</v>
      </c>
      <c r="BH427" s="5" t="s">
        <v>254</v>
      </c>
      <c r="BI427" s="6" t="s">
        <v>246</v>
      </c>
      <c r="BJ427" s="5" t="s">
        <v>255</v>
      </c>
      <c r="BK427" s="5" t="s">
        <v>256</v>
      </c>
      <c r="BL427" s="5" t="s">
        <v>238</v>
      </c>
      <c r="BM427" s="7">
        <f>0</f>
        <v>0</v>
      </c>
      <c r="BN427" s="8">
        <f>0</f>
        <v>0</v>
      </c>
      <c r="BO427" s="5" t="s">
        <v>257</v>
      </c>
      <c r="BP427" s="5" t="s">
        <v>258</v>
      </c>
      <c r="CD427" s="5" t="s">
        <v>238</v>
      </c>
      <c r="CE427" s="5" t="s">
        <v>238</v>
      </c>
      <c r="CI427" s="5" t="s">
        <v>527</v>
      </c>
      <c r="CJ427" s="5" t="s">
        <v>260</v>
      </c>
      <c r="CK427" s="5" t="s">
        <v>238</v>
      </c>
      <c r="CM427" s="5" t="s">
        <v>860</v>
      </c>
      <c r="CN427" s="6" t="s">
        <v>262</v>
      </c>
      <c r="CO427" s="5" t="s">
        <v>263</v>
      </c>
      <c r="CP427" s="5" t="s">
        <v>264</v>
      </c>
      <c r="CQ427" s="5" t="s">
        <v>238</v>
      </c>
      <c r="CR427" s="5" t="s">
        <v>238</v>
      </c>
      <c r="CS427" s="5">
        <v>0</v>
      </c>
      <c r="CT427" s="5" t="s">
        <v>265</v>
      </c>
      <c r="CU427" s="5" t="s">
        <v>1330</v>
      </c>
      <c r="CV427" s="5" t="s">
        <v>649</v>
      </c>
      <c r="CX427" s="8">
        <f>72880000</f>
        <v>72880000</v>
      </c>
      <c r="CY427" s="8">
        <f>0</f>
        <v>0</v>
      </c>
      <c r="DA427" s="5" t="s">
        <v>238</v>
      </c>
      <c r="DB427" s="5" t="s">
        <v>238</v>
      </c>
      <c r="DD427" s="5" t="s">
        <v>238</v>
      </c>
      <c r="DG427" s="5" t="s">
        <v>238</v>
      </c>
      <c r="DH427" s="5" t="s">
        <v>238</v>
      </c>
      <c r="DI427" s="5" t="s">
        <v>238</v>
      </c>
      <c r="DJ427" s="5" t="s">
        <v>238</v>
      </c>
      <c r="DK427" s="5" t="s">
        <v>274</v>
      </c>
      <c r="DL427" s="5" t="s">
        <v>272</v>
      </c>
      <c r="DM427" s="7">
        <f>911</f>
        <v>911</v>
      </c>
      <c r="DN427" s="5" t="s">
        <v>238</v>
      </c>
      <c r="DO427" s="5" t="s">
        <v>238</v>
      </c>
      <c r="DP427" s="5" t="s">
        <v>238</v>
      </c>
      <c r="DQ427" s="5" t="s">
        <v>238</v>
      </c>
      <c r="DT427" s="5" t="s">
        <v>409</v>
      </c>
      <c r="DU427" s="5" t="s">
        <v>356</v>
      </c>
      <c r="HM427" s="5" t="s">
        <v>271</v>
      </c>
      <c r="HP427" s="5" t="s">
        <v>272</v>
      </c>
      <c r="HQ427" s="5" t="s">
        <v>272</v>
      </c>
    </row>
    <row r="428" spans="1:238" x14ac:dyDescent="0.4">
      <c r="A428" s="5">
        <v>464</v>
      </c>
      <c r="B428" s="5">
        <v>1</v>
      </c>
      <c r="C428" s="5">
        <v>1</v>
      </c>
      <c r="D428" s="5" t="s">
        <v>405</v>
      </c>
      <c r="E428" s="5" t="s">
        <v>347</v>
      </c>
      <c r="F428" s="5" t="s">
        <v>282</v>
      </c>
      <c r="G428" s="5" t="s">
        <v>1309</v>
      </c>
      <c r="H428" s="6" t="s">
        <v>407</v>
      </c>
      <c r="I428" s="5" t="s">
        <v>1309</v>
      </c>
      <c r="J428" s="7">
        <f>25</f>
        <v>25</v>
      </c>
      <c r="K428" s="5" t="s">
        <v>270</v>
      </c>
      <c r="L428" s="8">
        <f>1</f>
        <v>1</v>
      </c>
      <c r="M428" s="8">
        <f>2250000</f>
        <v>2250000</v>
      </c>
      <c r="N428" s="6" t="s">
        <v>1713</v>
      </c>
      <c r="O428" s="5" t="s">
        <v>268</v>
      </c>
      <c r="P428" s="5" t="s">
        <v>861</v>
      </c>
      <c r="R428" s="8">
        <f>2249999</f>
        <v>2249999</v>
      </c>
      <c r="S428" s="5" t="s">
        <v>240</v>
      </c>
      <c r="T428" s="5" t="s">
        <v>237</v>
      </c>
      <c r="U428" s="5" t="s">
        <v>238</v>
      </c>
      <c r="V428" s="5" t="s">
        <v>238</v>
      </c>
      <c r="W428" s="5" t="s">
        <v>241</v>
      </c>
      <c r="X428" s="5" t="s">
        <v>337</v>
      </c>
      <c r="Y428" s="5" t="s">
        <v>238</v>
      </c>
      <c r="AB428" s="5" t="s">
        <v>238</v>
      </c>
      <c r="AD428" s="6" t="s">
        <v>238</v>
      </c>
      <c r="AG428" s="6" t="s">
        <v>246</v>
      </c>
      <c r="AH428" s="5" t="s">
        <v>247</v>
      </c>
      <c r="AI428" s="5" t="s">
        <v>248</v>
      </c>
      <c r="AY428" s="5" t="s">
        <v>250</v>
      </c>
      <c r="AZ428" s="5" t="s">
        <v>238</v>
      </c>
      <c r="BA428" s="5" t="s">
        <v>251</v>
      </c>
      <c r="BB428" s="5" t="s">
        <v>238</v>
      </c>
      <c r="BC428" s="5" t="s">
        <v>253</v>
      </c>
      <c r="BD428" s="5" t="s">
        <v>238</v>
      </c>
      <c r="BF428" s="5" t="s">
        <v>238</v>
      </c>
      <c r="BH428" s="5" t="s">
        <v>859</v>
      </c>
      <c r="BI428" s="6" t="s">
        <v>368</v>
      </c>
      <c r="BJ428" s="5" t="s">
        <v>255</v>
      </c>
      <c r="BK428" s="5" t="s">
        <v>256</v>
      </c>
      <c r="BL428" s="5" t="s">
        <v>238</v>
      </c>
      <c r="BM428" s="7">
        <f>0</f>
        <v>0</v>
      </c>
      <c r="BN428" s="8">
        <f>0</f>
        <v>0</v>
      </c>
      <c r="BO428" s="5" t="s">
        <v>257</v>
      </c>
      <c r="BP428" s="5" t="s">
        <v>258</v>
      </c>
      <c r="CD428" s="5" t="s">
        <v>238</v>
      </c>
      <c r="CE428" s="5" t="s">
        <v>238</v>
      </c>
      <c r="CI428" s="5" t="s">
        <v>527</v>
      </c>
      <c r="CJ428" s="5" t="s">
        <v>260</v>
      </c>
      <c r="CK428" s="5" t="s">
        <v>238</v>
      </c>
      <c r="CM428" s="5" t="s">
        <v>860</v>
      </c>
      <c r="CN428" s="6" t="s">
        <v>262</v>
      </c>
      <c r="CO428" s="5" t="s">
        <v>263</v>
      </c>
      <c r="CP428" s="5" t="s">
        <v>264</v>
      </c>
      <c r="CQ428" s="5" t="s">
        <v>238</v>
      </c>
      <c r="CR428" s="5" t="s">
        <v>238</v>
      </c>
      <c r="CS428" s="5">
        <v>0</v>
      </c>
      <c r="CT428" s="5" t="s">
        <v>265</v>
      </c>
      <c r="CU428" s="5" t="s">
        <v>1342</v>
      </c>
      <c r="CV428" s="5" t="s">
        <v>267</v>
      </c>
      <c r="CX428" s="8">
        <f>2250000</f>
        <v>2250000</v>
      </c>
      <c r="CY428" s="8">
        <f>0</f>
        <v>0</v>
      </c>
      <c r="DA428" s="5" t="s">
        <v>238</v>
      </c>
      <c r="DB428" s="5" t="s">
        <v>238</v>
      </c>
      <c r="DD428" s="5" t="s">
        <v>238</v>
      </c>
      <c r="DG428" s="5" t="s">
        <v>238</v>
      </c>
      <c r="DH428" s="5" t="s">
        <v>238</v>
      </c>
      <c r="DI428" s="5" t="s">
        <v>238</v>
      </c>
      <c r="DJ428" s="5" t="s">
        <v>238</v>
      </c>
      <c r="DK428" s="5" t="s">
        <v>271</v>
      </c>
      <c r="DL428" s="5" t="s">
        <v>272</v>
      </c>
      <c r="DM428" s="7">
        <f>25</f>
        <v>25</v>
      </c>
      <c r="DN428" s="5" t="s">
        <v>238</v>
      </c>
      <c r="DO428" s="5" t="s">
        <v>238</v>
      </c>
      <c r="DP428" s="5" t="s">
        <v>238</v>
      </c>
      <c r="DQ428" s="5" t="s">
        <v>238</v>
      </c>
      <c r="DT428" s="5" t="s">
        <v>409</v>
      </c>
      <c r="DU428" s="5" t="s">
        <v>310</v>
      </c>
      <c r="HM428" s="5" t="s">
        <v>271</v>
      </c>
      <c r="HP428" s="5" t="s">
        <v>272</v>
      </c>
      <c r="HQ428" s="5" t="s">
        <v>272</v>
      </c>
    </row>
    <row r="429" spans="1:238" x14ac:dyDescent="0.4">
      <c r="A429" s="5">
        <v>465</v>
      </c>
      <c r="B429" s="5">
        <v>1</v>
      </c>
      <c r="C429" s="5">
        <v>1</v>
      </c>
      <c r="D429" s="5" t="s">
        <v>405</v>
      </c>
      <c r="E429" s="5" t="s">
        <v>347</v>
      </c>
      <c r="F429" s="5" t="s">
        <v>282</v>
      </c>
      <c r="G429" s="5" t="s">
        <v>239</v>
      </c>
      <c r="H429" s="6" t="s">
        <v>407</v>
      </c>
      <c r="I429" s="5" t="s">
        <v>239</v>
      </c>
      <c r="J429" s="7">
        <f>29</f>
        <v>29</v>
      </c>
      <c r="K429" s="5" t="s">
        <v>270</v>
      </c>
      <c r="L429" s="8">
        <f>1</f>
        <v>1</v>
      </c>
      <c r="M429" s="8">
        <f>1740000</f>
        <v>1740000</v>
      </c>
      <c r="N429" s="6" t="s">
        <v>1129</v>
      </c>
      <c r="O429" s="5" t="s">
        <v>268</v>
      </c>
      <c r="P429" s="5" t="s">
        <v>1042</v>
      </c>
      <c r="R429" s="8">
        <f>1739999</f>
        <v>1739999</v>
      </c>
      <c r="S429" s="5" t="s">
        <v>240</v>
      </c>
      <c r="T429" s="5" t="s">
        <v>237</v>
      </c>
      <c r="U429" s="5" t="s">
        <v>238</v>
      </c>
      <c r="V429" s="5" t="s">
        <v>238</v>
      </c>
      <c r="W429" s="5" t="s">
        <v>241</v>
      </c>
      <c r="X429" s="5" t="s">
        <v>337</v>
      </c>
      <c r="Y429" s="5" t="s">
        <v>238</v>
      </c>
      <c r="AB429" s="5" t="s">
        <v>238</v>
      </c>
      <c r="AD429" s="6" t="s">
        <v>238</v>
      </c>
      <c r="AG429" s="6" t="s">
        <v>246</v>
      </c>
      <c r="AH429" s="5" t="s">
        <v>247</v>
      </c>
      <c r="AI429" s="5" t="s">
        <v>248</v>
      </c>
      <c r="AY429" s="5" t="s">
        <v>250</v>
      </c>
      <c r="AZ429" s="5" t="s">
        <v>238</v>
      </c>
      <c r="BA429" s="5" t="s">
        <v>251</v>
      </c>
      <c r="BB429" s="5" t="s">
        <v>238</v>
      </c>
      <c r="BC429" s="5" t="s">
        <v>253</v>
      </c>
      <c r="BD429" s="5" t="s">
        <v>238</v>
      </c>
      <c r="BF429" s="5" t="s">
        <v>238</v>
      </c>
      <c r="BH429" s="5" t="s">
        <v>697</v>
      </c>
      <c r="BI429" s="6" t="s">
        <v>698</v>
      </c>
      <c r="BJ429" s="5" t="s">
        <v>255</v>
      </c>
      <c r="BK429" s="5" t="s">
        <v>256</v>
      </c>
      <c r="BL429" s="5" t="s">
        <v>238</v>
      </c>
      <c r="BM429" s="7">
        <f>0</f>
        <v>0</v>
      </c>
      <c r="BN429" s="8">
        <f>0</f>
        <v>0</v>
      </c>
      <c r="BO429" s="5" t="s">
        <v>257</v>
      </c>
      <c r="BP429" s="5" t="s">
        <v>258</v>
      </c>
      <c r="CD429" s="5" t="s">
        <v>238</v>
      </c>
      <c r="CE429" s="5" t="s">
        <v>238</v>
      </c>
      <c r="CI429" s="5" t="s">
        <v>527</v>
      </c>
      <c r="CJ429" s="5" t="s">
        <v>260</v>
      </c>
      <c r="CK429" s="5" t="s">
        <v>238</v>
      </c>
      <c r="CM429" s="5" t="s">
        <v>699</v>
      </c>
      <c r="CN429" s="6" t="s">
        <v>262</v>
      </c>
      <c r="CO429" s="5" t="s">
        <v>263</v>
      </c>
      <c r="CP429" s="5" t="s">
        <v>264</v>
      </c>
      <c r="CQ429" s="5" t="s">
        <v>238</v>
      </c>
      <c r="CR429" s="5" t="s">
        <v>238</v>
      </c>
      <c r="CS429" s="5">
        <v>0</v>
      </c>
      <c r="CT429" s="5" t="s">
        <v>265</v>
      </c>
      <c r="CU429" s="5" t="s">
        <v>266</v>
      </c>
      <c r="CV429" s="5" t="s">
        <v>267</v>
      </c>
      <c r="CX429" s="8">
        <f>1740000</f>
        <v>1740000</v>
      </c>
      <c r="CY429" s="8">
        <f>0</f>
        <v>0</v>
      </c>
      <c r="DA429" s="5" t="s">
        <v>238</v>
      </c>
      <c r="DB429" s="5" t="s">
        <v>238</v>
      </c>
      <c r="DD429" s="5" t="s">
        <v>238</v>
      </c>
      <c r="DG429" s="5" t="s">
        <v>238</v>
      </c>
      <c r="DH429" s="5" t="s">
        <v>238</v>
      </c>
      <c r="DI429" s="5" t="s">
        <v>238</v>
      </c>
      <c r="DJ429" s="5" t="s">
        <v>238</v>
      </c>
      <c r="DK429" s="5" t="s">
        <v>271</v>
      </c>
      <c r="DL429" s="5" t="s">
        <v>272</v>
      </c>
      <c r="DM429" s="7">
        <f>29</f>
        <v>29</v>
      </c>
      <c r="DN429" s="5" t="s">
        <v>238</v>
      </c>
      <c r="DO429" s="5" t="s">
        <v>238</v>
      </c>
      <c r="DP429" s="5" t="s">
        <v>238</v>
      </c>
      <c r="DQ429" s="5" t="s">
        <v>238</v>
      </c>
      <c r="DT429" s="5" t="s">
        <v>409</v>
      </c>
      <c r="DU429" s="5" t="s">
        <v>379</v>
      </c>
      <c r="HM429" s="5" t="s">
        <v>271</v>
      </c>
      <c r="HP429" s="5" t="s">
        <v>272</v>
      </c>
      <c r="HQ429" s="5" t="s">
        <v>272</v>
      </c>
    </row>
    <row r="430" spans="1:238" x14ac:dyDescent="0.4">
      <c r="A430" s="5">
        <v>466</v>
      </c>
      <c r="B430" s="5">
        <v>1</v>
      </c>
      <c r="C430" s="5">
        <v>1</v>
      </c>
      <c r="D430" s="5" t="s">
        <v>405</v>
      </c>
      <c r="E430" s="5" t="s">
        <v>347</v>
      </c>
      <c r="F430" s="5" t="s">
        <v>282</v>
      </c>
      <c r="G430" s="5" t="s">
        <v>239</v>
      </c>
      <c r="H430" s="6" t="s">
        <v>407</v>
      </c>
      <c r="I430" s="5" t="s">
        <v>239</v>
      </c>
      <c r="J430" s="7">
        <f>41</f>
        <v>41</v>
      </c>
      <c r="K430" s="5" t="s">
        <v>270</v>
      </c>
      <c r="L430" s="8">
        <f>1</f>
        <v>1</v>
      </c>
      <c r="M430" s="8">
        <f>3731000</f>
        <v>3731000</v>
      </c>
      <c r="N430" s="6" t="s">
        <v>1128</v>
      </c>
      <c r="O430" s="5" t="s">
        <v>268</v>
      </c>
      <c r="P430" s="5" t="s">
        <v>631</v>
      </c>
      <c r="R430" s="8">
        <f>3730999</f>
        <v>3730999</v>
      </c>
      <c r="S430" s="5" t="s">
        <v>240</v>
      </c>
      <c r="T430" s="5" t="s">
        <v>237</v>
      </c>
      <c r="U430" s="5" t="s">
        <v>238</v>
      </c>
      <c r="V430" s="5" t="s">
        <v>238</v>
      </c>
      <c r="W430" s="5" t="s">
        <v>241</v>
      </c>
      <c r="X430" s="5" t="s">
        <v>337</v>
      </c>
      <c r="Y430" s="5" t="s">
        <v>238</v>
      </c>
      <c r="AB430" s="5" t="s">
        <v>238</v>
      </c>
      <c r="AD430" s="6" t="s">
        <v>238</v>
      </c>
      <c r="AG430" s="6" t="s">
        <v>246</v>
      </c>
      <c r="AH430" s="5" t="s">
        <v>247</v>
      </c>
      <c r="AI430" s="5" t="s">
        <v>248</v>
      </c>
      <c r="AY430" s="5" t="s">
        <v>250</v>
      </c>
      <c r="AZ430" s="5" t="s">
        <v>238</v>
      </c>
      <c r="BA430" s="5" t="s">
        <v>251</v>
      </c>
      <c r="BB430" s="5" t="s">
        <v>238</v>
      </c>
      <c r="BC430" s="5" t="s">
        <v>253</v>
      </c>
      <c r="BD430" s="5" t="s">
        <v>238</v>
      </c>
      <c r="BF430" s="5" t="s">
        <v>238</v>
      </c>
      <c r="BH430" s="5" t="s">
        <v>798</v>
      </c>
      <c r="BI430" s="6" t="s">
        <v>799</v>
      </c>
      <c r="BJ430" s="5" t="s">
        <v>255</v>
      </c>
      <c r="BK430" s="5" t="s">
        <v>256</v>
      </c>
      <c r="BL430" s="5" t="s">
        <v>238</v>
      </c>
      <c r="BM430" s="7">
        <f>0</f>
        <v>0</v>
      </c>
      <c r="BN430" s="8">
        <f>0</f>
        <v>0</v>
      </c>
      <c r="BO430" s="5" t="s">
        <v>257</v>
      </c>
      <c r="BP430" s="5" t="s">
        <v>258</v>
      </c>
      <c r="CD430" s="5" t="s">
        <v>238</v>
      </c>
      <c r="CE430" s="5" t="s">
        <v>238</v>
      </c>
      <c r="CI430" s="5" t="s">
        <v>259</v>
      </c>
      <c r="CJ430" s="5" t="s">
        <v>260</v>
      </c>
      <c r="CK430" s="5" t="s">
        <v>238</v>
      </c>
      <c r="CM430" s="5" t="s">
        <v>330</v>
      </c>
      <c r="CN430" s="6" t="s">
        <v>262</v>
      </c>
      <c r="CO430" s="5" t="s">
        <v>263</v>
      </c>
      <c r="CP430" s="5" t="s">
        <v>264</v>
      </c>
      <c r="CQ430" s="5" t="s">
        <v>238</v>
      </c>
      <c r="CR430" s="5" t="s">
        <v>238</v>
      </c>
      <c r="CS430" s="5">
        <v>0</v>
      </c>
      <c r="CT430" s="5" t="s">
        <v>265</v>
      </c>
      <c r="CU430" s="5" t="s">
        <v>266</v>
      </c>
      <c r="CV430" s="5" t="s">
        <v>267</v>
      </c>
      <c r="CX430" s="8">
        <f>3731000</f>
        <v>3731000</v>
      </c>
      <c r="CY430" s="8">
        <f>0</f>
        <v>0</v>
      </c>
      <c r="DA430" s="5" t="s">
        <v>238</v>
      </c>
      <c r="DB430" s="5" t="s">
        <v>238</v>
      </c>
      <c r="DD430" s="5" t="s">
        <v>238</v>
      </c>
      <c r="DG430" s="5" t="s">
        <v>238</v>
      </c>
      <c r="DH430" s="5" t="s">
        <v>238</v>
      </c>
      <c r="DI430" s="5" t="s">
        <v>238</v>
      </c>
      <c r="DJ430" s="5" t="s">
        <v>238</v>
      </c>
      <c r="DK430" s="5" t="s">
        <v>271</v>
      </c>
      <c r="DL430" s="5" t="s">
        <v>272</v>
      </c>
      <c r="DM430" s="7">
        <f>41</f>
        <v>41</v>
      </c>
      <c r="DN430" s="5" t="s">
        <v>238</v>
      </c>
      <c r="DO430" s="5" t="s">
        <v>238</v>
      </c>
      <c r="DP430" s="5" t="s">
        <v>238</v>
      </c>
      <c r="DQ430" s="5" t="s">
        <v>238</v>
      </c>
      <c r="DT430" s="5" t="s">
        <v>409</v>
      </c>
      <c r="DU430" s="5" t="s">
        <v>313</v>
      </c>
      <c r="HM430" s="5" t="s">
        <v>271</v>
      </c>
      <c r="HP430" s="5" t="s">
        <v>272</v>
      </c>
      <c r="HQ430" s="5" t="s">
        <v>272</v>
      </c>
    </row>
    <row r="431" spans="1:238" x14ac:dyDescent="0.4">
      <c r="A431" s="5">
        <v>467</v>
      </c>
      <c r="B431" s="5">
        <v>1</v>
      </c>
      <c r="C431" s="5">
        <v>4</v>
      </c>
      <c r="D431" s="5" t="s">
        <v>405</v>
      </c>
      <c r="E431" s="5" t="s">
        <v>347</v>
      </c>
      <c r="F431" s="5" t="s">
        <v>282</v>
      </c>
      <c r="G431" s="5" t="s">
        <v>349</v>
      </c>
      <c r="H431" s="6" t="s">
        <v>407</v>
      </c>
      <c r="I431" s="5" t="s">
        <v>345</v>
      </c>
      <c r="J431" s="7">
        <f>0</f>
        <v>0</v>
      </c>
      <c r="K431" s="5" t="s">
        <v>270</v>
      </c>
      <c r="L431" s="8">
        <f>25572217</f>
        <v>25572217</v>
      </c>
      <c r="M431" s="8">
        <f>33253855</f>
        <v>33253855</v>
      </c>
      <c r="N431" s="6" t="s">
        <v>348</v>
      </c>
      <c r="O431" s="5" t="s">
        <v>319</v>
      </c>
      <c r="P431" s="5" t="s">
        <v>271</v>
      </c>
      <c r="Q431" s="8">
        <f>2560546</f>
        <v>2560546</v>
      </c>
      <c r="R431" s="8">
        <f>7681638</f>
        <v>7681638</v>
      </c>
      <c r="S431" s="5" t="s">
        <v>240</v>
      </c>
      <c r="T431" s="5" t="s">
        <v>287</v>
      </c>
      <c r="U431" s="5" t="s">
        <v>238</v>
      </c>
      <c r="V431" s="5" t="s">
        <v>238</v>
      </c>
      <c r="W431" s="5" t="s">
        <v>241</v>
      </c>
      <c r="X431" s="5" t="s">
        <v>238</v>
      </c>
      <c r="Y431" s="5" t="s">
        <v>238</v>
      </c>
      <c r="AB431" s="5" t="s">
        <v>238</v>
      </c>
      <c r="AC431" s="6" t="s">
        <v>238</v>
      </c>
      <c r="AD431" s="6" t="s">
        <v>238</v>
      </c>
      <c r="AF431" s="6" t="s">
        <v>238</v>
      </c>
      <c r="AG431" s="6" t="s">
        <v>246</v>
      </c>
      <c r="AH431" s="5" t="s">
        <v>247</v>
      </c>
      <c r="AI431" s="5" t="s">
        <v>248</v>
      </c>
      <c r="AO431" s="5" t="s">
        <v>238</v>
      </c>
      <c r="AP431" s="5" t="s">
        <v>238</v>
      </c>
      <c r="AQ431" s="5" t="s">
        <v>238</v>
      </c>
      <c r="AR431" s="6" t="s">
        <v>238</v>
      </c>
      <c r="AS431" s="6" t="s">
        <v>238</v>
      </c>
      <c r="AT431" s="6" t="s">
        <v>238</v>
      </c>
      <c r="AW431" s="5" t="s">
        <v>304</v>
      </c>
      <c r="AX431" s="5" t="s">
        <v>304</v>
      </c>
      <c r="AY431" s="5" t="s">
        <v>250</v>
      </c>
      <c r="AZ431" s="5" t="s">
        <v>305</v>
      </c>
      <c r="BA431" s="5" t="s">
        <v>251</v>
      </c>
      <c r="BB431" s="5" t="s">
        <v>238</v>
      </c>
      <c r="BC431" s="5" t="s">
        <v>253</v>
      </c>
      <c r="BD431" s="5" t="s">
        <v>238</v>
      </c>
      <c r="BF431" s="5" t="s">
        <v>238</v>
      </c>
      <c r="BH431" s="5" t="s">
        <v>283</v>
      </c>
      <c r="BI431" s="6" t="s">
        <v>293</v>
      </c>
      <c r="BJ431" s="5" t="s">
        <v>294</v>
      </c>
      <c r="BK431" s="5" t="s">
        <v>294</v>
      </c>
      <c r="BL431" s="5" t="s">
        <v>238</v>
      </c>
      <c r="BM431" s="7">
        <f>0</f>
        <v>0</v>
      </c>
      <c r="BN431" s="8">
        <f>-2560546</f>
        <v>-2560546</v>
      </c>
      <c r="BO431" s="5" t="s">
        <v>257</v>
      </c>
      <c r="BP431" s="5" t="s">
        <v>258</v>
      </c>
      <c r="BQ431" s="5" t="s">
        <v>238</v>
      </c>
      <c r="BR431" s="5" t="s">
        <v>238</v>
      </c>
      <c r="BS431" s="5" t="s">
        <v>238</v>
      </c>
      <c r="BT431" s="5" t="s">
        <v>238</v>
      </c>
      <c r="CC431" s="5" t="s">
        <v>258</v>
      </c>
      <c r="CD431" s="5" t="s">
        <v>238</v>
      </c>
      <c r="CE431" s="5" t="s">
        <v>238</v>
      </c>
      <c r="CI431" s="5" t="s">
        <v>259</v>
      </c>
      <c r="CJ431" s="5" t="s">
        <v>260</v>
      </c>
      <c r="CK431" s="5" t="s">
        <v>238</v>
      </c>
      <c r="CM431" s="5" t="s">
        <v>291</v>
      </c>
      <c r="CN431" s="6" t="s">
        <v>262</v>
      </c>
      <c r="CO431" s="5" t="s">
        <v>263</v>
      </c>
      <c r="CP431" s="5" t="s">
        <v>264</v>
      </c>
      <c r="CQ431" s="5" t="s">
        <v>285</v>
      </c>
      <c r="CR431" s="5" t="s">
        <v>238</v>
      </c>
      <c r="CS431" s="5">
        <v>7.6999999999999999E-2</v>
      </c>
      <c r="CT431" s="5" t="s">
        <v>265</v>
      </c>
      <c r="CU431" s="5" t="s">
        <v>351</v>
      </c>
      <c r="CV431" s="5" t="s">
        <v>352</v>
      </c>
      <c r="CW431" s="7">
        <f>0</f>
        <v>0</v>
      </c>
      <c r="CX431" s="8">
        <f>33253855</f>
        <v>33253855</v>
      </c>
      <c r="CY431" s="8">
        <f>28132763</f>
        <v>28132763</v>
      </c>
      <c r="DA431" s="5" t="s">
        <v>238</v>
      </c>
      <c r="DB431" s="5" t="s">
        <v>238</v>
      </c>
      <c r="DD431" s="5" t="s">
        <v>238</v>
      </c>
      <c r="DE431" s="8">
        <f>0</f>
        <v>0</v>
      </c>
      <c r="DG431" s="5" t="s">
        <v>238</v>
      </c>
      <c r="DH431" s="5" t="s">
        <v>238</v>
      </c>
      <c r="DI431" s="5" t="s">
        <v>238</v>
      </c>
      <c r="DJ431" s="5" t="s">
        <v>238</v>
      </c>
      <c r="DK431" s="5" t="s">
        <v>272</v>
      </c>
      <c r="DL431" s="5" t="s">
        <v>272</v>
      </c>
      <c r="DM431" s="8" t="s">
        <v>238</v>
      </c>
      <c r="DN431" s="5" t="s">
        <v>238</v>
      </c>
      <c r="DO431" s="5" t="s">
        <v>238</v>
      </c>
      <c r="DP431" s="5" t="s">
        <v>238</v>
      </c>
      <c r="DQ431" s="5" t="s">
        <v>238</v>
      </c>
      <c r="DT431" s="5" t="s">
        <v>409</v>
      </c>
      <c r="DU431" s="5" t="s">
        <v>389</v>
      </c>
      <c r="GL431" s="5" t="s">
        <v>411</v>
      </c>
      <c r="HM431" s="5" t="s">
        <v>356</v>
      </c>
      <c r="HP431" s="5" t="s">
        <v>272</v>
      </c>
      <c r="HQ431" s="5" t="s">
        <v>272</v>
      </c>
      <c r="HR431" s="5" t="s">
        <v>238</v>
      </c>
      <c r="HS431" s="5" t="s">
        <v>238</v>
      </c>
      <c r="HT431" s="5" t="s">
        <v>238</v>
      </c>
      <c r="HU431" s="5" t="s">
        <v>238</v>
      </c>
      <c r="HV431" s="5" t="s">
        <v>238</v>
      </c>
      <c r="HW431" s="5" t="s">
        <v>238</v>
      </c>
      <c r="HX431" s="5" t="s">
        <v>238</v>
      </c>
      <c r="HY431" s="5" t="s">
        <v>238</v>
      </c>
      <c r="HZ431" s="5" t="s">
        <v>238</v>
      </c>
      <c r="IA431" s="5" t="s">
        <v>238</v>
      </c>
      <c r="IB431" s="5" t="s">
        <v>238</v>
      </c>
      <c r="IC431" s="5" t="s">
        <v>238</v>
      </c>
      <c r="ID431" s="5" t="s">
        <v>238</v>
      </c>
    </row>
    <row r="432" spans="1:238" x14ac:dyDescent="0.4">
      <c r="A432" s="5">
        <v>468</v>
      </c>
      <c r="B432" s="5">
        <v>1</v>
      </c>
      <c r="C432" s="5">
        <v>4</v>
      </c>
      <c r="D432" s="5" t="s">
        <v>405</v>
      </c>
      <c r="E432" s="5" t="s">
        <v>347</v>
      </c>
      <c r="F432" s="5" t="s">
        <v>282</v>
      </c>
      <c r="G432" s="5" t="s">
        <v>349</v>
      </c>
      <c r="H432" s="6" t="s">
        <v>407</v>
      </c>
      <c r="I432" s="5" t="s">
        <v>404</v>
      </c>
      <c r="J432" s="7">
        <f>0</f>
        <v>0</v>
      </c>
      <c r="K432" s="5" t="s">
        <v>270</v>
      </c>
      <c r="L432" s="8">
        <f>1304586</f>
        <v>1304586</v>
      </c>
      <c r="M432" s="8">
        <f>1506450</f>
        <v>1506450</v>
      </c>
      <c r="N432" s="6" t="s">
        <v>406</v>
      </c>
      <c r="O432" s="5" t="s">
        <v>268</v>
      </c>
      <c r="P432" s="5" t="s">
        <v>272</v>
      </c>
      <c r="Q432" s="8">
        <f>100932</f>
        <v>100932</v>
      </c>
      <c r="R432" s="8">
        <f>201864</f>
        <v>201864</v>
      </c>
      <c r="S432" s="5" t="s">
        <v>240</v>
      </c>
      <c r="T432" s="5" t="s">
        <v>287</v>
      </c>
      <c r="U432" s="5" t="s">
        <v>238</v>
      </c>
      <c r="V432" s="5" t="s">
        <v>238</v>
      </c>
      <c r="W432" s="5" t="s">
        <v>241</v>
      </c>
      <c r="X432" s="5" t="s">
        <v>238</v>
      </c>
      <c r="Y432" s="5" t="s">
        <v>238</v>
      </c>
      <c r="AB432" s="5" t="s">
        <v>238</v>
      </c>
      <c r="AC432" s="6" t="s">
        <v>238</v>
      </c>
      <c r="AD432" s="6" t="s">
        <v>238</v>
      </c>
      <c r="AF432" s="6" t="s">
        <v>238</v>
      </c>
      <c r="AG432" s="6" t="s">
        <v>246</v>
      </c>
      <c r="AH432" s="5" t="s">
        <v>247</v>
      </c>
      <c r="AI432" s="5" t="s">
        <v>248</v>
      </c>
      <c r="AO432" s="5" t="s">
        <v>238</v>
      </c>
      <c r="AP432" s="5" t="s">
        <v>238</v>
      </c>
      <c r="AQ432" s="5" t="s">
        <v>238</v>
      </c>
      <c r="AR432" s="6" t="s">
        <v>238</v>
      </c>
      <c r="AS432" s="6" t="s">
        <v>238</v>
      </c>
      <c r="AT432" s="6" t="s">
        <v>238</v>
      </c>
      <c r="AW432" s="5" t="s">
        <v>304</v>
      </c>
      <c r="AX432" s="5" t="s">
        <v>304</v>
      </c>
      <c r="AY432" s="5" t="s">
        <v>250</v>
      </c>
      <c r="AZ432" s="5" t="s">
        <v>305</v>
      </c>
      <c r="BA432" s="5" t="s">
        <v>251</v>
      </c>
      <c r="BB432" s="5" t="s">
        <v>238</v>
      </c>
      <c r="BC432" s="5" t="s">
        <v>253</v>
      </c>
      <c r="BD432" s="5" t="s">
        <v>238</v>
      </c>
      <c r="BF432" s="5" t="s">
        <v>238</v>
      </c>
      <c r="BH432" s="5" t="s">
        <v>283</v>
      </c>
      <c r="BI432" s="6" t="s">
        <v>293</v>
      </c>
      <c r="BJ432" s="5" t="s">
        <v>294</v>
      </c>
      <c r="BK432" s="5" t="s">
        <v>294</v>
      </c>
      <c r="BL432" s="5" t="s">
        <v>238</v>
      </c>
      <c r="BM432" s="7">
        <f>0</f>
        <v>0</v>
      </c>
      <c r="BN432" s="8">
        <f>-100932</f>
        <v>-100932</v>
      </c>
      <c r="BO432" s="5" t="s">
        <v>257</v>
      </c>
      <c r="BP432" s="5" t="s">
        <v>258</v>
      </c>
      <c r="BQ432" s="5" t="s">
        <v>238</v>
      </c>
      <c r="BR432" s="5" t="s">
        <v>238</v>
      </c>
      <c r="BS432" s="5" t="s">
        <v>238</v>
      </c>
      <c r="BT432" s="5" t="s">
        <v>238</v>
      </c>
      <c r="CC432" s="5" t="s">
        <v>258</v>
      </c>
      <c r="CD432" s="5" t="s">
        <v>238</v>
      </c>
      <c r="CE432" s="5" t="s">
        <v>238</v>
      </c>
      <c r="CI432" s="5" t="s">
        <v>259</v>
      </c>
      <c r="CJ432" s="5" t="s">
        <v>260</v>
      </c>
      <c r="CK432" s="5" t="s">
        <v>238</v>
      </c>
      <c r="CM432" s="5" t="s">
        <v>408</v>
      </c>
      <c r="CN432" s="6" t="s">
        <v>262</v>
      </c>
      <c r="CO432" s="5" t="s">
        <v>263</v>
      </c>
      <c r="CP432" s="5" t="s">
        <v>264</v>
      </c>
      <c r="CQ432" s="5" t="s">
        <v>285</v>
      </c>
      <c r="CR432" s="5" t="s">
        <v>238</v>
      </c>
      <c r="CS432" s="5">
        <v>6.7000000000000004E-2</v>
      </c>
      <c r="CT432" s="5" t="s">
        <v>265</v>
      </c>
      <c r="CU432" s="5" t="s">
        <v>351</v>
      </c>
      <c r="CV432" s="5" t="s">
        <v>365</v>
      </c>
      <c r="CW432" s="7">
        <f>0</f>
        <v>0</v>
      </c>
      <c r="CX432" s="8">
        <f>1506450</f>
        <v>1506450</v>
      </c>
      <c r="CY432" s="8">
        <f>1405518</f>
        <v>1405518</v>
      </c>
      <c r="DA432" s="5" t="s">
        <v>238</v>
      </c>
      <c r="DB432" s="5" t="s">
        <v>238</v>
      </c>
      <c r="DD432" s="5" t="s">
        <v>238</v>
      </c>
      <c r="DE432" s="8">
        <f>0</f>
        <v>0</v>
      </c>
      <c r="DG432" s="5" t="s">
        <v>238</v>
      </c>
      <c r="DH432" s="5" t="s">
        <v>238</v>
      </c>
      <c r="DI432" s="5" t="s">
        <v>238</v>
      </c>
      <c r="DJ432" s="5" t="s">
        <v>238</v>
      </c>
      <c r="DK432" s="5" t="s">
        <v>272</v>
      </c>
      <c r="DL432" s="5" t="s">
        <v>272</v>
      </c>
      <c r="DM432" s="8" t="s">
        <v>238</v>
      </c>
      <c r="DN432" s="5" t="s">
        <v>238</v>
      </c>
      <c r="DO432" s="5" t="s">
        <v>238</v>
      </c>
      <c r="DP432" s="5" t="s">
        <v>238</v>
      </c>
      <c r="DQ432" s="5" t="s">
        <v>238</v>
      </c>
      <c r="DT432" s="5" t="s">
        <v>409</v>
      </c>
      <c r="DU432" s="5" t="s">
        <v>354</v>
      </c>
      <c r="GL432" s="5" t="s">
        <v>410</v>
      </c>
      <c r="HM432" s="5" t="s">
        <v>274</v>
      </c>
      <c r="HP432" s="5" t="s">
        <v>272</v>
      </c>
      <c r="HQ432" s="5" t="s">
        <v>272</v>
      </c>
      <c r="HR432" s="5" t="s">
        <v>238</v>
      </c>
      <c r="HS432" s="5" t="s">
        <v>238</v>
      </c>
      <c r="HT432" s="5" t="s">
        <v>238</v>
      </c>
      <c r="HU432" s="5" t="s">
        <v>238</v>
      </c>
      <c r="HV432" s="5" t="s">
        <v>238</v>
      </c>
      <c r="HW432" s="5" t="s">
        <v>238</v>
      </c>
      <c r="HX432" s="5" t="s">
        <v>238</v>
      </c>
      <c r="HY432" s="5" t="s">
        <v>238</v>
      </c>
      <c r="HZ432" s="5" t="s">
        <v>238</v>
      </c>
      <c r="IA432" s="5" t="s">
        <v>238</v>
      </c>
      <c r="IB432" s="5" t="s">
        <v>238</v>
      </c>
      <c r="IC432" s="5" t="s">
        <v>238</v>
      </c>
      <c r="ID432" s="5" t="s">
        <v>238</v>
      </c>
    </row>
    <row r="433" spans="1:238" x14ac:dyDescent="0.4">
      <c r="A433" s="5">
        <v>469</v>
      </c>
      <c r="B433" s="5">
        <v>1</v>
      </c>
      <c r="C433" s="5">
        <v>1</v>
      </c>
      <c r="D433" s="5" t="s">
        <v>397</v>
      </c>
      <c r="E433" s="5" t="s">
        <v>347</v>
      </c>
      <c r="F433" s="5" t="s">
        <v>282</v>
      </c>
      <c r="G433" s="5" t="s">
        <v>3027</v>
      </c>
      <c r="H433" s="6" t="s">
        <v>398</v>
      </c>
      <c r="I433" s="5" t="s">
        <v>3027</v>
      </c>
      <c r="J433" s="7">
        <f>26</f>
        <v>26</v>
      </c>
      <c r="K433" s="5" t="s">
        <v>270</v>
      </c>
      <c r="L433" s="8">
        <f>1</f>
        <v>1</v>
      </c>
      <c r="M433" s="8">
        <f>1560000</f>
        <v>1560000</v>
      </c>
      <c r="N433" s="6" t="s">
        <v>3078</v>
      </c>
      <c r="O433" s="5" t="s">
        <v>268</v>
      </c>
      <c r="P433" s="5" t="s">
        <v>898</v>
      </c>
      <c r="R433" s="8">
        <f>1559999</f>
        <v>1559999</v>
      </c>
      <c r="S433" s="5" t="s">
        <v>240</v>
      </c>
      <c r="T433" s="5" t="s">
        <v>237</v>
      </c>
      <c r="U433" s="5" t="s">
        <v>238</v>
      </c>
      <c r="V433" s="5" t="s">
        <v>238</v>
      </c>
      <c r="W433" s="5" t="s">
        <v>241</v>
      </c>
      <c r="X433" s="5" t="s">
        <v>337</v>
      </c>
      <c r="Y433" s="5" t="s">
        <v>238</v>
      </c>
      <c r="AB433" s="5" t="s">
        <v>238</v>
      </c>
      <c r="AD433" s="6" t="s">
        <v>238</v>
      </c>
      <c r="AG433" s="6" t="s">
        <v>246</v>
      </c>
      <c r="AH433" s="5" t="s">
        <v>247</v>
      </c>
      <c r="AI433" s="5" t="s">
        <v>248</v>
      </c>
      <c r="AY433" s="5" t="s">
        <v>250</v>
      </c>
      <c r="AZ433" s="5" t="s">
        <v>238</v>
      </c>
      <c r="BA433" s="5" t="s">
        <v>251</v>
      </c>
      <c r="BB433" s="5" t="s">
        <v>238</v>
      </c>
      <c r="BC433" s="5" t="s">
        <v>253</v>
      </c>
      <c r="BD433" s="5" t="s">
        <v>238</v>
      </c>
      <c r="BF433" s="5" t="s">
        <v>1495</v>
      </c>
      <c r="BH433" s="5" t="s">
        <v>697</v>
      </c>
      <c r="BI433" s="6" t="s">
        <v>698</v>
      </c>
      <c r="BJ433" s="5" t="s">
        <v>255</v>
      </c>
      <c r="BK433" s="5" t="s">
        <v>256</v>
      </c>
      <c r="BL433" s="5" t="s">
        <v>238</v>
      </c>
      <c r="BM433" s="7">
        <f>0</f>
        <v>0</v>
      </c>
      <c r="BN433" s="8">
        <f>0</f>
        <v>0</v>
      </c>
      <c r="BO433" s="5" t="s">
        <v>257</v>
      </c>
      <c r="BP433" s="5" t="s">
        <v>258</v>
      </c>
      <c r="CD433" s="5" t="s">
        <v>238</v>
      </c>
      <c r="CE433" s="5" t="s">
        <v>238</v>
      </c>
      <c r="CI433" s="5" t="s">
        <v>527</v>
      </c>
      <c r="CJ433" s="5" t="s">
        <v>260</v>
      </c>
      <c r="CK433" s="5" t="s">
        <v>238</v>
      </c>
      <c r="CM433" s="5" t="s">
        <v>897</v>
      </c>
      <c r="CN433" s="6" t="s">
        <v>262</v>
      </c>
      <c r="CO433" s="5" t="s">
        <v>263</v>
      </c>
      <c r="CP433" s="5" t="s">
        <v>264</v>
      </c>
      <c r="CQ433" s="5" t="s">
        <v>238</v>
      </c>
      <c r="CR433" s="5" t="s">
        <v>238</v>
      </c>
      <c r="CS433" s="5">
        <v>0</v>
      </c>
      <c r="CT433" s="5" t="s">
        <v>265</v>
      </c>
      <c r="CU433" s="5" t="s">
        <v>351</v>
      </c>
      <c r="CV433" s="5" t="s">
        <v>394</v>
      </c>
      <c r="CX433" s="8">
        <f>1560000</f>
        <v>1560000</v>
      </c>
      <c r="CY433" s="8">
        <f>0</f>
        <v>0</v>
      </c>
      <c r="DA433" s="5" t="s">
        <v>238</v>
      </c>
      <c r="DB433" s="5" t="s">
        <v>238</v>
      </c>
      <c r="DD433" s="5" t="s">
        <v>238</v>
      </c>
      <c r="DG433" s="5" t="s">
        <v>238</v>
      </c>
      <c r="DH433" s="5" t="s">
        <v>238</v>
      </c>
      <c r="DI433" s="5" t="s">
        <v>238</v>
      </c>
      <c r="DJ433" s="5" t="s">
        <v>238</v>
      </c>
      <c r="DK433" s="5" t="s">
        <v>271</v>
      </c>
      <c r="DL433" s="5" t="s">
        <v>272</v>
      </c>
      <c r="DM433" s="7">
        <f>26</f>
        <v>26</v>
      </c>
      <c r="DN433" s="5" t="s">
        <v>238</v>
      </c>
      <c r="DO433" s="5" t="s">
        <v>238</v>
      </c>
      <c r="DP433" s="5" t="s">
        <v>238</v>
      </c>
      <c r="DQ433" s="5" t="s">
        <v>238</v>
      </c>
      <c r="DT433" s="5" t="s">
        <v>399</v>
      </c>
      <c r="DU433" s="5" t="s">
        <v>271</v>
      </c>
      <c r="HM433" s="5" t="s">
        <v>271</v>
      </c>
      <c r="HP433" s="5" t="s">
        <v>272</v>
      </c>
      <c r="HQ433" s="5" t="s">
        <v>272</v>
      </c>
    </row>
    <row r="434" spans="1:238" x14ac:dyDescent="0.4">
      <c r="A434" s="5">
        <v>470</v>
      </c>
      <c r="B434" s="5">
        <v>1</v>
      </c>
      <c r="C434" s="5">
        <v>4</v>
      </c>
      <c r="D434" s="5" t="s">
        <v>397</v>
      </c>
      <c r="E434" s="5" t="s">
        <v>347</v>
      </c>
      <c r="F434" s="5" t="s">
        <v>282</v>
      </c>
      <c r="G434" s="5" t="s">
        <v>1499</v>
      </c>
      <c r="H434" s="6" t="s">
        <v>398</v>
      </c>
      <c r="I434" s="5" t="s">
        <v>1314</v>
      </c>
      <c r="J434" s="7">
        <f>3016</f>
        <v>3016</v>
      </c>
      <c r="K434" s="5" t="s">
        <v>270</v>
      </c>
      <c r="L434" s="8">
        <f>13029120</f>
        <v>13029120</v>
      </c>
      <c r="M434" s="8">
        <f>407160000</f>
        <v>407160000</v>
      </c>
      <c r="N434" s="6" t="s">
        <v>1610</v>
      </c>
      <c r="O434" s="5" t="s">
        <v>898</v>
      </c>
      <c r="P434" s="5" t="s">
        <v>861</v>
      </c>
      <c r="Q434" s="8">
        <f>8957520</f>
        <v>8957520</v>
      </c>
      <c r="R434" s="8">
        <f>394130880</f>
        <v>394130880</v>
      </c>
      <c r="S434" s="5" t="s">
        <v>240</v>
      </c>
      <c r="T434" s="5" t="s">
        <v>237</v>
      </c>
      <c r="U434" s="5" t="s">
        <v>238</v>
      </c>
      <c r="V434" s="5" t="s">
        <v>238</v>
      </c>
      <c r="W434" s="5" t="s">
        <v>241</v>
      </c>
      <c r="X434" s="5" t="s">
        <v>337</v>
      </c>
      <c r="Y434" s="5" t="s">
        <v>238</v>
      </c>
      <c r="AB434" s="5" t="s">
        <v>238</v>
      </c>
      <c r="AC434" s="6" t="s">
        <v>238</v>
      </c>
      <c r="AD434" s="6" t="s">
        <v>238</v>
      </c>
      <c r="AF434" s="6" t="s">
        <v>238</v>
      </c>
      <c r="AG434" s="6" t="s">
        <v>246</v>
      </c>
      <c r="AH434" s="5" t="s">
        <v>247</v>
      </c>
      <c r="AI434" s="5" t="s">
        <v>248</v>
      </c>
      <c r="AO434" s="5" t="s">
        <v>238</v>
      </c>
      <c r="AP434" s="5" t="s">
        <v>238</v>
      </c>
      <c r="AQ434" s="5" t="s">
        <v>238</v>
      </c>
      <c r="AR434" s="6" t="s">
        <v>238</v>
      </c>
      <c r="AS434" s="6" t="s">
        <v>238</v>
      </c>
      <c r="AT434" s="6" t="s">
        <v>238</v>
      </c>
      <c r="AW434" s="5" t="s">
        <v>304</v>
      </c>
      <c r="AX434" s="5" t="s">
        <v>304</v>
      </c>
      <c r="AY434" s="5" t="s">
        <v>250</v>
      </c>
      <c r="AZ434" s="5" t="s">
        <v>305</v>
      </c>
      <c r="BA434" s="5" t="s">
        <v>251</v>
      </c>
      <c r="BB434" s="5" t="s">
        <v>238</v>
      </c>
      <c r="BC434" s="5" t="s">
        <v>253</v>
      </c>
      <c r="BD434" s="5" t="s">
        <v>238</v>
      </c>
      <c r="BF434" s="5" t="s">
        <v>238</v>
      </c>
      <c r="BH434" s="5" t="s">
        <v>283</v>
      </c>
      <c r="BI434" s="6" t="s">
        <v>293</v>
      </c>
      <c r="BJ434" s="5" t="s">
        <v>294</v>
      </c>
      <c r="BK434" s="5" t="s">
        <v>294</v>
      </c>
      <c r="BL434" s="5" t="s">
        <v>238</v>
      </c>
      <c r="BM434" s="7">
        <f>0</f>
        <v>0</v>
      </c>
      <c r="BN434" s="8">
        <f>-8957520</f>
        <v>-8957520</v>
      </c>
      <c r="BO434" s="5" t="s">
        <v>257</v>
      </c>
      <c r="BP434" s="5" t="s">
        <v>258</v>
      </c>
      <c r="BQ434" s="5" t="s">
        <v>238</v>
      </c>
      <c r="BR434" s="5" t="s">
        <v>238</v>
      </c>
      <c r="BS434" s="5" t="s">
        <v>238</v>
      </c>
      <c r="BT434" s="5" t="s">
        <v>238</v>
      </c>
      <c r="CC434" s="5" t="s">
        <v>258</v>
      </c>
      <c r="CD434" s="5" t="s">
        <v>238</v>
      </c>
      <c r="CE434" s="5" t="s">
        <v>238</v>
      </c>
      <c r="CI434" s="5" t="s">
        <v>527</v>
      </c>
      <c r="CJ434" s="5" t="s">
        <v>260</v>
      </c>
      <c r="CK434" s="5" t="s">
        <v>238</v>
      </c>
      <c r="CM434" s="5" t="s">
        <v>970</v>
      </c>
      <c r="CN434" s="6" t="s">
        <v>262</v>
      </c>
      <c r="CO434" s="5" t="s">
        <v>263</v>
      </c>
      <c r="CP434" s="5" t="s">
        <v>264</v>
      </c>
      <c r="CQ434" s="5" t="s">
        <v>285</v>
      </c>
      <c r="CR434" s="5" t="s">
        <v>238</v>
      </c>
      <c r="CS434" s="5">
        <v>2.1999999999999999E-2</v>
      </c>
      <c r="CT434" s="5" t="s">
        <v>265</v>
      </c>
      <c r="CU434" s="5" t="s">
        <v>1493</v>
      </c>
      <c r="CV434" s="5" t="s">
        <v>308</v>
      </c>
      <c r="CW434" s="7">
        <f>0</f>
        <v>0</v>
      </c>
      <c r="CX434" s="8">
        <f>407160000</f>
        <v>407160000</v>
      </c>
      <c r="CY434" s="8">
        <f>21986640</f>
        <v>21986640</v>
      </c>
      <c r="DA434" s="5" t="s">
        <v>238</v>
      </c>
      <c r="DB434" s="5" t="s">
        <v>238</v>
      </c>
      <c r="DD434" s="5" t="s">
        <v>238</v>
      </c>
      <c r="DE434" s="8">
        <f>0</f>
        <v>0</v>
      </c>
      <c r="DG434" s="5" t="s">
        <v>238</v>
      </c>
      <c r="DH434" s="5" t="s">
        <v>238</v>
      </c>
      <c r="DI434" s="5" t="s">
        <v>238</v>
      </c>
      <c r="DJ434" s="5" t="s">
        <v>238</v>
      </c>
      <c r="DK434" s="5" t="s">
        <v>356</v>
      </c>
      <c r="DL434" s="5" t="s">
        <v>272</v>
      </c>
      <c r="DM434" s="7">
        <f>3016</f>
        <v>3016</v>
      </c>
      <c r="DN434" s="5" t="s">
        <v>238</v>
      </c>
      <c r="DO434" s="5" t="s">
        <v>238</v>
      </c>
      <c r="DP434" s="5" t="s">
        <v>238</v>
      </c>
      <c r="DQ434" s="5" t="s">
        <v>238</v>
      </c>
      <c r="DT434" s="5" t="s">
        <v>399</v>
      </c>
      <c r="DU434" s="5" t="s">
        <v>274</v>
      </c>
      <c r="GL434" s="5" t="s">
        <v>1611</v>
      </c>
      <c r="HM434" s="5" t="s">
        <v>313</v>
      </c>
      <c r="HP434" s="5" t="s">
        <v>272</v>
      </c>
      <c r="HQ434" s="5" t="s">
        <v>272</v>
      </c>
      <c r="HR434" s="5" t="s">
        <v>238</v>
      </c>
      <c r="HS434" s="5" t="s">
        <v>238</v>
      </c>
      <c r="HT434" s="5" t="s">
        <v>238</v>
      </c>
      <c r="HU434" s="5" t="s">
        <v>238</v>
      </c>
      <c r="HV434" s="5" t="s">
        <v>238</v>
      </c>
      <c r="HW434" s="5" t="s">
        <v>238</v>
      </c>
      <c r="HX434" s="5" t="s">
        <v>238</v>
      </c>
      <c r="HY434" s="5" t="s">
        <v>238</v>
      </c>
      <c r="HZ434" s="5" t="s">
        <v>238</v>
      </c>
      <c r="IA434" s="5" t="s">
        <v>238</v>
      </c>
      <c r="IB434" s="5" t="s">
        <v>238</v>
      </c>
      <c r="IC434" s="5" t="s">
        <v>238</v>
      </c>
      <c r="ID434" s="5" t="s">
        <v>238</v>
      </c>
    </row>
    <row r="435" spans="1:238" x14ac:dyDescent="0.4">
      <c r="A435" s="5">
        <v>471</v>
      </c>
      <c r="B435" s="5">
        <v>1</v>
      </c>
      <c r="C435" s="5">
        <v>1</v>
      </c>
      <c r="D435" s="5" t="s">
        <v>397</v>
      </c>
      <c r="E435" s="5" t="s">
        <v>347</v>
      </c>
      <c r="F435" s="5" t="s">
        <v>282</v>
      </c>
      <c r="G435" s="5" t="s">
        <v>1308</v>
      </c>
      <c r="H435" s="6" t="s">
        <v>398</v>
      </c>
      <c r="I435" s="5" t="s">
        <v>1308</v>
      </c>
      <c r="J435" s="7">
        <f>638</f>
        <v>638</v>
      </c>
      <c r="K435" s="5" t="s">
        <v>270</v>
      </c>
      <c r="L435" s="8">
        <f>1</f>
        <v>1</v>
      </c>
      <c r="M435" s="8">
        <f>51040000</f>
        <v>51040000</v>
      </c>
      <c r="N435" s="6" t="s">
        <v>1368</v>
      </c>
      <c r="O435" s="5" t="s">
        <v>755</v>
      </c>
      <c r="P435" s="5" t="s">
        <v>965</v>
      </c>
      <c r="R435" s="8">
        <f>51039999</f>
        <v>51039999</v>
      </c>
      <c r="S435" s="5" t="s">
        <v>240</v>
      </c>
      <c r="T435" s="5" t="s">
        <v>237</v>
      </c>
      <c r="U435" s="5" t="s">
        <v>238</v>
      </c>
      <c r="V435" s="5" t="s">
        <v>238</v>
      </c>
      <c r="W435" s="5" t="s">
        <v>241</v>
      </c>
      <c r="X435" s="5" t="s">
        <v>337</v>
      </c>
      <c r="Y435" s="5" t="s">
        <v>238</v>
      </c>
      <c r="AB435" s="5" t="s">
        <v>238</v>
      </c>
      <c r="AD435" s="6" t="s">
        <v>238</v>
      </c>
      <c r="AG435" s="6" t="s">
        <v>246</v>
      </c>
      <c r="AH435" s="5" t="s">
        <v>247</v>
      </c>
      <c r="AI435" s="5" t="s">
        <v>248</v>
      </c>
      <c r="AY435" s="5" t="s">
        <v>250</v>
      </c>
      <c r="AZ435" s="5" t="s">
        <v>238</v>
      </c>
      <c r="BA435" s="5" t="s">
        <v>251</v>
      </c>
      <c r="BB435" s="5" t="s">
        <v>238</v>
      </c>
      <c r="BC435" s="5" t="s">
        <v>253</v>
      </c>
      <c r="BD435" s="5" t="s">
        <v>238</v>
      </c>
      <c r="BF435" s="5" t="s">
        <v>238</v>
      </c>
      <c r="BH435" s="5" t="s">
        <v>254</v>
      </c>
      <c r="BI435" s="6" t="s">
        <v>246</v>
      </c>
      <c r="BJ435" s="5" t="s">
        <v>255</v>
      </c>
      <c r="BK435" s="5" t="s">
        <v>256</v>
      </c>
      <c r="BL435" s="5" t="s">
        <v>238</v>
      </c>
      <c r="BM435" s="7">
        <f>0</f>
        <v>0</v>
      </c>
      <c r="BN435" s="8">
        <f>0</f>
        <v>0</v>
      </c>
      <c r="BO435" s="5" t="s">
        <v>257</v>
      </c>
      <c r="BP435" s="5" t="s">
        <v>258</v>
      </c>
      <c r="CD435" s="5" t="s">
        <v>238</v>
      </c>
      <c r="CE435" s="5" t="s">
        <v>238</v>
      </c>
      <c r="CI435" s="5" t="s">
        <v>527</v>
      </c>
      <c r="CJ435" s="5" t="s">
        <v>260</v>
      </c>
      <c r="CK435" s="5" t="s">
        <v>238</v>
      </c>
      <c r="CM435" s="5" t="s">
        <v>964</v>
      </c>
      <c r="CN435" s="6" t="s">
        <v>262</v>
      </c>
      <c r="CO435" s="5" t="s">
        <v>263</v>
      </c>
      <c r="CP435" s="5" t="s">
        <v>264</v>
      </c>
      <c r="CQ435" s="5" t="s">
        <v>238</v>
      </c>
      <c r="CR435" s="5" t="s">
        <v>238</v>
      </c>
      <c r="CS435" s="5">
        <v>0</v>
      </c>
      <c r="CT435" s="5" t="s">
        <v>265</v>
      </c>
      <c r="CU435" s="5" t="s">
        <v>1330</v>
      </c>
      <c r="CV435" s="5" t="s">
        <v>649</v>
      </c>
      <c r="CX435" s="8">
        <f>51040000</f>
        <v>51040000</v>
      </c>
      <c r="CY435" s="8">
        <f>0</f>
        <v>0</v>
      </c>
      <c r="DA435" s="5" t="s">
        <v>238</v>
      </c>
      <c r="DB435" s="5" t="s">
        <v>238</v>
      </c>
      <c r="DD435" s="5" t="s">
        <v>238</v>
      </c>
      <c r="DG435" s="5" t="s">
        <v>238</v>
      </c>
      <c r="DH435" s="5" t="s">
        <v>238</v>
      </c>
      <c r="DI435" s="5" t="s">
        <v>238</v>
      </c>
      <c r="DJ435" s="5" t="s">
        <v>238</v>
      </c>
      <c r="DK435" s="5" t="s">
        <v>274</v>
      </c>
      <c r="DL435" s="5" t="s">
        <v>272</v>
      </c>
      <c r="DM435" s="7">
        <f>638</f>
        <v>638</v>
      </c>
      <c r="DN435" s="5" t="s">
        <v>238</v>
      </c>
      <c r="DO435" s="5" t="s">
        <v>238</v>
      </c>
      <c r="DP435" s="5" t="s">
        <v>238</v>
      </c>
      <c r="DQ435" s="5" t="s">
        <v>238</v>
      </c>
      <c r="DT435" s="5" t="s">
        <v>399</v>
      </c>
      <c r="DU435" s="5" t="s">
        <v>356</v>
      </c>
      <c r="HM435" s="5" t="s">
        <v>271</v>
      </c>
      <c r="HP435" s="5" t="s">
        <v>272</v>
      </c>
      <c r="HQ435" s="5" t="s">
        <v>272</v>
      </c>
    </row>
    <row r="436" spans="1:238" x14ac:dyDescent="0.4">
      <c r="A436" s="5">
        <v>472</v>
      </c>
      <c r="B436" s="5">
        <v>1</v>
      </c>
      <c r="C436" s="5">
        <v>1</v>
      </c>
      <c r="D436" s="5" t="s">
        <v>397</v>
      </c>
      <c r="E436" s="5" t="s">
        <v>347</v>
      </c>
      <c r="F436" s="5" t="s">
        <v>282</v>
      </c>
      <c r="G436" s="5" t="s">
        <v>239</v>
      </c>
      <c r="H436" s="6" t="s">
        <v>398</v>
      </c>
      <c r="I436" s="5" t="s">
        <v>239</v>
      </c>
      <c r="J436" s="7">
        <f>46</f>
        <v>46</v>
      </c>
      <c r="K436" s="5" t="s">
        <v>270</v>
      </c>
      <c r="L436" s="8">
        <f>1</f>
        <v>1</v>
      </c>
      <c r="M436" s="8">
        <f>2760000</f>
        <v>2760000</v>
      </c>
      <c r="N436" s="6" t="s">
        <v>966</v>
      </c>
      <c r="O436" s="5" t="s">
        <v>268</v>
      </c>
      <c r="P436" s="5" t="s">
        <v>650</v>
      </c>
      <c r="R436" s="8">
        <f>2759999</f>
        <v>2759999</v>
      </c>
      <c r="S436" s="5" t="s">
        <v>240</v>
      </c>
      <c r="T436" s="5" t="s">
        <v>237</v>
      </c>
      <c r="U436" s="5" t="s">
        <v>238</v>
      </c>
      <c r="V436" s="5" t="s">
        <v>238</v>
      </c>
      <c r="W436" s="5" t="s">
        <v>241</v>
      </c>
      <c r="X436" s="5" t="s">
        <v>337</v>
      </c>
      <c r="Y436" s="5" t="s">
        <v>238</v>
      </c>
      <c r="AB436" s="5" t="s">
        <v>238</v>
      </c>
      <c r="AD436" s="6" t="s">
        <v>238</v>
      </c>
      <c r="AG436" s="6" t="s">
        <v>246</v>
      </c>
      <c r="AH436" s="5" t="s">
        <v>247</v>
      </c>
      <c r="AI436" s="5" t="s">
        <v>248</v>
      </c>
      <c r="AY436" s="5" t="s">
        <v>250</v>
      </c>
      <c r="AZ436" s="5" t="s">
        <v>238</v>
      </c>
      <c r="BA436" s="5" t="s">
        <v>251</v>
      </c>
      <c r="BB436" s="5" t="s">
        <v>238</v>
      </c>
      <c r="BC436" s="5" t="s">
        <v>253</v>
      </c>
      <c r="BD436" s="5" t="s">
        <v>238</v>
      </c>
      <c r="BF436" s="5" t="s">
        <v>238</v>
      </c>
      <c r="BH436" s="5" t="s">
        <v>859</v>
      </c>
      <c r="BI436" s="6" t="s">
        <v>368</v>
      </c>
      <c r="BJ436" s="5" t="s">
        <v>255</v>
      </c>
      <c r="BK436" s="5" t="s">
        <v>256</v>
      </c>
      <c r="BL436" s="5" t="s">
        <v>238</v>
      </c>
      <c r="BM436" s="7">
        <f>0</f>
        <v>0</v>
      </c>
      <c r="BN436" s="8">
        <f>0</f>
        <v>0</v>
      </c>
      <c r="BO436" s="5" t="s">
        <v>257</v>
      </c>
      <c r="BP436" s="5" t="s">
        <v>258</v>
      </c>
      <c r="CD436" s="5" t="s">
        <v>238</v>
      </c>
      <c r="CE436" s="5" t="s">
        <v>238</v>
      </c>
      <c r="CI436" s="5" t="s">
        <v>527</v>
      </c>
      <c r="CJ436" s="5" t="s">
        <v>260</v>
      </c>
      <c r="CK436" s="5" t="s">
        <v>238</v>
      </c>
      <c r="CM436" s="5" t="s">
        <v>877</v>
      </c>
      <c r="CN436" s="6" t="s">
        <v>262</v>
      </c>
      <c r="CO436" s="5" t="s">
        <v>263</v>
      </c>
      <c r="CP436" s="5" t="s">
        <v>264</v>
      </c>
      <c r="CQ436" s="5" t="s">
        <v>238</v>
      </c>
      <c r="CR436" s="5" t="s">
        <v>238</v>
      </c>
      <c r="CS436" s="5">
        <v>0</v>
      </c>
      <c r="CT436" s="5" t="s">
        <v>265</v>
      </c>
      <c r="CU436" s="5" t="s">
        <v>266</v>
      </c>
      <c r="CV436" s="5" t="s">
        <v>267</v>
      </c>
      <c r="CX436" s="8">
        <f>2760000</f>
        <v>2760000</v>
      </c>
      <c r="CY436" s="8">
        <f>0</f>
        <v>0</v>
      </c>
      <c r="DA436" s="5" t="s">
        <v>238</v>
      </c>
      <c r="DB436" s="5" t="s">
        <v>238</v>
      </c>
      <c r="DD436" s="5" t="s">
        <v>238</v>
      </c>
      <c r="DG436" s="5" t="s">
        <v>238</v>
      </c>
      <c r="DH436" s="5" t="s">
        <v>238</v>
      </c>
      <c r="DI436" s="5" t="s">
        <v>238</v>
      </c>
      <c r="DJ436" s="5" t="s">
        <v>238</v>
      </c>
      <c r="DK436" s="5" t="s">
        <v>271</v>
      </c>
      <c r="DL436" s="5" t="s">
        <v>272</v>
      </c>
      <c r="DM436" s="7">
        <f>46</f>
        <v>46</v>
      </c>
      <c r="DN436" s="5" t="s">
        <v>238</v>
      </c>
      <c r="DO436" s="5" t="s">
        <v>238</v>
      </c>
      <c r="DP436" s="5" t="s">
        <v>238</v>
      </c>
      <c r="DQ436" s="5" t="s">
        <v>238</v>
      </c>
      <c r="DT436" s="5" t="s">
        <v>399</v>
      </c>
      <c r="DU436" s="5" t="s">
        <v>310</v>
      </c>
      <c r="HM436" s="5" t="s">
        <v>271</v>
      </c>
      <c r="HP436" s="5" t="s">
        <v>272</v>
      </c>
      <c r="HQ436" s="5" t="s">
        <v>272</v>
      </c>
    </row>
    <row r="437" spans="1:238" x14ac:dyDescent="0.4">
      <c r="A437" s="5">
        <v>473</v>
      </c>
      <c r="B437" s="5">
        <v>1</v>
      </c>
      <c r="C437" s="5">
        <v>1</v>
      </c>
      <c r="D437" s="5" t="s">
        <v>397</v>
      </c>
      <c r="E437" s="5" t="s">
        <v>347</v>
      </c>
      <c r="F437" s="5" t="s">
        <v>282</v>
      </c>
      <c r="G437" s="5" t="s">
        <v>239</v>
      </c>
      <c r="H437" s="6" t="s">
        <v>398</v>
      </c>
      <c r="I437" s="5" t="s">
        <v>239</v>
      </c>
      <c r="J437" s="7">
        <f>17</f>
        <v>17</v>
      </c>
      <c r="K437" s="5" t="s">
        <v>270</v>
      </c>
      <c r="L437" s="8">
        <f>1</f>
        <v>1</v>
      </c>
      <c r="M437" s="8">
        <f>1020000</f>
        <v>1020000</v>
      </c>
      <c r="N437" s="6" t="s">
        <v>982</v>
      </c>
      <c r="O437" s="5" t="s">
        <v>268</v>
      </c>
      <c r="P437" s="5" t="s">
        <v>975</v>
      </c>
      <c r="R437" s="8">
        <f>1019999</f>
        <v>1019999</v>
      </c>
      <c r="S437" s="5" t="s">
        <v>240</v>
      </c>
      <c r="T437" s="5" t="s">
        <v>237</v>
      </c>
      <c r="U437" s="5" t="s">
        <v>238</v>
      </c>
      <c r="V437" s="5" t="s">
        <v>238</v>
      </c>
      <c r="W437" s="5" t="s">
        <v>241</v>
      </c>
      <c r="X437" s="5" t="s">
        <v>337</v>
      </c>
      <c r="Y437" s="5" t="s">
        <v>238</v>
      </c>
      <c r="AB437" s="5" t="s">
        <v>238</v>
      </c>
      <c r="AD437" s="6" t="s">
        <v>238</v>
      </c>
      <c r="AG437" s="6" t="s">
        <v>246</v>
      </c>
      <c r="AH437" s="5" t="s">
        <v>247</v>
      </c>
      <c r="AI437" s="5" t="s">
        <v>248</v>
      </c>
      <c r="AY437" s="5" t="s">
        <v>250</v>
      </c>
      <c r="AZ437" s="5" t="s">
        <v>238</v>
      </c>
      <c r="BA437" s="5" t="s">
        <v>251</v>
      </c>
      <c r="BB437" s="5" t="s">
        <v>238</v>
      </c>
      <c r="BC437" s="5" t="s">
        <v>253</v>
      </c>
      <c r="BD437" s="5" t="s">
        <v>238</v>
      </c>
      <c r="BF437" s="5" t="s">
        <v>238</v>
      </c>
      <c r="BH437" s="5" t="s">
        <v>697</v>
      </c>
      <c r="BI437" s="6" t="s">
        <v>698</v>
      </c>
      <c r="BJ437" s="5" t="s">
        <v>255</v>
      </c>
      <c r="BK437" s="5" t="s">
        <v>256</v>
      </c>
      <c r="BL437" s="5" t="s">
        <v>238</v>
      </c>
      <c r="BM437" s="7">
        <f>0</f>
        <v>0</v>
      </c>
      <c r="BN437" s="8">
        <f>0</f>
        <v>0</v>
      </c>
      <c r="BO437" s="5" t="s">
        <v>257</v>
      </c>
      <c r="BP437" s="5" t="s">
        <v>258</v>
      </c>
      <c r="CD437" s="5" t="s">
        <v>238</v>
      </c>
      <c r="CE437" s="5" t="s">
        <v>238</v>
      </c>
      <c r="CI437" s="5" t="s">
        <v>527</v>
      </c>
      <c r="CJ437" s="5" t="s">
        <v>260</v>
      </c>
      <c r="CK437" s="5" t="s">
        <v>238</v>
      </c>
      <c r="CM437" s="5" t="s">
        <v>974</v>
      </c>
      <c r="CN437" s="6" t="s">
        <v>262</v>
      </c>
      <c r="CO437" s="5" t="s">
        <v>263</v>
      </c>
      <c r="CP437" s="5" t="s">
        <v>264</v>
      </c>
      <c r="CQ437" s="5" t="s">
        <v>238</v>
      </c>
      <c r="CR437" s="5" t="s">
        <v>238</v>
      </c>
      <c r="CS437" s="5">
        <v>0</v>
      </c>
      <c r="CT437" s="5" t="s">
        <v>265</v>
      </c>
      <c r="CU437" s="5" t="s">
        <v>266</v>
      </c>
      <c r="CV437" s="5" t="s">
        <v>267</v>
      </c>
      <c r="CX437" s="8">
        <f>1020000</f>
        <v>1020000</v>
      </c>
      <c r="CY437" s="8">
        <f>0</f>
        <v>0</v>
      </c>
      <c r="DA437" s="5" t="s">
        <v>238</v>
      </c>
      <c r="DB437" s="5" t="s">
        <v>238</v>
      </c>
      <c r="DD437" s="5" t="s">
        <v>238</v>
      </c>
      <c r="DG437" s="5" t="s">
        <v>238</v>
      </c>
      <c r="DH437" s="5" t="s">
        <v>238</v>
      </c>
      <c r="DI437" s="5" t="s">
        <v>238</v>
      </c>
      <c r="DJ437" s="5" t="s">
        <v>238</v>
      </c>
      <c r="DK437" s="5" t="s">
        <v>271</v>
      </c>
      <c r="DL437" s="5" t="s">
        <v>272</v>
      </c>
      <c r="DM437" s="7">
        <f>17</f>
        <v>17</v>
      </c>
      <c r="DN437" s="5" t="s">
        <v>238</v>
      </c>
      <c r="DO437" s="5" t="s">
        <v>238</v>
      </c>
      <c r="DP437" s="5" t="s">
        <v>238</v>
      </c>
      <c r="DQ437" s="5" t="s">
        <v>238</v>
      </c>
      <c r="DT437" s="5" t="s">
        <v>399</v>
      </c>
      <c r="DU437" s="5" t="s">
        <v>379</v>
      </c>
      <c r="HM437" s="5" t="s">
        <v>271</v>
      </c>
      <c r="HP437" s="5" t="s">
        <v>272</v>
      </c>
      <c r="HQ437" s="5" t="s">
        <v>272</v>
      </c>
    </row>
    <row r="438" spans="1:238" x14ac:dyDescent="0.4">
      <c r="A438" s="5">
        <v>474</v>
      </c>
      <c r="B438" s="5">
        <v>1</v>
      </c>
      <c r="C438" s="5">
        <v>4</v>
      </c>
      <c r="D438" s="5" t="s">
        <v>397</v>
      </c>
      <c r="E438" s="5" t="s">
        <v>347</v>
      </c>
      <c r="F438" s="5" t="s">
        <v>282</v>
      </c>
      <c r="G438" s="5" t="s">
        <v>349</v>
      </c>
      <c r="H438" s="6" t="s">
        <v>398</v>
      </c>
      <c r="I438" s="5" t="s">
        <v>363</v>
      </c>
      <c r="J438" s="7">
        <f>0</f>
        <v>0</v>
      </c>
      <c r="K438" s="5" t="s">
        <v>270</v>
      </c>
      <c r="L438" s="8">
        <f>496530</f>
        <v>496530</v>
      </c>
      <c r="M438" s="8">
        <f>678318</f>
        <v>678318</v>
      </c>
      <c r="N438" s="6" t="s">
        <v>401</v>
      </c>
      <c r="O438" s="5" t="s">
        <v>268</v>
      </c>
      <c r="P438" s="5" t="s">
        <v>274</v>
      </c>
      <c r="Q438" s="8">
        <f>45447</f>
        <v>45447</v>
      </c>
      <c r="R438" s="8">
        <f>181788</f>
        <v>181788</v>
      </c>
      <c r="S438" s="5" t="s">
        <v>240</v>
      </c>
      <c r="T438" s="5" t="s">
        <v>287</v>
      </c>
      <c r="U438" s="5" t="s">
        <v>238</v>
      </c>
      <c r="V438" s="5" t="s">
        <v>238</v>
      </c>
      <c r="W438" s="5" t="s">
        <v>241</v>
      </c>
      <c r="X438" s="5" t="s">
        <v>238</v>
      </c>
      <c r="Y438" s="5" t="s">
        <v>238</v>
      </c>
      <c r="AB438" s="5" t="s">
        <v>238</v>
      </c>
      <c r="AC438" s="6" t="s">
        <v>238</v>
      </c>
      <c r="AD438" s="6" t="s">
        <v>238</v>
      </c>
      <c r="AF438" s="6" t="s">
        <v>238</v>
      </c>
      <c r="AG438" s="6" t="s">
        <v>246</v>
      </c>
      <c r="AH438" s="5" t="s">
        <v>247</v>
      </c>
      <c r="AI438" s="5" t="s">
        <v>248</v>
      </c>
      <c r="AO438" s="5" t="s">
        <v>238</v>
      </c>
      <c r="AP438" s="5" t="s">
        <v>238</v>
      </c>
      <c r="AQ438" s="5" t="s">
        <v>238</v>
      </c>
      <c r="AR438" s="6" t="s">
        <v>238</v>
      </c>
      <c r="AS438" s="6" t="s">
        <v>238</v>
      </c>
      <c r="AT438" s="6" t="s">
        <v>238</v>
      </c>
      <c r="AW438" s="5" t="s">
        <v>304</v>
      </c>
      <c r="AX438" s="5" t="s">
        <v>304</v>
      </c>
      <c r="AY438" s="5" t="s">
        <v>250</v>
      </c>
      <c r="AZ438" s="5" t="s">
        <v>305</v>
      </c>
      <c r="BA438" s="5" t="s">
        <v>251</v>
      </c>
      <c r="BB438" s="5" t="s">
        <v>238</v>
      </c>
      <c r="BC438" s="5" t="s">
        <v>253</v>
      </c>
      <c r="BD438" s="5" t="s">
        <v>238</v>
      </c>
      <c r="BF438" s="5" t="s">
        <v>238</v>
      </c>
      <c r="BH438" s="5" t="s">
        <v>283</v>
      </c>
      <c r="BI438" s="6" t="s">
        <v>293</v>
      </c>
      <c r="BJ438" s="5" t="s">
        <v>294</v>
      </c>
      <c r="BK438" s="5" t="s">
        <v>294</v>
      </c>
      <c r="BL438" s="5" t="s">
        <v>238</v>
      </c>
      <c r="BM438" s="7">
        <f>0</f>
        <v>0</v>
      </c>
      <c r="BN438" s="8">
        <f>-45447</f>
        <v>-45447</v>
      </c>
      <c r="BO438" s="5" t="s">
        <v>257</v>
      </c>
      <c r="BP438" s="5" t="s">
        <v>258</v>
      </c>
      <c r="BQ438" s="5" t="s">
        <v>238</v>
      </c>
      <c r="BR438" s="5" t="s">
        <v>238</v>
      </c>
      <c r="BS438" s="5" t="s">
        <v>238</v>
      </c>
      <c r="BT438" s="5" t="s">
        <v>238</v>
      </c>
      <c r="CC438" s="5" t="s">
        <v>258</v>
      </c>
      <c r="CD438" s="5" t="s">
        <v>238</v>
      </c>
      <c r="CE438" s="5" t="s">
        <v>238</v>
      </c>
      <c r="CI438" s="5" t="s">
        <v>259</v>
      </c>
      <c r="CJ438" s="5" t="s">
        <v>260</v>
      </c>
      <c r="CK438" s="5" t="s">
        <v>238</v>
      </c>
      <c r="CM438" s="5" t="s">
        <v>402</v>
      </c>
      <c r="CN438" s="6" t="s">
        <v>262</v>
      </c>
      <c r="CO438" s="5" t="s">
        <v>263</v>
      </c>
      <c r="CP438" s="5" t="s">
        <v>264</v>
      </c>
      <c r="CQ438" s="5" t="s">
        <v>285</v>
      </c>
      <c r="CR438" s="5" t="s">
        <v>238</v>
      </c>
      <c r="CS438" s="5">
        <v>6.7000000000000004E-2</v>
      </c>
      <c r="CT438" s="5" t="s">
        <v>265</v>
      </c>
      <c r="CU438" s="5" t="s">
        <v>351</v>
      </c>
      <c r="CV438" s="5" t="s">
        <v>365</v>
      </c>
      <c r="CW438" s="7">
        <f>0</f>
        <v>0</v>
      </c>
      <c r="CX438" s="8">
        <f>678318</f>
        <v>678318</v>
      </c>
      <c r="CY438" s="8">
        <f>541977</f>
        <v>541977</v>
      </c>
      <c r="DA438" s="5" t="s">
        <v>238</v>
      </c>
      <c r="DB438" s="5" t="s">
        <v>238</v>
      </c>
      <c r="DD438" s="5" t="s">
        <v>238</v>
      </c>
      <c r="DE438" s="8">
        <f>0</f>
        <v>0</v>
      </c>
      <c r="DG438" s="5" t="s">
        <v>238</v>
      </c>
      <c r="DH438" s="5" t="s">
        <v>238</v>
      </c>
      <c r="DI438" s="5" t="s">
        <v>238</v>
      </c>
      <c r="DJ438" s="5" t="s">
        <v>238</v>
      </c>
      <c r="DK438" s="5" t="s">
        <v>272</v>
      </c>
      <c r="DL438" s="5" t="s">
        <v>272</v>
      </c>
      <c r="DM438" s="8" t="s">
        <v>238</v>
      </c>
      <c r="DN438" s="5" t="s">
        <v>238</v>
      </c>
      <c r="DO438" s="5" t="s">
        <v>238</v>
      </c>
      <c r="DP438" s="5" t="s">
        <v>238</v>
      </c>
      <c r="DQ438" s="5" t="s">
        <v>238</v>
      </c>
      <c r="DT438" s="5" t="s">
        <v>399</v>
      </c>
      <c r="DU438" s="5" t="s">
        <v>313</v>
      </c>
      <c r="GL438" s="5" t="s">
        <v>403</v>
      </c>
      <c r="HM438" s="5" t="s">
        <v>310</v>
      </c>
      <c r="HP438" s="5" t="s">
        <v>272</v>
      </c>
      <c r="HQ438" s="5" t="s">
        <v>272</v>
      </c>
      <c r="HR438" s="5" t="s">
        <v>238</v>
      </c>
      <c r="HS438" s="5" t="s">
        <v>238</v>
      </c>
      <c r="HT438" s="5" t="s">
        <v>238</v>
      </c>
      <c r="HU438" s="5" t="s">
        <v>238</v>
      </c>
      <c r="HV438" s="5" t="s">
        <v>238</v>
      </c>
      <c r="HW438" s="5" t="s">
        <v>238</v>
      </c>
      <c r="HX438" s="5" t="s">
        <v>238</v>
      </c>
      <c r="HY438" s="5" t="s">
        <v>238</v>
      </c>
      <c r="HZ438" s="5" t="s">
        <v>238</v>
      </c>
      <c r="IA438" s="5" t="s">
        <v>238</v>
      </c>
      <c r="IB438" s="5" t="s">
        <v>238</v>
      </c>
      <c r="IC438" s="5" t="s">
        <v>238</v>
      </c>
      <c r="ID438" s="5" t="s">
        <v>238</v>
      </c>
    </row>
    <row r="439" spans="1:238" x14ac:dyDescent="0.4">
      <c r="A439" s="5">
        <v>475</v>
      </c>
      <c r="B439" s="5">
        <v>1</v>
      </c>
      <c r="C439" s="5">
        <v>4</v>
      </c>
      <c r="D439" s="5" t="s">
        <v>397</v>
      </c>
      <c r="E439" s="5" t="s">
        <v>347</v>
      </c>
      <c r="F439" s="5" t="s">
        <v>282</v>
      </c>
      <c r="G439" s="5" t="s">
        <v>349</v>
      </c>
      <c r="H439" s="6" t="s">
        <v>398</v>
      </c>
      <c r="I439" s="5" t="s">
        <v>345</v>
      </c>
      <c r="J439" s="7">
        <f>0</f>
        <v>0</v>
      </c>
      <c r="K439" s="5" t="s">
        <v>270</v>
      </c>
      <c r="L439" s="8">
        <f>31415249</f>
        <v>31415249</v>
      </c>
      <c r="M439" s="8">
        <f>40852079</f>
        <v>40852079</v>
      </c>
      <c r="N439" s="6" t="s">
        <v>348</v>
      </c>
      <c r="O439" s="5" t="s">
        <v>319</v>
      </c>
      <c r="P439" s="5" t="s">
        <v>271</v>
      </c>
      <c r="Q439" s="8">
        <f>3145610</f>
        <v>3145610</v>
      </c>
      <c r="R439" s="8">
        <f>9436830</f>
        <v>9436830</v>
      </c>
      <c r="S439" s="5" t="s">
        <v>240</v>
      </c>
      <c r="T439" s="5" t="s">
        <v>287</v>
      </c>
      <c r="U439" s="5" t="s">
        <v>238</v>
      </c>
      <c r="V439" s="5" t="s">
        <v>238</v>
      </c>
      <c r="W439" s="5" t="s">
        <v>241</v>
      </c>
      <c r="X439" s="5" t="s">
        <v>238</v>
      </c>
      <c r="Y439" s="5" t="s">
        <v>238</v>
      </c>
      <c r="AB439" s="5" t="s">
        <v>238</v>
      </c>
      <c r="AC439" s="6" t="s">
        <v>238</v>
      </c>
      <c r="AD439" s="6" t="s">
        <v>238</v>
      </c>
      <c r="AF439" s="6" t="s">
        <v>238</v>
      </c>
      <c r="AG439" s="6" t="s">
        <v>246</v>
      </c>
      <c r="AH439" s="5" t="s">
        <v>247</v>
      </c>
      <c r="AI439" s="5" t="s">
        <v>248</v>
      </c>
      <c r="AO439" s="5" t="s">
        <v>238</v>
      </c>
      <c r="AP439" s="5" t="s">
        <v>238</v>
      </c>
      <c r="AQ439" s="5" t="s">
        <v>238</v>
      </c>
      <c r="AR439" s="6" t="s">
        <v>238</v>
      </c>
      <c r="AS439" s="6" t="s">
        <v>238</v>
      </c>
      <c r="AT439" s="6" t="s">
        <v>238</v>
      </c>
      <c r="AW439" s="5" t="s">
        <v>304</v>
      </c>
      <c r="AX439" s="5" t="s">
        <v>304</v>
      </c>
      <c r="AY439" s="5" t="s">
        <v>250</v>
      </c>
      <c r="AZ439" s="5" t="s">
        <v>305</v>
      </c>
      <c r="BA439" s="5" t="s">
        <v>251</v>
      </c>
      <c r="BB439" s="5" t="s">
        <v>238</v>
      </c>
      <c r="BC439" s="5" t="s">
        <v>253</v>
      </c>
      <c r="BD439" s="5" t="s">
        <v>238</v>
      </c>
      <c r="BF439" s="5" t="s">
        <v>238</v>
      </c>
      <c r="BH439" s="5" t="s">
        <v>283</v>
      </c>
      <c r="BI439" s="6" t="s">
        <v>293</v>
      </c>
      <c r="BJ439" s="5" t="s">
        <v>294</v>
      </c>
      <c r="BK439" s="5" t="s">
        <v>294</v>
      </c>
      <c r="BL439" s="5" t="s">
        <v>238</v>
      </c>
      <c r="BM439" s="7">
        <f>0</f>
        <v>0</v>
      </c>
      <c r="BN439" s="8">
        <f>-3145610</f>
        <v>-3145610</v>
      </c>
      <c r="BO439" s="5" t="s">
        <v>257</v>
      </c>
      <c r="BP439" s="5" t="s">
        <v>258</v>
      </c>
      <c r="BQ439" s="5" t="s">
        <v>238</v>
      </c>
      <c r="BR439" s="5" t="s">
        <v>238</v>
      </c>
      <c r="BS439" s="5" t="s">
        <v>238</v>
      </c>
      <c r="BT439" s="5" t="s">
        <v>238</v>
      </c>
      <c r="CC439" s="5" t="s">
        <v>258</v>
      </c>
      <c r="CD439" s="5" t="s">
        <v>238</v>
      </c>
      <c r="CE439" s="5" t="s">
        <v>238</v>
      </c>
      <c r="CI439" s="5" t="s">
        <v>259</v>
      </c>
      <c r="CJ439" s="5" t="s">
        <v>260</v>
      </c>
      <c r="CK439" s="5" t="s">
        <v>238</v>
      </c>
      <c r="CM439" s="5" t="s">
        <v>291</v>
      </c>
      <c r="CN439" s="6" t="s">
        <v>262</v>
      </c>
      <c r="CO439" s="5" t="s">
        <v>263</v>
      </c>
      <c r="CP439" s="5" t="s">
        <v>264</v>
      </c>
      <c r="CQ439" s="5" t="s">
        <v>285</v>
      </c>
      <c r="CR439" s="5" t="s">
        <v>238</v>
      </c>
      <c r="CS439" s="5">
        <v>7.6999999999999999E-2</v>
      </c>
      <c r="CT439" s="5" t="s">
        <v>265</v>
      </c>
      <c r="CU439" s="5" t="s">
        <v>351</v>
      </c>
      <c r="CV439" s="5" t="s">
        <v>352</v>
      </c>
      <c r="CW439" s="7">
        <f>0</f>
        <v>0</v>
      </c>
      <c r="CX439" s="8">
        <f>40852079</f>
        <v>40852079</v>
      </c>
      <c r="CY439" s="8">
        <f>34560859</f>
        <v>34560859</v>
      </c>
      <c r="DA439" s="5" t="s">
        <v>238</v>
      </c>
      <c r="DB439" s="5" t="s">
        <v>238</v>
      </c>
      <c r="DD439" s="5" t="s">
        <v>238</v>
      </c>
      <c r="DE439" s="8">
        <f>0</f>
        <v>0</v>
      </c>
      <c r="DG439" s="5" t="s">
        <v>238</v>
      </c>
      <c r="DH439" s="5" t="s">
        <v>238</v>
      </c>
      <c r="DI439" s="5" t="s">
        <v>238</v>
      </c>
      <c r="DJ439" s="5" t="s">
        <v>238</v>
      </c>
      <c r="DK439" s="5" t="s">
        <v>272</v>
      </c>
      <c r="DL439" s="5" t="s">
        <v>272</v>
      </c>
      <c r="DM439" s="8" t="s">
        <v>238</v>
      </c>
      <c r="DN439" s="5" t="s">
        <v>238</v>
      </c>
      <c r="DO439" s="5" t="s">
        <v>238</v>
      </c>
      <c r="DP439" s="5" t="s">
        <v>238</v>
      </c>
      <c r="DQ439" s="5" t="s">
        <v>238</v>
      </c>
      <c r="DT439" s="5" t="s">
        <v>399</v>
      </c>
      <c r="DU439" s="5" t="s">
        <v>389</v>
      </c>
      <c r="GL439" s="5" t="s">
        <v>400</v>
      </c>
      <c r="HM439" s="5" t="s">
        <v>356</v>
      </c>
      <c r="HP439" s="5" t="s">
        <v>272</v>
      </c>
      <c r="HQ439" s="5" t="s">
        <v>272</v>
      </c>
      <c r="HR439" s="5" t="s">
        <v>238</v>
      </c>
      <c r="HS439" s="5" t="s">
        <v>238</v>
      </c>
      <c r="HT439" s="5" t="s">
        <v>238</v>
      </c>
      <c r="HU439" s="5" t="s">
        <v>238</v>
      </c>
      <c r="HV439" s="5" t="s">
        <v>238</v>
      </c>
      <c r="HW439" s="5" t="s">
        <v>238</v>
      </c>
      <c r="HX439" s="5" t="s">
        <v>238</v>
      </c>
      <c r="HY439" s="5" t="s">
        <v>238</v>
      </c>
      <c r="HZ439" s="5" t="s">
        <v>238</v>
      </c>
      <c r="IA439" s="5" t="s">
        <v>238</v>
      </c>
      <c r="IB439" s="5" t="s">
        <v>238</v>
      </c>
      <c r="IC439" s="5" t="s">
        <v>238</v>
      </c>
      <c r="ID439" s="5" t="s">
        <v>238</v>
      </c>
    </row>
    <row r="440" spans="1:238" x14ac:dyDescent="0.4">
      <c r="A440" s="5">
        <v>476</v>
      </c>
      <c r="B440" s="5">
        <v>1</v>
      </c>
      <c r="C440" s="5">
        <v>2</v>
      </c>
      <c r="D440" s="5" t="s">
        <v>385</v>
      </c>
      <c r="E440" s="5" t="s">
        <v>347</v>
      </c>
      <c r="F440" s="5" t="s">
        <v>282</v>
      </c>
      <c r="G440" s="5" t="s">
        <v>1314</v>
      </c>
      <c r="H440" s="6" t="s">
        <v>386</v>
      </c>
      <c r="I440" s="5" t="s">
        <v>1314</v>
      </c>
      <c r="J440" s="7">
        <f>2625</f>
        <v>2625</v>
      </c>
      <c r="K440" s="5" t="s">
        <v>270</v>
      </c>
      <c r="L440" s="8">
        <f>1</f>
        <v>1</v>
      </c>
      <c r="M440" s="8">
        <f>354375000</f>
        <v>354375000</v>
      </c>
      <c r="N440" s="6" t="s">
        <v>912</v>
      </c>
      <c r="O440" s="5" t="s">
        <v>898</v>
      </c>
      <c r="P440" s="5" t="s">
        <v>922</v>
      </c>
      <c r="R440" s="8">
        <f>354374999</f>
        <v>354374999</v>
      </c>
      <c r="S440" s="5" t="s">
        <v>240</v>
      </c>
      <c r="T440" s="5" t="s">
        <v>237</v>
      </c>
      <c r="W440" s="5" t="s">
        <v>241</v>
      </c>
      <c r="X440" s="5" t="s">
        <v>337</v>
      </c>
      <c r="Y440" s="5" t="s">
        <v>238</v>
      </c>
      <c r="AB440" s="5" t="s">
        <v>238</v>
      </c>
      <c r="AC440" s="6" t="s">
        <v>238</v>
      </c>
      <c r="AD440" s="6" t="s">
        <v>238</v>
      </c>
      <c r="AF440" s="6" t="s">
        <v>238</v>
      </c>
      <c r="AG440" s="6" t="s">
        <v>246</v>
      </c>
      <c r="AH440" s="5" t="s">
        <v>247</v>
      </c>
      <c r="AI440" s="5" t="s">
        <v>248</v>
      </c>
      <c r="AO440" s="5" t="s">
        <v>238</v>
      </c>
      <c r="AP440" s="5" t="s">
        <v>238</v>
      </c>
      <c r="AQ440" s="5" t="s">
        <v>238</v>
      </c>
      <c r="AR440" s="6" t="s">
        <v>238</v>
      </c>
      <c r="AS440" s="6" t="s">
        <v>238</v>
      </c>
      <c r="AT440" s="6" t="s">
        <v>238</v>
      </c>
      <c r="AW440" s="5" t="s">
        <v>304</v>
      </c>
      <c r="AX440" s="5" t="s">
        <v>304</v>
      </c>
      <c r="AY440" s="5" t="s">
        <v>250</v>
      </c>
      <c r="AZ440" s="5" t="s">
        <v>305</v>
      </c>
      <c r="BA440" s="5" t="s">
        <v>251</v>
      </c>
      <c r="BB440" s="5" t="s">
        <v>238</v>
      </c>
      <c r="BC440" s="5" t="s">
        <v>253</v>
      </c>
      <c r="BD440" s="5" t="s">
        <v>238</v>
      </c>
      <c r="BF440" s="5" t="s">
        <v>1495</v>
      </c>
      <c r="BH440" s="5" t="s">
        <v>1076</v>
      </c>
      <c r="BI440" s="6" t="s">
        <v>1077</v>
      </c>
      <c r="BJ440" s="5" t="s">
        <v>294</v>
      </c>
      <c r="BK440" s="5" t="s">
        <v>294</v>
      </c>
      <c r="BL440" s="5" t="s">
        <v>238</v>
      </c>
      <c r="BM440" s="7">
        <f>0</f>
        <v>0</v>
      </c>
      <c r="BN440" s="8">
        <f>-3543749</f>
        <v>-3543749</v>
      </c>
      <c r="BO440" s="5" t="s">
        <v>257</v>
      </c>
      <c r="BP440" s="5" t="s">
        <v>258</v>
      </c>
      <c r="BQ440" s="5" t="s">
        <v>238</v>
      </c>
      <c r="BR440" s="5" t="s">
        <v>238</v>
      </c>
      <c r="BS440" s="5" t="s">
        <v>238</v>
      </c>
      <c r="BT440" s="5" t="s">
        <v>238</v>
      </c>
      <c r="CC440" s="5" t="s">
        <v>258</v>
      </c>
      <c r="CD440" s="5" t="s">
        <v>238</v>
      </c>
      <c r="CE440" s="5" t="s">
        <v>238</v>
      </c>
      <c r="CI440" s="5" t="s">
        <v>527</v>
      </c>
      <c r="CJ440" s="5" t="s">
        <v>260</v>
      </c>
      <c r="CK440" s="5" t="s">
        <v>238</v>
      </c>
      <c r="CM440" s="5" t="s">
        <v>914</v>
      </c>
      <c r="CN440" s="6" t="s">
        <v>262</v>
      </c>
      <c r="CO440" s="5" t="s">
        <v>263</v>
      </c>
      <c r="CP440" s="5" t="s">
        <v>264</v>
      </c>
      <c r="CQ440" s="5" t="s">
        <v>285</v>
      </c>
      <c r="CR440" s="5" t="s">
        <v>238</v>
      </c>
      <c r="CS440" s="5">
        <v>0</v>
      </c>
      <c r="CT440" s="5" t="s">
        <v>265</v>
      </c>
      <c r="CU440" s="5" t="s">
        <v>1493</v>
      </c>
      <c r="CV440" s="5" t="s">
        <v>308</v>
      </c>
      <c r="CW440" s="7">
        <f>0</f>
        <v>0</v>
      </c>
      <c r="CX440" s="8">
        <f>354375000</f>
        <v>354375000</v>
      </c>
      <c r="CY440" s="8">
        <f>3543750</f>
        <v>3543750</v>
      </c>
      <c r="DA440" s="5" t="s">
        <v>238</v>
      </c>
      <c r="DB440" s="5" t="s">
        <v>238</v>
      </c>
      <c r="DD440" s="5" t="s">
        <v>238</v>
      </c>
      <c r="DE440" s="8">
        <f>0</f>
        <v>0</v>
      </c>
      <c r="DG440" s="5" t="s">
        <v>238</v>
      </c>
      <c r="DH440" s="5" t="s">
        <v>238</v>
      </c>
      <c r="DI440" s="5" t="s">
        <v>238</v>
      </c>
      <c r="DJ440" s="5" t="s">
        <v>238</v>
      </c>
      <c r="DK440" s="5" t="s">
        <v>356</v>
      </c>
      <c r="DL440" s="5" t="s">
        <v>272</v>
      </c>
      <c r="DM440" s="7">
        <f>2625</f>
        <v>2625</v>
      </c>
      <c r="DN440" s="5" t="s">
        <v>238</v>
      </c>
      <c r="DO440" s="5" t="s">
        <v>238</v>
      </c>
      <c r="DP440" s="5" t="s">
        <v>238</v>
      </c>
      <c r="DQ440" s="5" t="s">
        <v>238</v>
      </c>
      <c r="DT440" s="5" t="s">
        <v>387</v>
      </c>
      <c r="DU440" s="5" t="s">
        <v>271</v>
      </c>
      <c r="GL440" s="5" t="s">
        <v>3250</v>
      </c>
      <c r="HM440" s="5" t="s">
        <v>313</v>
      </c>
      <c r="HP440" s="5" t="s">
        <v>272</v>
      </c>
      <c r="HQ440" s="5" t="s">
        <v>272</v>
      </c>
      <c r="HR440" s="5" t="s">
        <v>238</v>
      </c>
      <c r="HS440" s="5" t="s">
        <v>238</v>
      </c>
      <c r="HT440" s="5" t="s">
        <v>238</v>
      </c>
      <c r="HU440" s="5" t="s">
        <v>238</v>
      </c>
      <c r="HV440" s="5" t="s">
        <v>238</v>
      </c>
      <c r="HW440" s="5" t="s">
        <v>238</v>
      </c>
      <c r="HX440" s="5" t="s">
        <v>238</v>
      </c>
      <c r="HY440" s="5" t="s">
        <v>238</v>
      </c>
      <c r="HZ440" s="5" t="s">
        <v>238</v>
      </c>
      <c r="IA440" s="5" t="s">
        <v>238</v>
      </c>
      <c r="IB440" s="5" t="s">
        <v>238</v>
      </c>
      <c r="IC440" s="5" t="s">
        <v>238</v>
      </c>
      <c r="ID440" s="5" t="s">
        <v>238</v>
      </c>
    </row>
    <row r="441" spans="1:238" x14ac:dyDescent="0.4">
      <c r="A441" s="5">
        <v>477</v>
      </c>
      <c r="B441" s="5">
        <v>1</v>
      </c>
      <c r="C441" s="5">
        <v>1</v>
      </c>
      <c r="D441" s="5" t="s">
        <v>385</v>
      </c>
      <c r="E441" s="5" t="s">
        <v>347</v>
      </c>
      <c r="F441" s="5" t="s">
        <v>282</v>
      </c>
      <c r="G441" s="5" t="s">
        <v>1308</v>
      </c>
      <c r="H441" s="6" t="s">
        <v>386</v>
      </c>
      <c r="I441" s="5" t="s">
        <v>1308</v>
      </c>
      <c r="J441" s="7">
        <f>906</f>
        <v>906</v>
      </c>
      <c r="K441" s="5" t="s">
        <v>270</v>
      </c>
      <c r="L441" s="8">
        <f>1</f>
        <v>1</v>
      </c>
      <c r="M441" s="8">
        <f>72480000</f>
        <v>72480000</v>
      </c>
      <c r="N441" s="6" t="s">
        <v>1703</v>
      </c>
      <c r="O441" s="5" t="s">
        <v>755</v>
      </c>
      <c r="P441" s="5" t="s">
        <v>639</v>
      </c>
      <c r="R441" s="8">
        <f>72479999</f>
        <v>72479999</v>
      </c>
      <c r="S441" s="5" t="s">
        <v>240</v>
      </c>
      <c r="T441" s="5" t="s">
        <v>237</v>
      </c>
      <c r="U441" s="5" t="s">
        <v>238</v>
      </c>
      <c r="V441" s="5" t="s">
        <v>238</v>
      </c>
      <c r="W441" s="5" t="s">
        <v>241</v>
      </c>
      <c r="X441" s="5" t="s">
        <v>337</v>
      </c>
      <c r="Y441" s="5" t="s">
        <v>238</v>
      </c>
      <c r="AB441" s="5" t="s">
        <v>238</v>
      </c>
      <c r="AD441" s="6" t="s">
        <v>238</v>
      </c>
      <c r="AG441" s="6" t="s">
        <v>246</v>
      </c>
      <c r="AH441" s="5" t="s">
        <v>247</v>
      </c>
      <c r="AI441" s="5" t="s">
        <v>248</v>
      </c>
      <c r="AY441" s="5" t="s">
        <v>250</v>
      </c>
      <c r="AZ441" s="5" t="s">
        <v>238</v>
      </c>
      <c r="BA441" s="5" t="s">
        <v>251</v>
      </c>
      <c r="BB441" s="5" t="s">
        <v>238</v>
      </c>
      <c r="BC441" s="5" t="s">
        <v>253</v>
      </c>
      <c r="BD441" s="5" t="s">
        <v>238</v>
      </c>
      <c r="BF441" s="5" t="s">
        <v>238</v>
      </c>
      <c r="BH441" s="5" t="s">
        <v>697</v>
      </c>
      <c r="BI441" s="6" t="s">
        <v>698</v>
      </c>
      <c r="BJ441" s="5" t="s">
        <v>255</v>
      </c>
      <c r="BK441" s="5" t="s">
        <v>256</v>
      </c>
      <c r="BL441" s="5" t="s">
        <v>238</v>
      </c>
      <c r="BM441" s="7">
        <f>0</f>
        <v>0</v>
      </c>
      <c r="BN441" s="8">
        <f>0</f>
        <v>0</v>
      </c>
      <c r="BO441" s="5" t="s">
        <v>257</v>
      </c>
      <c r="BP441" s="5" t="s">
        <v>258</v>
      </c>
      <c r="CD441" s="5" t="s">
        <v>238</v>
      </c>
      <c r="CE441" s="5" t="s">
        <v>238</v>
      </c>
      <c r="CI441" s="5" t="s">
        <v>527</v>
      </c>
      <c r="CJ441" s="5" t="s">
        <v>260</v>
      </c>
      <c r="CK441" s="5" t="s">
        <v>238</v>
      </c>
      <c r="CM441" s="5" t="s">
        <v>1095</v>
      </c>
      <c r="CN441" s="6" t="s">
        <v>262</v>
      </c>
      <c r="CO441" s="5" t="s">
        <v>263</v>
      </c>
      <c r="CP441" s="5" t="s">
        <v>264</v>
      </c>
      <c r="CQ441" s="5" t="s">
        <v>238</v>
      </c>
      <c r="CR441" s="5" t="s">
        <v>238</v>
      </c>
      <c r="CS441" s="5">
        <v>0</v>
      </c>
      <c r="CT441" s="5" t="s">
        <v>265</v>
      </c>
      <c r="CU441" s="5" t="s">
        <v>1330</v>
      </c>
      <c r="CV441" s="5" t="s">
        <v>649</v>
      </c>
      <c r="CX441" s="8">
        <f>72480000</f>
        <v>72480000</v>
      </c>
      <c r="CY441" s="8">
        <f>0</f>
        <v>0</v>
      </c>
      <c r="DA441" s="5" t="s">
        <v>238</v>
      </c>
      <c r="DB441" s="5" t="s">
        <v>238</v>
      </c>
      <c r="DD441" s="5" t="s">
        <v>238</v>
      </c>
      <c r="DG441" s="5" t="s">
        <v>238</v>
      </c>
      <c r="DH441" s="5" t="s">
        <v>238</v>
      </c>
      <c r="DI441" s="5" t="s">
        <v>238</v>
      </c>
      <c r="DJ441" s="5" t="s">
        <v>238</v>
      </c>
      <c r="DK441" s="5" t="s">
        <v>274</v>
      </c>
      <c r="DL441" s="5" t="s">
        <v>272</v>
      </c>
      <c r="DM441" s="7">
        <f>906</f>
        <v>906</v>
      </c>
      <c r="DN441" s="5" t="s">
        <v>238</v>
      </c>
      <c r="DO441" s="5" t="s">
        <v>238</v>
      </c>
      <c r="DP441" s="5" t="s">
        <v>238</v>
      </c>
      <c r="DQ441" s="5" t="s">
        <v>238</v>
      </c>
      <c r="DT441" s="5" t="s">
        <v>387</v>
      </c>
      <c r="DU441" s="5" t="s">
        <v>274</v>
      </c>
      <c r="HM441" s="5" t="s">
        <v>271</v>
      </c>
      <c r="HP441" s="5" t="s">
        <v>272</v>
      </c>
      <c r="HQ441" s="5" t="s">
        <v>272</v>
      </c>
    </row>
    <row r="442" spans="1:238" x14ac:dyDescent="0.4">
      <c r="A442" s="5">
        <v>478</v>
      </c>
      <c r="B442" s="5">
        <v>1</v>
      </c>
      <c r="C442" s="5">
        <v>1</v>
      </c>
      <c r="D442" s="5" t="s">
        <v>385</v>
      </c>
      <c r="E442" s="5" t="s">
        <v>347</v>
      </c>
      <c r="F442" s="5" t="s">
        <v>282</v>
      </c>
      <c r="G442" s="5" t="s">
        <v>239</v>
      </c>
      <c r="H442" s="6" t="s">
        <v>386</v>
      </c>
      <c r="I442" s="5" t="s">
        <v>239</v>
      </c>
      <c r="J442" s="7">
        <f>40</f>
        <v>40</v>
      </c>
      <c r="K442" s="5" t="s">
        <v>270</v>
      </c>
      <c r="L442" s="8">
        <f>1</f>
        <v>1</v>
      </c>
      <c r="M442" s="8">
        <f>2400000</f>
        <v>2400000</v>
      </c>
      <c r="N442" s="6" t="s">
        <v>1119</v>
      </c>
      <c r="O442" s="5" t="s">
        <v>268</v>
      </c>
      <c r="P442" s="5" t="s">
        <v>866</v>
      </c>
      <c r="R442" s="8">
        <f>2399999</f>
        <v>2399999</v>
      </c>
      <c r="S442" s="5" t="s">
        <v>240</v>
      </c>
      <c r="T442" s="5" t="s">
        <v>237</v>
      </c>
      <c r="U442" s="5" t="s">
        <v>238</v>
      </c>
      <c r="V442" s="5" t="s">
        <v>238</v>
      </c>
      <c r="W442" s="5" t="s">
        <v>241</v>
      </c>
      <c r="X442" s="5" t="s">
        <v>337</v>
      </c>
      <c r="Y442" s="5" t="s">
        <v>238</v>
      </c>
      <c r="AB442" s="5" t="s">
        <v>238</v>
      </c>
      <c r="AD442" s="6" t="s">
        <v>238</v>
      </c>
      <c r="AG442" s="6" t="s">
        <v>246</v>
      </c>
      <c r="AH442" s="5" t="s">
        <v>247</v>
      </c>
      <c r="AI442" s="5" t="s">
        <v>248</v>
      </c>
      <c r="AY442" s="5" t="s">
        <v>250</v>
      </c>
      <c r="AZ442" s="5" t="s">
        <v>238</v>
      </c>
      <c r="BA442" s="5" t="s">
        <v>251</v>
      </c>
      <c r="BB442" s="5" t="s">
        <v>238</v>
      </c>
      <c r="BC442" s="5" t="s">
        <v>253</v>
      </c>
      <c r="BD442" s="5" t="s">
        <v>238</v>
      </c>
      <c r="BF442" s="5" t="s">
        <v>238</v>
      </c>
      <c r="BH442" s="5" t="s">
        <v>798</v>
      </c>
      <c r="BI442" s="6" t="s">
        <v>799</v>
      </c>
      <c r="BJ442" s="5" t="s">
        <v>255</v>
      </c>
      <c r="BK442" s="5" t="s">
        <v>256</v>
      </c>
      <c r="BL442" s="5" t="s">
        <v>238</v>
      </c>
      <c r="BM442" s="7">
        <f>0</f>
        <v>0</v>
      </c>
      <c r="BN442" s="8">
        <f>0</f>
        <v>0</v>
      </c>
      <c r="BO442" s="5" t="s">
        <v>257</v>
      </c>
      <c r="BP442" s="5" t="s">
        <v>258</v>
      </c>
      <c r="CD442" s="5" t="s">
        <v>238</v>
      </c>
      <c r="CE442" s="5" t="s">
        <v>238</v>
      </c>
      <c r="CI442" s="5" t="s">
        <v>527</v>
      </c>
      <c r="CJ442" s="5" t="s">
        <v>260</v>
      </c>
      <c r="CK442" s="5" t="s">
        <v>238</v>
      </c>
      <c r="CM442" s="5" t="s">
        <v>865</v>
      </c>
      <c r="CN442" s="6" t="s">
        <v>262</v>
      </c>
      <c r="CO442" s="5" t="s">
        <v>263</v>
      </c>
      <c r="CP442" s="5" t="s">
        <v>264</v>
      </c>
      <c r="CQ442" s="5" t="s">
        <v>238</v>
      </c>
      <c r="CR442" s="5" t="s">
        <v>238</v>
      </c>
      <c r="CS442" s="5">
        <v>0</v>
      </c>
      <c r="CT442" s="5" t="s">
        <v>265</v>
      </c>
      <c r="CU442" s="5" t="s">
        <v>266</v>
      </c>
      <c r="CV442" s="5" t="s">
        <v>267</v>
      </c>
      <c r="CX442" s="8">
        <f>2400000</f>
        <v>2400000</v>
      </c>
      <c r="CY442" s="8">
        <f>0</f>
        <v>0</v>
      </c>
      <c r="DA442" s="5" t="s">
        <v>238</v>
      </c>
      <c r="DB442" s="5" t="s">
        <v>238</v>
      </c>
      <c r="DD442" s="5" t="s">
        <v>238</v>
      </c>
      <c r="DG442" s="5" t="s">
        <v>238</v>
      </c>
      <c r="DH442" s="5" t="s">
        <v>238</v>
      </c>
      <c r="DI442" s="5" t="s">
        <v>238</v>
      </c>
      <c r="DJ442" s="5" t="s">
        <v>238</v>
      </c>
      <c r="DK442" s="5" t="s">
        <v>271</v>
      </c>
      <c r="DL442" s="5" t="s">
        <v>272</v>
      </c>
      <c r="DM442" s="7">
        <f>40</f>
        <v>40</v>
      </c>
      <c r="DN442" s="5" t="s">
        <v>238</v>
      </c>
      <c r="DO442" s="5" t="s">
        <v>238</v>
      </c>
      <c r="DP442" s="5" t="s">
        <v>238</v>
      </c>
      <c r="DQ442" s="5" t="s">
        <v>238</v>
      </c>
      <c r="DT442" s="5" t="s">
        <v>387</v>
      </c>
      <c r="DU442" s="5" t="s">
        <v>356</v>
      </c>
      <c r="HM442" s="5" t="s">
        <v>271</v>
      </c>
      <c r="HP442" s="5" t="s">
        <v>272</v>
      </c>
      <c r="HQ442" s="5" t="s">
        <v>272</v>
      </c>
    </row>
    <row r="443" spans="1:238" x14ac:dyDescent="0.4">
      <c r="A443" s="5">
        <v>479</v>
      </c>
      <c r="B443" s="5">
        <v>1</v>
      </c>
      <c r="C443" s="5">
        <v>1</v>
      </c>
      <c r="D443" s="5" t="s">
        <v>385</v>
      </c>
      <c r="E443" s="5" t="s">
        <v>347</v>
      </c>
      <c r="F443" s="5" t="s">
        <v>282</v>
      </c>
      <c r="G443" s="5" t="s">
        <v>1007</v>
      </c>
      <c r="H443" s="6" t="s">
        <v>386</v>
      </c>
      <c r="I443" s="5" t="s">
        <v>2297</v>
      </c>
      <c r="J443" s="7">
        <f>13</f>
        <v>13</v>
      </c>
      <c r="K443" s="5" t="s">
        <v>270</v>
      </c>
      <c r="L443" s="8">
        <f>1</f>
        <v>1</v>
      </c>
      <c r="M443" s="8">
        <f>2379000</f>
        <v>2379000</v>
      </c>
      <c r="N443" s="6" t="s">
        <v>2298</v>
      </c>
      <c r="O443" s="5" t="s">
        <v>631</v>
      </c>
      <c r="P443" s="5" t="s">
        <v>631</v>
      </c>
      <c r="R443" s="8">
        <f>2378999</f>
        <v>2378999</v>
      </c>
      <c r="S443" s="5" t="s">
        <v>240</v>
      </c>
      <c r="T443" s="5" t="s">
        <v>237</v>
      </c>
      <c r="U443" s="5" t="s">
        <v>238</v>
      </c>
      <c r="V443" s="5" t="s">
        <v>238</v>
      </c>
      <c r="W443" s="5" t="s">
        <v>241</v>
      </c>
      <c r="X443" s="5" t="s">
        <v>337</v>
      </c>
      <c r="Y443" s="5" t="s">
        <v>238</v>
      </c>
      <c r="AB443" s="5" t="s">
        <v>238</v>
      </c>
      <c r="AD443" s="6" t="s">
        <v>238</v>
      </c>
      <c r="AG443" s="6" t="s">
        <v>246</v>
      </c>
      <c r="AH443" s="5" t="s">
        <v>247</v>
      </c>
      <c r="AI443" s="5" t="s">
        <v>248</v>
      </c>
      <c r="AY443" s="5" t="s">
        <v>250</v>
      </c>
      <c r="AZ443" s="5" t="s">
        <v>238</v>
      </c>
      <c r="BA443" s="5" t="s">
        <v>251</v>
      </c>
      <c r="BB443" s="5" t="s">
        <v>238</v>
      </c>
      <c r="BC443" s="5" t="s">
        <v>253</v>
      </c>
      <c r="BD443" s="5" t="s">
        <v>238</v>
      </c>
      <c r="BF443" s="5" t="s">
        <v>238</v>
      </c>
      <c r="BH443" s="5" t="s">
        <v>254</v>
      </c>
      <c r="BI443" s="6" t="s">
        <v>246</v>
      </c>
      <c r="BJ443" s="5" t="s">
        <v>255</v>
      </c>
      <c r="BK443" s="5" t="s">
        <v>294</v>
      </c>
      <c r="BL443" s="5" t="s">
        <v>238</v>
      </c>
      <c r="BM443" s="7">
        <f>0</f>
        <v>0</v>
      </c>
      <c r="BN443" s="8">
        <f>0</f>
        <v>0</v>
      </c>
      <c r="BO443" s="5" t="s">
        <v>257</v>
      </c>
      <c r="BP443" s="5" t="s">
        <v>258</v>
      </c>
      <c r="CD443" s="5" t="s">
        <v>238</v>
      </c>
      <c r="CE443" s="5" t="s">
        <v>238</v>
      </c>
      <c r="CI443" s="5" t="s">
        <v>259</v>
      </c>
      <c r="CJ443" s="5" t="s">
        <v>260</v>
      </c>
      <c r="CK443" s="5" t="s">
        <v>238</v>
      </c>
      <c r="CM443" s="5" t="s">
        <v>711</v>
      </c>
      <c r="CN443" s="6" t="s">
        <v>262</v>
      </c>
      <c r="CO443" s="5" t="s">
        <v>263</v>
      </c>
      <c r="CP443" s="5" t="s">
        <v>264</v>
      </c>
      <c r="CQ443" s="5" t="s">
        <v>238</v>
      </c>
      <c r="CR443" s="5" t="s">
        <v>238</v>
      </c>
      <c r="CS443" s="5">
        <v>0</v>
      </c>
      <c r="CT443" s="5" t="s">
        <v>265</v>
      </c>
      <c r="CU443" s="5" t="s">
        <v>2299</v>
      </c>
      <c r="CV443" s="5" t="s">
        <v>267</v>
      </c>
      <c r="CX443" s="8">
        <f>2379000</f>
        <v>2379000</v>
      </c>
      <c r="CY443" s="8">
        <f>0</f>
        <v>0</v>
      </c>
      <c r="DA443" s="5" t="s">
        <v>238</v>
      </c>
      <c r="DB443" s="5" t="s">
        <v>238</v>
      </c>
      <c r="DD443" s="5" t="s">
        <v>238</v>
      </c>
      <c r="DG443" s="5" t="s">
        <v>238</v>
      </c>
      <c r="DH443" s="5" t="s">
        <v>238</v>
      </c>
      <c r="DI443" s="5" t="s">
        <v>238</v>
      </c>
      <c r="DJ443" s="5" t="s">
        <v>238</v>
      </c>
      <c r="DK443" s="5" t="s">
        <v>271</v>
      </c>
      <c r="DL443" s="5" t="s">
        <v>272</v>
      </c>
      <c r="DM443" s="7">
        <f>13</f>
        <v>13</v>
      </c>
      <c r="DN443" s="5" t="s">
        <v>238</v>
      </c>
      <c r="DO443" s="5" t="s">
        <v>238</v>
      </c>
      <c r="DP443" s="5" t="s">
        <v>238</v>
      </c>
      <c r="DQ443" s="5" t="s">
        <v>238</v>
      </c>
      <c r="DT443" s="5" t="s">
        <v>387</v>
      </c>
      <c r="DU443" s="5" t="s">
        <v>310</v>
      </c>
      <c r="HM443" s="5" t="s">
        <v>356</v>
      </c>
      <c r="HP443" s="5" t="s">
        <v>272</v>
      </c>
      <c r="HQ443" s="5" t="s">
        <v>272</v>
      </c>
    </row>
    <row r="444" spans="1:238" x14ac:dyDescent="0.4">
      <c r="A444" s="5">
        <v>480</v>
      </c>
      <c r="B444" s="5">
        <v>1</v>
      </c>
      <c r="C444" s="5">
        <v>4</v>
      </c>
      <c r="D444" s="5" t="s">
        <v>385</v>
      </c>
      <c r="E444" s="5" t="s">
        <v>347</v>
      </c>
      <c r="F444" s="5" t="s">
        <v>282</v>
      </c>
      <c r="G444" s="5" t="s">
        <v>1660</v>
      </c>
      <c r="H444" s="6" t="s">
        <v>386</v>
      </c>
      <c r="I444" s="5" t="s">
        <v>1274</v>
      </c>
      <c r="J444" s="7">
        <f>19</f>
        <v>19</v>
      </c>
      <c r="K444" s="5" t="s">
        <v>270</v>
      </c>
      <c r="L444" s="8">
        <f>493734</f>
        <v>493734</v>
      </c>
      <c r="M444" s="8">
        <f>3477000</f>
        <v>3477000</v>
      </c>
      <c r="N444" s="6" t="s">
        <v>645</v>
      </c>
      <c r="O444" s="5" t="s">
        <v>650</v>
      </c>
      <c r="P444" s="5" t="s">
        <v>651</v>
      </c>
      <c r="Q444" s="8">
        <f>114741</f>
        <v>114741</v>
      </c>
      <c r="R444" s="8">
        <f>2983266</f>
        <v>2983266</v>
      </c>
      <c r="S444" s="5" t="s">
        <v>240</v>
      </c>
      <c r="T444" s="5" t="s">
        <v>237</v>
      </c>
      <c r="U444" s="5" t="s">
        <v>238</v>
      </c>
      <c r="V444" s="5" t="s">
        <v>238</v>
      </c>
      <c r="W444" s="5" t="s">
        <v>241</v>
      </c>
      <c r="X444" s="5" t="s">
        <v>337</v>
      </c>
      <c r="Y444" s="5" t="s">
        <v>238</v>
      </c>
      <c r="AB444" s="5" t="s">
        <v>238</v>
      </c>
      <c r="AC444" s="6" t="s">
        <v>238</v>
      </c>
      <c r="AD444" s="6" t="s">
        <v>238</v>
      </c>
      <c r="AF444" s="6" t="s">
        <v>238</v>
      </c>
      <c r="AG444" s="6" t="s">
        <v>246</v>
      </c>
      <c r="AH444" s="5" t="s">
        <v>247</v>
      </c>
      <c r="AI444" s="5" t="s">
        <v>248</v>
      </c>
      <c r="AO444" s="5" t="s">
        <v>238</v>
      </c>
      <c r="AP444" s="5" t="s">
        <v>238</v>
      </c>
      <c r="AQ444" s="5" t="s">
        <v>238</v>
      </c>
      <c r="AR444" s="6" t="s">
        <v>238</v>
      </c>
      <c r="AS444" s="6" t="s">
        <v>238</v>
      </c>
      <c r="AT444" s="6" t="s">
        <v>238</v>
      </c>
      <c r="AW444" s="5" t="s">
        <v>304</v>
      </c>
      <c r="AX444" s="5" t="s">
        <v>304</v>
      </c>
      <c r="AY444" s="5" t="s">
        <v>250</v>
      </c>
      <c r="AZ444" s="5" t="s">
        <v>305</v>
      </c>
      <c r="BA444" s="5" t="s">
        <v>251</v>
      </c>
      <c r="BB444" s="5" t="s">
        <v>238</v>
      </c>
      <c r="BC444" s="5" t="s">
        <v>253</v>
      </c>
      <c r="BD444" s="5" t="s">
        <v>238</v>
      </c>
      <c r="BF444" s="5" t="s">
        <v>238</v>
      </c>
      <c r="BH444" s="5" t="s">
        <v>283</v>
      </c>
      <c r="BI444" s="6" t="s">
        <v>293</v>
      </c>
      <c r="BJ444" s="5" t="s">
        <v>294</v>
      </c>
      <c r="BK444" s="5" t="s">
        <v>294</v>
      </c>
      <c r="BL444" s="5" t="s">
        <v>238</v>
      </c>
      <c r="BM444" s="7">
        <f>0</f>
        <v>0</v>
      </c>
      <c r="BN444" s="8">
        <f>-114741</f>
        <v>-114741</v>
      </c>
      <c r="BO444" s="5" t="s">
        <v>257</v>
      </c>
      <c r="BP444" s="5" t="s">
        <v>258</v>
      </c>
      <c r="BQ444" s="5" t="s">
        <v>238</v>
      </c>
      <c r="BR444" s="5" t="s">
        <v>238</v>
      </c>
      <c r="BS444" s="5" t="s">
        <v>238</v>
      </c>
      <c r="BT444" s="5" t="s">
        <v>238</v>
      </c>
      <c r="CC444" s="5" t="s">
        <v>258</v>
      </c>
      <c r="CD444" s="5" t="s">
        <v>238</v>
      </c>
      <c r="CE444" s="5" t="s">
        <v>238</v>
      </c>
      <c r="CI444" s="5" t="s">
        <v>259</v>
      </c>
      <c r="CJ444" s="5" t="s">
        <v>260</v>
      </c>
      <c r="CK444" s="5" t="s">
        <v>238</v>
      </c>
      <c r="CM444" s="5" t="s">
        <v>648</v>
      </c>
      <c r="CN444" s="6" t="s">
        <v>262</v>
      </c>
      <c r="CO444" s="5" t="s">
        <v>263</v>
      </c>
      <c r="CP444" s="5" t="s">
        <v>264</v>
      </c>
      <c r="CQ444" s="5" t="s">
        <v>285</v>
      </c>
      <c r="CR444" s="5" t="s">
        <v>238</v>
      </c>
      <c r="CS444" s="5">
        <v>3.3000000000000002E-2</v>
      </c>
      <c r="CT444" s="5" t="s">
        <v>265</v>
      </c>
      <c r="CU444" s="5" t="s">
        <v>1661</v>
      </c>
      <c r="CV444" s="5" t="s">
        <v>649</v>
      </c>
      <c r="CW444" s="7">
        <f>0</f>
        <v>0</v>
      </c>
      <c r="CX444" s="8">
        <f>3477000</f>
        <v>3477000</v>
      </c>
      <c r="CY444" s="8">
        <f>608475</f>
        <v>608475</v>
      </c>
      <c r="DA444" s="5" t="s">
        <v>238</v>
      </c>
      <c r="DB444" s="5" t="s">
        <v>238</v>
      </c>
      <c r="DD444" s="5" t="s">
        <v>238</v>
      </c>
      <c r="DE444" s="8">
        <f>0</f>
        <v>0</v>
      </c>
      <c r="DG444" s="5" t="s">
        <v>238</v>
      </c>
      <c r="DH444" s="5" t="s">
        <v>238</v>
      </c>
      <c r="DI444" s="5" t="s">
        <v>238</v>
      </c>
      <c r="DJ444" s="5" t="s">
        <v>238</v>
      </c>
      <c r="DK444" s="5" t="s">
        <v>271</v>
      </c>
      <c r="DL444" s="5" t="s">
        <v>272</v>
      </c>
      <c r="DM444" s="7">
        <f>19</f>
        <v>19</v>
      </c>
      <c r="DN444" s="5" t="s">
        <v>238</v>
      </c>
      <c r="DO444" s="5" t="s">
        <v>238</v>
      </c>
      <c r="DP444" s="5" t="s">
        <v>238</v>
      </c>
      <c r="DQ444" s="5" t="s">
        <v>238</v>
      </c>
      <c r="DT444" s="5" t="s">
        <v>387</v>
      </c>
      <c r="DU444" s="5" t="s">
        <v>379</v>
      </c>
      <c r="GL444" s="5" t="s">
        <v>1662</v>
      </c>
      <c r="HM444" s="5" t="s">
        <v>313</v>
      </c>
      <c r="HP444" s="5" t="s">
        <v>272</v>
      </c>
      <c r="HQ444" s="5" t="s">
        <v>272</v>
      </c>
      <c r="HR444" s="5" t="s">
        <v>238</v>
      </c>
      <c r="HS444" s="5" t="s">
        <v>238</v>
      </c>
      <c r="HT444" s="5" t="s">
        <v>238</v>
      </c>
      <c r="HU444" s="5" t="s">
        <v>238</v>
      </c>
      <c r="HV444" s="5" t="s">
        <v>238</v>
      </c>
      <c r="HW444" s="5" t="s">
        <v>238</v>
      </c>
      <c r="HX444" s="5" t="s">
        <v>238</v>
      </c>
      <c r="HY444" s="5" t="s">
        <v>238</v>
      </c>
      <c r="HZ444" s="5" t="s">
        <v>238</v>
      </c>
      <c r="IA444" s="5" t="s">
        <v>238</v>
      </c>
      <c r="IB444" s="5" t="s">
        <v>238</v>
      </c>
      <c r="IC444" s="5" t="s">
        <v>238</v>
      </c>
      <c r="ID444" s="5" t="s">
        <v>238</v>
      </c>
    </row>
    <row r="445" spans="1:238" x14ac:dyDescent="0.4">
      <c r="A445" s="5">
        <v>481</v>
      </c>
      <c r="B445" s="5">
        <v>1</v>
      </c>
      <c r="C445" s="5">
        <v>4</v>
      </c>
      <c r="D445" s="5" t="s">
        <v>385</v>
      </c>
      <c r="E445" s="5" t="s">
        <v>347</v>
      </c>
      <c r="F445" s="5" t="s">
        <v>282</v>
      </c>
      <c r="G445" s="5" t="s">
        <v>327</v>
      </c>
      <c r="H445" s="6" t="s">
        <v>386</v>
      </c>
      <c r="I445" s="5" t="s">
        <v>391</v>
      </c>
      <c r="J445" s="7">
        <f>72.63</f>
        <v>72.63</v>
      </c>
      <c r="K445" s="5" t="s">
        <v>270</v>
      </c>
      <c r="L445" s="8">
        <f>1476034</f>
        <v>1476034</v>
      </c>
      <c r="M445" s="8">
        <f>23807000</f>
        <v>23807000</v>
      </c>
      <c r="N445" s="6" t="s">
        <v>392</v>
      </c>
      <c r="O445" s="5" t="s">
        <v>268</v>
      </c>
      <c r="P445" s="5" t="s">
        <v>395</v>
      </c>
      <c r="Q445" s="8">
        <f>1595069</f>
        <v>1595069</v>
      </c>
      <c r="R445" s="8">
        <f>22330966</f>
        <v>22330966</v>
      </c>
      <c r="S445" s="5" t="s">
        <v>240</v>
      </c>
      <c r="T445" s="5" t="s">
        <v>237</v>
      </c>
      <c r="U445" s="5" t="s">
        <v>238</v>
      </c>
      <c r="V445" s="5" t="s">
        <v>238</v>
      </c>
      <c r="W445" s="5" t="s">
        <v>241</v>
      </c>
      <c r="X445" s="5" t="s">
        <v>337</v>
      </c>
      <c r="Y445" s="5" t="s">
        <v>238</v>
      </c>
      <c r="AB445" s="5" t="s">
        <v>238</v>
      </c>
      <c r="AC445" s="6" t="s">
        <v>238</v>
      </c>
      <c r="AD445" s="6" t="s">
        <v>238</v>
      </c>
      <c r="AF445" s="6" t="s">
        <v>238</v>
      </c>
      <c r="AG445" s="6" t="s">
        <v>246</v>
      </c>
      <c r="AH445" s="5" t="s">
        <v>247</v>
      </c>
      <c r="AI445" s="5" t="s">
        <v>248</v>
      </c>
      <c r="AO445" s="5" t="s">
        <v>238</v>
      </c>
      <c r="AP445" s="5" t="s">
        <v>238</v>
      </c>
      <c r="AQ445" s="5" t="s">
        <v>238</v>
      </c>
      <c r="AR445" s="6" t="s">
        <v>238</v>
      </c>
      <c r="AS445" s="6" t="s">
        <v>238</v>
      </c>
      <c r="AT445" s="6" t="s">
        <v>238</v>
      </c>
      <c r="AW445" s="5" t="s">
        <v>304</v>
      </c>
      <c r="AX445" s="5" t="s">
        <v>304</v>
      </c>
      <c r="AY445" s="5" t="s">
        <v>250</v>
      </c>
      <c r="AZ445" s="5" t="s">
        <v>305</v>
      </c>
      <c r="BA445" s="5" t="s">
        <v>251</v>
      </c>
      <c r="BB445" s="5" t="s">
        <v>238</v>
      </c>
      <c r="BC445" s="5" t="s">
        <v>253</v>
      </c>
      <c r="BD445" s="5" t="s">
        <v>238</v>
      </c>
      <c r="BF445" s="5" t="s">
        <v>238</v>
      </c>
      <c r="BH445" s="5" t="s">
        <v>283</v>
      </c>
      <c r="BI445" s="6" t="s">
        <v>293</v>
      </c>
      <c r="BJ445" s="5" t="s">
        <v>294</v>
      </c>
      <c r="BK445" s="5" t="s">
        <v>294</v>
      </c>
      <c r="BL445" s="5" t="s">
        <v>238</v>
      </c>
      <c r="BM445" s="7">
        <f>0</f>
        <v>0</v>
      </c>
      <c r="BN445" s="8">
        <f>-1595069</f>
        <v>-1595069</v>
      </c>
      <c r="BO445" s="5" t="s">
        <v>257</v>
      </c>
      <c r="BP445" s="5" t="s">
        <v>258</v>
      </c>
      <c r="BQ445" s="5" t="s">
        <v>238</v>
      </c>
      <c r="BR445" s="5" t="s">
        <v>238</v>
      </c>
      <c r="BS445" s="5" t="s">
        <v>238</v>
      </c>
      <c r="BT445" s="5" t="s">
        <v>238</v>
      </c>
      <c r="CC445" s="5" t="s">
        <v>258</v>
      </c>
      <c r="CD445" s="5" t="s">
        <v>238</v>
      </c>
      <c r="CE445" s="5" t="s">
        <v>238</v>
      </c>
      <c r="CI445" s="5" t="s">
        <v>259</v>
      </c>
      <c r="CJ445" s="5" t="s">
        <v>260</v>
      </c>
      <c r="CK445" s="5" t="s">
        <v>238</v>
      </c>
      <c r="CM445" s="5" t="s">
        <v>393</v>
      </c>
      <c r="CN445" s="6" t="s">
        <v>262</v>
      </c>
      <c r="CO445" s="5" t="s">
        <v>263</v>
      </c>
      <c r="CP445" s="5" t="s">
        <v>264</v>
      </c>
      <c r="CQ445" s="5" t="s">
        <v>285</v>
      </c>
      <c r="CR445" s="5" t="s">
        <v>238</v>
      </c>
      <c r="CS445" s="5">
        <v>6.7000000000000004E-2</v>
      </c>
      <c r="CT445" s="5" t="s">
        <v>265</v>
      </c>
      <c r="CU445" s="5" t="s">
        <v>351</v>
      </c>
      <c r="CV445" s="5" t="s">
        <v>394</v>
      </c>
      <c r="CW445" s="7">
        <f>0</f>
        <v>0</v>
      </c>
      <c r="CX445" s="8">
        <f>23807000</f>
        <v>23807000</v>
      </c>
      <c r="CY445" s="8">
        <f>3071103</f>
        <v>3071103</v>
      </c>
      <c r="DA445" s="5" t="s">
        <v>238</v>
      </c>
      <c r="DB445" s="5" t="s">
        <v>238</v>
      </c>
      <c r="DD445" s="5" t="s">
        <v>238</v>
      </c>
      <c r="DE445" s="8">
        <f>0</f>
        <v>0</v>
      </c>
      <c r="DG445" s="5" t="s">
        <v>238</v>
      </c>
      <c r="DH445" s="5" t="s">
        <v>238</v>
      </c>
      <c r="DI445" s="5" t="s">
        <v>238</v>
      </c>
      <c r="DJ445" s="5" t="s">
        <v>238</v>
      </c>
      <c r="DK445" s="5" t="s">
        <v>271</v>
      </c>
      <c r="DL445" s="5" t="s">
        <v>272</v>
      </c>
      <c r="DM445" s="7">
        <f>72.63</f>
        <v>72.63</v>
      </c>
      <c r="DN445" s="5" t="s">
        <v>238</v>
      </c>
      <c r="DO445" s="5" t="s">
        <v>238</v>
      </c>
      <c r="DP445" s="5" t="s">
        <v>238</v>
      </c>
      <c r="DQ445" s="5" t="s">
        <v>238</v>
      </c>
      <c r="DT445" s="5" t="s">
        <v>387</v>
      </c>
      <c r="DU445" s="5" t="s">
        <v>313</v>
      </c>
      <c r="GL445" s="5" t="s">
        <v>396</v>
      </c>
      <c r="HM445" s="5" t="s">
        <v>313</v>
      </c>
      <c r="HP445" s="5" t="s">
        <v>272</v>
      </c>
      <c r="HQ445" s="5" t="s">
        <v>272</v>
      </c>
      <c r="HR445" s="5" t="s">
        <v>238</v>
      </c>
      <c r="HS445" s="5" t="s">
        <v>238</v>
      </c>
      <c r="HT445" s="5" t="s">
        <v>238</v>
      </c>
      <c r="HU445" s="5" t="s">
        <v>238</v>
      </c>
      <c r="HV445" s="5" t="s">
        <v>238</v>
      </c>
      <c r="HW445" s="5" t="s">
        <v>238</v>
      </c>
      <c r="HX445" s="5" t="s">
        <v>238</v>
      </c>
      <c r="HY445" s="5" t="s">
        <v>238</v>
      </c>
      <c r="HZ445" s="5" t="s">
        <v>238</v>
      </c>
      <c r="IA445" s="5" t="s">
        <v>238</v>
      </c>
      <c r="IB445" s="5" t="s">
        <v>238</v>
      </c>
      <c r="IC445" s="5" t="s">
        <v>238</v>
      </c>
      <c r="ID445" s="5" t="s">
        <v>238</v>
      </c>
    </row>
    <row r="446" spans="1:238" x14ac:dyDescent="0.4">
      <c r="A446" s="5">
        <v>482</v>
      </c>
      <c r="B446" s="5">
        <v>1</v>
      </c>
      <c r="C446" s="5">
        <v>4</v>
      </c>
      <c r="D446" s="5" t="s">
        <v>385</v>
      </c>
      <c r="E446" s="5" t="s">
        <v>347</v>
      </c>
      <c r="F446" s="5" t="s">
        <v>282</v>
      </c>
      <c r="G446" s="5" t="s">
        <v>375</v>
      </c>
      <c r="H446" s="6" t="s">
        <v>386</v>
      </c>
      <c r="I446" s="5" t="s">
        <v>373</v>
      </c>
      <c r="J446" s="7">
        <f>0</f>
        <v>0</v>
      </c>
      <c r="K446" s="5" t="s">
        <v>270</v>
      </c>
      <c r="L446" s="8">
        <f>621112</f>
        <v>621112</v>
      </c>
      <c r="M446" s="8">
        <f>934002</f>
        <v>934002</v>
      </c>
      <c r="N446" s="6" t="s">
        <v>374</v>
      </c>
      <c r="O446" s="5" t="s">
        <v>268</v>
      </c>
      <c r="P446" s="5" t="s">
        <v>356</v>
      </c>
      <c r="Q446" s="8">
        <f>62578</f>
        <v>62578</v>
      </c>
      <c r="R446" s="8">
        <f>312890</f>
        <v>312890</v>
      </c>
      <c r="S446" s="5" t="s">
        <v>240</v>
      </c>
      <c r="T446" s="5" t="s">
        <v>287</v>
      </c>
      <c r="U446" s="5" t="s">
        <v>238</v>
      </c>
      <c r="V446" s="5" t="s">
        <v>238</v>
      </c>
      <c r="W446" s="5" t="s">
        <v>241</v>
      </c>
      <c r="X446" s="5" t="s">
        <v>337</v>
      </c>
      <c r="Y446" s="5" t="s">
        <v>238</v>
      </c>
      <c r="AB446" s="5" t="s">
        <v>238</v>
      </c>
      <c r="AC446" s="6" t="s">
        <v>238</v>
      </c>
      <c r="AD446" s="6" t="s">
        <v>238</v>
      </c>
      <c r="AF446" s="6" t="s">
        <v>238</v>
      </c>
      <c r="AG446" s="6" t="s">
        <v>246</v>
      </c>
      <c r="AH446" s="5" t="s">
        <v>247</v>
      </c>
      <c r="AI446" s="5" t="s">
        <v>248</v>
      </c>
      <c r="AO446" s="5" t="s">
        <v>238</v>
      </c>
      <c r="AP446" s="5" t="s">
        <v>238</v>
      </c>
      <c r="AQ446" s="5" t="s">
        <v>238</v>
      </c>
      <c r="AR446" s="6" t="s">
        <v>238</v>
      </c>
      <c r="AS446" s="6" t="s">
        <v>238</v>
      </c>
      <c r="AT446" s="6" t="s">
        <v>238</v>
      </c>
      <c r="AW446" s="5" t="s">
        <v>304</v>
      </c>
      <c r="AX446" s="5" t="s">
        <v>304</v>
      </c>
      <c r="AY446" s="5" t="s">
        <v>250</v>
      </c>
      <c r="AZ446" s="5" t="s">
        <v>305</v>
      </c>
      <c r="BA446" s="5" t="s">
        <v>251</v>
      </c>
      <c r="BB446" s="5" t="s">
        <v>238</v>
      </c>
      <c r="BC446" s="5" t="s">
        <v>253</v>
      </c>
      <c r="BD446" s="5" t="s">
        <v>238</v>
      </c>
      <c r="BF446" s="5" t="s">
        <v>238</v>
      </c>
      <c r="BH446" s="5" t="s">
        <v>283</v>
      </c>
      <c r="BI446" s="6" t="s">
        <v>293</v>
      </c>
      <c r="BJ446" s="5" t="s">
        <v>294</v>
      </c>
      <c r="BK446" s="5" t="s">
        <v>294</v>
      </c>
      <c r="BL446" s="5" t="s">
        <v>238</v>
      </c>
      <c r="BM446" s="7">
        <f>0</f>
        <v>0</v>
      </c>
      <c r="BN446" s="8">
        <f>-62578</f>
        <v>-62578</v>
      </c>
      <c r="BO446" s="5" t="s">
        <v>257</v>
      </c>
      <c r="BP446" s="5" t="s">
        <v>258</v>
      </c>
      <c r="BQ446" s="5" t="s">
        <v>238</v>
      </c>
      <c r="BR446" s="5" t="s">
        <v>238</v>
      </c>
      <c r="BS446" s="5" t="s">
        <v>238</v>
      </c>
      <c r="BT446" s="5" t="s">
        <v>238</v>
      </c>
      <c r="CC446" s="5" t="s">
        <v>258</v>
      </c>
      <c r="CD446" s="5" t="s">
        <v>238</v>
      </c>
      <c r="CE446" s="5" t="s">
        <v>238</v>
      </c>
      <c r="CI446" s="5" t="s">
        <v>259</v>
      </c>
      <c r="CJ446" s="5" t="s">
        <v>260</v>
      </c>
      <c r="CK446" s="5" t="s">
        <v>238</v>
      </c>
      <c r="CM446" s="5" t="s">
        <v>376</v>
      </c>
      <c r="CN446" s="6" t="s">
        <v>262</v>
      </c>
      <c r="CO446" s="5" t="s">
        <v>263</v>
      </c>
      <c r="CP446" s="5" t="s">
        <v>264</v>
      </c>
      <c r="CQ446" s="5" t="s">
        <v>285</v>
      </c>
      <c r="CR446" s="5" t="s">
        <v>238</v>
      </c>
      <c r="CS446" s="5">
        <v>6.7000000000000004E-2</v>
      </c>
      <c r="CT446" s="5" t="s">
        <v>265</v>
      </c>
      <c r="CU446" s="5" t="s">
        <v>351</v>
      </c>
      <c r="CV446" s="5" t="s">
        <v>365</v>
      </c>
      <c r="CW446" s="7">
        <f>0</f>
        <v>0</v>
      </c>
      <c r="CX446" s="8">
        <f>934002</f>
        <v>934002</v>
      </c>
      <c r="CY446" s="8">
        <f>683690</f>
        <v>683690</v>
      </c>
      <c r="DA446" s="5" t="s">
        <v>238</v>
      </c>
      <c r="DB446" s="5" t="s">
        <v>238</v>
      </c>
      <c r="DD446" s="5" t="s">
        <v>238</v>
      </c>
      <c r="DE446" s="8">
        <f>0</f>
        <v>0</v>
      </c>
      <c r="DG446" s="5" t="s">
        <v>238</v>
      </c>
      <c r="DH446" s="5" t="s">
        <v>238</v>
      </c>
      <c r="DI446" s="5" t="s">
        <v>238</v>
      </c>
      <c r="DJ446" s="5" t="s">
        <v>238</v>
      </c>
      <c r="DK446" s="5" t="s">
        <v>272</v>
      </c>
      <c r="DL446" s="5" t="s">
        <v>272</v>
      </c>
      <c r="DM446" s="8" t="s">
        <v>238</v>
      </c>
      <c r="DN446" s="5" t="s">
        <v>238</v>
      </c>
      <c r="DO446" s="5" t="s">
        <v>238</v>
      </c>
      <c r="DP446" s="5" t="s">
        <v>238</v>
      </c>
      <c r="DQ446" s="5" t="s">
        <v>238</v>
      </c>
      <c r="DT446" s="5" t="s">
        <v>387</v>
      </c>
      <c r="DU446" s="5" t="s">
        <v>389</v>
      </c>
      <c r="GL446" s="5" t="s">
        <v>390</v>
      </c>
      <c r="HM446" s="5" t="s">
        <v>379</v>
      </c>
      <c r="HP446" s="5" t="s">
        <v>272</v>
      </c>
      <c r="HQ446" s="5" t="s">
        <v>272</v>
      </c>
      <c r="HR446" s="5" t="s">
        <v>238</v>
      </c>
      <c r="HS446" s="5" t="s">
        <v>238</v>
      </c>
      <c r="HT446" s="5" t="s">
        <v>238</v>
      </c>
      <c r="HU446" s="5" t="s">
        <v>238</v>
      </c>
      <c r="HV446" s="5" t="s">
        <v>238</v>
      </c>
      <c r="HW446" s="5" t="s">
        <v>238</v>
      </c>
      <c r="HX446" s="5" t="s">
        <v>238</v>
      </c>
      <c r="HY446" s="5" t="s">
        <v>238</v>
      </c>
      <c r="HZ446" s="5" t="s">
        <v>238</v>
      </c>
      <c r="IA446" s="5" t="s">
        <v>238</v>
      </c>
      <c r="IB446" s="5" t="s">
        <v>238</v>
      </c>
      <c r="IC446" s="5" t="s">
        <v>238</v>
      </c>
      <c r="ID446" s="5" t="s">
        <v>238</v>
      </c>
    </row>
    <row r="447" spans="1:238" x14ac:dyDescent="0.4">
      <c r="A447" s="5">
        <v>483</v>
      </c>
      <c r="B447" s="5">
        <v>1</v>
      </c>
      <c r="C447" s="5">
        <v>4</v>
      </c>
      <c r="D447" s="5" t="s">
        <v>385</v>
      </c>
      <c r="E447" s="5" t="s">
        <v>347</v>
      </c>
      <c r="F447" s="5" t="s">
        <v>282</v>
      </c>
      <c r="G447" s="5" t="s">
        <v>349</v>
      </c>
      <c r="H447" s="6" t="s">
        <v>386</v>
      </c>
      <c r="I447" s="5" t="s">
        <v>345</v>
      </c>
      <c r="J447" s="7">
        <f>0</f>
        <v>0</v>
      </c>
      <c r="K447" s="5" t="s">
        <v>270</v>
      </c>
      <c r="L447" s="8">
        <f>33901802</f>
        <v>33901802</v>
      </c>
      <c r="M447" s="8">
        <f>44085566</f>
        <v>44085566</v>
      </c>
      <c r="N447" s="6" t="s">
        <v>348</v>
      </c>
      <c r="O447" s="5" t="s">
        <v>319</v>
      </c>
      <c r="P447" s="5" t="s">
        <v>271</v>
      </c>
      <c r="Q447" s="8">
        <f>3394588</f>
        <v>3394588</v>
      </c>
      <c r="R447" s="8">
        <f>10183764</f>
        <v>10183764</v>
      </c>
      <c r="S447" s="5" t="s">
        <v>240</v>
      </c>
      <c r="T447" s="5" t="s">
        <v>287</v>
      </c>
      <c r="U447" s="5" t="s">
        <v>238</v>
      </c>
      <c r="V447" s="5" t="s">
        <v>238</v>
      </c>
      <c r="W447" s="5" t="s">
        <v>241</v>
      </c>
      <c r="X447" s="5" t="s">
        <v>238</v>
      </c>
      <c r="Y447" s="5" t="s">
        <v>238</v>
      </c>
      <c r="AB447" s="5" t="s">
        <v>238</v>
      </c>
      <c r="AC447" s="6" t="s">
        <v>238</v>
      </c>
      <c r="AD447" s="6" t="s">
        <v>238</v>
      </c>
      <c r="AF447" s="6" t="s">
        <v>238</v>
      </c>
      <c r="AG447" s="6" t="s">
        <v>368</v>
      </c>
      <c r="AH447" s="5" t="s">
        <v>247</v>
      </c>
      <c r="AI447" s="5" t="s">
        <v>248</v>
      </c>
      <c r="AO447" s="5" t="s">
        <v>238</v>
      </c>
      <c r="AP447" s="5" t="s">
        <v>238</v>
      </c>
      <c r="AQ447" s="5" t="s">
        <v>238</v>
      </c>
      <c r="AR447" s="6" t="s">
        <v>238</v>
      </c>
      <c r="AS447" s="6" t="s">
        <v>238</v>
      </c>
      <c r="AT447" s="6" t="s">
        <v>238</v>
      </c>
      <c r="AW447" s="5" t="s">
        <v>304</v>
      </c>
      <c r="AX447" s="5" t="s">
        <v>304</v>
      </c>
      <c r="AY447" s="5" t="s">
        <v>250</v>
      </c>
      <c r="AZ447" s="5" t="s">
        <v>305</v>
      </c>
      <c r="BA447" s="5" t="s">
        <v>251</v>
      </c>
      <c r="BB447" s="5" t="s">
        <v>238</v>
      </c>
      <c r="BC447" s="5" t="s">
        <v>253</v>
      </c>
      <c r="BD447" s="5" t="s">
        <v>238</v>
      </c>
      <c r="BF447" s="5" t="s">
        <v>238</v>
      </c>
      <c r="BH447" s="5" t="s">
        <v>283</v>
      </c>
      <c r="BI447" s="6" t="s">
        <v>293</v>
      </c>
      <c r="BJ447" s="5" t="s">
        <v>294</v>
      </c>
      <c r="BK447" s="5" t="s">
        <v>294</v>
      </c>
      <c r="BL447" s="5" t="s">
        <v>238</v>
      </c>
      <c r="BM447" s="7">
        <f>0</f>
        <v>0</v>
      </c>
      <c r="BN447" s="8">
        <f>-3394588</f>
        <v>-3394588</v>
      </c>
      <c r="BO447" s="5" t="s">
        <v>257</v>
      </c>
      <c r="BP447" s="5" t="s">
        <v>258</v>
      </c>
      <c r="BQ447" s="5" t="s">
        <v>238</v>
      </c>
      <c r="BR447" s="5" t="s">
        <v>238</v>
      </c>
      <c r="BS447" s="5" t="s">
        <v>238</v>
      </c>
      <c r="BT447" s="5" t="s">
        <v>238</v>
      </c>
      <c r="CC447" s="5" t="s">
        <v>258</v>
      </c>
      <c r="CD447" s="5" t="s">
        <v>238</v>
      </c>
      <c r="CE447" s="5" t="s">
        <v>238</v>
      </c>
      <c r="CI447" s="5" t="s">
        <v>259</v>
      </c>
      <c r="CJ447" s="5" t="s">
        <v>260</v>
      </c>
      <c r="CK447" s="5" t="s">
        <v>238</v>
      </c>
      <c r="CM447" s="5" t="s">
        <v>291</v>
      </c>
      <c r="CN447" s="6" t="s">
        <v>262</v>
      </c>
      <c r="CO447" s="5" t="s">
        <v>263</v>
      </c>
      <c r="CP447" s="5" t="s">
        <v>264</v>
      </c>
      <c r="CQ447" s="5" t="s">
        <v>285</v>
      </c>
      <c r="CR447" s="5" t="s">
        <v>238</v>
      </c>
      <c r="CS447" s="5">
        <v>7.6999999999999999E-2</v>
      </c>
      <c r="CT447" s="5" t="s">
        <v>265</v>
      </c>
      <c r="CU447" s="5" t="s">
        <v>351</v>
      </c>
      <c r="CV447" s="5" t="s">
        <v>352</v>
      </c>
      <c r="CW447" s="7">
        <f>0</f>
        <v>0</v>
      </c>
      <c r="CX447" s="8">
        <f>44085566</f>
        <v>44085566</v>
      </c>
      <c r="CY447" s="8">
        <f>37296390</f>
        <v>37296390</v>
      </c>
      <c r="DA447" s="5" t="s">
        <v>238</v>
      </c>
      <c r="DB447" s="5" t="s">
        <v>238</v>
      </c>
      <c r="DD447" s="5" t="s">
        <v>238</v>
      </c>
      <c r="DE447" s="8">
        <f>0</f>
        <v>0</v>
      </c>
      <c r="DG447" s="5" t="s">
        <v>238</v>
      </c>
      <c r="DH447" s="5" t="s">
        <v>238</v>
      </c>
      <c r="DI447" s="5" t="s">
        <v>238</v>
      </c>
      <c r="DJ447" s="5" t="s">
        <v>238</v>
      </c>
      <c r="DK447" s="5" t="s">
        <v>272</v>
      </c>
      <c r="DL447" s="5" t="s">
        <v>272</v>
      </c>
      <c r="DM447" s="8" t="s">
        <v>238</v>
      </c>
      <c r="DN447" s="5" t="s">
        <v>238</v>
      </c>
      <c r="DO447" s="5" t="s">
        <v>238</v>
      </c>
      <c r="DP447" s="5" t="s">
        <v>238</v>
      </c>
      <c r="DQ447" s="5" t="s">
        <v>238</v>
      </c>
      <c r="DT447" s="5" t="s">
        <v>387</v>
      </c>
      <c r="DU447" s="5" t="s">
        <v>354</v>
      </c>
      <c r="GL447" s="5" t="s">
        <v>388</v>
      </c>
      <c r="HM447" s="5" t="s">
        <v>356</v>
      </c>
      <c r="HP447" s="5" t="s">
        <v>272</v>
      </c>
      <c r="HQ447" s="5" t="s">
        <v>272</v>
      </c>
      <c r="HR447" s="5" t="s">
        <v>238</v>
      </c>
      <c r="HS447" s="5" t="s">
        <v>238</v>
      </c>
      <c r="HT447" s="5" t="s">
        <v>238</v>
      </c>
      <c r="HU447" s="5" t="s">
        <v>238</v>
      </c>
      <c r="HV447" s="5" t="s">
        <v>238</v>
      </c>
      <c r="HW447" s="5" t="s">
        <v>238</v>
      </c>
      <c r="HX447" s="5" t="s">
        <v>238</v>
      </c>
      <c r="HY447" s="5" t="s">
        <v>238</v>
      </c>
      <c r="HZ447" s="5" t="s">
        <v>238</v>
      </c>
      <c r="IA447" s="5" t="s">
        <v>238</v>
      </c>
      <c r="IB447" s="5" t="s">
        <v>238</v>
      </c>
      <c r="IC447" s="5" t="s">
        <v>238</v>
      </c>
      <c r="ID447" s="5" t="s">
        <v>238</v>
      </c>
    </row>
    <row r="448" spans="1:238" x14ac:dyDescent="0.4">
      <c r="A448" s="5">
        <v>484</v>
      </c>
      <c r="B448" s="5">
        <v>1</v>
      </c>
      <c r="C448" s="5">
        <v>4</v>
      </c>
      <c r="D448" s="5" t="s">
        <v>380</v>
      </c>
      <c r="E448" s="5" t="s">
        <v>347</v>
      </c>
      <c r="F448" s="5" t="s">
        <v>282</v>
      </c>
      <c r="G448" s="5" t="s">
        <v>1499</v>
      </c>
      <c r="H448" s="6" t="s">
        <v>381</v>
      </c>
      <c r="I448" s="5" t="s">
        <v>1314</v>
      </c>
      <c r="J448" s="7">
        <f>4048</f>
        <v>4048</v>
      </c>
      <c r="K448" s="5" t="s">
        <v>270</v>
      </c>
      <c r="L448" s="8">
        <f>181026560</f>
        <v>181026560</v>
      </c>
      <c r="M448" s="8">
        <f>870320000</f>
        <v>870320000</v>
      </c>
      <c r="N448" s="6" t="s">
        <v>1612</v>
      </c>
      <c r="O448" s="5" t="s">
        <v>898</v>
      </c>
      <c r="P448" s="5" t="s">
        <v>755</v>
      </c>
      <c r="Q448" s="8">
        <f>19147040</f>
        <v>19147040</v>
      </c>
      <c r="R448" s="8">
        <f>689293440</f>
        <v>689293440</v>
      </c>
      <c r="S448" s="5" t="s">
        <v>240</v>
      </c>
      <c r="T448" s="5" t="s">
        <v>237</v>
      </c>
      <c r="U448" s="5" t="s">
        <v>238</v>
      </c>
      <c r="V448" s="5" t="s">
        <v>238</v>
      </c>
      <c r="W448" s="5" t="s">
        <v>241</v>
      </c>
      <c r="X448" s="5" t="s">
        <v>337</v>
      </c>
      <c r="Y448" s="5" t="s">
        <v>238</v>
      </c>
      <c r="AB448" s="5" t="s">
        <v>238</v>
      </c>
      <c r="AC448" s="6" t="s">
        <v>238</v>
      </c>
      <c r="AD448" s="6" t="s">
        <v>238</v>
      </c>
      <c r="AF448" s="6" t="s">
        <v>238</v>
      </c>
      <c r="AG448" s="6" t="s">
        <v>368</v>
      </c>
      <c r="AH448" s="5" t="s">
        <v>247</v>
      </c>
      <c r="AI448" s="5" t="s">
        <v>248</v>
      </c>
      <c r="AO448" s="5" t="s">
        <v>238</v>
      </c>
      <c r="AP448" s="5" t="s">
        <v>238</v>
      </c>
      <c r="AQ448" s="5" t="s">
        <v>238</v>
      </c>
      <c r="AR448" s="6" t="s">
        <v>238</v>
      </c>
      <c r="AS448" s="6" t="s">
        <v>238</v>
      </c>
      <c r="AT448" s="6" t="s">
        <v>238</v>
      </c>
      <c r="AW448" s="5" t="s">
        <v>304</v>
      </c>
      <c r="AX448" s="5" t="s">
        <v>304</v>
      </c>
      <c r="AY448" s="5" t="s">
        <v>250</v>
      </c>
      <c r="AZ448" s="5" t="s">
        <v>305</v>
      </c>
      <c r="BA448" s="5" t="s">
        <v>251</v>
      </c>
      <c r="BB448" s="5" t="s">
        <v>238</v>
      </c>
      <c r="BC448" s="5" t="s">
        <v>253</v>
      </c>
      <c r="BD448" s="5" t="s">
        <v>238</v>
      </c>
      <c r="BF448" s="5" t="s">
        <v>238</v>
      </c>
      <c r="BH448" s="5" t="s">
        <v>283</v>
      </c>
      <c r="BI448" s="6" t="s">
        <v>293</v>
      </c>
      <c r="BJ448" s="5" t="s">
        <v>294</v>
      </c>
      <c r="BK448" s="5" t="s">
        <v>294</v>
      </c>
      <c r="BL448" s="5" t="s">
        <v>238</v>
      </c>
      <c r="BM448" s="7">
        <f>0</f>
        <v>0</v>
      </c>
      <c r="BN448" s="8">
        <f>-19147040</f>
        <v>-19147040</v>
      </c>
      <c r="BO448" s="5" t="s">
        <v>257</v>
      </c>
      <c r="BP448" s="5" t="s">
        <v>258</v>
      </c>
      <c r="BQ448" s="5" t="s">
        <v>238</v>
      </c>
      <c r="BR448" s="5" t="s">
        <v>238</v>
      </c>
      <c r="BS448" s="5" t="s">
        <v>238</v>
      </c>
      <c r="BT448" s="5" t="s">
        <v>238</v>
      </c>
      <c r="CC448" s="5" t="s">
        <v>258</v>
      </c>
      <c r="CD448" s="5" t="s">
        <v>238</v>
      </c>
      <c r="CE448" s="5" t="s">
        <v>238</v>
      </c>
      <c r="CI448" s="5" t="s">
        <v>259</v>
      </c>
      <c r="CJ448" s="5" t="s">
        <v>260</v>
      </c>
      <c r="CK448" s="5" t="s">
        <v>238</v>
      </c>
      <c r="CM448" s="5" t="s">
        <v>689</v>
      </c>
      <c r="CN448" s="6" t="s">
        <v>262</v>
      </c>
      <c r="CO448" s="5" t="s">
        <v>263</v>
      </c>
      <c r="CP448" s="5" t="s">
        <v>264</v>
      </c>
      <c r="CQ448" s="5" t="s">
        <v>285</v>
      </c>
      <c r="CR448" s="5" t="s">
        <v>238</v>
      </c>
      <c r="CS448" s="5">
        <v>2.1999999999999999E-2</v>
      </c>
      <c r="CT448" s="5" t="s">
        <v>265</v>
      </c>
      <c r="CU448" s="5" t="s">
        <v>1493</v>
      </c>
      <c r="CV448" s="5" t="s">
        <v>308</v>
      </c>
      <c r="CW448" s="7">
        <f>0</f>
        <v>0</v>
      </c>
      <c r="CX448" s="8">
        <f>870320000</f>
        <v>870320000</v>
      </c>
      <c r="CY448" s="8">
        <f>200173600</f>
        <v>200173600</v>
      </c>
      <c r="DA448" s="5" t="s">
        <v>238</v>
      </c>
      <c r="DB448" s="5" t="s">
        <v>238</v>
      </c>
      <c r="DD448" s="5" t="s">
        <v>238</v>
      </c>
      <c r="DE448" s="8">
        <f>0</f>
        <v>0</v>
      </c>
      <c r="DG448" s="5" t="s">
        <v>238</v>
      </c>
      <c r="DH448" s="5" t="s">
        <v>238</v>
      </c>
      <c r="DI448" s="5" t="s">
        <v>238</v>
      </c>
      <c r="DJ448" s="5" t="s">
        <v>238</v>
      </c>
      <c r="DK448" s="5" t="s">
        <v>356</v>
      </c>
      <c r="DL448" s="5" t="s">
        <v>272</v>
      </c>
      <c r="DM448" s="7">
        <f>4048</f>
        <v>4048</v>
      </c>
      <c r="DN448" s="5" t="s">
        <v>238</v>
      </c>
      <c r="DO448" s="5" t="s">
        <v>238</v>
      </c>
      <c r="DP448" s="5" t="s">
        <v>238</v>
      </c>
      <c r="DQ448" s="5" t="s">
        <v>238</v>
      </c>
      <c r="DT448" s="5" t="s">
        <v>382</v>
      </c>
      <c r="DU448" s="5" t="s">
        <v>271</v>
      </c>
      <c r="GL448" s="5" t="s">
        <v>1613</v>
      </c>
      <c r="HM448" s="5" t="s">
        <v>313</v>
      </c>
      <c r="HP448" s="5" t="s">
        <v>272</v>
      </c>
      <c r="HQ448" s="5" t="s">
        <v>272</v>
      </c>
      <c r="HR448" s="5" t="s">
        <v>238</v>
      </c>
      <c r="HS448" s="5" t="s">
        <v>238</v>
      </c>
      <c r="HT448" s="5" t="s">
        <v>238</v>
      </c>
      <c r="HU448" s="5" t="s">
        <v>238</v>
      </c>
      <c r="HV448" s="5" t="s">
        <v>238</v>
      </c>
      <c r="HW448" s="5" t="s">
        <v>238</v>
      </c>
      <c r="HX448" s="5" t="s">
        <v>238</v>
      </c>
      <c r="HY448" s="5" t="s">
        <v>238</v>
      </c>
      <c r="HZ448" s="5" t="s">
        <v>238</v>
      </c>
      <c r="IA448" s="5" t="s">
        <v>238</v>
      </c>
      <c r="IB448" s="5" t="s">
        <v>238</v>
      </c>
      <c r="IC448" s="5" t="s">
        <v>238</v>
      </c>
      <c r="ID448" s="5" t="s">
        <v>238</v>
      </c>
    </row>
    <row r="449" spans="1:238" x14ac:dyDescent="0.4">
      <c r="A449" s="5">
        <v>485</v>
      </c>
      <c r="B449" s="5">
        <v>1</v>
      </c>
      <c r="C449" s="5">
        <v>4</v>
      </c>
      <c r="D449" s="5" t="s">
        <v>380</v>
      </c>
      <c r="E449" s="5" t="s">
        <v>347</v>
      </c>
      <c r="F449" s="5" t="s">
        <v>282</v>
      </c>
      <c r="G449" s="5" t="s">
        <v>1666</v>
      </c>
      <c r="H449" s="6" t="s">
        <v>381</v>
      </c>
      <c r="I449" s="5" t="s">
        <v>1308</v>
      </c>
      <c r="J449" s="7">
        <f>1100</f>
        <v>1100</v>
      </c>
      <c r="K449" s="5" t="s">
        <v>270</v>
      </c>
      <c r="L449" s="8">
        <f>84920000</f>
        <v>84920000</v>
      </c>
      <c r="M449" s="8">
        <f>212300000</f>
        <v>212300000</v>
      </c>
      <c r="N449" s="6" t="s">
        <v>1758</v>
      </c>
      <c r="O449" s="5" t="s">
        <v>755</v>
      </c>
      <c r="P449" s="5" t="s">
        <v>611</v>
      </c>
      <c r="Q449" s="8">
        <f>6369000</f>
        <v>6369000</v>
      </c>
      <c r="R449" s="8">
        <f>127380000</f>
        <v>127380000</v>
      </c>
      <c r="S449" s="5" t="s">
        <v>240</v>
      </c>
      <c r="T449" s="5" t="s">
        <v>237</v>
      </c>
      <c r="U449" s="5" t="s">
        <v>238</v>
      </c>
      <c r="V449" s="5" t="s">
        <v>238</v>
      </c>
      <c r="W449" s="5" t="s">
        <v>241</v>
      </c>
      <c r="X449" s="5" t="s">
        <v>337</v>
      </c>
      <c r="Y449" s="5" t="s">
        <v>238</v>
      </c>
      <c r="AB449" s="5" t="s">
        <v>238</v>
      </c>
      <c r="AC449" s="6" t="s">
        <v>238</v>
      </c>
      <c r="AD449" s="6" t="s">
        <v>238</v>
      </c>
      <c r="AF449" s="6" t="s">
        <v>238</v>
      </c>
      <c r="AG449" s="6" t="s">
        <v>368</v>
      </c>
      <c r="AH449" s="5" t="s">
        <v>247</v>
      </c>
      <c r="AI449" s="5" t="s">
        <v>248</v>
      </c>
      <c r="AO449" s="5" t="s">
        <v>238</v>
      </c>
      <c r="AP449" s="5" t="s">
        <v>238</v>
      </c>
      <c r="AQ449" s="5" t="s">
        <v>238</v>
      </c>
      <c r="AR449" s="6" t="s">
        <v>238</v>
      </c>
      <c r="AS449" s="6" t="s">
        <v>238</v>
      </c>
      <c r="AT449" s="6" t="s">
        <v>238</v>
      </c>
      <c r="AW449" s="5" t="s">
        <v>304</v>
      </c>
      <c r="AX449" s="5" t="s">
        <v>304</v>
      </c>
      <c r="AY449" s="5" t="s">
        <v>250</v>
      </c>
      <c r="AZ449" s="5" t="s">
        <v>305</v>
      </c>
      <c r="BA449" s="5" t="s">
        <v>251</v>
      </c>
      <c r="BB449" s="5" t="s">
        <v>238</v>
      </c>
      <c r="BC449" s="5" t="s">
        <v>253</v>
      </c>
      <c r="BD449" s="5" t="s">
        <v>238</v>
      </c>
      <c r="BF449" s="5" t="s">
        <v>238</v>
      </c>
      <c r="BH449" s="5" t="s">
        <v>283</v>
      </c>
      <c r="BI449" s="6" t="s">
        <v>293</v>
      </c>
      <c r="BJ449" s="5" t="s">
        <v>294</v>
      </c>
      <c r="BK449" s="5" t="s">
        <v>294</v>
      </c>
      <c r="BL449" s="5" t="s">
        <v>238</v>
      </c>
      <c r="BM449" s="7">
        <f>0</f>
        <v>0</v>
      </c>
      <c r="BN449" s="8">
        <f>-6369000</f>
        <v>-6369000</v>
      </c>
      <c r="BO449" s="5" t="s">
        <v>257</v>
      </c>
      <c r="BP449" s="5" t="s">
        <v>258</v>
      </c>
      <c r="BQ449" s="5" t="s">
        <v>238</v>
      </c>
      <c r="BR449" s="5" t="s">
        <v>238</v>
      </c>
      <c r="BS449" s="5" t="s">
        <v>238</v>
      </c>
      <c r="BT449" s="5" t="s">
        <v>238</v>
      </c>
      <c r="CC449" s="5" t="s">
        <v>258</v>
      </c>
      <c r="CD449" s="5" t="s">
        <v>238</v>
      </c>
      <c r="CE449" s="5" t="s">
        <v>238</v>
      </c>
      <c r="CI449" s="5" t="s">
        <v>259</v>
      </c>
      <c r="CJ449" s="5" t="s">
        <v>260</v>
      </c>
      <c r="CK449" s="5" t="s">
        <v>238</v>
      </c>
      <c r="CM449" s="5" t="s">
        <v>1357</v>
      </c>
      <c r="CN449" s="6" t="s">
        <v>262</v>
      </c>
      <c r="CO449" s="5" t="s">
        <v>263</v>
      </c>
      <c r="CP449" s="5" t="s">
        <v>264</v>
      </c>
      <c r="CQ449" s="5" t="s">
        <v>285</v>
      </c>
      <c r="CR449" s="5" t="s">
        <v>238</v>
      </c>
      <c r="CS449" s="5">
        <v>0.03</v>
      </c>
      <c r="CT449" s="5" t="s">
        <v>265</v>
      </c>
      <c r="CU449" s="5" t="s">
        <v>1330</v>
      </c>
      <c r="CV449" s="5" t="s">
        <v>649</v>
      </c>
      <c r="CW449" s="7">
        <f>0</f>
        <v>0</v>
      </c>
      <c r="CX449" s="8">
        <f>212300000</f>
        <v>212300000</v>
      </c>
      <c r="CY449" s="8">
        <f>91289000</f>
        <v>91289000</v>
      </c>
      <c r="DA449" s="5" t="s">
        <v>238</v>
      </c>
      <c r="DB449" s="5" t="s">
        <v>238</v>
      </c>
      <c r="DD449" s="5" t="s">
        <v>238</v>
      </c>
      <c r="DE449" s="8">
        <f>0</f>
        <v>0</v>
      </c>
      <c r="DG449" s="5" t="s">
        <v>238</v>
      </c>
      <c r="DH449" s="5" t="s">
        <v>238</v>
      </c>
      <c r="DI449" s="5" t="s">
        <v>238</v>
      </c>
      <c r="DJ449" s="5" t="s">
        <v>238</v>
      </c>
      <c r="DK449" s="5" t="s">
        <v>274</v>
      </c>
      <c r="DL449" s="5" t="s">
        <v>272</v>
      </c>
      <c r="DM449" s="7">
        <f>1100</f>
        <v>1100</v>
      </c>
      <c r="DN449" s="5" t="s">
        <v>238</v>
      </c>
      <c r="DO449" s="5" t="s">
        <v>238</v>
      </c>
      <c r="DP449" s="5" t="s">
        <v>238</v>
      </c>
      <c r="DQ449" s="5" t="s">
        <v>238</v>
      </c>
      <c r="DT449" s="5" t="s">
        <v>382</v>
      </c>
      <c r="DU449" s="5" t="s">
        <v>274</v>
      </c>
      <c r="GL449" s="5" t="s">
        <v>1759</v>
      </c>
      <c r="HM449" s="5" t="s">
        <v>313</v>
      </c>
      <c r="HP449" s="5" t="s">
        <v>272</v>
      </c>
      <c r="HQ449" s="5" t="s">
        <v>272</v>
      </c>
      <c r="HR449" s="5" t="s">
        <v>238</v>
      </c>
      <c r="HS449" s="5" t="s">
        <v>238</v>
      </c>
      <c r="HT449" s="5" t="s">
        <v>238</v>
      </c>
      <c r="HU449" s="5" t="s">
        <v>238</v>
      </c>
      <c r="HV449" s="5" t="s">
        <v>238</v>
      </c>
      <c r="HW449" s="5" t="s">
        <v>238</v>
      </c>
      <c r="HX449" s="5" t="s">
        <v>238</v>
      </c>
      <c r="HY449" s="5" t="s">
        <v>238</v>
      </c>
      <c r="HZ449" s="5" t="s">
        <v>238</v>
      </c>
      <c r="IA449" s="5" t="s">
        <v>238</v>
      </c>
      <c r="IB449" s="5" t="s">
        <v>238</v>
      </c>
      <c r="IC449" s="5" t="s">
        <v>238</v>
      </c>
      <c r="ID449" s="5" t="s">
        <v>238</v>
      </c>
    </row>
    <row r="450" spans="1:238" x14ac:dyDescent="0.4">
      <c r="A450" s="5">
        <v>486</v>
      </c>
      <c r="B450" s="5">
        <v>1</v>
      </c>
      <c r="C450" s="5">
        <v>1</v>
      </c>
      <c r="D450" s="5" t="s">
        <v>380</v>
      </c>
      <c r="E450" s="5" t="s">
        <v>347</v>
      </c>
      <c r="F450" s="5" t="s">
        <v>282</v>
      </c>
      <c r="G450" s="5" t="s">
        <v>1181</v>
      </c>
      <c r="H450" s="6" t="s">
        <v>381</v>
      </c>
      <c r="I450" s="5" t="s">
        <v>1181</v>
      </c>
      <c r="J450" s="7">
        <f>95</f>
        <v>95</v>
      </c>
      <c r="K450" s="5" t="s">
        <v>270</v>
      </c>
      <c r="L450" s="8">
        <f>1</f>
        <v>1</v>
      </c>
      <c r="M450" s="8">
        <f>5700000</f>
        <v>5700000</v>
      </c>
      <c r="N450" s="6" t="s">
        <v>1084</v>
      </c>
      <c r="O450" s="5" t="s">
        <v>650</v>
      </c>
      <c r="P450" s="5" t="s">
        <v>755</v>
      </c>
      <c r="R450" s="8">
        <f>5699999</f>
        <v>5699999</v>
      </c>
      <c r="S450" s="5" t="s">
        <v>240</v>
      </c>
      <c r="T450" s="5" t="s">
        <v>237</v>
      </c>
      <c r="U450" s="5" t="s">
        <v>238</v>
      </c>
      <c r="V450" s="5" t="s">
        <v>238</v>
      </c>
      <c r="W450" s="5" t="s">
        <v>241</v>
      </c>
      <c r="X450" s="5" t="s">
        <v>337</v>
      </c>
      <c r="Y450" s="5" t="s">
        <v>238</v>
      </c>
      <c r="AB450" s="5" t="s">
        <v>238</v>
      </c>
      <c r="AD450" s="6" t="s">
        <v>238</v>
      </c>
      <c r="AG450" s="6" t="s">
        <v>368</v>
      </c>
      <c r="AH450" s="5" t="s">
        <v>247</v>
      </c>
      <c r="AI450" s="5" t="s">
        <v>248</v>
      </c>
      <c r="AY450" s="5" t="s">
        <v>250</v>
      </c>
      <c r="AZ450" s="5" t="s">
        <v>238</v>
      </c>
      <c r="BA450" s="5" t="s">
        <v>251</v>
      </c>
      <c r="BB450" s="5" t="s">
        <v>238</v>
      </c>
      <c r="BC450" s="5" t="s">
        <v>253</v>
      </c>
      <c r="BD450" s="5" t="s">
        <v>238</v>
      </c>
      <c r="BF450" s="5" t="s">
        <v>238</v>
      </c>
      <c r="BH450" s="5" t="s">
        <v>798</v>
      </c>
      <c r="BI450" s="6" t="s">
        <v>799</v>
      </c>
      <c r="BJ450" s="5" t="s">
        <v>255</v>
      </c>
      <c r="BK450" s="5" t="s">
        <v>256</v>
      </c>
      <c r="BL450" s="5" t="s">
        <v>238</v>
      </c>
      <c r="BM450" s="7">
        <f>0</f>
        <v>0</v>
      </c>
      <c r="BN450" s="8">
        <f>0</f>
        <v>0</v>
      </c>
      <c r="BO450" s="5" t="s">
        <v>257</v>
      </c>
      <c r="BP450" s="5" t="s">
        <v>258</v>
      </c>
      <c r="CD450" s="5" t="s">
        <v>238</v>
      </c>
      <c r="CE450" s="5" t="s">
        <v>238</v>
      </c>
      <c r="CI450" s="5" t="s">
        <v>527</v>
      </c>
      <c r="CJ450" s="5" t="s">
        <v>260</v>
      </c>
      <c r="CK450" s="5" t="s">
        <v>238</v>
      </c>
      <c r="CM450" s="5" t="s">
        <v>1020</v>
      </c>
      <c r="CN450" s="6" t="s">
        <v>262</v>
      </c>
      <c r="CO450" s="5" t="s">
        <v>263</v>
      </c>
      <c r="CP450" s="5" t="s">
        <v>264</v>
      </c>
      <c r="CQ450" s="5" t="s">
        <v>238</v>
      </c>
      <c r="CR450" s="5" t="s">
        <v>238</v>
      </c>
      <c r="CS450" s="5">
        <v>0</v>
      </c>
      <c r="CT450" s="5" t="s">
        <v>265</v>
      </c>
      <c r="CU450" s="5" t="s">
        <v>1187</v>
      </c>
      <c r="CV450" s="5" t="s">
        <v>649</v>
      </c>
      <c r="CX450" s="8">
        <f>5700000</f>
        <v>5700000</v>
      </c>
      <c r="CY450" s="8">
        <f>0</f>
        <v>0</v>
      </c>
      <c r="DA450" s="5" t="s">
        <v>238</v>
      </c>
      <c r="DB450" s="5" t="s">
        <v>238</v>
      </c>
      <c r="DD450" s="5" t="s">
        <v>238</v>
      </c>
      <c r="DG450" s="5" t="s">
        <v>238</v>
      </c>
      <c r="DH450" s="5" t="s">
        <v>238</v>
      </c>
      <c r="DI450" s="5" t="s">
        <v>238</v>
      </c>
      <c r="DJ450" s="5" t="s">
        <v>238</v>
      </c>
      <c r="DK450" s="5" t="s">
        <v>271</v>
      </c>
      <c r="DL450" s="5" t="s">
        <v>272</v>
      </c>
      <c r="DM450" s="7">
        <f>95</f>
        <v>95</v>
      </c>
      <c r="DN450" s="5" t="s">
        <v>238</v>
      </c>
      <c r="DO450" s="5" t="s">
        <v>238</v>
      </c>
      <c r="DP450" s="5" t="s">
        <v>238</v>
      </c>
      <c r="DQ450" s="5" t="s">
        <v>238</v>
      </c>
      <c r="DT450" s="5" t="s">
        <v>382</v>
      </c>
      <c r="DU450" s="5" t="s">
        <v>356</v>
      </c>
      <c r="HM450" s="5" t="s">
        <v>271</v>
      </c>
      <c r="HP450" s="5" t="s">
        <v>272</v>
      </c>
      <c r="HQ450" s="5" t="s">
        <v>272</v>
      </c>
    </row>
    <row r="451" spans="1:238" x14ac:dyDescent="0.4">
      <c r="A451" s="5">
        <v>487</v>
      </c>
      <c r="B451" s="5">
        <v>1</v>
      </c>
      <c r="C451" s="5">
        <v>1</v>
      </c>
      <c r="D451" s="5" t="s">
        <v>380</v>
      </c>
      <c r="E451" s="5" t="s">
        <v>347</v>
      </c>
      <c r="F451" s="5" t="s">
        <v>282</v>
      </c>
      <c r="G451" s="5" t="s">
        <v>3027</v>
      </c>
      <c r="H451" s="6" t="s">
        <v>381</v>
      </c>
      <c r="I451" s="5" t="s">
        <v>3027</v>
      </c>
      <c r="J451" s="7">
        <f>141</f>
        <v>141</v>
      </c>
      <c r="K451" s="5" t="s">
        <v>270</v>
      </c>
      <c r="L451" s="8">
        <f>1</f>
        <v>1</v>
      </c>
      <c r="M451" s="8">
        <f>22983000</f>
        <v>22983000</v>
      </c>
      <c r="N451" s="6" t="s">
        <v>843</v>
      </c>
      <c r="O451" s="5" t="s">
        <v>268</v>
      </c>
      <c r="P451" s="5" t="s">
        <v>268</v>
      </c>
      <c r="R451" s="8">
        <f>22982999</f>
        <v>22982999</v>
      </c>
      <c r="S451" s="5" t="s">
        <v>240</v>
      </c>
      <c r="T451" s="5" t="s">
        <v>237</v>
      </c>
      <c r="U451" s="5" t="s">
        <v>238</v>
      </c>
      <c r="V451" s="5" t="s">
        <v>238</v>
      </c>
      <c r="W451" s="5" t="s">
        <v>241</v>
      </c>
      <c r="X451" s="5" t="s">
        <v>337</v>
      </c>
      <c r="Y451" s="5" t="s">
        <v>238</v>
      </c>
      <c r="AB451" s="5" t="s">
        <v>238</v>
      </c>
      <c r="AD451" s="6" t="s">
        <v>238</v>
      </c>
      <c r="AG451" s="6" t="s">
        <v>246</v>
      </c>
      <c r="AH451" s="5" t="s">
        <v>247</v>
      </c>
      <c r="AI451" s="5" t="s">
        <v>248</v>
      </c>
      <c r="AY451" s="5" t="s">
        <v>250</v>
      </c>
      <c r="AZ451" s="5" t="s">
        <v>238</v>
      </c>
      <c r="BA451" s="5" t="s">
        <v>251</v>
      </c>
      <c r="BB451" s="5" t="s">
        <v>238</v>
      </c>
      <c r="BC451" s="5" t="s">
        <v>253</v>
      </c>
      <c r="BD451" s="5" t="s">
        <v>238</v>
      </c>
      <c r="BF451" s="5" t="s">
        <v>238</v>
      </c>
      <c r="BH451" s="5" t="s">
        <v>254</v>
      </c>
      <c r="BI451" s="6" t="s">
        <v>246</v>
      </c>
      <c r="BJ451" s="5" t="s">
        <v>255</v>
      </c>
      <c r="BK451" s="5" t="s">
        <v>294</v>
      </c>
      <c r="BL451" s="5" t="s">
        <v>238</v>
      </c>
      <c r="BM451" s="7">
        <f>0</f>
        <v>0</v>
      </c>
      <c r="BN451" s="8">
        <f>0</f>
        <v>0</v>
      </c>
      <c r="BO451" s="5" t="s">
        <v>257</v>
      </c>
      <c r="BP451" s="5" t="s">
        <v>258</v>
      </c>
      <c r="CD451" s="5" t="s">
        <v>238</v>
      </c>
      <c r="CE451" s="5" t="s">
        <v>238</v>
      </c>
      <c r="CI451" s="5" t="s">
        <v>259</v>
      </c>
      <c r="CJ451" s="5" t="s">
        <v>260</v>
      </c>
      <c r="CK451" s="5" t="s">
        <v>238</v>
      </c>
      <c r="CM451" s="5" t="s">
        <v>845</v>
      </c>
      <c r="CN451" s="6" t="s">
        <v>262</v>
      </c>
      <c r="CO451" s="5" t="s">
        <v>263</v>
      </c>
      <c r="CP451" s="5" t="s">
        <v>264</v>
      </c>
      <c r="CQ451" s="5" t="s">
        <v>238</v>
      </c>
      <c r="CR451" s="5" t="s">
        <v>238</v>
      </c>
      <c r="CS451" s="5">
        <v>0</v>
      </c>
      <c r="CT451" s="5" t="s">
        <v>265</v>
      </c>
      <c r="CU451" s="5" t="s">
        <v>351</v>
      </c>
      <c r="CV451" s="5" t="s">
        <v>394</v>
      </c>
      <c r="CX451" s="8">
        <f>22983000</f>
        <v>22983000</v>
      </c>
      <c r="CY451" s="8">
        <f>0</f>
        <v>0</v>
      </c>
      <c r="DA451" s="5" t="s">
        <v>238</v>
      </c>
      <c r="DB451" s="5" t="s">
        <v>238</v>
      </c>
      <c r="DD451" s="5" t="s">
        <v>238</v>
      </c>
      <c r="DG451" s="5" t="s">
        <v>238</v>
      </c>
      <c r="DH451" s="5" t="s">
        <v>238</v>
      </c>
      <c r="DI451" s="5" t="s">
        <v>238</v>
      </c>
      <c r="DJ451" s="5" t="s">
        <v>238</v>
      </c>
      <c r="DK451" s="5" t="s">
        <v>271</v>
      </c>
      <c r="DL451" s="5" t="s">
        <v>272</v>
      </c>
      <c r="DM451" s="7">
        <f>141</f>
        <v>141</v>
      </c>
      <c r="DN451" s="5" t="s">
        <v>238</v>
      </c>
      <c r="DO451" s="5" t="s">
        <v>238</v>
      </c>
      <c r="DP451" s="5" t="s">
        <v>238</v>
      </c>
      <c r="DQ451" s="5" t="s">
        <v>238</v>
      </c>
      <c r="DT451" s="5" t="s">
        <v>382</v>
      </c>
      <c r="DU451" s="5" t="s">
        <v>310</v>
      </c>
      <c r="HM451" s="5" t="s">
        <v>313</v>
      </c>
      <c r="HP451" s="5" t="s">
        <v>272</v>
      </c>
      <c r="HQ451" s="5" t="s">
        <v>272</v>
      </c>
    </row>
    <row r="452" spans="1:238" x14ac:dyDescent="0.4">
      <c r="A452" s="5">
        <v>488</v>
      </c>
      <c r="B452" s="5">
        <v>1</v>
      </c>
      <c r="C452" s="5">
        <v>4</v>
      </c>
      <c r="D452" s="5" t="s">
        <v>380</v>
      </c>
      <c r="E452" s="5" t="s">
        <v>347</v>
      </c>
      <c r="F452" s="5" t="s">
        <v>282</v>
      </c>
      <c r="G452" s="5" t="s">
        <v>375</v>
      </c>
      <c r="H452" s="6" t="s">
        <v>381</v>
      </c>
      <c r="I452" s="5" t="s">
        <v>373</v>
      </c>
      <c r="J452" s="7">
        <f>0</f>
        <v>0</v>
      </c>
      <c r="K452" s="5" t="s">
        <v>270</v>
      </c>
      <c r="L452" s="8">
        <f>689030</f>
        <v>689030</v>
      </c>
      <c r="M452" s="8">
        <f>1036130</f>
        <v>1036130</v>
      </c>
      <c r="N452" s="6" t="s">
        <v>374</v>
      </c>
      <c r="O452" s="5" t="s">
        <v>268</v>
      </c>
      <c r="P452" s="5" t="s">
        <v>356</v>
      </c>
      <c r="Q452" s="8">
        <f>69420</f>
        <v>69420</v>
      </c>
      <c r="R452" s="8">
        <f>347100</f>
        <v>347100</v>
      </c>
      <c r="S452" s="5" t="s">
        <v>240</v>
      </c>
      <c r="T452" s="5" t="s">
        <v>287</v>
      </c>
      <c r="U452" s="5" t="s">
        <v>238</v>
      </c>
      <c r="V452" s="5" t="s">
        <v>238</v>
      </c>
      <c r="W452" s="5" t="s">
        <v>241</v>
      </c>
      <c r="X452" s="5" t="s">
        <v>337</v>
      </c>
      <c r="Y452" s="5" t="s">
        <v>238</v>
      </c>
      <c r="AB452" s="5" t="s">
        <v>238</v>
      </c>
      <c r="AC452" s="6" t="s">
        <v>238</v>
      </c>
      <c r="AD452" s="6" t="s">
        <v>238</v>
      </c>
      <c r="AF452" s="6" t="s">
        <v>238</v>
      </c>
      <c r="AG452" s="6" t="s">
        <v>246</v>
      </c>
      <c r="AH452" s="5" t="s">
        <v>247</v>
      </c>
      <c r="AI452" s="5" t="s">
        <v>248</v>
      </c>
      <c r="AO452" s="5" t="s">
        <v>238</v>
      </c>
      <c r="AP452" s="5" t="s">
        <v>238</v>
      </c>
      <c r="AQ452" s="5" t="s">
        <v>238</v>
      </c>
      <c r="AR452" s="6" t="s">
        <v>238</v>
      </c>
      <c r="AS452" s="6" t="s">
        <v>238</v>
      </c>
      <c r="AT452" s="6" t="s">
        <v>238</v>
      </c>
      <c r="AW452" s="5" t="s">
        <v>304</v>
      </c>
      <c r="AX452" s="5" t="s">
        <v>304</v>
      </c>
      <c r="AY452" s="5" t="s">
        <v>250</v>
      </c>
      <c r="AZ452" s="5" t="s">
        <v>305</v>
      </c>
      <c r="BA452" s="5" t="s">
        <v>251</v>
      </c>
      <c r="BB452" s="5" t="s">
        <v>238</v>
      </c>
      <c r="BC452" s="5" t="s">
        <v>253</v>
      </c>
      <c r="BD452" s="5" t="s">
        <v>238</v>
      </c>
      <c r="BF452" s="5" t="s">
        <v>238</v>
      </c>
      <c r="BH452" s="5" t="s">
        <v>283</v>
      </c>
      <c r="BI452" s="6" t="s">
        <v>293</v>
      </c>
      <c r="BJ452" s="5" t="s">
        <v>294</v>
      </c>
      <c r="BK452" s="5" t="s">
        <v>294</v>
      </c>
      <c r="BL452" s="5" t="s">
        <v>238</v>
      </c>
      <c r="BM452" s="7">
        <f>0</f>
        <v>0</v>
      </c>
      <c r="BN452" s="8">
        <f>-69420</f>
        <v>-69420</v>
      </c>
      <c r="BO452" s="5" t="s">
        <v>257</v>
      </c>
      <c r="BP452" s="5" t="s">
        <v>258</v>
      </c>
      <c r="BQ452" s="5" t="s">
        <v>238</v>
      </c>
      <c r="BR452" s="5" t="s">
        <v>238</v>
      </c>
      <c r="BS452" s="5" t="s">
        <v>238</v>
      </c>
      <c r="BT452" s="5" t="s">
        <v>238</v>
      </c>
      <c r="CC452" s="5" t="s">
        <v>258</v>
      </c>
      <c r="CD452" s="5" t="s">
        <v>238</v>
      </c>
      <c r="CE452" s="5" t="s">
        <v>238</v>
      </c>
      <c r="CI452" s="5" t="s">
        <v>259</v>
      </c>
      <c r="CJ452" s="5" t="s">
        <v>260</v>
      </c>
      <c r="CK452" s="5" t="s">
        <v>238</v>
      </c>
      <c r="CM452" s="5" t="s">
        <v>376</v>
      </c>
      <c r="CN452" s="6" t="s">
        <v>262</v>
      </c>
      <c r="CO452" s="5" t="s">
        <v>263</v>
      </c>
      <c r="CP452" s="5" t="s">
        <v>264</v>
      </c>
      <c r="CQ452" s="5" t="s">
        <v>285</v>
      </c>
      <c r="CR452" s="5" t="s">
        <v>238</v>
      </c>
      <c r="CS452" s="5">
        <v>6.7000000000000004E-2</v>
      </c>
      <c r="CT452" s="5" t="s">
        <v>265</v>
      </c>
      <c r="CU452" s="5" t="s">
        <v>351</v>
      </c>
      <c r="CV452" s="5" t="s">
        <v>365</v>
      </c>
      <c r="CW452" s="7">
        <f>0</f>
        <v>0</v>
      </c>
      <c r="CX452" s="8">
        <f>1036130</f>
        <v>1036130</v>
      </c>
      <c r="CY452" s="8">
        <f>758450</f>
        <v>758450</v>
      </c>
      <c r="DA452" s="5" t="s">
        <v>238</v>
      </c>
      <c r="DB452" s="5" t="s">
        <v>238</v>
      </c>
      <c r="DD452" s="5" t="s">
        <v>238</v>
      </c>
      <c r="DE452" s="8">
        <f>0</f>
        <v>0</v>
      </c>
      <c r="DG452" s="5" t="s">
        <v>238</v>
      </c>
      <c r="DH452" s="5" t="s">
        <v>238</v>
      </c>
      <c r="DI452" s="5" t="s">
        <v>238</v>
      </c>
      <c r="DJ452" s="5" t="s">
        <v>238</v>
      </c>
      <c r="DK452" s="5" t="s">
        <v>272</v>
      </c>
      <c r="DL452" s="5" t="s">
        <v>272</v>
      </c>
      <c r="DM452" s="8" t="s">
        <v>238</v>
      </c>
      <c r="DN452" s="5" t="s">
        <v>238</v>
      </c>
      <c r="DO452" s="5" t="s">
        <v>238</v>
      </c>
      <c r="DP452" s="5" t="s">
        <v>238</v>
      </c>
      <c r="DQ452" s="5" t="s">
        <v>238</v>
      </c>
      <c r="DT452" s="5" t="s">
        <v>382</v>
      </c>
      <c r="DU452" s="5" t="s">
        <v>379</v>
      </c>
      <c r="GL452" s="5" t="s">
        <v>384</v>
      </c>
      <c r="HM452" s="5" t="s">
        <v>379</v>
      </c>
      <c r="HP452" s="5" t="s">
        <v>272</v>
      </c>
      <c r="HQ452" s="5" t="s">
        <v>272</v>
      </c>
      <c r="HR452" s="5" t="s">
        <v>238</v>
      </c>
      <c r="HS452" s="5" t="s">
        <v>238</v>
      </c>
      <c r="HT452" s="5" t="s">
        <v>238</v>
      </c>
      <c r="HU452" s="5" t="s">
        <v>238</v>
      </c>
      <c r="HV452" s="5" t="s">
        <v>238</v>
      </c>
      <c r="HW452" s="5" t="s">
        <v>238</v>
      </c>
      <c r="HX452" s="5" t="s">
        <v>238</v>
      </c>
      <c r="HY452" s="5" t="s">
        <v>238</v>
      </c>
      <c r="HZ452" s="5" t="s">
        <v>238</v>
      </c>
      <c r="IA452" s="5" t="s">
        <v>238</v>
      </c>
      <c r="IB452" s="5" t="s">
        <v>238</v>
      </c>
      <c r="IC452" s="5" t="s">
        <v>238</v>
      </c>
      <c r="ID452" s="5" t="s">
        <v>238</v>
      </c>
    </row>
    <row r="453" spans="1:238" x14ac:dyDescent="0.4">
      <c r="A453" s="5">
        <v>489</v>
      </c>
      <c r="B453" s="5">
        <v>1</v>
      </c>
      <c r="C453" s="5">
        <v>4</v>
      </c>
      <c r="D453" s="5" t="s">
        <v>380</v>
      </c>
      <c r="E453" s="5" t="s">
        <v>347</v>
      </c>
      <c r="F453" s="5" t="s">
        <v>282</v>
      </c>
      <c r="G453" s="5" t="s">
        <v>349</v>
      </c>
      <c r="H453" s="6" t="s">
        <v>381</v>
      </c>
      <c r="I453" s="5" t="s">
        <v>345</v>
      </c>
      <c r="J453" s="7">
        <f>0</f>
        <v>0</v>
      </c>
      <c r="K453" s="5" t="s">
        <v>270</v>
      </c>
      <c r="L453" s="8">
        <f>25762899</f>
        <v>25762899</v>
      </c>
      <c r="M453" s="8">
        <f>33501819</f>
        <v>33501819</v>
      </c>
      <c r="N453" s="6" t="s">
        <v>348</v>
      </c>
      <c r="O453" s="5" t="s">
        <v>319</v>
      </c>
      <c r="P453" s="5" t="s">
        <v>271</v>
      </c>
      <c r="Q453" s="8">
        <f>2579640</f>
        <v>2579640</v>
      </c>
      <c r="R453" s="8">
        <f>7738920</f>
        <v>7738920</v>
      </c>
      <c r="S453" s="5" t="s">
        <v>240</v>
      </c>
      <c r="T453" s="5" t="s">
        <v>287</v>
      </c>
      <c r="U453" s="5" t="s">
        <v>238</v>
      </c>
      <c r="V453" s="5" t="s">
        <v>238</v>
      </c>
      <c r="W453" s="5" t="s">
        <v>241</v>
      </c>
      <c r="X453" s="5" t="s">
        <v>238</v>
      </c>
      <c r="Y453" s="5" t="s">
        <v>238</v>
      </c>
      <c r="AB453" s="5" t="s">
        <v>238</v>
      </c>
      <c r="AC453" s="6" t="s">
        <v>238</v>
      </c>
      <c r="AD453" s="6" t="s">
        <v>238</v>
      </c>
      <c r="AF453" s="6" t="s">
        <v>238</v>
      </c>
      <c r="AG453" s="6" t="s">
        <v>368</v>
      </c>
      <c r="AH453" s="5" t="s">
        <v>247</v>
      </c>
      <c r="AI453" s="5" t="s">
        <v>248</v>
      </c>
      <c r="AO453" s="5" t="s">
        <v>238</v>
      </c>
      <c r="AP453" s="5" t="s">
        <v>238</v>
      </c>
      <c r="AQ453" s="5" t="s">
        <v>238</v>
      </c>
      <c r="AR453" s="6" t="s">
        <v>238</v>
      </c>
      <c r="AS453" s="6" t="s">
        <v>238</v>
      </c>
      <c r="AT453" s="6" t="s">
        <v>238</v>
      </c>
      <c r="AW453" s="5" t="s">
        <v>304</v>
      </c>
      <c r="AX453" s="5" t="s">
        <v>304</v>
      </c>
      <c r="AY453" s="5" t="s">
        <v>250</v>
      </c>
      <c r="AZ453" s="5" t="s">
        <v>305</v>
      </c>
      <c r="BA453" s="5" t="s">
        <v>251</v>
      </c>
      <c r="BB453" s="5" t="s">
        <v>238</v>
      </c>
      <c r="BC453" s="5" t="s">
        <v>253</v>
      </c>
      <c r="BD453" s="5" t="s">
        <v>238</v>
      </c>
      <c r="BF453" s="5" t="s">
        <v>238</v>
      </c>
      <c r="BH453" s="5" t="s">
        <v>283</v>
      </c>
      <c r="BI453" s="6" t="s">
        <v>293</v>
      </c>
      <c r="BJ453" s="5" t="s">
        <v>294</v>
      </c>
      <c r="BK453" s="5" t="s">
        <v>294</v>
      </c>
      <c r="BL453" s="5" t="s">
        <v>238</v>
      </c>
      <c r="BM453" s="7">
        <f>0</f>
        <v>0</v>
      </c>
      <c r="BN453" s="8">
        <f>-2579640</f>
        <v>-2579640</v>
      </c>
      <c r="BO453" s="5" t="s">
        <v>257</v>
      </c>
      <c r="BP453" s="5" t="s">
        <v>258</v>
      </c>
      <c r="BQ453" s="5" t="s">
        <v>238</v>
      </c>
      <c r="BR453" s="5" t="s">
        <v>238</v>
      </c>
      <c r="BS453" s="5" t="s">
        <v>238</v>
      </c>
      <c r="BT453" s="5" t="s">
        <v>238</v>
      </c>
      <c r="CC453" s="5" t="s">
        <v>258</v>
      </c>
      <c r="CD453" s="5" t="s">
        <v>238</v>
      </c>
      <c r="CE453" s="5" t="s">
        <v>238</v>
      </c>
      <c r="CI453" s="5" t="s">
        <v>259</v>
      </c>
      <c r="CJ453" s="5" t="s">
        <v>260</v>
      </c>
      <c r="CK453" s="5" t="s">
        <v>238</v>
      </c>
      <c r="CM453" s="5" t="s">
        <v>291</v>
      </c>
      <c r="CN453" s="6" t="s">
        <v>262</v>
      </c>
      <c r="CO453" s="5" t="s">
        <v>263</v>
      </c>
      <c r="CP453" s="5" t="s">
        <v>264</v>
      </c>
      <c r="CQ453" s="5" t="s">
        <v>285</v>
      </c>
      <c r="CR453" s="5" t="s">
        <v>238</v>
      </c>
      <c r="CS453" s="5">
        <v>7.6999999999999999E-2</v>
      </c>
      <c r="CT453" s="5" t="s">
        <v>265</v>
      </c>
      <c r="CU453" s="5" t="s">
        <v>351</v>
      </c>
      <c r="CV453" s="5" t="s">
        <v>352</v>
      </c>
      <c r="CW453" s="7">
        <f>0</f>
        <v>0</v>
      </c>
      <c r="CX453" s="8">
        <f>33501819</f>
        <v>33501819</v>
      </c>
      <c r="CY453" s="8">
        <f>28342539</f>
        <v>28342539</v>
      </c>
      <c r="DA453" s="5" t="s">
        <v>238</v>
      </c>
      <c r="DB453" s="5" t="s">
        <v>238</v>
      </c>
      <c r="DD453" s="5" t="s">
        <v>238</v>
      </c>
      <c r="DE453" s="8">
        <f>0</f>
        <v>0</v>
      </c>
      <c r="DG453" s="5" t="s">
        <v>238</v>
      </c>
      <c r="DH453" s="5" t="s">
        <v>238</v>
      </c>
      <c r="DI453" s="5" t="s">
        <v>238</v>
      </c>
      <c r="DJ453" s="5" t="s">
        <v>238</v>
      </c>
      <c r="DK453" s="5" t="s">
        <v>272</v>
      </c>
      <c r="DL453" s="5" t="s">
        <v>272</v>
      </c>
      <c r="DM453" s="8" t="s">
        <v>238</v>
      </c>
      <c r="DN453" s="5" t="s">
        <v>238</v>
      </c>
      <c r="DO453" s="5" t="s">
        <v>238</v>
      </c>
      <c r="DP453" s="5" t="s">
        <v>238</v>
      </c>
      <c r="DQ453" s="5" t="s">
        <v>238</v>
      </c>
      <c r="DT453" s="5" t="s">
        <v>382</v>
      </c>
      <c r="DU453" s="5" t="s">
        <v>313</v>
      </c>
      <c r="GL453" s="5" t="s">
        <v>383</v>
      </c>
      <c r="HM453" s="5" t="s">
        <v>356</v>
      </c>
      <c r="HP453" s="5" t="s">
        <v>272</v>
      </c>
      <c r="HQ453" s="5" t="s">
        <v>272</v>
      </c>
      <c r="HR453" s="5" t="s">
        <v>238</v>
      </c>
      <c r="HS453" s="5" t="s">
        <v>238</v>
      </c>
      <c r="HT453" s="5" t="s">
        <v>238</v>
      </c>
      <c r="HU453" s="5" t="s">
        <v>238</v>
      </c>
      <c r="HV453" s="5" t="s">
        <v>238</v>
      </c>
      <c r="HW453" s="5" t="s">
        <v>238</v>
      </c>
      <c r="HX453" s="5" t="s">
        <v>238</v>
      </c>
      <c r="HY453" s="5" t="s">
        <v>238</v>
      </c>
      <c r="HZ453" s="5" t="s">
        <v>238</v>
      </c>
      <c r="IA453" s="5" t="s">
        <v>238</v>
      </c>
      <c r="IB453" s="5" t="s">
        <v>238</v>
      </c>
      <c r="IC453" s="5" t="s">
        <v>238</v>
      </c>
      <c r="ID453" s="5" t="s">
        <v>238</v>
      </c>
    </row>
    <row r="454" spans="1:238" x14ac:dyDescent="0.4">
      <c r="A454" s="5">
        <v>490</v>
      </c>
      <c r="B454" s="5">
        <v>1</v>
      </c>
      <c r="C454" s="5">
        <v>1</v>
      </c>
      <c r="D454" s="5" t="s">
        <v>367</v>
      </c>
      <c r="E454" s="5" t="s">
        <v>347</v>
      </c>
      <c r="F454" s="5" t="s">
        <v>282</v>
      </c>
      <c r="G454" s="5" t="s">
        <v>1314</v>
      </c>
      <c r="H454" s="6" t="s">
        <v>369</v>
      </c>
      <c r="I454" s="5" t="s">
        <v>1314</v>
      </c>
      <c r="J454" s="7">
        <f>2321</f>
        <v>2321</v>
      </c>
      <c r="K454" s="5" t="s">
        <v>270</v>
      </c>
      <c r="L454" s="8">
        <f>1</f>
        <v>1</v>
      </c>
      <c r="M454" s="8">
        <f>313335000</f>
        <v>313335000</v>
      </c>
      <c r="N454" s="6" t="s">
        <v>1657</v>
      </c>
      <c r="O454" s="5" t="s">
        <v>898</v>
      </c>
      <c r="P454" s="5" t="s">
        <v>898</v>
      </c>
      <c r="R454" s="8">
        <f>313334999</f>
        <v>313334999</v>
      </c>
      <c r="S454" s="5" t="s">
        <v>240</v>
      </c>
      <c r="T454" s="5" t="s">
        <v>237</v>
      </c>
      <c r="U454" s="5" t="s">
        <v>238</v>
      </c>
      <c r="V454" s="5" t="s">
        <v>238</v>
      </c>
      <c r="W454" s="5" t="s">
        <v>241</v>
      </c>
      <c r="X454" s="5" t="s">
        <v>337</v>
      </c>
      <c r="Y454" s="5" t="s">
        <v>238</v>
      </c>
      <c r="AB454" s="5" t="s">
        <v>238</v>
      </c>
      <c r="AD454" s="6" t="s">
        <v>238</v>
      </c>
      <c r="AG454" s="6" t="s">
        <v>368</v>
      </c>
      <c r="AH454" s="5" t="s">
        <v>247</v>
      </c>
      <c r="AI454" s="5" t="s">
        <v>248</v>
      </c>
      <c r="AY454" s="5" t="s">
        <v>250</v>
      </c>
      <c r="AZ454" s="5" t="s">
        <v>238</v>
      </c>
      <c r="BA454" s="5" t="s">
        <v>251</v>
      </c>
      <c r="BB454" s="5" t="s">
        <v>238</v>
      </c>
      <c r="BC454" s="5" t="s">
        <v>253</v>
      </c>
      <c r="BD454" s="5" t="s">
        <v>238</v>
      </c>
      <c r="BF454" s="5" t="s">
        <v>238</v>
      </c>
      <c r="BH454" s="5" t="s">
        <v>859</v>
      </c>
      <c r="BI454" s="6" t="s">
        <v>368</v>
      </c>
      <c r="BJ454" s="5" t="s">
        <v>255</v>
      </c>
      <c r="BK454" s="5" t="s">
        <v>294</v>
      </c>
      <c r="BL454" s="5" t="s">
        <v>238</v>
      </c>
      <c r="BM454" s="7">
        <f>0</f>
        <v>0</v>
      </c>
      <c r="BN454" s="8">
        <f>0</f>
        <v>0</v>
      </c>
      <c r="BO454" s="5" t="s">
        <v>257</v>
      </c>
      <c r="BP454" s="5" t="s">
        <v>258</v>
      </c>
      <c r="CD454" s="5" t="s">
        <v>238</v>
      </c>
      <c r="CE454" s="5" t="s">
        <v>238</v>
      </c>
      <c r="CI454" s="5" t="s">
        <v>527</v>
      </c>
      <c r="CJ454" s="5" t="s">
        <v>260</v>
      </c>
      <c r="CK454" s="5" t="s">
        <v>238</v>
      </c>
      <c r="CM454" s="5" t="s">
        <v>921</v>
      </c>
      <c r="CN454" s="6" t="s">
        <v>262</v>
      </c>
      <c r="CO454" s="5" t="s">
        <v>263</v>
      </c>
      <c r="CP454" s="5" t="s">
        <v>264</v>
      </c>
      <c r="CQ454" s="5" t="s">
        <v>238</v>
      </c>
      <c r="CR454" s="5" t="s">
        <v>238</v>
      </c>
      <c r="CS454" s="5">
        <v>0</v>
      </c>
      <c r="CT454" s="5" t="s">
        <v>265</v>
      </c>
      <c r="CU454" s="5" t="s">
        <v>1493</v>
      </c>
      <c r="CV454" s="5" t="s">
        <v>308</v>
      </c>
      <c r="CX454" s="8">
        <f>313335000</f>
        <v>313335000</v>
      </c>
      <c r="CY454" s="8">
        <f>0</f>
        <v>0</v>
      </c>
      <c r="DA454" s="5" t="s">
        <v>238</v>
      </c>
      <c r="DB454" s="5" t="s">
        <v>238</v>
      </c>
      <c r="DD454" s="5" t="s">
        <v>238</v>
      </c>
      <c r="DG454" s="5" t="s">
        <v>238</v>
      </c>
      <c r="DH454" s="5" t="s">
        <v>238</v>
      </c>
      <c r="DI454" s="5" t="s">
        <v>238</v>
      </c>
      <c r="DJ454" s="5" t="s">
        <v>238</v>
      </c>
      <c r="DK454" s="5" t="s">
        <v>274</v>
      </c>
      <c r="DL454" s="5" t="s">
        <v>272</v>
      </c>
      <c r="DM454" s="7">
        <f>2321</f>
        <v>2321</v>
      </c>
      <c r="DN454" s="5" t="s">
        <v>238</v>
      </c>
      <c r="DO454" s="5" t="s">
        <v>238</v>
      </c>
      <c r="DP454" s="5" t="s">
        <v>238</v>
      </c>
      <c r="DQ454" s="5" t="s">
        <v>238</v>
      </c>
      <c r="DT454" s="5" t="s">
        <v>370</v>
      </c>
      <c r="DU454" s="5" t="s">
        <v>271</v>
      </c>
      <c r="HM454" s="5" t="s">
        <v>356</v>
      </c>
      <c r="HP454" s="5" t="s">
        <v>272</v>
      </c>
      <c r="HQ454" s="5" t="s">
        <v>272</v>
      </c>
    </row>
    <row r="455" spans="1:238" x14ac:dyDescent="0.4">
      <c r="A455" s="5">
        <v>491</v>
      </c>
      <c r="B455" s="5">
        <v>1</v>
      </c>
      <c r="C455" s="5">
        <v>1</v>
      </c>
      <c r="D455" s="5" t="s">
        <v>367</v>
      </c>
      <c r="E455" s="5" t="s">
        <v>347</v>
      </c>
      <c r="F455" s="5" t="s">
        <v>282</v>
      </c>
      <c r="G455" s="5" t="s">
        <v>1308</v>
      </c>
      <c r="H455" s="6" t="s">
        <v>369</v>
      </c>
      <c r="I455" s="5" t="s">
        <v>1308</v>
      </c>
      <c r="J455" s="7">
        <f>546</f>
        <v>546</v>
      </c>
      <c r="K455" s="5" t="s">
        <v>270</v>
      </c>
      <c r="L455" s="8">
        <f>1</f>
        <v>1</v>
      </c>
      <c r="M455" s="8">
        <f>43680000</f>
        <v>43680000</v>
      </c>
      <c r="N455" s="6" t="s">
        <v>1772</v>
      </c>
      <c r="O455" s="5" t="s">
        <v>755</v>
      </c>
      <c r="P455" s="5" t="s">
        <v>850</v>
      </c>
      <c r="R455" s="8">
        <f>43679999</f>
        <v>43679999</v>
      </c>
      <c r="S455" s="5" t="s">
        <v>240</v>
      </c>
      <c r="T455" s="5" t="s">
        <v>237</v>
      </c>
      <c r="U455" s="5" t="s">
        <v>238</v>
      </c>
      <c r="V455" s="5" t="s">
        <v>238</v>
      </c>
      <c r="W455" s="5" t="s">
        <v>241</v>
      </c>
      <c r="X455" s="5" t="s">
        <v>337</v>
      </c>
      <c r="Y455" s="5" t="s">
        <v>238</v>
      </c>
      <c r="AB455" s="5" t="s">
        <v>238</v>
      </c>
      <c r="AD455" s="6" t="s">
        <v>238</v>
      </c>
      <c r="AG455" s="6" t="s">
        <v>368</v>
      </c>
      <c r="AH455" s="5" t="s">
        <v>247</v>
      </c>
      <c r="AI455" s="5" t="s">
        <v>248</v>
      </c>
      <c r="AY455" s="5" t="s">
        <v>250</v>
      </c>
      <c r="AZ455" s="5" t="s">
        <v>238</v>
      </c>
      <c r="BA455" s="5" t="s">
        <v>251</v>
      </c>
      <c r="BB455" s="5" t="s">
        <v>238</v>
      </c>
      <c r="BC455" s="5" t="s">
        <v>253</v>
      </c>
      <c r="BD455" s="5" t="s">
        <v>238</v>
      </c>
      <c r="BF455" s="5" t="s">
        <v>238</v>
      </c>
      <c r="BH455" s="5" t="s">
        <v>697</v>
      </c>
      <c r="BI455" s="6" t="s">
        <v>698</v>
      </c>
      <c r="BJ455" s="5" t="s">
        <v>255</v>
      </c>
      <c r="BK455" s="5" t="s">
        <v>256</v>
      </c>
      <c r="BL455" s="5" t="s">
        <v>238</v>
      </c>
      <c r="BM455" s="7">
        <f>0</f>
        <v>0</v>
      </c>
      <c r="BN455" s="8">
        <f>0</f>
        <v>0</v>
      </c>
      <c r="BO455" s="5" t="s">
        <v>257</v>
      </c>
      <c r="BP455" s="5" t="s">
        <v>258</v>
      </c>
      <c r="CD455" s="5" t="s">
        <v>238</v>
      </c>
      <c r="CE455" s="5" t="s">
        <v>238</v>
      </c>
      <c r="CI455" s="5" t="s">
        <v>527</v>
      </c>
      <c r="CJ455" s="5" t="s">
        <v>260</v>
      </c>
      <c r="CK455" s="5" t="s">
        <v>238</v>
      </c>
      <c r="CM455" s="5" t="s">
        <v>849</v>
      </c>
      <c r="CN455" s="6" t="s">
        <v>262</v>
      </c>
      <c r="CO455" s="5" t="s">
        <v>263</v>
      </c>
      <c r="CP455" s="5" t="s">
        <v>264</v>
      </c>
      <c r="CQ455" s="5" t="s">
        <v>238</v>
      </c>
      <c r="CR455" s="5" t="s">
        <v>238</v>
      </c>
      <c r="CS455" s="5">
        <v>0</v>
      </c>
      <c r="CT455" s="5" t="s">
        <v>265</v>
      </c>
      <c r="CU455" s="5" t="s">
        <v>1330</v>
      </c>
      <c r="CV455" s="5" t="s">
        <v>649</v>
      </c>
      <c r="CX455" s="8">
        <f>43680000</f>
        <v>43680000</v>
      </c>
      <c r="CY455" s="8">
        <f>0</f>
        <v>0</v>
      </c>
      <c r="DA455" s="5" t="s">
        <v>238</v>
      </c>
      <c r="DB455" s="5" t="s">
        <v>238</v>
      </c>
      <c r="DD455" s="5" t="s">
        <v>238</v>
      </c>
      <c r="DG455" s="5" t="s">
        <v>238</v>
      </c>
      <c r="DH455" s="5" t="s">
        <v>238</v>
      </c>
      <c r="DI455" s="5" t="s">
        <v>238</v>
      </c>
      <c r="DJ455" s="5" t="s">
        <v>238</v>
      </c>
      <c r="DK455" s="5" t="s">
        <v>274</v>
      </c>
      <c r="DL455" s="5" t="s">
        <v>272</v>
      </c>
      <c r="DM455" s="7">
        <f>546</f>
        <v>546</v>
      </c>
      <c r="DN455" s="5" t="s">
        <v>238</v>
      </c>
      <c r="DO455" s="5" t="s">
        <v>238</v>
      </c>
      <c r="DP455" s="5" t="s">
        <v>238</v>
      </c>
      <c r="DQ455" s="5" t="s">
        <v>238</v>
      </c>
      <c r="DT455" s="5" t="s">
        <v>370</v>
      </c>
      <c r="DU455" s="5" t="s">
        <v>274</v>
      </c>
      <c r="HM455" s="5" t="s">
        <v>271</v>
      </c>
      <c r="HP455" s="5" t="s">
        <v>272</v>
      </c>
      <c r="HQ455" s="5" t="s">
        <v>272</v>
      </c>
    </row>
    <row r="456" spans="1:238" x14ac:dyDescent="0.4">
      <c r="A456" s="5">
        <v>492</v>
      </c>
      <c r="B456" s="5">
        <v>1</v>
      </c>
      <c r="C456" s="5">
        <v>1</v>
      </c>
      <c r="D456" s="5" t="s">
        <v>367</v>
      </c>
      <c r="E456" s="5" t="s">
        <v>347</v>
      </c>
      <c r="F456" s="5" t="s">
        <v>282</v>
      </c>
      <c r="G456" s="5" t="s">
        <v>695</v>
      </c>
      <c r="H456" s="6" t="s">
        <v>369</v>
      </c>
      <c r="I456" s="5" t="s">
        <v>695</v>
      </c>
      <c r="J456" s="7">
        <f>31</f>
        <v>31</v>
      </c>
      <c r="K456" s="5" t="s">
        <v>270</v>
      </c>
      <c r="L456" s="8">
        <f>1</f>
        <v>1</v>
      </c>
      <c r="M456" s="8">
        <f>4030000</f>
        <v>4030000</v>
      </c>
      <c r="N456" s="6" t="s">
        <v>1657</v>
      </c>
      <c r="O456" s="5" t="s">
        <v>268</v>
      </c>
      <c r="P456" s="5" t="s">
        <v>922</v>
      </c>
      <c r="R456" s="8">
        <f>4029999</f>
        <v>4029999</v>
      </c>
      <c r="S456" s="5" t="s">
        <v>240</v>
      </c>
      <c r="T456" s="5" t="s">
        <v>237</v>
      </c>
      <c r="U456" s="5" t="s">
        <v>238</v>
      </c>
      <c r="V456" s="5" t="s">
        <v>238</v>
      </c>
      <c r="W456" s="5" t="s">
        <v>241</v>
      </c>
      <c r="X456" s="5" t="s">
        <v>337</v>
      </c>
      <c r="Y456" s="5" t="s">
        <v>238</v>
      </c>
      <c r="AB456" s="5" t="s">
        <v>238</v>
      </c>
      <c r="AD456" s="6" t="s">
        <v>238</v>
      </c>
      <c r="AG456" s="6" t="s">
        <v>368</v>
      </c>
      <c r="AH456" s="5" t="s">
        <v>247</v>
      </c>
      <c r="AI456" s="5" t="s">
        <v>248</v>
      </c>
      <c r="AY456" s="5" t="s">
        <v>250</v>
      </c>
      <c r="AZ456" s="5" t="s">
        <v>238</v>
      </c>
      <c r="BA456" s="5" t="s">
        <v>251</v>
      </c>
      <c r="BB456" s="5" t="s">
        <v>238</v>
      </c>
      <c r="BC456" s="5" t="s">
        <v>253</v>
      </c>
      <c r="BD456" s="5" t="s">
        <v>238</v>
      </c>
      <c r="BF456" s="5" t="s">
        <v>238</v>
      </c>
      <c r="BH456" s="5" t="s">
        <v>798</v>
      </c>
      <c r="BI456" s="6" t="s">
        <v>799</v>
      </c>
      <c r="BJ456" s="5" t="s">
        <v>255</v>
      </c>
      <c r="BK456" s="5" t="s">
        <v>256</v>
      </c>
      <c r="BL456" s="5" t="s">
        <v>238</v>
      </c>
      <c r="BM456" s="7">
        <f>0</f>
        <v>0</v>
      </c>
      <c r="BN456" s="8">
        <f>0</f>
        <v>0</v>
      </c>
      <c r="BO456" s="5" t="s">
        <v>257</v>
      </c>
      <c r="BP456" s="5" t="s">
        <v>258</v>
      </c>
      <c r="CD456" s="5" t="s">
        <v>238</v>
      </c>
      <c r="CE456" s="5" t="s">
        <v>238</v>
      </c>
      <c r="CI456" s="5" t="s">
        <v>527</v>
      </c>
      <c r="CJ456" s="5" t="s">
        <v>260</v>
      </c>
      <c r="CK456" s="5" t="s">
        <v>238</v>
      </c>
      <c r="CM456" s="5" t="s">
        <v>921</v>
      </c>
      <c r="CN456" s="6" t="s">
        <v>262</v>
      </c>
      <c r="CO456" s="5" t="s">
        <v>263</v>
      </c>
      <c r="CP456" s="5" t="s">
        <v>264</v>
      </c>
      <c r="CQ456" s="5" t="s">
        <v>238</v>
      </c>
      <c r="CR456" s="5" t="s">
        <v>238</v>
      </c>
      <c r="CS456" s="5">
        <v>0</v>
      </c>
      <c r="CT456" s="5" t="s">
        <v>265</v>
      </c>
      <c r="CU456" s="5" t="s">
        <v>351</v>
      </c>
      <c r="CV456" s="5" t="s">
        <v>394</v>
      </c>
      <c r="CX456" s="8">
        <f>4030000</f>
        <v>4030000</v>
      </c>
      <c r="CY456" s="8">
        <f>0</f>
        <v>0</v>
      </c>
      <c r="DA456" s="5" t="s">
        <v>238</v>
      </c>
      <c r="DB456" s="5" t="s">
        <v>238</v>
      </c>
      <c r="DD456" s="5" t="s">
        <v>238</v>
      </c>
      <c r="DG456" s="5" t="s">
        <v>238</v>
      </c>
      <c r="DH456" s="5" t="s">
        <v>238</v>
      </c>
      <c r="DI456" s="5" t="s">
        <v>238</v>
      </c>
      <c r="DJ456" s="5" t="s">
        <v>238</v>
      </c>
      <c r="DK456" s="5" t="s">
        <v>271</v>
      </c>
      <c r="DL456" s="5" t="s">
        <v>272</v>
      </c>
      <c r="DM456" s="7">
        <f>31</f>
        <v>31</v>
      </c>
      <c r="DN456" s="5" t="s">
        <v>238</v>
      </c>
      <c r="DO456" s="5" t="s">
        <v>238</v>
      </c>
      <c r="DP456" s="5" t="s">
        <v>238</v>
      </c>
      <c r="DQ456" s="5" t="s">
        <v>238</v>
      </c>
      <c r="DT456" s="5" t="s">
        <v>370</v>
      </c>
      <c r="DU456" s="5" t="s">
        <v>356</v>
      </c>
      <c r="HM456" s="5" t="s">
        <v>271</v>
      </c>
      <c r="HP456" s="5" t="s">
        <v>272</v>
      </c>
      <c r="HQ456" s="5" t="s">
        <v>272</v>
      </c>
    </row>
    <row r="457" spans="1:238" x14ac:dyDescent="0.4">
      <c r="A457" s="5">
        <v>493</v>
      </c>
      <c r="B457" s="5">
        <v>1</v>
      </c>
      <c r="C457" s="5">
        <v>1</v>
      </c>
      <c r="D457" s="5" t="s">
        <v>367</v>
      </c>
      <c r="E457" s="5" t="s">
        <v>347</v>
      </c>
      <c r="F457" s="5" t="s">
        <v>282</v>
      </c>
      <c r="G457" s="5" t="s">
        <v>1314</v>
      </c>
      <c r="H457" s="6" t="s">
        <v>369</v>
      </c>
      <c r="I457" s="5" t="s">
        <v>1655</v>
      </c>
      <c r="J457" s="7">
        <f>115</f>
        <v>115</v>
      </c>
      <c r="K457" s="5" t="s">
        <v>270</v>
      </c>
      <c r="L457" s="8">
        <f>1</f>
        <v>1</v>
      </c>
      <c r="M457" s="8">
        <f>18745000</f>
        <v>18745000</v>
      </c>
      <c r="N457" s="6" t="s">
        <v>1656</v>
      </c>
      <c r="O457" s="5" t="s">
        <v>286</v>
      </c>
      <c r="P457" s="5" t="s">
        <v>286</v>
      </c>
      <c r="R457" s="8">
        <f>18744999</f>
        <v>18744999</v>
      </c>
      <c r="S457" s="5" t="s">
        <v>240</v>
      </c>
      <c r="T457" s="5" t="s">
        <v>237</v>
      </c>
      <c r="U457" s="5" t="s">
        <v>238</v>
      </c>
      <c r="V457" s="5" t="s">
        <v>238</v>
      </c>
      <c r="W457" s="5" t="s">
        <v>241</v>
      </c>
      <c r="X457" s="5" t="s">
        <v>337</v>
      </c>
      <c r="Y457" s="5" t="s">
        <v>238</v>
      </c>
      <c r="AB457" s="5" t="s">
        <v>238</v>
      </c>
      <c r="AD457" s="6" t="s">
        <v>238</v>
      </c>
      <c r="AG457" s="6" t="s">
        <v>368</v>
      </c>
      <c r="AH457" s="5" t="s">
        <v>247</v>
      </c>
      <c r="AI457" s="5" t="s">
        <v>248</v>
      </c>
      <c r="AY457" s="5" t="s">
        <v>250</v>
      </c>
      <c r="AZ457" s="5" t="s">
        <v>238</v>
      </c>
      <c r="BA457" s="5" t="s">
        <v>251</v>
      </c>
      <c r="BB457" s="5" t="s">
        <v>238</v>
      </c>
      <c r="BC457" s="5" t="s">
        <v>253</v>
      </c>
      <c r="BD457" s="5" t="s">
        <v>238</v>
      </c>
      <c r="BF457" s="5" t="s">
        <v>238</v>
      </c>
      <c r="BH457" s="5" t="s">
        <v>859</v>
      </c>
      <c r="BI457" s="6" t="s">
        <v>368</v>
      </c>
      <c r="BJ457" s="5" t="s">
        <v>255</v>
      </c>
      <c r="BK457" s="5" t="s">
        <v>294</v>
      </c>
      <c r="BL457" s="5" t="s">
        <v>238</v>
      </c>
      <c r="BM457" s="7">
        <f>0</f>
        <v>0</v>
      </c>
      <c r="BN457" s="8">
        <f>0</f>
        <v>0</v>
      </c>
      <c r="BO457" s="5" t="s">
        <v>257</v>
      </c>
      <c r="BP457" s="5" t="s">
        <v>258</v>
      </c>
      <c r="CD457" s="5" t="s">
        <v>238</v>
      </c>
      <c r="CE457" s="5" t="s">
        <v>238</v>
      </c>
      <c r="CI457" s="5" t="s">
        <v>259</v>
      </c>
      <c r="CJ457" s="5" t="s">
        <v>260</v>
      </c>
      <c r="CK457" s="5" t="s">
        <v>238</v>
      </c>
      <c r="CM457" s="5" t="s">
        <v>648</v>
      </c>
      <c r="CN457" s="6" t="s">
        <v>262</v>
      </c>
      <c r="CO457" s="5" t="s">
        <v>263</v>
      </c>
      <c r="CP457" s="5" t="s">
        <v>264</v>
      </c>
      <c r="CQ457" s="5" t="s">
        <v>238</v>
      </c>
      <c r="CR457" s="5" t="s">
        <v>238</v>
      </c>
      <c r="CS457" s="5">
        <v>0</v>
      </c>
      <c r="CT457" s="5" t="s">
        <v>265</v>
      </c>
      <c r="CU457" s="5" t="s">
        <v>1493</v>
      </c>
      <c r="CV457" s="5" t="s">
        <v>267</v>
      </c>
      <c r="CX457" s="8">
        <f>18745000</f>
        <v>18745000</v>
      </c>
      <c r="CY457" s="8">
        <f>0</f>
        <v>0</v>
      </c>
      <c r="DA457" s="5" t="s">
        <v>238</v>
      </c>
      <c r="DB457" s="5" t="s">
        <v>238</v>
      </c>
      <c r="DD457" s="5" t="s">
        <v>238</v>
      </c>
      <c r="DG457" s="5" t="s">
        <v>238</v>
      </c>
      <c r="DH457" s="5" t="s">
        <v>238</v>
      </c>
      <c r="DI457" s="5" t="s">
        <v>238</v>
      </c>
      <c r="DJ457" s="5" t="s">
        <v>238</v>
      </c>
      <c r="DK457" s="5" t="s">
        <v>271</v>
      </c>
      <c r="DL457" s="5" t="s">
        <v>272</v>
      </c>
      <c r="DM457" s="7">
        <f>115</f>
        <v>115</v>
      </c>
      <c r="DN457" s="5" t="s">
        <v>238</v>
      </c>
      <c r="DO457" s="5" t="s">
        <v>238</v>
      </c>
      <c r="DP457" s="5" t="s">
        <v>238</v>
      </c>
      <c r="DQ457" s="5" t="s">
        <v>238</v>
      </c>
      <c r="DT457" s="5" t="s">
        <v>370</v>
      </c>
      <c r="DU457" s="5" t="s">
        <v>310</v>
      </c>
      <c r="HM457" s="5" t="s">
        <v>310</v>
      </c>
      <c r="HP457" s="5" t="s">
        <v>272</v>
      </c>
      <c r="HQ457" s="5" t="s">
        <v>272</v>
      </c>
    </row>
    <row r="458" spans="1:238" x14ac:dyDescent="0.4">
      <c r="A458" s="5">
        <v>494</v>
      </c>
      <c r="B458" s="5">
        <v>1</v>
      </c>
      <c r="C458" s="5">
        <v>1</v>
      </c>
      <c r="D458" s="5" t="s">
        <v>367</v>
      </c>
      <c r="E458" s="5" t="s">
        <v>347</v>
      </c>
      <c r="F458" s="5" t="s">
        <v>282</v>
      </c>
      <c r="G458" s="5" t="s">
        <v>3027</v>
      </c>
      <c r="H458" s="6" t="s">
        <v>369</v>
      </c>
      <c r="I458" s="5" t="s">
        <v>3027</v>
      </c>
      <c r="J458" s="7">
        <f>63</f>
        <v>63</v>
      </c>
      <c r="K458" s="5" t="s">
        <v>270</v>
      </c>
      <c r="L458" s="8">
        <f>1</f>
        <v>1</v>
      </c>
      <c r="M458" s="8">
        <f>3780000</f>
        <v>3780000</v>
      </c>
      <c r="N458" s="6" t="s">
        <v>3105</v>
      </c>
      <c r="O458" s="5" t="s">
        <v>268</v>
      </c>
      <c r="P458" s="5" t="s">
        <v>1042</v>
      </c>
      <c r="R458" s="8">
        <f>3779999</f>
        <v>3779999</v>
      </c>
      <c r="S458" s="5" t="s">
        <v>240</v>
      </c>
      <c r="T458" s="5" t="s">
        <v>237</v>
      </c>
      <c r="U458" s="5" t="s">
        <v>238</v>
      </c>
      <c r="V458" s="5" t="s">
        <v>238</v>
      </c>
      <c r="W458" s="5" t="s">
        <v>241</v>
      </c>
      <c r="X458" s="5" t="s">
        <v>337</v>
      </c>
      <c r="Y458" s="5" t="s">
        <v>238</v>
      </c>
      <c r="AB458" s="5" t="s">
        <v>238</v>
      </c>
      <c r="AD458" s="6" t="s">
        <v>238</v>
      </c>
      <c r="AG458" s="6" t="s">
        <v>368</v>
      </c>
      <c r="AH458" s="5" t="s">
        <v>247</v>
      </c>
      <c r="AI458" s="5" t="s">
        <v>248</v>
      </c>
      <c r="AY458" s="5" t="s">
        <v>250</v>
      </c>
      <c r="AZ458" s="5" t="s">
        <v>238</v>
      </c>
      <c r="BA458" s="5" t="s">
        <v>251</v>
      </c>
      <c r="BB458" s="5" t="s">
        <v>238</v>
      </c>
      <c r="BC458" s="5" t="s">
        <v>253</v>
      </c>
      <c r="BD458" s="5" t="s">
        <v>238</v>
      </c>
      <c r="BF458" s="5" t="s">
        <v>238</v>
      </c>
      <c r="BH458" s="5" t="s">
        <v>859</v>
      </c>
      <c r="BI458" s="6" t="s">
        <v>368</v>
      </c>
      <c r="BJ458" s="5" t="s">
        <v>255</v>
      </c>
      <c r="BK458" s="5" t="s">
        <v>256</v>
      </c>
      <c r="BL458" s="5" t="s">
        <v>238</v>
      </c>
      <c r="BM458" s="7">
        <f>0</f>
        <v>0</v>
      </c>
      <c r="BN458" s="8">
        <f>0</f>
        <v>0</v>
      </c>
      <c r="BO458" s="5" t="s">
        <v>257</v>
      </c>
      <c r="BP458" s="5" t="s">
        <v>258</v>
      </c>
      <c r="CD458" s="5" t="s">
        <v>238</v>
      </c>
      <c r="CE458" s="5" t="s">
        <v>238</v>
      </c>
      <c r="CI458" s="5" t="s">
        <v>527</v>
      </c>
      <c r="CJ458" s="5" t="s">
        <v>260</v>
      </c>
      <c r="CK458" s="5" t="s">
        <v>238</v>
      </c>
      <c r="CM458" s="5" t="s">
        <v>699</v>
      </c>
      <c r="CN458" s="6" t="s">
        <v>262</v>
      </c>
      <c r="CO458" s="5" t="s">
        <v>263</v>
      </c>
      <c r="CP458" s="5" t="s">
        <v>264</v>
      </c>
      <c r="CQ458" s="5" t="s">
        <v>238</v>
      </c>
      <c r="CR458" s="5" t="s">
        <v>238</v>
      </c>
      <c r="CS458" s="5">
        <v>0</v>
      </c>
      <c r="CT458" s="5" t="s">
        <v>265</v>
      </c>
      <c r="CU458" s="5" t="s">
        <v>351</v>
      </c>
      <c r="CV458" s="5" t="s">
        <v>394</v>
      </c>
      <c r="CX458" s="8">
        <f>3780000</f>
        <v>3780000</v>
      </c>
      <c r="CY458" s="8">
        <f>0</f>
        <v>0</v>
      </c>
      <c r="DA458" s="5" t="s">
        <v>238</v>
      </c>
      <c r="DB458" s="5" t="s">
        <v>238</v>
      </c>
      <c r="DD458" s="5" t="s">
        <v>238</v>
      </c>
      <c r="DG458" s="5" t="s">
        <v>238</v>
      </c>
      <c r="DH458" s="5" t="s">
        <v>238</v>
      </c>
      <c r="DI458" s="5" t="s">
        <v>238</v>
      </c>
      <c r="DJ458" s="5" t="s">
        <v>238</v>
      </c>
      <c r="DK458" s="5" t="s">
        <v>271</v>
      </c>
      <c r="DL458" s="5" t="s">
        <v>272</v>
      </c>
      <c r="DM458" s="7">
        <f>63</f>
        <v>63</v>
      </c>
      <c r="DN458" s="5" t="s">
        <v>238</v>
      </c>
      <c r="DO458" s="5" t="s">
        <v>238</v>
      </c>
      <c r="DP458" s="5" t="s">
        <v>238</v>
      </c>
      <c r="DQ458" s="5" t="s">
        <v>238</v>
      </c>
      <c r="DT458" s="5" t="s">
        <v>370</v>
      </c>
      <c r="DU458" s="5" t="s">
        <v>379</v>
      </c>
      <c r="HM458" s="5" t="s">
        <v>271</v>
      </c>
      <c r="HP458" s="5" t="s">
        <v>272</v>
      </c>
      <c r="HQ458" s="5" t="s">
        <v>272</v>
      </c>
    </row>
    <row r="459" spans="1:238" x14ac:dyDescent="0.4">
      <c r="A459" s="5">
        <v>495</v>
      </c>
      <c r="B459" s="5">
        <v>1</v>
      </c>
      <c r="C459" s="5">
        <v>1</v>
      </c>
      <c r="D459" s="5" t="s">
        <v>367</v>
      </c>
      <c r="E459" s="5" t="s">
        <v>347</v>
      </c>
      <c r="F459" s="5" t="s">
        <v>282</v>
      </c>
      <c r="G459" s="5" t="s">
        <v>239</v>
      </c>
      <c r="H459" s="6" t="s">
        <v>369</v>
      </c>
      <c r="I459" s="5" t="s">
        <v>239</v>
      </c>
      <c r="J459" s="7">
        <f>20</f>
        <v>20</v>
      </c>
      <c r="K459" s="5" t="s">
        <v>270</v>
      </c>
      <c r="L459" s="8">
        <f>1</f>
        <v>1</v>
      </c>
      <c r="M459" s="8">
        <f>1200000</f>
        <v>1200000</v>
      </c>
      <c r="N459" s="6" t="s">
        <v>1032</v>
      </c>
      <c r="O459" s="5" t="s">
        <v>651</v>
      </c>
      <c r="P459" s="5" t="s">
        <v>309</v>
      </c>
      <c r="R459" s="8">
        <f>1199999</f>
        <v>1199999</v>
      </c>
      <c r="S459" s="5" t="s">
        <v>240</v>
      </c>
      <c r="T459" s="5" t="s">
        <v>237</v>
      </c>
      <c r="U459" s="5" t="s">
        <v>238</v>
      </c>
      <c r="V459" s="5" t="s">
        <v>238</v>
      </c>
      <c r="W459" s="5" t="s">
        <v>241</v>
      </c>
      <c r="X459" s="5" t="s">
        <v>337</v>
      </c>
      <c r="Y459" s="5" t="s">
        <v>238</v>
      </c>
      <c r="AB459" s="5" t="s">
        <v>238</v>
      </c>
      <c r="AD459" s="6" t="s">
        <v>238</v>
      </c>
      <c r="AG459" s="6" t="s">
        <v>368</v>
      </c>
      <c r="AH459" s="5" t="s">
        <v>247</v>
      </c>
      <c r="AI459" s="5" t="s">
        <v>248</v>
      </c>
      <c r="AY459" s="5" t="s">
        <v>250</v>
      </c>
      <c r="AZ459" s="5" t="s">
        <v>238</v>
      </c>
      <c r="BA459" s="5" t="s">
        <v>251</v>
      </c>
      <c r="BB459" s="5" t="s">
        <v>238</v>
      </c>
      <c r="BC459" s="5" t="s">
        <v>253</v>
      </c>
      <c r="BD459" s="5" t="s">
        <v>238</v>
      </c>
      <c r="BF459" s="5" t="s">
        <v>238</v>
      </c>
      <c r="BH459" s="5" t="s">
        <v>697</v>
      </c>
      <c r="BI459" s="6" t="s">
        <v>698</v>
      </c>
      <c r="BJ459" s="5" t="s">
        <v>255</v>
      </c>
      <c r="BK459" s="5" t="s">
        <v>256</v>
      </c>
      <c r="BL459" s="5" t="s">
        <v>238</v>
      </c>
      <c r="BM459" s="7">
        <f>0</f>
        <v>0</v>
      </c>
      <c r="BN459" s="8">
        <f>0</f>
        <v>0</v>
      </c>
      <c r="BO459" s="5" t="s">
        <v>257</v>
      </c>
      <c r="BP459" s="5" t="s">
        <v>258</v>
      </c>
      <c r="CD459" s="5" t="s">
        <v>238</v>
      </c>
      <c r="CE459" s="5" t="s">
        <v>238</v>
      </c>
      <c r="CI459" s="5" t="s">
        <v>527</v>
      </c>
      <c r="CJ459" s="5" t="s">
        <v>260</v>
      </c>
      <c r="CK459" s="5" t="s">
        <v>238</v>
      </c>
      <c r="CM459" s="5" t="s">
        <v>822</v>
      </c>
      <c r="CN459" s="6" t="s">
        <v>262</v>
      </c>
      <c r="CO459" s="5" t="s">
        <v>263</v>
      </c>
      <c r="CP459" s="5" t="s">
        <v>264</v>
      </c>
      <c r="CQ459" s="5" t="s">
        <v>238</v>
      </c>
      <c r="CR459" s="5" t="s">
        <v>238</v>
      </c>
      <c r="CS459" s="5">
        <v>0</v>
      </c>
      <c r="CT459" s="5" t="s">
        <v>265</v>
      </c>
      <c r="CU459" s="5" t="s">
        <v>266</v>
      </c>
      <c r="CV459" s="5" t="s">
        <v>331</v>
      </c>
      <c r="CX459" s="8">
        <f>1200000</f>
        <v>1200000</v>
      </c>
      <c r="CY459" s="8">
        <f>0</f>
        <v>0</v>
      </c>
      <c r="DA459" s="5" t="s">
        <v>238</v>
      </c>
      <c r="DB459" s="5" t="s">
        <v>238</v>
      </c>
      <c r="DD459" s="5" t="s">
        <v>238</v>
      </c>
      <c r="DG459" s="5" t="s">
        <v>238</v>
      </c>
      <c r="DH459" s="5" t="s">
        <v>238</v>
      </c>
      <c r="DI459" s="5" t="s">
        <v>238</v>
      </c>
      <c r="DJ459" s="5" t="s">
        <v>238</v>
      </c>
      <c r="DK459" s="5" t="s">
        <v>271</v>
      </c>
      <c r="DL459" s="5" t="s">
        <v>272</v>
      </c>
      <c r="DM459" s="7">
        <f>20</f>
        <v>20</v>
      </c>
      <c r="DN459" s="5" t="s">
        <v>238</v>
      </c>
      <c r="DO459" s="5" t="s">
        <v>238</v>
      </c>
      <c r="DP459" s="5" t="s">
        <v>238</v>
      </c>
      <c r="DQ459" s="5" t="s">
        <v>238</v>
      </c>
      <c r="DT459" s="5" t="s">
        <v>370</v>
      </c>
      <c r="DU459" s="5" t="s">
        <v>313</v>
      </c>
      <c r="HM459" s="5" t="s">
        <v>271</v>
      </c>
      <c r="HP459" s="5" t="s">
        <v>272</v>
      </c>
      <c r="HQ459" s="5" t="s">
        <v>272</v>
      </c>
    </row>
    <row r="460" spans="1:238" x14ac:dyDescent="0.4">
      <c r="A460" s="5">
        <v>496</v>
      </c>
      <c r="B460" s="5">
        <v>1</v>
      </c>
      <c r="C460" s="5">
        <v>1</v>
      </c>
      <c r="D460" s="5" t="s">
        <v>367</v>
      </c>
      <c r="E460" s="5" t="s">
        <v>347</v>
      </c>
      <c r="F460" s="5" t="s">
        <v>282</v>
      </c>
      <c r="G460" s="5" t="s">
        <v>239</v>
      </c>
      <c r="H460" s="6" t="s">
        <v>369</v>
      </c>
      <c r="I460" s="5" t="s">
        <v>239</v>
      </c>
      <c r="J460" s="7">
        <f>35</f>
        <v>35</v>
      </c>
      <c r="K460" s="5" t="s">
        <v>270</v>
      </c>
      <c r="L460" s="8">
        <f>1</f>
        <v>1</v>
      </c>
      <c r="M460" s="8">
        <f>3185000</f>
        <v>3185000</v>
      </c>
      <c r="N460" s="6" t="s">
        <v>1033</v>
      </c>
      <c r="O460" s="5" t="s">
        <v>268</v>
      </c>
      <c r="P460" s="5" t="s">
        <v>1035</v>
      </c>
      <c r="R460" s="8">
        <f>3184999</f>
        <v>3184999</v>
      </c>
      <c r="S460" s="5" t="s">
        <v>240</v>
      </c>
      <c r="T460" s="5" t="s">
        <v>237</v>
      </c>
      <c r="U460" s="5" t="s">
        <v>238</v>
      </c>
      <c r="V460" s="5" t="s">
        <v>238</v>
      </c>
      <c r="W460" s="5" t="s">
        <v>241</v>
      </c>
      <c r="X460" s="5" t="s">
        <v>337</v>
      </c>
      <c r="Y460" s="5" t="s">
        <v>238</v>
      </c>
      <c r="AB460" s="5" t="s">
        <v>238</v>
      </c>
      <c r="AD460" s="6" t="s">
        <v>238</v>
      </c>
      <c r="AG460" s="6" t="s">
        <v>368</v>
      </c>
      <c r="AH460" s="5" t="s">
        <v>247</v>
      </c>
      <c r="AI460" s="5" t="s">
        <v>248</v>
      </c>
      <c r="AY460" s="5" t="s">
        <v>250</v>
      </c>
      <c r="AZ460" s="5" t="s">
        <v>238</v>
      </c>
      <c r="BA460" s="5" t="s">
        <v>251</v>
      </c>
      <c r="BB460" s="5" t="s">
        <v>238</v>
      </c>
      <c r="BC460" s="5" t="s">
        <v>253</v>
      </c>
      <c r="BD460" s="5" t="s">
        <v>238</v>
      </c>
      <c r="BF460" s="5" t="s">
        <v>238</v>
      </c>
      <c r="BH460" s="5" t="s">
        <v>798</v>
      </c>
      <c r="BI460" s="6" t="s">
        <v>799</v>
      </c>
      <c r="BJ460" s="5" t="s">
        <v>255</v>
      </c>
      <c r="BK460" s="5" t="s">
        <v>256</v>
      </c>
      <c r="BL460" s="5" t="s">
        <v>238</v>
      </c>
      <c r="BM460" s="7">
        <f>0</f>
        <v>0</v>
      </c>
      <c r="BN460" s="8">
        <f>0</f>
        <v>0</v>
      </c>
      <c r="BO460" s="5" t="s">
        <v>257</v>
      </c>
      <c r="BP460" s="5" t="s">
        <v>258</v>
      </c>
      <c r="CD460" s="5" t="s">
        <v>238</v>
      </c>
      <c r="CE460" s="5" t="s">
        <v>238</v>
      </c>
      <c r="CI460" s="5" t="s">
        <v>259</v>
      </c>
      <c r="CJ460" s="5" t="s">
        <v>260</v>
      </c>
      <c r="CK460" s="5" t="s">
        <v>238</v>
      </c>
      <c r="CM460" s="5" t="s">
        <v>1034</v>
      </c>
      <c r="CN460" s="6" t="s">
        <v>262</v>
      </c>
      <c r="CO460" s="5" t="s">
        <v>263</v>
      </c>
      <c r="CP460" s="5" t="s">
        <v>264</v>
      </c>
      <c r="CQ460" s="5" t="s">
        <v>238</v>
      </c>
      <c r="CR460" s="5" t="s">
        <v>238</v>
      </c>
      <c r="CS460" s="5">
        <v>0</v>
      </c>
      <c r="CT460" s="5" t="s">
        <v>265</v>
      </c>
      <c r="CU460" s="5" t="s">
        <v>266</v>
      </c>
      <c r="CV460" s="5" t="s">
        <v>267</v>
      </c>
      <c r="CX460" s="8">
        <f>3185000</f>
        <v>3185000</v>
      </c>
      <c r="CY460" s="8">
        <f>0</f>
        <v>0</v>
      </c>
      <c r="DA460" s="5" t="s">
        <v>238</v>
      </c>
      <c r="DB460" s="5" t="s">
        <v>238</v>
      </c>
      <c r="DD460" s="5" t="s">
        <v>238</v>
      </c>
      <c r="DG460" s="5" t="s">
        <v>238</v>
      </c>
      <c r="DH460" s="5" t="s">
        <v>238</v>
      </c>
      <c r="DI460" s="5" t="s">
        <v>238</v>
      </c>
      <c r="DJ460" s="5" t="s">
        <v>238</v>
      </c>
      <c r="DK460" s="5" t="s">
        <v>271</v>
      </c>
      <c r="DL460" s="5" t="s">
        <v>272</v>
      </c>
      <c r="DM460" s="7">
        <f>35</f>
        <v>35</v>
      </c>
      <c r="DN460" s="5" t="s">
        <v>238</v>
      </c>
      <c r="DO460" s="5" t="s">
        <v>238</v>
      </c>
      <c r="DP460" s="5" t="s">
        <v>238</v>
      </c>
      <c r="DQ460" s="5" t="s">
        <v>238</v>
      </c>
      <c r="DT460" s="5" t="s">
        <v>370</v>
      </c>
      <c r="DU460" s="5" t="s">
        <v>389</v>
      </c>
      <c r="HM460" s="5" t="s">
        <v>271</v>
      </c>
      <c r="HP460" s="5" t="s">
        <v>272</v>
      </c>
      <c r="HQ460" s="5" t="s">
        <v>272</v>
      </c>
    </row>
    <row r="461" spans="1:238" x14ac:dyDescent="0.4">
      <c r="A461" s="5">
        <v>497</v>
      </c>
      <c r="B461" s="5">
        <v>1</v>
      </c>
      <c r="C461" s="5">
        <v>1</v>
      </c>
      <c r="D461" s="5" t="s">
        <v>367</v>
      </c>
      <c r="E461" s="5" t="s">
        <v>347</v>
      </c>
      <c r="F461" s="5" t="s">
        <v>282</v>
      </c>
      <c r="G461" s="5" t="s">
        <v>1309</v>
      </c>
      <c r="H461" s="6" t="s">
        <v>369</v>
      </c>
      <c r="I461" s="5" t="s">
        <v>1309</v>
      </c>
      <c r="J461" s="7">
        <f>9</f>
        <v>9</v>
      </c>
      <c r="K461" s="5" t="s">
        <v>270</v>
      </c>
      <c r="L461" s="8">
        <f>1</f>
        <v>1</v>
      </c>
      <c r="M461" s="8">
        <f>810000</f>
        <v>810000</v>
      </c>
      <c r="N461" s="6" t="s">
        <v>2182</v>
      </c>
      <c r="O461" s="5" t="s">
        <v>268</v>
      </c>
      <c r="P461" s="5" t="s">
        <v>755</v>
      </c>
      <c r="R461" s="8">
        <f>809999</f>
        <v>809999</v>
      </c>
      <c r="S461" s="5" t="s">
        <v>240</v>
      </c>
      <c r="T461" s="5" t="s">
        <v>237</v>
      </c>
      <c r="U461" s="5" t="s">
        <v>238</v>
      </c>
      <c r="V461" s="5" t="s">
        <v>238</v>
      </c>
      <c r="W461" s="5" t="s">
        <v>241</v>
      </c>
      <c r="X461" s="5" t="s">
        <v>337</v>
      </c>
      <c r="Y461" s="5" t="s">
        <v>238</v>
      </c>
      <c r="AB461" s="5" t="s">
        <v>238</v>
      </c>
      <c r="AD461" s="6" t="s">
        <v>238</v>
      </c>
      <c r="AG461" s="6" t="s">
        <v>368</v>
      </c>
      <c r="AH461" s="5" t="s">
        <v>247</v>
      </c>
      <c r="AI461" s="5" t="s">
        <v>248</v>
      </c>
      <c r="AY461" s="5" t="s">
        <v>250</v>
      </c>
      <c r="AZ461" s="5" t="s">
        <v>238</v>
      </c>
      <c r="BA461" s="5" t="s">
        <v>251</v>
      </c>
      <c r="BB461" s="5" t="s">
        <v>238</v>
      </c>
      <c r="BC461" s="5" t="s">
        <v>253</v>
      </c>
      <c r="BD461" s="5" t="s">
        <v>238</v>
      </c>
      <c r="BF461" s="5" t="s">
        <v>238</v>
      </c>
      <c r="BH461" s="5" t="s">
        <v>859</v>
      </c>
      <c r="BI461" s="6" t="s">
        <v>368</v>
      </c>
      <c r="BJ461" s="5" t="s">
        <v>255</v>
      </c>
      <c r="BK461" s="5" t="s">
        <v>256</v>
      </c>
      <c r="BL461" s="5" t="s">
        <v>238</v>
      </c>
      <c r="BM461" s="7">
        <f>0</f>
        <v>0</v>
      </c>
      <c r="BN461" s="8">
        <f>0</f>
        <v>0</v>
      </c>
      <c r="BO461" s="5" t="s">
        <v>257</v>
      </c>
      <c r="BP461" s="5" t="s">
        <v>258</v>
      </c>
      <c r="CD461" s="5" t="s">
        <v>238</v>
      </c>
      <c r="CE461" s="5" t="s">
        <v>238</v>
      </c>
      <c r="CI461" s="5" t="s">
        <v>527</v>
      </c>
      <c r="CJ461" s="5" t="s">
        <v>260</v>
      </c>
      <c r="CK461" s="5" t="s">
        <v>238</v>
      </c>
      <c r="CM461" s="5" t="s">
        <v>1020</v>
      </c>
      <c r="CN461" s="6" t="s">
        <v>262</v>
      </c>
      <c r="CO461" s="5" t="s">
        <v>263</v>
      </c>
      <c r="CP461" s="5" t="s">
        <v>264</v>
      </c>
      <c r="CQ461" s="5" t="s">
        <v>238</v>
      </c>
      <c r="CR461" s="5" t="s">
        <v>238</v>
      </c>
      <c r="CS461" s="5">
        <v>0</v>
      </c>
      <c r="CT461" s="5" t="s">
        <v>265</v>
      </c>
      <c r="CU461" s="5" t="s">
        <v>1342</v>
      </c>
      <c r="CV461" s="5" t="s">
        <v>267</v>
      </c>
      <c r="CX461" s="8">
        <f>810000</f>
        <v>810000</v>
      </c>
      <c r="CY461" s="8">
        <f>0</f>
        <v>0</v>
      </c>
      <c r="DA461" s="5" t="s">
        <v>238</v>
      </c>
      <c r="DB461" s="5" t="s">
        <v>238</v>
      </c>
      <c r="DD461" s="5" t="s">
        <v>238</v>
      </c>
      <c r="DG461" s="5" t="s">
        <v>238</v>
      </c>
      <c r="DH461" s="5" t="s">
        <v>238</v>
      </c>
      <c r="DI461" s="5" t="s">
        <v>238</v>
      </c>
      <c r="DJ461" s="5" t="s">
        <v>238</v>
      </c>
      <c r="DK461" s="5" t="s">
        <v>271</v>
      </c>
      <c r="DL461" s="5" t="s">
        <v>272</v>
      </c>
      <c r="DM461" s="7">
        <f>9</f>
        <v>9</v>
      </c>
      <c r="DN461" s="5" t="s">
        <v>238</v>
      </c>
      <c r="DO461" s="5" t="s">
        <v>238</v>
      </c>
      <c r="DP461" s="5" t="s">
        <v>238</v>
      </c>
      <c r="DQ461" s="5" t="s">
        <v>238</v>
      </c>
      <c r="DT461" s="5" t="s">
        <v>370</v>
      </c>
      <c r="DU461" s="5" t="s">
        <v>354</v>
      </c>
      <c r="HM461" s="5" t="s">
        <v>271</v>
      </c>
      <c r="HP461" s="5" t="s">
        <v>272</v>
      </c>
      <c r="HQ461" s="5" t="s">
        <v>272</v>
      </c>
    </row>
    <row r="462" spans="1:238" x14ac:dyDescent="0.4">
      <c r="A462" s="5">
        <v>498</v>
      </c>
      <c r="B462" s="5">
        <v>1</v>
      </c>
      <c r="C462" s="5">
        <v>4</v>
      </c>
      <c r="D462" s="5" t="s">
        <v>367</v>
      </c>
      <c r="E462" s="5" t="s">
        <v>347</v>
      </c>
      <c r="F462" s="5" t="s">
        <v>282</v>
      </c>
      <c r="G462" s="5" t="s">
        <v>1616</v>
      </c>
      <c r="H462" s="6" t="s">
        <v>369</v>
      </c>
      <c r="I462" s="5" t="s">
        <v>1614</v>
      </c>
      <c r="J462" s="7">
        <f>0</f>
        <v>0</v>
      </c>
      <c r="K462" s="5" t="s">
        <v>270</v>
      </c>
      <c r="L462" s="8">
        <f>653620</f>
        <v>653620</v>
      </c>
      <c r="M462" s="8">
        <f>734400</f>
        <v>734400</v>
      </c>
      <c r="N462" s="6" t="s">
        <v>1615</v>
      </c>
      <c r="O462" s="5" t="s">
        <v>898</v>
      </c>
      <c r="P462" s="5" t="s">
        <v>356</v>
      </c>
      <c r="Q462" s="8">
        <f>16156</f>
        <v>16156</v>
      </c>
      <c r="R462" s="8">
        <f>80780</f>
        <v>80780</v>
      </c>
      <c r="S462" s="5" t="s">
        <v>240</v>
      </c>
      <c r="T462" s="5" t="s">
        <v>287</v>
      </c>
      <c r="U462" s="5" t="s">
        <v>238</v>
      </c>
      <c r="V462" s="5" t="s">
        <v>238</v>
      </c>
      <c r="W462" s="5" t="s">
        <v>241</v>
      </c>
      <c r="X462" s="5" t="s">
        <v>337</v>
      </c>
      <c r="Y462" s="5" t="s">
        <v>238</v>
      </c>
      <c r="AB462" s="5" t="s">
        <v>238</v>
      </c>
      <c r="AC462" s="6" t="s">
        <v>238</v>
      </c>
      <c r="AD462" s="6" t="s">
        <v>238</v>
      </c>
      <c r="AF462" s="6" t="s">
        <v>238</v>
      </c>
      <c r="AG462" s="6" t="s">
        <v>368</v>
      </c>
      <c r="AH462" s="5" t="s">
        <v>247</v>
      </c>
      <c r="AI462" s="5" t="s">
        <v>248</v>
      </c>
      <c r="AO462" s="5" t="s">
        <v>238</v>
      </c>
      <c r="AP462" s="5" t="s">
        <v>238</v>
      </c>
      <c r="AQ462" s="5" t="s">
        <v>238</v>
      </c>
      <c r="AR462" s="6" t="s">
        <v>238</v>
      </c>
      <c r="AS462" s="6" t="s">
        <v>238</v>
      </c>
      <c r="AT462" s="6" t="s">
        <v>238</v>
      </c>
      <c r="AW462" s="5" t="s">
        <v>304</v>
      </c>
      <c r="AX462" s="5" t="s">
        <v>304</v>
      </c>
      <c r="AY462" s="5" t="s">
        <v>250</v>
      </c>
      <c r="AZ462" s="5" t="s">
        <v>305</v>
      </c>
      <c r="BA462" s="5" t="s">
        <v>251</v>
      </c>
      <c r="BB462" s="5" t="s">
        <v>238</v>
      </c>
      <c r="BC462" s="5" t="s">
        <v>253</v>
      </c>
      <c r="BD462" s="5" t="s">
        <v>238</v>
      </c>
      <c r="BF462" s="5" t="s">
        <v>238</v>
      </c>
      <c r="BH462" s="5" t="s">
        <v>283</v>
      </c>
      <c r="BI462" s="6" t="s">
        <v>293</v>
      </c>
      <c r="BJ462" s="5" t="s">
        <v>294</v>
      </c>
      <c r="BK462" s="5" t="s">
        <v>294</v>
      </c>
      <c r="BL462" s="5" t="s">
        <v>238</v>
      </c>
      <c r="BM462" s="7">
        <f>0</f>
        <v>0</v>
      </c>
      <c r="BN462" s="8">
        <f>-16156</f>
        <v>-16156</v>
      </c>
      <c r="BO462" s="5" t="s">
        <v>257</v>
      </c>
      <c r="BP462" s="5" t="s">
        <v>258</v>
      </c>
      <c r="BQ462" s="5" t="s">
        <v>238</v>
      </c>
      <c r="BR462" s="5" t="s">
        <v>238</v>
      </c>
      <c r="BS462" s="5" t="s">
        <v>238</v>
      </c>
      <c r="BT462" s="5" t="s">
        <v>238</v>
      </c>
      <c r="CC462" s="5" t="s">
        <v>258</v>
      </c>
      <c r="CD462" s="5" t="s">
        <v>238</v>
      </c>
      <c r="CE462" s="5" t="s">
        <v>238</v>
      </c>
      <c r="CI462" s="5" t="s">
        <v>259</v>
      </c>
      <c r="CJ462" s="5" t="s">
        <v>260</v>
      </c>
      <c r="CK462" s="5" t="s">
        <v>238</v>
      </c>
      <c r="CM462" s="5" t="s">
        <v>376</v>
      </c>
      <c r="CN462" s="6" t="s">
        <v>262</v>
      </c>
      <c r="CO462" s="5" t="s">
        <v>263</v>
      </c>
      <c r="CP462" s="5" t="s">
        <v>264</v>
      </c>
      <c r="CQ462" s="5" t="s">
        <v>285</v>
      </c>
      <c r="CR462" s="5" t="s">
        <v>238</v>
      </c>
      <c r="CS462" s="5">
        <v>2.1999999999999999E-2</v>
      </c>
      <c r="CT462" s="5" t="s">
        <v>265</v>
      </c>
      <c r="CU462" s="5" t="s">
        <v>1493</v>
      </c>
      <c r="CV462" s="5" t="s">
        <v>308</v>
      </c>
      <c r="CW462" s="7">
        <f>0</f>
        <v>0</v>
      </c>
      <c r="CX462" s="8">
        <f>734400</f>
        <v>734400</v>
      </c>
      <c r="CY462" s="8">
        <f>669776</f>
        <v>669776</v>
      </c>
      <c r="DA462" s="5" t="s">
        <v>238</v>
      </c>
      <c r="DB462" s="5" t="s">
        <v>238</v>
      </c>
      <c r="DD462" s="5" t="s">
        <v>238</v>
      </c>
      <c r="DE462" s="8">
        <f>0</f>
        <v>0</v>
      </c>
      <c r="DG462" s="5" t="s">
        <v>238</v>
      </c>
      <c r="DH462" s="5" t="s">
        <v>238</v>
      </c>
      <c r="DI462" s="5" t="s">
        <v>238</v>
      </c>
      <c r="DJ462" s="5" t="s">
        <v>238</v>
      </c>
      <c r="DK462" s="5" t="s">
        <v>272</v>
      </c>
      <c r="DL462" s="5" t="s">
        <v>272</v>
      </c>
      <c r="DM462" s="8" t="s">
        <v>238</v>
      </c>
      <c r="DN462" s="5" t="s">
        <v>238</v>
      </c>
      <c r="DO462" s="5" t="s">
        <v>238</v>
      </c>
      <c r="DP462" s="5" t="s">
        <v>238</v>
      </c>
      <c r="DQ462" s="5" t="s">
        <v>238</v>
      </c>
      <c r="DT462" s="5" t="s">
        <v>370</v>
      </c>
      <c r="DU462" s="5" t="s">
        <v>361</v>
      </c>
      <c r="GL462" s="5" t="s">
        <v>1617</v>
      </c>
      <c r="HM462" s="5" t="s">
        <v>379</v>
      </c>
      <c r="HP462" s="5" t="s">
        <v>272</v>
      </c>
      <c r="HQ462" s="5" t="s">
        <v>272</v>
      </c>
      <c r="HR462" s="5" t="s">
        <v>238</v>
      </c>
      <c r="HS462" s="5" t="s">
        <v>238</v>
      </c>
      <c r="HT462" s="5" t="s">
        <v>238</v>
      </c>
      <c r="HU462" s="5" t="s">
        <v>238</v>
      </c>
      <c r="HV462" s="5" t="s">
        <v>238</v>
      </c>
      <c r="HW462" s="5" t="s">
        <v>238</v>
      </c>
      <c r="HX462" s="5" t="s">
        <v>238</v>
      </c>
      <c r="HY462" s="5" t="s">
        <v>238</v>
      </c>
      <c r="HZ462" s="5" t="s">
        <v>238</v>
      </c>
      <c r="IA462" s="5" t="s">
        <v>238</v>
      </c>
      <c r="IB462" s="5" t="s">
        <v>238</v>
      </c>
      <c r="IC462" s="5" t="s">
        <v>238</v>
      </c>
      <c r="ID462" s="5" t="s">
        <v>238</v>
      </c>
    </row>
    <row r="463" spans="1:238" x14ac:dyDescent="0.4">
      <c r="A463" s="5">
        <v>499</v>
      </c>
      <c r="B463" s="5">
        <v>1</v>
      </c>
      <c r="C463" s="5">
        <v>4</v>
      </c>
      <c r="D463" s="5" t="s">
        <v>367</v>
      </c>
      <c r="E463" s="5" t="s">
        <v>347</v>
      </c>
      <c r="F463" s="5" t="s">
        <v>282</v>
      </c>
      <c r="G463" s="5" t="s">
        <v>375</v>
      </c>
      <c r="H463" s="6" t="s">
        <v>369</v>
      </c>
      <c r="I463" s="5" t="s">
        <v>373</v>
      </c>
      <c r="J463" s="7">
        <f>0</f>
        <v>0</v>
      </c>
      <c r="K463" s="5" t="s">
        <v>270</v>
      </c>
      <c r="L463" s="8">
        <f>423960</f>
        <v>423960</v>
      </c>
      <c r="M463" s="8">
        <f>637530</f>
        <v>637530</v>
      </c>
      <c r="N463" s="6" t="s">
        <v>374</v>
      </c>
      <c r="O463" s="5" t="s">
        <v>268</v>
      </c>
      <c r="P463" s="5" t="s">
        <v>356</v>
      </c>
      <c r="Q463" s="8">
        <f>42714</f>
        <v>42714</v>
      </c>
      <c r="R463" s="8">
        <f>213570</f>
        <v>213570</v>
      </c>
      <c r="S463" s="5" t="s">
        <v>240</v>
      </c>
      <c r="T463" s="5" t="s">
        <v>287</v>
      </c>
      <c r="U463" s="5" t="s">
        <v>238</v>
      </c>
      <c r="V463" s="5" t="s">
        <v>238</v>
      </c>
      <c r="W463" s="5" t="s">
        <v>241</v>
      </c>
      <c r="X463" s="5" t="s">
        <v>337</v>
      </c>
      <c r="Y463" s="5" t="s">
        <v>238</v>
      </c>
      <c r="AB463" s="5" t="s">
        <v>238</v>
      </c>
      <c r="AC463" s="6" t="s">
        <v>238</v>
      </c>
      <c r="AD463" s="6" t="s">
        <v>238</v>
      </c>
      <c r="AF463" s="6" t="s">
        <v>238</v>
      </c>
      <c r="AG463" s="6" t="s">
        <v>368</v>
      </c>
      <c r="AH463" s="5" t="s">
        <v>247</v>
      </c>
      <c r="AI463" s="5" t="s">
        <v>248</v>
      </c>
      <c r="AO463" s="5" t="s">
        <v>238</v>
      </c>
      <c r="AP463" s="5" t="s">
        <v>238</v>
      </c>
      <c r="AQ463" s="5" t="s">
        <v>238</v>
      </c>
      <c r="AR463" s="6" t="s">
        <v>238</v>
      </c>
      <c r="AS463" s="6" t="s">
        <v>238</v>
      </c>
      <c r="AT463" s="6" t="s">
        <v>238</v>
      </c>
      <c r="AW463" s="5" t="s">
        <v>304</v>
      </c>
      <c r="AX463" s="5" t="s">
        <v>304</v>
      </c>
      <c r="AY463" s="5" t="s">
        <v>250</v>
      </c>
      <c r="AZ463" s="5" t="s">
        <v>305</v>
      </c>
      <c r="BA463" s="5" t="s">
        <v>251</v>
      </c>
      <c r="BB463" s="5" t="s">
        <v>238</v>
      </c>
      <c r="BC463" s="5" t="s">
        <v>253</v>
      </c>
      <c r="BD463" s="5" t="s">
        <v>238</v>
      </c>
      <c r="BF463" s="5" t="s">
        <v>238</v>
      </c>
      <c r="BH463" s="5" t="s">
        <v>283</v>
      </c>
      <c r="BI463" s="6" t="s">
        <v>293</v>
      </c>
      <c r="BJ463" s="5" t="s">
        <v>294</v>
      </c>
      <c r="BK463" s="5" t="s">
        <v>294</v>
      </c>
      <c r="BL463" s="5" t="s">
        <v>238</v>
      </c>
      <c r="BM463" s="7">
        <f>0</f>
        <v>0</v>
      </c>
      <c r="BN463" s="8">
        <f>-42714</f>
        <v>-42714</v>
      </c>
      <c r="BO463" s="5" t="s">
        <v>257</v>
      </c>
      <c r="BP463" s="5" t="s">
        <v>258</v>
      </c>
      <c r="BQ463" s="5" t="s">
        <v>238</v>
      </c>
      <c r="BR463" s="5" t="s">
        <v>238</v>
      </c>
      <c r="BS463" s="5" t="s">
        <v>238</v>
      </c>
      <c r="BT463" s="5" t="s">
        <v>238</v>
      </c>
      <c r="CC463" s="5" t="s">
        <v>258</v>
      </c>
      <c r="CD463" s="5" t="s">
        <v>238</v>
      </c>
      <c r="CE463" s="5" t="s">
        <v>238</v>
      </c>
      <c r="CI463" s="5" t="s">
        <v>259</v>
      </c>
      <c r="CJ463" s="5" t="s">
        <v>260</v>
      </c>
      <c r="CK463" s="5" t="s">
        <v>238</v>
      </c>
      <c r="CM463" s="5" t="s">
        <v>376</v>
      </c>
      <c r="CN463" s="6" t="s">
        <v>262</v>
      </c>
      <c r="CO463" s="5" t="s">
        <v>263</v>
      </c>
      <c r="CP463" s="5" t="s">
        <v>264</v>
      </c>
      <c r="CQ463" s="5" t="s">
        <v>285</v>
      </c>
      <c r="CR463" s="5" t="s">
        <v>238</v>
      </c>
      <c r="CS463" s="5">
        <v>6.7000000000000004E-2</v>
      </c>
      <c r="CT463" s="5" t="s">
        <v>265</v>
      </c>
      <c r="CU463" s="5" t="s">
        <v>351</v>
      </c>
      <c r="CV463" s="5" t="s">
        <v>365</v>
      </c>
      <c r="CW463" s="7">
        <f>0</f>
        <v>0</v>
      </c>
      <c r="CX463" s="8">
        <f>637530</f>
        <v>637530</v>
      </c>
      <c r="CY463" s="8">
        <f>466674</f>
        <v>466674</v>
      </c>
      <c r="DA463" s="5" t="s">
        <v>238</v>
      </c>
      <c r="DB463" s="5" t="s">
        <v>238</v>
      </c>
      <c r="DD463" s="5" t="s">
        <v>238</v>
      </c>
      <c r="DE463" s="8">
        <f>0</f>
        <v>0</v>
      </c>
      <c r="DG463" s="5" t="s">
        <v>238</v>
      </c>
      <c r="DH463" s="5" t="s">
        <v>238</v>
      </c>
      <c r="DI463" s="5" t="s">
        <v>238</v>
      </c>
      <c r="DJ463" s="5" t="s">
        <v>238</v>
      </c>
      <c r="DK463" s="5" t="s">
        <v>272</v>
      </c>
      <c r="DL463" s="5" t="s">
        <v>272</v>
      </c>
      <c r="DM463" s="8" t="s">
        <v>238</v>
      </c>
      <c r="DN463" s="5" t="s">
        <v>238</v>
      </c>
      <c r="DO463" s="5" t="s">
        <v>238</v>
      </c>
      <c r="DP463" s="5" t="s">
        <v>238</v>
      </c>
      <c r="DQ463" s="5" t="s">
        <v>238</v>
      </c>
      <c r="DT463" s="5" t="s">
        <v>370</v>
      </c>
      <c r="DU463" s="5" t="s">
        <v>377</v>
      </c>
      <c r="GL463" s="5" t="s">
        <v>378</v>
      </c>
      <c r="HM463" s="5" t="s">
        <v>379</v>
      </c>
      <c r="HP463" s="5" t="s">
        <v>272</v>
      </c>
      <c r="HQ463" s="5" t="s">
        <v>272</v>
      </c>
      <c r="HR463" s="5" t="s">
        <v>238</v>
      </c>
      <c r="HS463" s="5" t="s">
        <v>238</v>
      </c>
      <c r="HT463" s="5" t="s">
        <v>238</v>
      </c>
      <c r="HU463" s="5" t="s">
        <v>238</v>
      </c>
      <c r="HV463" s="5" t="s">
        <v>238</v>
      </c>
      <c r="HW463" s="5" t="s">
        <v>238</v>
      </c>
      <c r="HX463" s="5" t="s">
        <v>238</v>
      </c>
      <c r="HY463" s="5" t="s">
        <v>238</v>
      </c>
      <c r="HZ463" s="5" t="s">
        <v>238</v>
      </c>
      <c r="IA463" s="5" t="s">
        <v>238</v>
      </c>
      <c r="IB463" s="5" t="s">
        <v>238</v>
      </c>
      <c r="IC463" s="5" t="s">
        <v>238</v>
      </c>
      <c r="ID463" s="5" t="s">
        <v>238</v>
      </c>
    </row>
    <row r="464" spans="1:238" x14ac:dyDescent="0.4">
      <c r="A464" s="5">
        <v>500</v>
      </c>
      <c r="B464" s="5">
        <v>1</v>
      </c>
      <c r="C464" s="5">
        <v>4</v>
      </c>
      <c r="D464" s="5" t="s">
        <v>367</v>
      </c>
      <c r="E464" s="5" t="s">
        <v>347</v>
      </c>
      <c r="F464" s="5" t="s">
        <v>282</v>
      </c>
      <c r="G464" s="5" t="s">
        <v>349</v>
      </c>
      <c r="H464" s="6" t="s">
        <v>369</v>
      </c>
      <c r="I464" s="5" t="s">
        <v>345</v>
      </c>
      <c r="J464" s="7">
        <f>0</f>
        <v>0</v>
      </c>
      <c r="K464" s="5" t="s">
        <v>270</v>
      </c>
      <c r="L464" s="8">
        <f>25889067</f>
        <v>25889067</v>
      </c>
      <c r="M464" s="8">
        <f>33665883</f>
        <v>33665883</v>
      </c>
      <c r="N464" s="6" t="s">
        <v>348</v>
      </c>
      <c r="O464" s="5" t="s">
        <v>319</v>
      </c>
      <c r="P464" s="5" t="s">
        <v>271</v>
      </c>
      <c r="Q464" s="8">
        <f>2592272</f>
        <v>2592272</v>
      </c>
      <c r="R464" s="8">
        <f>7776816</f>
        <v>7776816</v>
      </c>
      <c r="S464" s="5" t="s">
        <v>240</v>
      </c>
      <c r="T464" s="5" t="s">
        <v>287</v>
      </c>
      <c r="U464" s="5" t="s">
        <v>238</v>
      </c>
      <c r="V464" s="5" t="s">
        <v>238</v>
      </c>
      <c r="W464" s="5" t="s">
        <v>241</v>
      </c>
      <c r="X464" s="5" t="s">
        <v>238</v>
      </c>
      <c r="Y464" s="5" t="s">
        <v>238</v>
      </c>
      <c r="AB464" s="5" t="s">
        <v>238</v>
      </c>
      <c r="AC464" s="6" t="s">
        <v>238</v>
      </c>
      <c r="AD464" s="6" t="s">
        <v>238</v>
      </c>
      <c r="AF464" s="6" t="s">
        <v>238</v>
      </c>
      <c r="AG464" s="6" t="s">
        <v>368</v>
      </c>
      <c r="AH464" s="5" t="s">
        <v>247</v>
      </c>
      <c r="AI464" s="5" t="s">
        <v>248</v>
      </c>
      <c r="AO464" s="5" t="s">
        <v>238</v>
      </c>
      <c r="AP464" s="5" t="s">
        <v>238</v>
      </c>
      <c r="AQ464" s="5" t="s">
        <v>238</v>
      </c>
      <c r="AR464" s="6" t="s">
        <v>238</v>
      </c>
      <c r="AS464" s="6" t="s">
        <v>238</v>
      </c>
      <c r="AT464" s="6" t="s">
        <v>238</v>
      </c>
      <c r="AW464" s="5" t="s">
        <v>304</v>
      </c>
      <c r="AX464" s="5" t="s">
        <v>304</v>
      </c>
      <c r="AY464" s="5" t="s">
        <v>250</v>
      </c>
      <c r="AZ464" s="5" t="s">
        <v>305</v>
      </c>
      <c r="BA464" s="5" t="s">
        <v>251</v>
      </c>
      <c r="BB464" s="5" t="s">
        <v>238</v>
      </c>
      <c r="BC464" s="5" t="s">
        <v>253</v>
      </c>
      <c r="BD464" s="5" t="s">
        <v>238</v>
      </c>
      <c r="BF464" s="5" t="s">
        <v>238</v>
      </c>
      <c r="BH464" s="5" t="s">
        <v>283</v>
      </c>
      <c r="BI464" s="6" t="s">
        <v>293</v>
      </c>
      <c r="BJ464" s="5" t="s">
        <v>294</v>
      </c>
      <c r="BK464" s="5" t="s">
        <v>294</v>
      </c>
      <c r="BL464" s="5" t="s">
        <v>238</v>
      </c>
      <c r="BM464" s="7">
        <f>0</f>
        <v>0</v>
      </c>
      <c r="BN464" s="8">
        <f>-2592272</f>
        <v>-2592272</v>
      </c>
      <c r="BO464" s="5" t="s">
        <v>257</v>
      </c>
      <c r="BP464" s="5" t="s">
        <v>258</v>
      </c>
      <c r="BQ464" s="5" t="s">
        <v>238</v>
      </c>
      <c r="BR464" s="5" t="s">
        <v>238</v>
      </c>
      <c r="BS464" s="5" t="s">
        <v>238</v>
      </c>
      <c r="BT464" s="5" t="s">
        <v>238</v>
      </c>
      <c r="CC464" s="5" t="s">
        <v>258</v>
      </c>
      <c r="CD464" s="5" t="s">
        <v>238</v>
      </c>
      <c r="CE464" s="5" t="s">
        <v>238</v>
      </c>
      <c r="CI464" s="5" t="s">
        <v>259</v>
      </c>
      <c r="CJ464" s="5" t="s">
        <v>260</v>
      </c>
      <c r="CK464" s="5" t="s">
        <v>238</v>
      </c>
      <c r="CM464" s="5" t="s">
        <v>291</v>
      </c>
      <c r="CN464" s="6" t="s">
        <v>262</v>
      </c>
      <c r="CO464" s="5" t="s">
        <v>263</v>
      </c>
      <c r="CP464" s="5" t="s">
        <v>264</v>
      </c>
      <c r="CQ464" s="5" t="s">
        <v>285</v>
      </c>
      <c r="CR464" s="5" t="s">
        <v>238</v>
      </c>
      <c r="CS464" s="5">
        <v>7.6999999999999999E-2</v>
      </c>
      <c r="CT464" s="5" t="s">
        <v>265</v>
      </c>
      <c r="CU464" s="5" t="s">
        <v>351</v>
      </c>
      <c r="CV464" s="5" t="s">
        <v>352</v>
      </c>
      <c r="CW464" s="7">
        <f>0</f>
        <v>0</v>
      </c>
      <c r="CX464" s="8">
        <f>33665883</f>
        <v>33665883</v>
      </c>
      <c r="CY464" s="8">
        <f>28481339</f>
        <v>28481339</v>
      </c>
      <c r="DA464" s="5" t="s">
        <v>238</v>
      </c>
      <c r="DB464" s="5" t="s">
        <v>238</v>
      </c>
      <c r="DD464" s="5" t="s">
        <v>238</v>
      </c>
      <c r="DE464" s="8">
        <f>0</f>
        <v>0</v>
      </c>
      <c r="DG464" s="5" t="s">
        <v>238</v>
      </c>
      <c r="DH464" s="5" t="s">
        <v>238</v>
      </c>
      <c r="DI464" s="5" t="s">
        <v>238</v>
      </c>
      <c r="DJ464" s="5" t="s">
        <v>238</v>
      </c>
      <c r="DK464" s="5" t="s">
        <v>272</v>
      </c>
      <c r="DL464" s="5" t="s">
        <v>272</v>
      </c>
      <c r="DM464" s="8" t="s">
        <v>238</v>
      </c>
      <c r="DN464" s="5" t="s">
        <v>238</v>
      </c>
      <c r="DO464" s="5" t="s">
        <v>238</v>
      </c>
      <c r="DP464" s="5" t="s">
        <v>238</v>
      </c>
      <c r="DQ464" s="5" t="s">
        <v>238</v>
      </c>
      <c r="DT464" s="5" t="s">
        <v>370</v>
      </c>
      <c r="DU464" s="5" t="s">
        <v>371</v>
      </c>
      <c r="GL464" s="5" t="s">
        <v>372</v>
      </c>
      <c r="HM464" s="5" t="s">
        <v>356</v>
      </c>
      <c r="HP464" s="5" t="s">
        <v>272</v>
      </c>
      <c r="HQ464" s="5" t="s">
        <v>272</v>
      </c>
      <c r="HR464" s="5" t="s">
        <v>238</v>
      </c>
      <c r="HS464" s="5" t="s">
        <v>238</v>
      </c>
      <c r="HT464" s="5" t="s">
        <v>238</v>
      </c>
      <c r="HU464" s="5" t="s">
        <v>238</v>
      </c>
      <c r="HV464" s="5" t="s">
        <v>238</v>
      </c>
      <c r="HW464" s="5" t="s">
        <v>238</v>
      </c>
      <c r="HX464" s="5" t="s">
        <v>238</v>
      </c>
      <c r="HY464" s="5" t="s">
        <v>238</v>
      </c>
      <c r="HZ464" s="5" t="s">
        <v>238</v>
      </c>
      <c r="IA464" s="5" t="s">
        <v>238</v>
      </c>
      <c r="IB464" s="5" t="s">
        <v>238</v>
      </c>
      <c r="IC464" s="5" t="s">
        <v>238</v>
      </c>
      <c r="ID464" s="5" t="s">
        <v>238</v>
      </c>
    </row>
    <row r="465" spans="1:238" x14ac:dyDescent="0.4">
      <c r="A465" s="5">
        <v>501</v>
      </c>
      <c r="B465" s="5">
        <v>1</v>
      </c>
      <c r="C465" s="5">
        <v>1</v>
      </c>
      <c r="D465" s="5" t="s">
        <v>357</v>
      </c>
      <c r="E465" s="5" t="s">
        <v>347</v>
      </c>
      <c r="F465" s="5" t="s">
        <v>282</v>
      </c>
      <c r="G465" s="5" t="s">
        <v>1314</v>
      </c>
      <c r="H465" s="6" t="s">
        <v>359</v>
      </c>
      <c r="I465" s="5" t="s">
        <v>1314</v>
      </c>
      <c r="J465" s="7">
        <f>2026</f>
        <v>2026</v>
      </c>
      <c r="K465" s="5" t="s">
        <v>270</v>
      </c>
      <c r="L465" s="8">
        <f>1</f>
        <v>1</v>
      </c>
      <c r="M465" s="8">
        <f>273510000</f>
        <v>273510000</v>
      </c>
      <c r="N465" s="6" t="s">
        <v>1654</v>
      </c>
      <c r="O465" s="5" t="s">
        <v>898</v>
      </c>
      <c r="P465" s="5" t="s">
        <v>898</v>
      </c>
      <c r="R465" s="8">
        <f>273509999</f>
        <v>273509999</v>
      </c>
      <c r="S465" s="5" t="s">
        <v>240</v>
      </c>
      <c r="T465" s="5" t="s">
        <v>237</v>
      </c>
      <c r="U465" s="5" t="s">
        <v>238</v>
      </c>
      <c r="V465" s="5" t="s">
        <v>238</v>
      </c>
      <c r="W465" s="5" t="s">
        <v>241</v>
      </c>
      <c r="X465" s="5" t="s">
        <v>337</v>
      </c>
      <c r="Y465" s="5" t="s">
        <v>238</v>
      </c>
      <c r="AB465" s="5" t="s">
        <v>238</v>
      </c>
      <c r="AD465" s="6" t="s">
        <v>238</v>
      </c>
      <c r="AG465" s="6" t="s">
        <v>698</v>
      </c>
      <c r="AH465" s="5" t="s">
        <v>247</v>
      </c>
      <c r="AI465" s="5" t="s">
        <v>248</v>
      </c>
      <c r="AY465" s="5" t="s">
        <v>250</v>
      </c>
      <c r="AZ465" s="5" t="s">
        <v>238</v>
      </c>
      <c r="BA465" s="5" t="s">
        <v>251</v>
      </c>
      <c r="BB465" s="5" t="s">
        <v>238</v>
      </c>
      <c r="BC465" s="5" t="s">
        <v>253</v>
      </c>
      <c r="BD465" s="5" t="s">
        <v>238</v>
      </c>
      <c r="BF465" s="5" t="s">
        <v>238</v>
      </c>
      <c r="BH465" s="5" t="s">
        <v>697</v>
      </c>
      <c r="BI465" s="6" t="s">
        <v>698</v>
      </c>
      <c r="BJ465" s="5" t="s">
        <v>255</v>
      </c>
      <c r="BK465" s="5" t="s">
        <v>294</v>
      </c>
      <c r="BL465" s="5" t="s">
        <v>238</v>
      </c>
      <c r="BM465" s="7">
        <f>0</f>
        <v>0</v>
      </c>
      <c r="BN465" s="8">
        <f>0</f>
        <v>0</v>
      </c>
      <c r="BO465" s="5" t="s">
        <v>257</v>
      </c>
      <c r="BP465" s="5" t="s">
        <v>258</v>
      </c>
      <c r="CD465" s="5" t="s">
        <v>238</v>
      </c>
      <c r="CE465" s="5" t="s">
        <v>238</v>
      </c>
      <c r="CI465" s="5" t="s">
        <v>527</v>
      </c>
      <c r="CJ465" s="5" t="s">
        <v>260</v>
      </c>
      <c r="CK465" s="5" t="s">
        <v>238</v>
      </c>
      <c r="CM465" s="5" t="s">
        <v>860</v>
      </c>
      <c r="CN465" s="6" t="s">
        <v>262</v>
      </c>
      <c r="CO465" s="5" t="s">
        <v>263</v>
      </c>
      <c r="CP465" s="5" t="s">
        <v>264</v>
      </c>
      <c r="CQ465" s="5" t="s">
        <v>238</v>
      </c>
      <c r="CR465" s="5" t="s">
        <v>238</v>
      </c>
      <c r="CS465" s="5">
        <v>0</v>
      </c>
      <c r="CT465" s="5" t="s">
        <v>265</v>
      </c>
      <c r="CU465" s="5" t="s">
        <v>1493</v>
      </c>
      <c r="CV465" s="5" t="s">
        <v>308</v>
      </c>
      <c r="CX465" s="8">
        <f>273510000</f>
        <v>273510000</v>
      </c>
      <c r="CY465" s="8">
        <f>0</f>
        <v>0</v>
      </c>
      <c r="DA465" s="5" t="s">
        <v>238</v>
      </c>
      <c r="DB465" s="5" t="s">
        <v>238</v>
      </c>
      <c r="DD465" s="5" t="s">
        <v>238</v>
      </c>
      <c r="DG465" s="5" t="s">
        <v>238</v>
      </c>
      <c r="DH465" s="5" t="s">
        <v>238</v>
      </c>
      <c r="DI465" s="5" t="s">
        <v>238</v>
      </c>
      <c r="DJ465" s="5" t="s">
        <v>238</v>
      </c>
      <c r="DK465" s="5" t="s">
        <v>274</v>
      </c>
      <c r="DL465" s="5" t="s">
        <v>272</v>
      </c>
      <c r="DM465" s="7">
        <f>2026</f>
        <v>2026</v>
      </c>
      <c r="DN465" s="5" t="s">
        <v>238</v>
      </c>
      <c r="DO465" s="5" t="s">
        <v>238</v>
      </c>
      <c r="DP465" s="5" t="s">
        <v>238</v>
      </c>
      <c r="DQ465" s="5" t="s">
        <v>238</v>
      </c>
      <c r="DT465" s="5" t="s">
        <v>360</v>
      </c>
      <c r="DU465" s="5" t="s">
        <v>271</v>
      </c>
      <c r="HM465" s="5" t="s">
        <v>313</v>
      </c>
      <c r="HP465" s="5" t="s">
        <v>272</v>
      </c>
      <c r="HQ465" s="5" t="s">
        <v>272</v>
      </c>
    </row>
    <row r="466" spans="1:238" x14ac:dyDescent="0.4">
      <c r="A466" s="5">
        <v>502</v>
      </c>
      <c r="B466" s="5">
        <v>1</v>
      </c>
      <c r="C466" s="5">
        <v>1</v>
      </c>
      <c r="D466" s="5" t="s">
        <v>357</v>
      </c>
      <c r="E466" s="5" t="s">
        <v>347</v>
      </c>
      <c r="F466" s="5" t="s">
        <v>282</v>
      </c>
      <c r="G466" s="5" t="s">
        <v>1308</v>
      </c>
      <c r="H466" s="6" t="s">
        <v>359</v>
      </c>
      <c r="I466" s="5" t="s">
        <v>1308</v>
      </c>
      <c r="J466" s="7">
        <f>558</f>
        <v>558</v>
      </c>
      <c r="K466" s="5" t="s">
        <v>270</v>
      </c>
      <c r="L466" s="8">
        <f>1</f>
        <v>1</v>
      </c>
      <c r="M466" s="8">
        <f>44640000</f>
        <v>44640000</v>
      </c>
      <c r="N466" s="6" t="s">
        <v>1754</v>
      </c>
      <c r="O466" s="5" t="s">
        <v>755</v>
      </c>
      <c r="P466" s="5" t="s">
        <v>1173</v>
      </c>
      <c r="R466" s="8">
        <f>44639999</f>
        <v>44639999</v>
      </c>
      <c r="S466" s="5" t="s">
        <v>240</v>
      </c>
      <c r="T466" s="5" t="s">
        <v>237</v>
      </c>
      <c r="U466" s="5" t="s">
        <v>238</v>
      </c>
      <c r="V466" s="5" t="s">
        <v>238</v>
      </c>
      <c r="W466" s="5" t="s">
        <v>241</v>
      </c>
      <c r="X466" s="5" t="s">
        <v>337</v>
      </c>
      <c r="Y466" s="5" t="s">
        <v>238</v>
      </c>
      <c r="AB466" s="5" t="s">
        <v>238</v>
      </c>
      <c r="AD466" s="6" t="s">
        <v>238</v>
      </c>
      <c r="AG466" s="6" t="s">
        <v>698</v>
      </c>
      <c r="AH466" s="5" t="s">
        <v>247</v>
      </c>
      <c r="AI466" s="5" t="s">
        <v>248</v>
      </c>
      <c r="AY466" s="5" t="s">
        <v>250</v>
      </c>
      <c r="AZ466" s="5" t="s">
        <v>238</v>
      </c>
      <c r="BA466" s="5" t="s">
        <v>251</v>
      </c>
      <c r="BB466" s="5" t="s">
        <v>238</v>
      </c>
      <c r="BC466" s="5" t="s">
        <v>253</v>
      </c>
      <c r="BD466" s="5" t="s">
        <v>238</v>
      </c>
      <c r="BF466" s="5" t="s">
        <v>238</v>
      </c>
      <c r="BH466" s="5" t="s">
        <v>697</v>
      </c>
      <c r="BI466" s="6" t="s">
        <v>698</v>
      </c>
      <c r="BJ466" s="5" t="s">
        <v>255</v>
      </c>
      <c r="BK466" s="5" t="s">
        <v>256</v>
      </c>
      <c r="BL466" s="5" t="s">
        <v>238</v>
      </c>
      <c r="BM466" s="7">
        <f>0</f>
        <v>0</v>
      </c>
      <c r="BN466" s="8">
        <f>0</f>
        <v>0</v>
      </c>
      <c r="BO466" s="5" t="s">
        <v>257</v>
      </c>
      <c r="BP466" s="5" t="s">
        <v>258</v>
      </c>
      <c r="CD466" s="5" t="s">
        <v>238</v>
      </c>
      <c r="CE466" s="5" t="s">
        <v>238</v>
      </c>
      <c r="CI466" s="5" t="s">
        <v>527</v>
      </c>
      <c r="CJ466" s="5" t="s">
        <v>260</v>
      </c>
      <c r="CK466" s="5" t="s">
        <v>238</v>
      </c>
      <c r="CM466" s="5" t="s">
        <v>1171</v>
      </c>
      <c r="CN466" s="6" t="s">
        <v>262</v>
      </c>
      <c r="CO466" s="5" t="s">
        <v>263</v>
      </c>
      <c r="CP466" s="5" t="s">
        <v>264</v>
      </c>
      <c r="CQ466" s="5" t="s">
        <v>238</v>
      </c>
      <c r="CR466" s="5" t="s">
        <v>238</v>
      </c>
      <c r="CS466" s="5">
        <v>0</v>
      </c>
      <c r="CT466" s="5" t="s">
        <v>265</v>
      </c>
      <c r="CU466" s="5" t="s">
        <v>1330</v>
      </c>
      <c r="CV466" s="5" t="s">
        <v>649</v>
      </c>
      <c r="CX466" s="8">
        <f>44640000</f>
        <v>44640000</v>
      </c>
      <c r="CY466" s="8">
        <f>0</f>
        <v>0</v>
      </c>
      <c r="DA466" s="5" t="s">
        <v>238</v>
      </c>
      <c r="DB466" s="5" t="s">
        <v>238</v>
      </c>
      <c r="DD466" s="5" t="s">
        <v>238</v>
      </c>
      <c r="DG466" s="5" t="s">
        <v>238</v>
      </c>
      <c r="DH466" s="5" t="s">
        <v>238</v>
      </c>
      <c r="DI466" s="5" t="s">
        <v>238</v>
      </c>
      <c r="DJ466" s="5" t="s">
        <v>238</v>
      </c>
      <c r="DK466" s="5" t="s">
        <v>274</v>
      </c>
      <c r="DL466" s="5" t="s">
        <v>272</v>
      </c>
      <c r="DM466" s="7">
        <f>558</f>
        <v>558</v>
      </c>
      <c r="DN466" s="5" t="s">
        <v>238</v>
      </c>
      <c r="DO466" s="5" t="s">
        <v>238</v>
      </c>
      <c r="DP466" s="5" t="s">
        <v>238</v>
      </c>
      <c r="DQ466" s="5" t="s">
        <v>238</v>
      </c>
      <c r="DT466" s="5" t="s">
        <v>360</v>
      </c>
      <c r="DU466" s="5" t="s">
        <v>274</v>
      </c>
      <c r="HM466" s="5" t="s">
        <v>271</v>
      </c>
      <c r="HP466" s="5" t="s">
        <v>272</v>
      </c>
      <c r="HQ466" s="5" t="s">
        <v>272</v>
      </c>
    </row>
    <row r="467" spans="1:238" x14ac:dyDescent="0.4">
      <c r="A467" s="5">
        <v>503</v>
      </c>
      <c r="B467" s="5">
        <v>1</v>
      </c>
      <c r="C467" s="5">
        <v>1</v>
      </c>
      <c r="D467" s="5" t="s">
        <v>357</v>
      </c>
      <c r="E467" s="5" t="s">
        <v>347</v>
      </c>
      <c r="F467" s="5" t="s">
        <v>282</v>
      </c>
      <c r="G467" s="5" t="s">
        <v>3027</v>
      </c>
      <c r="H467" s="6" t="s">
        <v>359</v>
      </c>
      <c r="I467" s="5" t="s">
        <v>3027</v>
      </c>
      <c r="J467" s="7">
        <f>78</f>
        <v>78</v>
      </c>
      <c r="K467" s="5" t="s">
        <v>270</v>
      </c>
      <c r="L467" s="8">
        <f>1</f>
        <v>1</v>
      </c>
      <c r="M467" s="8">
        <f>4680000</f>
        <v>4680000</v>
      </c>
      <c r="N467" s="6" t="s">
        <v>2203</v>
      </c>
      <c r="O467" s="5" t="s">
        <v>268</v>
      </c>
      <c r="P467" s="5" t="s">
        <v>866</v>
      </c>
      <c r="R467" s="8">
        <f>4679999</f>
        <v>4679999</v>
      </c>
      <c r="S467" s="5" t="s">
        <v>240</v>
      </c>
      <c r="T467" s="5" t="s">
        <v>237</v>
      </c>
      <c r="U467" s="5" t="s">
        <v>238</v>
      </c>
      <c r="V467" s="5" t="s">
        <v>238</v>
      </c>
      <c r="W467" s="5" t="s">
        <v>241</v>
      </c>
      <c r="X467" s="5" t="s">
        <v>337</v>
      </c>
      <c r="Y467" s="5" t="s">
        <v>238</v>
      </c>
      <c r="AB467" s="5" t="s">
        <v>238</v>
      </c>
      <c r="AD467" s="6" t="s">
        <v>238</v>
      </c>
      <c r="AG467" s="6" t="s">
        <v>698</v>
      </c>
      <c r="AH467" s="5" t="s">
        <v>247</v>
      </c>
      <c r="AI467" s="5" t="s">
        <v>248</v>
      </c>
      <c r="AY467" s="5" t="s">
        <v>250</v>
      </c>
      <c r="AZ467" s="5" t="s">
        <v>238</v>
      </c>
      <c r="BA467" s="5" t="s">
        <v>251</v>
      </c>
      <c r="BB467" s="5" t="s">
        <v>238</v>
      </c>
      <c r="BC467" s="5" t="s">
        <v>253</v>
      </c>
      <c r="BD467" s="5" t="s">
        <v>238</v>
      </c>
      <c r="BF467" s="5" t="s">
        <v>238</v>
      </c>
      <c r="BH467" s="5" t="s">
        <v>798</v>
      </c>
      <c r="BI467" s="6" t="s">
        <v>799</v>
      </c>
      <c r="BJ467" s="5" t="s">
        <v>255</v>
      </c>
      <c r="BK467" s="5" t="s">
        <v>256</v>
      </c>
      <c r="BL467" s="5" t="s">
        <v>238</v>
      </c>
      <c r="BM467" s="7">
        <f>0</f>
        <v>0</v>
      </c>
      <c r="BN467" s="8">
        <f>0</f>
        <v>0</v>
      </c>
      <c r="BO467" s="5" t="s">
        <v>257</v>
      </c>
      <c r="BP467" s="5" t="s">
        <v>258</v>
      </c>
      <c r="CD467" s="5" t="s">
        <v>238</v>
      </c>
      <c r="CE467" s="5" t="s">
        <v>238</v>
      </c>
      <c r="CI467" s="5" t="s">
        <v>527</v>
      </c>
      <c r="CJ467" s="5" t="s">
        <v>260</v>
      </c>
      <c r="CK467" s="5" t="s">
        <v>238</v>
      </c>
      <c r="CM467" s="5" t="s">
        <v>865</v>
      </c>
      <c r="CN467" s="6" t="s">
        <v>262</v>
      </c>
      <c r="CO467" s="5" t="s">
        <v>263</v>
      </c>
      <c r="CP467" s="5" t="s">
        <v>264</v>
      </c>
      <c r="CQ467" s="5" t="s">
        <v>238</v>
      </c>
      <c r="CR467" s="5" t="s">
        <v>238</v>
      </c>
      <c r="CS467" s="5">
        <v>0</v>
      </c>
      <c r="CT467" s="5" t="s">
        <v>265</v>
      </c>
      <c r="CU467" s="5" t="s">
        <v>351</v>
      </c>
      <c r="CV467" s="5" t="s">
        <v>394</v>
      </c>
      <c r="CX467" s="8">
        <f>4680000</f>
        <v>4680000</v>
      </c>
      <c r="CY467" s="8">
        <f>0</f>
        <v>0</v>
      </c>
      <c r="DA467" s="5" t="s">
        <v>238</v>
      </c>
      <c r="DB467" s="5" t="s">
        <v>238</v>
      </c>
      <c r="DD467" s="5" t="s">
        <v>238</v>
      </c>
      <c r="DG467" s="5" t="s">
        <v>238</v>
      </c>
      <c r="DH467" s="5" t="s">
        <v>238</v>
      </c>
      <c r="DI467" s="5" t="s">
        <v>238</v>
      </c>
      <c r="DJ467" s="5" t="s">
        <v>238</v>
      </c>
      <c r="DK467" s="5" t="s">
        <v>271</v>
      </c>
      <c r="DL467" s="5" t="s">
        <v>272</v>
      </c>
      <c r="DM467" s="7">
        <f>78</f>
        <v>78</v>
      </c>
      <c r="DN467" s="5" t="s">
        <v>238</v>
      </c>
      <c r="DO467" s="5" t="s">
        <v>238</v>
      </c>
      <c r="DP467" s="5" t="s">
        <v>238</v>
      </c>
      <c r="DQ467" s="5" t="s">
        <v>238</v>
      </c>
      <c r="DT467" s="5" t="s">
        <v>360</v>
      </c>
      <c r="DU467" s="5" t="s">
        <v>356</v>
      </c>
      <c r="HM467" s="5" t="s">
        <v>271</v>
      </c>
      <c r="HP467" s="5" t="s">
        <v>272</v>
      </c>
      <c r="HQ467" s="5" t="s">
        <v>272</v>
      </c>
    </row>
    <row r="468" spans="1:238" x14ac:dyDescent="0.4">
      <c r="A468" s="5">
        <v>504</v>
      </c>
      <c r="B468" s="5">
        <v>1</v>
      </c>
      <c r="C468" s="5">
        <v>1</v>
      </c>
      <c r="D468" s="5" t="s">
        <v>357</v>
      </c>
      <c r="E468" s="5" t="s">
        <v>347</v>
      </c>
      <c r="F468" s="5" t="s">
        <v>282</v>
      </c>
      <c r="G468" s="5" t="s">
        <v>239</v>
      </c>
      <c r="H468" s="6" t="s">
        <v>359</v>
      </c>
      <c r="I468" s="5" t="s">
        <v>239</v>
      </c>
      <c r="J468" s="7">
        <f>26</f>
        <v>26</v>
      </c>
      <c r="K468" s="5" t="s">
        <v>270</v>
      </c>
      <c r="L468" s="8">
        <f>1</f>
        <v>1</v>
      </c>
      <c r="M468" s="8">
        <f>1560000</f>
        <v>1560000</v>
      </c>
      <c r="N468" s="6" t="s">
        <v>1053</v>
      </c>
      <c r="O468" s="5" t="s">
        <v>268</v>
      </c>
      <c r="P468" s="5" t="s">
        <v>826</v>
      </c>
      <c r="R468" s="8">
        <f>1559999</f>
        <v>1559999</v>
      </c>
      <c r="S468" s="5" t="s">
        <v>240</v>
      </c>
      <c r="T468" s="5" t="s">
        <v>237</v>
      </c>
      <c r="U468" s="5" t="s">
        <v>238</v>
      </c>
      <c r="V468" s="5" t="s">
        <v>238</v>
      </c>
      <c r="W468" s="5" t="s">
        <v>241</v>
      </c>
      <c r="X468" s="5" t="s">
        <v>337</v>
      </c>
      <c r="Y468" s="5" t="s">
        <v>238</v>
      </c>
      <c r="AB468" s="5" t="s">
        <v>238</v>
      </c>
      <c r="AD468" s="6" t="s">
        <v>238</v>
      </c>
      <c r="AG468" s="6" t="s">
        <v>698</v>
      </c>
      <c r="AH468" s="5" t="s">
        <v>247</v>
      </c>
      <c r="AI468" s="5" t="s">
        <v>248</v>
      </c>
      <c r="AY468" s="5" t="s">
        <v>250</v>
      </c>
      <c r="AZ468" s="5" t="s">
        <v>238</v>
      </c>
      <c r="BA468" s="5" t="s">
        <v>251</v>
      </c>
      <c r="BB468" s="5" t="s">
        <v>238</v>
      </c>
      <c r="BC468" s="5" t="s">
        <v>253</v>
      </c>
      <c r="BD468" s="5" t="s">
        <v>238</v>
      </c>
      <c r="BF468" s="5" t="s">
        <v>238</v>
      </c>
      <c r="BH468" s="5" t="s">
        <v>697</v>
      </c>
      <c r="BI468" s="6" t="s">
        <v>698</v>
      </c>
      <c r="BJ468" s="5" t="s">
        <v>255</v>
      </c>
      <c r="BK468" s="5" t="s">
        <v>256</v>
      </c>
      <c r="BL468" s="5" t="s">
        <v>238</v>
      </c>
      <c r="BM468" s="7">
        <f>0</f>
        <v>0</v>
      </c>
      <c r="BN468" s="8">
        <f>0</f>
        <v>0</v>
      </c>
      <c r="BO468" s="5" t="s">
        <v>257</v>
      </c>
      <c r="BP468" s="5" t="s">
        <v>258</v>
      </c>
      <c r="CD468" s="5" t="s">
        <v>238</v>
      </c>
      <c r="CE468" s="5" t="s">
        <v>238</v>
      </c>
      <c r="CI468" s="5" t="s">
        <v>527</v>
      </c>
      <c r="CJ468" s="5" t="s">
        <v>260</v>
      </c>
      <c r="CK468" s="5" t="s">
        <v>238</v>
      </c>
      <c r="CM468" s="5" t="s">
        <v>825</v>
      </c>
      <c r="CN468" s="6" t="s">
        <v>262</v>
      </c>
      <c r="CO468" s="5" t="s">
        <v>263</v>
      </c>
      <c r="CP468" s="5" t="s">
        <v>264</v>
      </c>
      <c r="CQ468" s="5" t="s">
        <v>238</v>
      </c>
      <c r="CR468" s="5" t="s">
        <v>238</v>
      </c>
      <c r="CS468" s="5">
        <v>0</v>
      </c>
      <c r="CT468" s="5" t="s">
        <v>265</v>
      </c>
      <c r="CU468" s="5" t="s">
        <v>266</v>
      </c>
      <c r="CV468" s="5" t="s">
        <v>267</v>
      </c>
      <c r="CX468" s="8">
        <f>1560000</f>
        <v>1560000</v>
      </c>
      <c r="CY468" s="8">
        <f>0</f>
        <v>0</v>
      </c>
      <c r="DA468" s="5" t="s">
        <v>238</v>
      </c>
      <c r="DB468" s="5" t="s">
        <v>238</v>
      </c>
      <c r="DD468" s="5" t="s">
        <v>238</v>
      </c>
      <c r="DG468" s="5" t="s">
        <v>238</v>
      </c>
      <c r="DH468" s="5" t="s">
        <v>238</v>
      </c>
      <c r="DI468" s="5" t="s">
        <v>238</v>
      </c>
      <c r="DJ468" s="5" t="s">
        <v>238</v>
      </c>
      <c r="DK468" s="5" t="s">
        <v>271</v>
      </c>
      <c r="DL468" s="5" t="s">
        <v>272</v>
      </c>
      <c r="DM468" s="7">
        <f>26</f>
        <v>26</v>
      </c>
      <c r="DN468" s="5" t="s">
        <v>238</v>
      </c>
      <c r="DO468" s="5" t="s">
        <v>238</v>
      </c>
      <c r="DP468" s="5" t="s">
        <v>238</v>
      </c>
      <c r="DQ468" s="5" t="s">
        <v>238</v>
      </c>
      <c r="DT468" s="5" t="s">
        <v>360</v>
      </c>
      <c r="DU468" s="5" t="s">
        <v>310</v>
      </c>
      <c r="HM468" s="5" t="s">
        <v>271</v>
      </c>
      <c r="HP468" s="5" t="s">
        <v>272</v>
      </c>
      <c r="HQ468" s="5" t="s">
        <v>272</v>
      </c>
    </row>
    <row r="469" spans="1:238" x14ac:dyDescent="0.4">
      <c r="A469" s="5">
        <v>505</v>
      </c>
      <c r="B469" s="5">
        <v>1</v>
      </c>
      <c r="C469" s="5">
        <v>1</v>
      </c>
      <c r="D469" s="5" t="s">
        <v>357</v>
      </c>
      <c r="E469" s="5" t="s">
        <v>347</v>
      </c>
      <c r="F469" s="5" t="s">
        <v>282</v>
      </c>
      <c r="G469" s="5" t="s">
        <v>239</v>
      </c>
      <c r="H469" s="6" t="s">
        <v>359</v>
      </c>
      <c r="I469" s="5" t="s">
        <v>239</v>
      </c>
      <c r="J469" s="7">
        <f>20</f>
        <v>20</v>
      </c>
      <c r="K469" s="5" t="s">
        <v>270</v>
      </c>
      <c r="L469" s="8">
        <f>1</f>
        <v>1</v>
      </c>
      <c r="M469" s="8">
        <f>1820000</f>
        <v>1820000</v>
      </c>
      <c r="N469" s="6" t="s">
        <v>1052</v>
      </c>
      <c r="O469" s="5" t="s">
        <v>268</v>
      </c>
      <c r="P469" s="5" t="s">
        <v>286</v>
      </c>
      <c r="R469" s="8">
        <f>1819999</f>
        <v>1819999</v>
      </c>
      <c r="S469" s="5" t="s">
        <v>240</v>
      </c>
      <c r="T469" s="5" t="s">
        <v>237</v>
      </c>
      <c r="U469" s="5" t="s">
        <v>238</v>
      </c>
      <c r="V469" s="5" t="s">
        <v>238</v>
      </c>
      <c r="W469" s="5" t="s">
        <v>241</v>
      </c>
      <c r="X469" s="5" t="s">
        <v>337</v>
      </c>
      <c r="Y469" s="5" t="s">
        <v>238</v>
      </c>
      <c r="AB469" s="5" t="s">
        <v>238</v>
      </c>
      <c r="AD469" s="6" t="s">
        <v>238</v>
      </c>
      <c r="AG469" s="6" t="s">
        <v>698</v>
      </c>
      <c r="AH469" s="5" t="s">
        <v>247</v>
      </c>
      <c r="AI469" s="5" t="s">
        <v>248</v>
      </c>
      <c r="AY469" s="5" t="s">
        <v>250</v>
      </c>
      <c r="AZ469" s="5" t="s">
        <v>238</v>
      </c>
      <c r="BA469" s="5" t="s">
        <v>251</v>
      </c>
      <c r="BB469" s="5" t="s">
        <v>238</v>
      </c>
      <c r="BC469" s="5" t="s">
        <v>253</v>
      </c>
      <c r="BD469" s="5" t="s">
        <v>238</v>
      </c>
      <c r="BF469" s="5" t="s">
        <v>238</v>
      </c>
      <c r="BH469" s="5" t="s">
        <v>697</v>
      </c>
      <c r="BI469" s="6" t="s">
        <v>698</v>
      </c>
      <c r="BJ469" s="5" t="s">
        <v>255</v>
      </c>
      <c r="BK469" s="5" t="s">
        <v>256</v>
      </c>
      <c r="BL469" s="5" t="s">
        <v>238</v>
      </c>
      <c r="BM469" s="7">
        <f>0</f>
        <v>0</v>
      </c>
      <c r="BN469" s="8">
        <f>0</f>
        <v>0</v>
      </c>
      <c r="BO469" s="5" t="s">
        <v>257</v>
      </c>
      <c r="BP469" s="5" t="s">
        <v>258</v>
      </c>
      <c r="CD469" s="5" t="s">
        <v>238</v>
      </c>
      <c r="CE469" s="5" t="s">
        <v>238</v>
      </c>
      <c r="CI469" s="5" t="s">
        <v>259</v>
      </c>
      <c r="CJ469" s="5" t="s">
        <v>260</v>
      </c>
      <c r="CK469" s="5" t="s">
        <v>238</v>
      </c>
      <c r="CM469" s="5" t="s">
        <v>783</v>
      </c>
      <c r="CN469" s="6" t="s">
        <v>262</v>
      </c>
      <c r="CO469" s="5" t="s">
        <v>263</v>
      </c>
      <c r="CP469" s="5" t="s">
        <v>264</v>
      </c>
      <c r="CQ469" s="5" t="s">
        <v>238</v>
      </c>
      <c r="CR469" s="5" t="s">
        <v>238</v>
      </c>
      <c r="CS469" s="5">
        <v>0</v>
      </c>
      <c r="CT469" s="5" t="s">
        <v>265</v>
      </c>
      <c r="CU469" s="5" t="s">
        <v>266</v>
      </c>
      <c r="CV469" s="5" t="s">
        <v>267</v>
      </c>
      <c r="CX469" s="8">
        <f>1820000</f>
        <v>1820000</v>
      </c>
      <c r="CY469" s="8">
        <f>0</f>
        <v>0</v>
      </c>
      <c r="DA469" s="5" t="s">
        <v>238</v>
      </c>
      <c r="DB469" s="5" t="s">
        <v>238</v>
      </c>
      <c r="DD469" s="5" t="s">
        <v>238</v>
      </c>
      <c r="DG469" s="5" t="s">
        <v>238</v>
      </c>
      <c r="DH469" s="5" t="s">
        <v>238</v>
      </c>
      <c r="DI469" s="5" t="s">
        <v>238</v>
      </c>
      <c r="DJ469" s="5" t="s">
        <v>238</v>
      </c>
      <c r="DK469" s="5" t="s">
        <v>271</v>
      </c>
      <c r="DL469" s="5" t="s">
        <v>272</v>
      </c>
      <c r="DM469" s="7">
        <f>20</f>
        <v>20</v>
      </c>
      <c r="DN469" s="5" t="s">
        <v>238</v>
      </c>
      <c r="DO469" s="5" t="s">
        <v>238</v>
      </c>
      <c r="DP469" s="5" t="s">
        <v>238</v>
      </c>
      <c r="DQ469" s="5" t="s">
        <v>238</v>
      </c>
      <c r="DT469" s="5" t="s">
        <v>360</v>
      </c>
      <c r="DU469" s="5" t="s">
        <v>379</v>
      </c>
      <c r="HM469" s="5" t="s">
        <v>271</v>
      </c>
      <c r="HP469" s="5" t="s">
        <v>272</v>
      </c>
      <c r="HQ469" s="5" t="s">
        <v>272</v>
      </c>
    </row>
    <row r="470" spans="1:238" x14ac:dyDescent="0.4">
      <c r="A470" s="5">
        <v>506</v>
      </c>
      <c r="B470" s="5">
        <v>1</v>
      </c>
      <c r="C470" s="5">
        <v>1</v>
      </c>
      <c r="D470" s="5" t="s">
        <v>357</v>
      </c>
      <c r="E470" s="5" t="s">
        <v>347</v>
      </c>
      <c r="F470" s="5" t="s">
        <v>282</v>
      </c>
      <c r="G470" s="5" t="s">
        <v>1309</v>
      </c>
      <c r="H470" s="6" t="s">
        <v>359</v>
      </c>
      <c r="I470" s="5" t="s">
        <v>1309</v>
      </c>
      <c r="J470" s="7">
        <f>8</f>
        <v>8</v>
      </c>
      <c r="K470" s="5" t="s">
        <v>270</v>
      </c>
      <c r="L470" s="8">
        <f>1</f>
        <v>1</v>
      </c>
      <c r="M470" s="8">
        <f>720000</f>
        <v>720000</v>
      </c>
      <c r="N470" s="6" t="s">
        <v>2203</v>
      </c>
      <c r="O470" s="5" t="s">
        <v>268</v>
      </c>
      <c r="P470" s="5" t="s">
        <v>866</v>
      </c>
      <c r="R470" s="8">
        <f>719999</f>
        <v>719999</v>
      </c>
      <c r="S470" s="5" t="s">
        <v>240</v>
      </c>
      <c r="T470" s="5" t="s">
        <v>237</v>
      </c>
      <c r="U470" s="5" t="s">
        <v>238</v>
      </c>
      <c r="V470" s="5" t="s">
        <v>238</v>
      </c>
      <c r="W470" s="5" t="s">
        <v>241</v>
      </c>
      <c r="X470" s="5" t="s">
        <v>337</v>
      </c>
      <c r="Y470" s="5" t="s">
        <v>238</v>
      </c>
      <c r="AB470" s="5" t="s">
        <v>238</v>
      </c>
      <c r="AD470" s="6" t="s">
        <v>238</v>
      </c>
      <c r="AG470" s="6" t="s">
        <v>698</v>
      </c>
      <c r="AH470" s="5" t="s">
        <v>247</v>
      </c>
      <c r="AI470" s="5" t="s">
        <v>248</v>
      </c>
      <c r="AY470" s="5" t="s">
        <v>250</v>
      </c>
      <c r="AZ470" s="5" t="s">
        <v>238</v>
      </c>
      <c r="BA470" s="5" t="s">
        <v>251</v>
      </c>
      <c r="BB470" s="5" t="s">
        <v>238</v>
      </c>
      <c r="BC470" s="5" t="s">
        <v>253</v>
      </c>
      <c r="BD470" s="5" t="s">
        <v>238</v>
      </c>
      <c r="BF470" s="5" t="s">
        <v>238</v>
      </c>
      <c r="BH470" s="5" t="s">
        <v>798</v>
      </c>
      <c r="BI470" s="6" t="s">
        <v>799</v>
      </c>
      <c r="BJ470" s="5" t="s">
        <v>255</v>
      </c>
      <c r="BK470" s="5" t="s">
        <v>256</v>
      </c>
      <c r="BL470" s="5" t="s">
        <v>238</v>
      </c>
      <c r="BM470" s="7">
        <f>0</f>
        <v>0</v>
      </c>
      <c r="BN470" s="8">
        <f>0</f>
        <v>0</v>
      </c>
      <c r="BO470" s="5" t="s">
        <v>257</v>
      </c>
      <c r="BP470" s="5" t="s">
        <v>258</v>
      </c>
      <c r="CD470" s="5" t="s">
        <v>238</v>
      </c>
      <c r="CE470" s="5" t="s">
        <v>238</v>
      </c>
      <c r="CI470" s="5" t="s">
        <v>527</v>
      </c>
      <c r="CJ470" s="5" t="s">
        <v>260</v>
      </c>
      <c r="CK470" s="5" t="s">
        <v>238</v>
      </c>
      <c r="CM470" s="5" t="s">
        <v>865</v>
      </c>
      <c r="CN470" s="6" t="s">
        <v>262</v>
      </c>
      <c r="CO470" s="5" t="s">
        <v>263</v>
      </c>
      <c r="CP470" s="5" t="s">
        <v>264</v>
      </c>
      <c r="CQ470" s="5" t="s">
        <v>238</v>
      </c>
      <c r="CR470" s="5" t="s">
        <v>238</v>
      </c>
      <c r="CS470" s="5">
        <v>0</v>
      </c>
      <c r="CT470" s="5" t="s">
        <v>265</v>
      </c>
      <c r="CU470" s="5" t="s">
        <v>1342</v>
      </c>
      <c r="CV470" s="5" t="s">
        <v>267</v>
      </c>
      <c r="CX470" s="8">
        <f>720000</f>
        <v>720000</v>
      </c>
      <c r="CY470" s="8">
        <f>0</f>
        <v>0</v>
      </c>
      <c r="DA470" s="5" t="s">
        <v>238</v>
      </c>
      <c r="DB470" s="5" t="s">
        <v>238</v>
      </c>
      <c r="DD470" s="5" t="s">
        <v>238</v>
      </c>
      <c r="DG470" s="5" t="s">
        <v>238</v>
      </c>
      <c r="DH470" s="5" t="s">
        <v>238</v>
      </c>
      <c r="DI470" s="5" t="s">
        <v>238</v>
      </c>
      <c r="DJ470" s="5" t="s">
        <v>238</v>
      </c>
      <c r="DK470" s="5" t="s">
        <v>271</v>
      </c>
      <c r="DL470" s="5" t="s">
        <v>272</v>
      </c>
      <c r="DM470" s="7">
        <f>8</f>
        <v>8</v>
      </c>
      <c r="DN470" s="5" t="s">
        <v>238</v>
      </c>
      <c r="DO470" s="5" t="s">
        <v>238</v>
      </c>
      <c r="DP470" s="5" t="s">
        <v>238</v>
      </c>
      <c r="DQ470" s="5" t="s">
        <v>238</v>
      </c>
      <c r="DT470" s="5" t="s">
        <v>360</v>
      </c>
      <c r="DU470" s="5" t="s">
        <v>313</v>
      </c>
      <c r="HM470" s="5" t="s">
        <v>271</v>
      </c>
      <c r="HP470" s="5" t="s">
        <v>272</v>
      </c>
      <c r="HQ470" s="5" t="s">
        <v>272</v>
      </c>
    </row>
    <row r="471" spans="1:238" x14ac:dyDescent="0.4">
      <c r="A471" s="5">
        <v>507</v>
      </c>
      <c r="B471" s="5">
        <v>1</v>
      </c>
      <c r="C471" s="5">
        <v>1</v>
      </c>
      <c r="D471" s="5" t="s">
        <v>357</v>
      </c>
      <c r="E471" s="5" t="s">
        <v>347</v>
      </c>
      <c r="F471" s="5" t="s">
        <v>282</v>
      </c>
      <c r="G471" s="5" t="s">
        <v>1314</v>
      </c>
      <c r="H471" s="6" t="s">
        <v>359</v>
      </c>
      <c r="I471" s="5" t="s">
        <v>1314</v>
      </c>
      <c r="J471" s="7">
        <f>454</f>
        <v>454</v>
      </c>
      <c r="K471" s="5" t="s">
        <v>270</v>
      </c>
      <c r="L471" s="8">
        <f>1</f>
        <v>1</v>
      </c>
      <c r="M471" s="8">
        <f>36320000</f>
        <v>36320000</v>
      </c>
      <c r="N471" s="6" t="s">
        <v>1554</v>
      </c>
      <c r="O471" s="5" t="s">
        <v>755</v>
      </c>
      <c r="P471" s="5" t="s">
        <v>755</v>
      </c>
      <c r="R471" s="8">
        <f>36319999</f>
        <v>36319999</v>
      </c>
      <c r="S471" s="5" t="s">
        <v>240</v>
      </c>
      <c r="T471" s="5" t="s">
        <v>237</v>
      </c>
      <c r="U471" s="5" t="s">
        <v>238</v>
      </c>
      <c r="V471" s="5" t="s">
        <v>238</v>
      </c>
      <c r="W471" s="5" t="s">
        <v>241</v>
      </c>
      <c r="X471" s="5" t="s">
        <v>337</v>
      </c>
      <c r="Y471" s="5" t="s">
        <v>238</v>
      </c>
      <c r="AB471" s="5" t="s">
        <v>238</v>
      </c>
      <c r="AD471" s="6" t="s">
        <v>238</v>
      </c>
      <c r="AG471" s="6" t="s">
        <v>358</v>
      </c>
      <c r="AH471" s="5" t="s">
        <v>247</v>
      </c>
      <c r="AI471" s="5" t="s">
        <v>248</v>
      </c>
      <c r="AY471" s="5" t="s">
        <v>250</v>
      </c>
      <c r="AZ471" s="5" t="s">
        <v>238</v>
      </c>
      <c r="BA471" s="5" t="s">
        <v>251</v>
      </c>
      <c r="BB471" s="5" t="s">
        <v>238</v>
      </c>
      <c r="BC471" s="5" t="s">
        <v>253</v>
      </c>
      <c r="BD471" s="5" t="s">
        <v>238</v>
      </c>
      <c r="BF471" s="5" t="s">
        <v>238</v>
      </c>
      <c r="BH471" s="5" t="s">
        <v>697</v>
      </c>
      <c r="BI471" s="6" t="s">
        <v>358</v>
      </c>
      <c r="BJ471" s="5" t="s">
        <v>255</v>
      </c>
      <c r="BK471" s="5" t="s">
        <v>294</v>
      </c>
      <c r="BL471" s="5" t="s">
        <v>238</v>
      </c>
      <c r="BM471" s="7">
        <f>0</f>
        <v>0</v>
      </c>
      <c r="BN471" s="8">
        <f>0</f>
        <v>0</v>
      </c>
      <c r="BO471" s="5" t="s">
        <v>257</v>
      </c>
      <c r="BP471" s="5" t="s">
        <v>258</v>
      </c>
      <c r="CD471" s="5" t="s">
        <v>238</v>
      </c>
      <c r="CE471" s="5" t="s">
        <v>238</v>
      </c>
      <c r="CI471" s="5" t="s">
        <v>527</v>
      </c>
      <c r="CJ471" s="5" t="s">
        <v>260</v>
      </c>
      <c r="CK471" s="5" t="s">
        <v>238</v>
      </c>
      <c r="CM471" s="5" t="s">
        <v>877</v>
      </c>
      <c r="CN471" s="6" t="s">
        <v>262</v>
      </c>
      <c r="CO471" s="5" t="s">
        <v>263</v>
      </c>
      <c r="CP471" s="5" t="s">
        <v>264</v>
      </c>
      <c r="CQ471" s="5" t="s">
        <v>238</v>
      </c>
      <c r="CR471" s="5" t="s">
        <v>238</v>
      </c>
      <c r="CS471" s="5">
        <v>0</v>
      </c>
      <c r="CT471" s="5" t="s">
        <v>265</v>
      </c>
      <c r="CU471" s="5" t="s">
        <v>1493</v>
      </c>
      <c r="CV471" s="5" t="s">
        <v>649</v>
      </c>
      <c r="CX471" s="8">
        <f>36320000</f>
        <v>36320000</v>
      </c>
      <c r="CY471" s="8">
        <f>0</f>
        <v>0</v>
      </c>
      <c r="DA471" s="5" t="s">
        <v>238</v>
      </c>
      <c r="DB471" s="5" t="s">
        <v>238</v>
      </c>
      <c r="DD471" s="5" t="s">
        <v>238</v>
      </c>
      <c r="DG471" s="5" t="s">
        <v>238</v>
      </c>
      <c r="DH471" s="5" t="s">
        <v>238</v>
      </c>
      <c r="DI471" s="5" t="s">
        <v>238</v>
      </c>
      <c r="DJ471" s="5" t="s">
        <v>238</v>
      </c>
      <c r="DK471" s="5" t="s">
        <v>356</v>
      </c>
      <c r="DL471" s="5" t="s">
        <v>272</v>
      </c>
      <c r="DM471" s="7">
        <f>454</f>
        <v>454</v>
      </c>
      <c r="DN471" s="5" t="s">
        <v>238</v>
      </c>
      <c r="DO471" s="5" t="s">
        <v>238</v>
      </c>
      <c r="DP471" s="5" t="s">
        <v>238</v>
      </c>
      <c r="DQ471" s="5" t="s">
        <v>238</v>
      </c>
      <c r="DT471" s="5" t="s">
        <v>360</v>
      </c>
      <c r="DU471" s="5" t="s">
        <v>389</v>
      </c>
      <c r="HM471" s="5" t="s">
        <v>310</v>
      </c>
      <c r="HP471" s="5" t="s">
        <v>272</v>
      </c>
      <c r="HQ471" s="5" t="s">
        <v>272</v>
      </c>
    </row>
    <row r="472" spans="1:238" x14ac:dyDescent="0.4">
      <c r="A472" s="5">
        <v>508</v>
      </c>
      <c r="B472" s="5">
        <v>1</v>
      </c>
      <c r="C472" s="5">
        <v>4</v>
      </c>
      <c r="D472" s="5" t="s">
        <v>357</v>
      </c>
      <c r="E472" s="5" t="s">
        <v>347</v>
      </c>
      <c r="F472" s="5" t="s">
        <v>282</v>
      </c>
      <c r="G472" s="5" t="s">
        <v>349</v>
      </c>
      <c r="H472" s="6" t="s">
        <v>359</v>
      </c>
      <c r="I472" s="5" t="s">
        <v>363</v>
      </c>
      <c r="J472" s="7">
        <f>0</f>
        <v>0</v>
      </c>
      <c r="K472" s="5" t="s">
        <v>270</v>
      </c>
      <c r="L472" s="8">
        <f>953608</f>
        <v>953608</v>
      </c>
      <c r="M472" s="8">
        <f>1193500</f>
        <v>1193500</v>
      </c>
      <c r="N472" s="6" t="s">
        <v>364</v>
      </c>
      <c r="O472" s="5" t="s">
        <v>268</v>
      </c>
      <c r="P472" s="5" t="s">
        <v>271</v>
      </c>
      <c r="Q472" s="8">
        <f>79964</f>
        <v>79964</v>
      </c>
      <c r="R472" s="8">
        <f>239892</f>
        <v>239892</v>
      </c>
      <c r="S472" s="5" t="s">
        <v>240</v>
      </c>
      <c r="T472" s="5" t="s">
        <v>287</v>
      </c>
      <c r="U472" s="5" t="s">
        <v>238</v>
      </c>
      <c r="V472" s="5" t="s">
        <v>238</v>
      </c>
      <c r="W472" s="5" t="s">
        <v>241</v>
      </c>
      <c r="X472" s="5" t="s">
        <v>238</v>
      </c>
      <c r="Y472" s="5" t="s">
        <v>238</v>
      </c>
      <c r="AB472" s="5" t="s">
        <v>238</v>
      </c>
      <c r="AC472" s="6" t="s">
        <v>238</v>
      </c>
      <c r="AD472" s="6" t="s">
        <v>238</v>
      </c>
      <c r="AF472" s="6" t="s">
        <v>238</v>
      </c>
      <c r="AG472" s="6" t="s">
        <v>358</v>
      </c>
      <c r="AH472" s="5" t="s">
        <v>247</v>
      </c>
      <c r="AI472" s="5" t="s">
        <v>248</v>
      </c>
      <c r="AO472" s="5" t="s">
        <v>238</v>
      </c>
      <c r="AP472" s="5" t="s">
        <v>238</v>
      </c>
      <c r="AQ472" s="5" t="s">
        <v>238</v>
      </c>
      <c r="AR472" s="6" t="s">
        <v>238</v>
      </c>
      <c r="AS472" s="6" t="s">
        <v>238</v>
      </c>
      <c r="AT472" s="6" t="s">
        <v>238</v>
      </c>
      <c r="AW472" s="5" t="s">
        <v>304</v>
      </c>
      <c r="AX472" s="5" t="s">
        <v>304</v>
      </c>
      <c r="AY472" s="5" t="s">
        <v>250</v>
      </c>
      <c r="AZ472" s="5" t="s">
        <v>305</v>
      </c>
      <c r="BA472" s="5" t="s">
        <v>251</v>
      </c>
      <c r="BB472" s="5" t="s">
        <v>238</v>
      </c>
      <c r="BC472" s="5" t="s">
        <v>253</v>
      </c>
      <c r="BD472" s="5" t="s">
        <v>238</v>
      </c>
      <c r="BF472" s="5" t="s">
        <v>238</v>
      </c>
      <c r="BH472" s="5" t="s">
        <v>283</v>
      </c>
      <c r="BI472" s="6" t="s">
        <v>293</v>
      </c>
      <c r="BJ472" s="5" t="s">
        <v>294</v>
      </c>
      <c r="BK472" s="5" t="s">
        <v>294</v>
      </c>
      <c r="BL472" s="5" t="s">
        <v>238</v>
      </c>
      <c r="BM472" s="7">
        <f>0</f>
        <v>0</v>
      </c>
      <c r="BN472" s="8">
        <f>-79964</f>
        <v>-79964</v>
      </c>
      <c r="BO472" s="5" t="s">
        <v>257</v>
      </c>
      <c r="BP472" s="5" t="s">
        <v>258</v>
      </c>
      <c r="BQ472" s="5" t="s">
        <v>238</v>
      </c>
      <c r="BR472" s="5" t="s">
        <v>238</v>
      </c>
      <c r="BS472" s="5" t="s">
        <v>238</v>
      </c>
      <c r="BT472" s="5" t="s">
        <v>238</v>
      </c>
      <c r="CC472" s="5" t="s">
        <v>258</v>
      </c>
      <c r="CD472" s="5" t="s">
        <v>238</v>
      </c>
      <c r="CE472" s="5" t="s">
        <v>238</v>
      </c>
      <c r="CI472" s="5" t="s">
        <v>259</v>
      </c>
      <c r="CJ472" s="5" t="s">
        <v>260</v>
      </c>
      <c r="CK472" s="5" t="s">
        <v>238</v>
      </c>
      <c r="CM472" s="5" t="s">
        <v>291</v>
      </c>
      <c r="CN472" s="6" t="s">
        <v>262</v>
      </c>
      <c r="CO472" s="5" t="s">
        <v>263</v>
      </c>
      <c r="CP472" s="5" t="s">
        <v>264</v>
      </c>
      <c r="CQ472" s="5" t="s">
        <v>285</v>
      </c>
      <c r="CR472" s="5" t="s">
        <v>238</v>
      </c>
      <c r="CS472" s="5">
        <v>6.7000000000000004E-2</v>
      </c>
      <c r="CT472" s="5" t="s">
        <v>265</v>
      </c>
      <c r="CU472" s="5" t="s">
        <v>351</v>
      </c>
      <c r="CV472" s="5" t="s">
        <v>365</v>
      </c>
      <c r="CW472" s="7">
        <f>0</f>
        <v>0</v>
      </c>
      <c r="CX472" s="8">
        <f>1193500</f>
        <v>1193500</v>
      </c>
      <c r="CY472" s="8">
        <f>1033572</f>
        <v>1033572</v>
      </c>
      <c r="DA472" s="5" t="s">
        <v>238</v>
      </c>
      <c r="DB472" s="5" t="s">
        <v>238</v>
      </c>
      <c r="DD472" s="5" t="s">
        <v>238</v>
      </c>
      <c r="DE472" s="8">
        <f>0</f>
        <v>0</v>
      </c>
      <c r="DG472" s="5" t="s">
        <v>238</v>
      </c>
      <c r="DH472" s="5" t="s">
        <v>238</v>
      </c>
      <c r="DI472" s="5" t="s">
        <v>238</v>
      </c>
      <c r="DJ472" s="5" t="s">
        <v>238</v>
      </c>
      <c r="DK472" s="5" t="s">
        <v>272</v>
      </c>
      <c r="DL472" s="5" t="s">
        <v>272</v>
      </c>
      <c r="DM472" s="8" t="s">
        <v>238</v>
      </c>
      <c r="DN472" s="5" t="s">
        <v>238</v>
      </c>
      <c r="DO472" s="5" t="s">
        <v>238</v>
      </c>
      <c r="DP472" s="5" t="s">
        <v>238</v>
      </c>
      <c r="DQ472" s="5" t="s">
        <v>238</v>
      </c>
      <c r="DT472" s="5" t="s">
        <v>360</v>
      </c>
      <c r="DU472" s="5" t="s">
        <v>354</v>
      </c>
      <c r="GL472" s="5" t="s">
        <v>366</v>
      </c>
      <c r="HM472" s="5" t="s">
        <v>356</v>
      </c>
      <c r="HP472" s="5" t="s">
        <v>272</v>
      </c>
      <c r="HQ472" s="5" t="s">
        <v>272</v>
      </c>
      <c r="HR472" s="5" t="s">
        <v>238</v>
      </c>
      <c r="HS472" s="5" t="s">
        <v>238</v>
      </c>
      <c r="HT472" s="5" t="s">
        <v>238</v>
      </c>
      <c r="HU472" s="5" t="s">
        <v>238</v>
      </c>
      <c r="HV472" s="5" t="s">
        <v>238</v>
      </c>
      <c r="HW472" s="5" t="s">
        <v>238</v>
      </c>
      <c r="HX472" s="5" t="s">
        <v>238</v>
      </c>
      <c r="HY472" s="5" t="s">
        <v>238</v>
      </c>
      <c r="HZ472" s="5" t="s">
        <v>238</v>
      </c>
      <c r="IA472" s="5" t="s">
        <v>238</v>
      </c>
      <c r="IB472" s="5" t="s">
        <v>238</v>
      </c>
      <c r="IC472" s="5" t="s">
        <v>238</v>
      </c>
      <c r="ID472" s="5" t="s">
        <v>238</v>
      </c>
    </row>
    <row r="473" spans="1:238" x14ac:dyDescent="0.4">
      <c r="A473" s="5">
        <v>509</v>
      </c>
      <c r="B473" s="5">
        <v>1</v>
      </c>
      <c r="C473" s="5">
        <v>4</v>
      </c>
      <c r="D473" s="5" t="s">
        <v>357</v>
      </c>
      <c r="E473" s="5" t="s">
        <v>347</v>
      </c>
      <c r="F473" s="5" t="s">
        <v>282</v>
      </c>
      <c r="G473" s="5" t="s">
        <v>349</v>
      </c>
      <c r="H473" s="6" t="s">
        <v>359</v>
      </c>
      <c r="I473" s="5" t="s">
        <v>345</v>
      </c>
      <c r="J473" s="7">
        <f>0</f>
        <v>0</v>
      </c>
      <c r="K473" s="5" t="s">
        <v>270</v>
      </c>
      <c r="L473" s="8">
        <f>27165473</f>
        <v>27165473</v>
      </c>
      <c r="M473" s="8">
        <f>35325710</f>
        <v>35325710</v>
      </c>
      <c r="N473" s="6" t="s">
        <v>348</v>
      </c>
      <c r="O473" s="5" t="s">
        <v>319</v>
      </c>
      <c r="P473" s="5" t="s">
        <v>271</v>
      </c>
      <c r="Q473" s="8">
        <f>2720079</f>
        <v>2720079</v>
      </c>
      <c r="R473" s="8">
        <f>8160237</f>
        <v>8160237</v>
      </c>
      <c r="S473" s="5" t="s">
        <v>240</v>
      </c>
      <c r="T473" s="5" t="s">
        <v>287</v>
      </c>
      <c r="U473" s="5" t="s">
        <v>238</v>
      </c>
      <c r="V473" s="5" t="s">
        <v>238</v>
      </c>
      <c r="W473" s="5" t="s">
        <v>241</v>
      </c>
      <c r="X473" s="5" t="s">
        <v>238</v>
      </c>
      <c r="Y473" s="5" t="s">
        <v>238</v>
      </c>
      <c r="AB473" s="5" t="s">
        <v>238</v>
      </c>
      <c r="AC473" s="6" t="s">
        <v>238</v>
      </c>
      <c r="AD473" s="6" t="s">
        <v>238</v>
      </c>
      <c r="AF473" s="6" t="s">
        <v>238</v>
      </c>
      <c r="AG473" s="6" t="s">
        <v>358</v>
      </c>
      <c r="AH473" s="5" t="s">
        <v>247</v>
      </c>
      <c r="AI473" s="5" t="s">
        <v>248</v>
      </c>
      <c r="AO473" s="5" t="s">
        <v>238</v>
      </c>
      <c r="AP473" s="5" t="s">
        <v>238</v>
      </c>
      <c r="AQ473" s="5" t="s">
        <v>238</v>
      </c>
      <c r="AR473" s="6" t="s">
        <v>238</v>
      </c>
      <c r="AS473" s="6" t="s">
        <v>238</v>
      </c>
      <c r="AT473" s="6" t="s">
        <v>238</v>
      </c>
      <c r="AW473" s="5" t="s">
        <v>304</v>
      </c>
      <c r="AX473" s="5" t="s">
        <v>304</v>
      </c>
      <c r="AY473" s="5" t="s">
        <v>250</v>
      </c>
      <c r="AZ473" s="5" t="s">
        <v>305</v>
      </c>
      <c r="BA473" s="5" t="s">
        <v>251</v>
      </c>
      <c r="BB473" s="5" t="s">
        <v>238</v>
      </c>
      <c r="BC473" s="5" t="s">
        <v>253</v>
      </c>
      <c r="BD473" s="5" t="s">
        <v>238</v>
      </c>
      <c r="BF473" s="5" t="s">
        <v>238</v>
      </c>
      <c r="BH473" s="5" t="s">
        <v>283</v>
      </c>
      <c r="BI473" s="6" t="s">
        <v>293</v>
      </c>
      <c r="BJ473" s="5" t="s">
        <v>294</v>
      </c>
      <c r="BK473" s="5" t="s">
        <v>294</v>
      </c>
      <c r="BL473" s="5" t="s">
        <v>238</v>
      </c>
      <c r="BM473" s="7">
        <f>0</f>
        <v>0</v>
      </c>
      <c r="BN473" s="8">
        <f>-2720079</f>
        <v>-2720079</v>
      </c>
      <c r="BO473" s="5" t="s">
        <v>257</v>
      </c>
      <c r="BP473" s="5" t="s">
        <v>258</v>
      </c>
      <c r="BQ473" s="5" t="s">
        <v>238</v>
      </c>
      <c r="BR473" s="5" t="s">
        <v>238</v>
      </c>
      <c r="BS473" s="5" t="s">
        <v>238</v>
      </c>
      <c r="BT473" s="5" t="s">
        <v>238</v>
      </c>
      <c r="CC473" s="5" t="s">
        <v>258</v>
      </c>
      <c r="CD473" s="5" t="s">
        <v>238</v>
      </c>
      <c r="CE473" s="5" t="s">
        <v>238</v>
      </c>
      <c r="CI473" s="5" t="s">
        <v>259</v>
      </c>
      <c r="CJ473" s="5" t="s">
        <v>260</v>
      </c>
      <c r="CK473" s="5" t="s">
        <v>238</v>
      </c>
      <c r="CM473" s="5" t="s">
        <v>291</v>
      </c>
      <c r="CN473" s="6" t="s">
        <v>262</v>
      </c>
      <c r="CO473" s="5" t="s">
        <v>263</v>
      </c>
      <c r="CP473" s="5" t="s">
        <v>264</v>
      </c>
      <c r="CQ473" s="5" t="s">
        <v>285</v>
      </c>
      <c r="CR473" s="5" t="s">
        <v>238</v>
      </c>
      <c r="CS473" s="5">
        <v>7.6999999999999999E-2</v>
      </c>
      <c r="CT473" s="5" t="s">
        <v>265</v>
      </c>
      <c r="CU473" s="5" t="s">
        <v>351</v>
      </c>
      <c r="CV473" s="5" t="s">
        <v>352</v>
      </c>
      <c r="CW473" s="7">
        <f>0</f>
        <v>0</v>
      </c>
      <c r="CX473" s="8">
        <f>35325710</f>
        <v>35325710</v>
      </c>
      <c r="CY473" s="8">
        <f>29885552</f>
        <v>29885552</v>
      </c>
      <c r="DA473" s="5" t="s">
        <v>238</v>
      </c>
      <c r="DB473" s="5" t="s">
        <v>238</v>
      </c>
      <c r="DD473" s="5" t="s">
        <v>238</v>
      </c>
      <c r="DE473" s="8">
        <f>0</f>
        <v>0</v>
      </c>
      <c r="DG473" s="5" t="s">
        <v>238</v>
      </c>
      <c r="DH473" s="5" t="s">
        <v>238</v>
      </c>
      <c r="DI473" s="5" t="s">
        <v>238</v>
      </c>
      <c r="DJ473" s="5" t="s">
        <v>238</v>
      </c>
      <c r="DK473" s="5" t="s">
        <v>272</v>
      </c>
      <c r="DL473" s="5" t="s">
        <v>272</v>
      </c>
      <c r="DM473" s="8" t="s">
        <v>238</v>
      </c>
      <c r="DN473" s="5" t="s">
        <v>238</v>
      </c>
      <c r="DO473" s="5" t="s">
        <v>238</v>
      </c>
      <c r="DP473" s="5" t="s">
        <v>238</v>
      </c>
      <c r="DQ473" s="5" t="s">
        <v>238</v>
      </c>
      <c r="DT473" s="5" t="s">
        <v>360</v>
      </c>
      <c r="DU473" s="5" t="s">
        <v>361</v>
      </c>
      <c r="GL473" s="5" t="s">
        <v>362</v>
      </c>
      <c r="HM473" s="5" t="s">
        <v>356</v>
      </c>
      <c r="HP473" s="5" t="s">
        <v>272</v>
      </c>
      <c r="HQ473" s="5" t="s">
        <v>272</v>
      </c>
      <c r="HR473" s="5" t="s">
        <v>238</v>
      </c>
      <c r="HS473" s="5" t="s">
        <v>238</v>
      </c>
      <c r="HT473" s="5" t="s">
        <v>238</v>
      </c>
      <c r="HU473" s="5" t="s">
        <v>238</v>
      </c>
      <c r="HV473" s="5" t="s">
        <v>238</v>
      </c>
      <c r="HW473" s="5" t="s">
        <v>238</v>
      </c>
      <c r="HX473" s="5" t="s">
        <v>238</v>
      </c>
      <c r="HY473" s="5" t="s">
        <v>238</v>
      </c>
      <c r="HZ473" s="5" t="s">
        <v>238</v>
      </c>
      <c r="IA473" s="5" t="s">
        <v>238</v>
      </c>
      <c r="IB473" s="5" t="s">
        <v>238</v>
      </c>
      <c r="IC473" s="5" t="s">
        <v>238</v>
      </c>
      <c r="ID473" s="5" t="s">
        <v>238</v>
      </c>
    </row>
    <row r="474" spans="1:238" x14ac:dyDescent="0.4">
      <c r="A474" s="5">
        <v>510</v>
      </c>
      <c r="B474" s="5">
        <v>1</v>
      </c>
      <c r="C474" s="5">
        <v>1</v>
      </c>
      <c r="D474" s="5" t="s">
        <v>346</v>
      </c>
      <c r="E474" s="5" t="s">
        <v>347</v>
      </c>
      <c r="F474" s="5" t="s">
        <v>282</v>
      </c>
      <c r="G474" s="5" t="s">
        <v>1314</v>
      </c>
      <c r="H474" s="6" t="s">
        <v>350</v>
      </c>
      <c r="I474" s="5" t="s">
        <v>1314</v>
      </c>
      <c r="J474" s="7">
        <f>1525</f>
        <v>1525</v>
      </c>
      <c r="K474" s="5" t="s">
        <v>270</v>
      </c>
      <c r="L474" s="8">
        <f>1</f>
        <v>1</v>
      </c>
      <c r="M474" s="8">
        <f>205875000</f>
        <v>205875000</v>
      </c>
      <c r="N474" s="6" t="s">
        <v>1653</v>
      </c>
      <c r="O474" s="5" t="s">
        <v>898</v>
      </c>
      <c r="P474" s="5" t="s">
        <v>996</v>
      </c>
      <c r="R474" s="8">
        <f>205874999</f>
        <v>205874999</v>
      </c>
      <c r="S474" s="5" t="s">
        <v>240</v>
      </c>
      <c r="T474" s="5" t="s">
        <v>237</v>
      </c>
      <c r="U474" s="5" t="s">
        <v>238</v>
      </c>
      <c r="V474" s="5" t="s">
        <v>238</v>
      </c>
      <c r="W474" s="5" t="s">
        <v>241</v>
      </c>
      <c r="X474" s="5" t="s">
        <v>337</v>
      </c>
      <c r="Y474" s="5" t="s">
        <v>238</v>
      </c>
      <c r="AB474" s="5" t="s">
        <v>238</v>
      </c>
      <c r="AD474" s="6" t="s">
        <v>238</v>
      </c>
      <c r="AG474" s="6" t="s">
        <v>758</v>
      </c>
      <c r="AH474" s="5" t="s">
        <v>247</v>
      </c>
      <c r="AI474" s="5" t="s">
        <v>248</v>
      </c>
      <c r="AY474" s="5" t="s">
        <v>250</v>
      </c>
      <c r="AZ474" s="5" t="s">
        <v>238</v>
      </c>
      <c r="BA474" s="5" t="s">
        <v>251</v>
      </c>
      <c r="BB474" s="5" t="s">
        <v>238</v>
      </c>
      <c r="BC474" s="5" t="s">
        <v>253</v>
      </c>
      <c r="BD474" s="5" t="s">
        <v>238</v>
      </c>
      <c r="BF474" s="5" t="s">
        <v>238</v>
      </c>
      <c r="BH474" s="5" t="s">
        <v>697</v>
      </c>
      <c r="BI474" s="6" t="s">
        <v>758</v>
      </c>
      <c r="BJ474" s="5" t="s">
        <v>255</v>
      </c>
      <c r="BK474" s="5" t="s">
        <v>294</v>
      </c>
      <c r="BL474" s="5" t="s">
        <v>238</v>
      </c>
      <c r="BM474" s="7">
        <f>0</f>
        <v>0</v>
      </c>
      <c r="BN474" s="8">
        <f>0</f>
        <v>0</v>
      </c>
      <c r="BO474" s="5" t="s">
        <v>257</v>
      </c>
      <c r="BP474" s="5" t="s">
        <v>258</v>
      </c>
      <c r="CD474" s="5" t="s">
        <v>238</v>
      </c>
      <c r="CE474" s="5" t="s">
        <v>238</v>
      </c>
      <c r="CI474" s="5" t="s">
        <v>527</v>
      </c>
      <c r="CJ474" s="5" t="s">
        <v>260</v>
      </c>
      <c r="CK474" s="5" t="s">
        <v>238</v>
      </c>
      <c r="CM474" s="5" t="s">
        <v>964</v>
      </c>
      <c r="CN474" s="6" t="s">
        <v>262</v>
      </c>
      <c r="CO474" s="5" t="s">
        <v>263</v>
      </c>
      <c r="CP474" s="5" t="s">
        <v>264</v>
      </c>
      <c r="CQ474" s="5" t="s">
        <v>238</v>
      </c>
      <c r="CR474" s="5" t="s">
        <v>238</v>
      </c>
      <c r="CS474" s="5">
        <v>0</v>
      </c>
      <c r="CT474" s="5" t="s">
        <v>265</v>
      </c>
      <c r="CU474" s="5" t="s">
        <v>1493</v>
      </c>
      <c r="CV474" s="5" t="s">
        <v>308</v>
      </c>
      <c r="CX474" s="8">
        <f>205875000</f>
        <v>205875000</v>
      </c>
      <c r="CY474" s="8">
        <f>0</f>
        <v>0</v>
      </c>
      <c r="DA474" s="5" t="s">
        <v>238</v>
      </c>
      <c r="DB474" s="5" t="s">
        <v>238</v>
      </c>
      <c r="DD474" s="5" t="s">
        <v>238</v>
      </c>
      <c r="DG474" s="5" t="s">
        <v>238</v>
      </c>
      <c r="DH474" s="5" t="s">
        <v>238</v>
      </c>
      <c r="DI474" s="5" t="s">
        <v>238</v>
      </c>
      <c r="DJ474" s="5" t="s">
        <v>238</v>
      </c>
      <c r="DK474" s="5" t="s">
        <v>274</v>
      </c>
      <c r="DL474" s="5" t="s">
        <v>272</v>
      </c>
      <c r="DM474" s="7">
        <f>1525</f>
        <v>1525</v>
      </c>
      <c r="DN474" s="5" t="s">
        <v>238</v>
      </c>
      <c r="DO474" s="5" t="s">
        <v>238</v>
      </c>
      <c r="DP474" s="5" t="s">
        <v>238</v>
      </c>
      <c r="DQ474" s="5" t="s">
        <v>238</v>
      </c>
      <c r="DT474" s="5" t="s">
        <v>353</v>
      </c>
      <c r="DU474" s="5" t="s">
        <v>271</v>
      </c>
      <c r="HM474" s="5" t="s">
        <v>313</v>
      </c>
      <c r="HP474" s="5" t="s">
        <v>272</v>
      </c>
      <c r="HQ474" s="5" t="s">
        <v>272</v>
      </c>
    </row>
    <row r="475" spans="1:238" x14ac:dyDescent="0.4">
      <c r="A475" s="5">
        <v>511</v>
      </c>
      <c r="B475" s="5">
        <v>1</v>
      </c>
      <c r="C475" s="5">
        <v>1</v>
      </c>
      <c r="D475" s="5" t="s">
        <v>346</v>
      </c>
      <c r="E475" s="5" t="s">
        <v>347</v>
      </c>
      <c r="F475" s="5" t="s">
        <v>282</v>
      </c>
      <c r="G475" s="5" t="s">
        <v>1308</v>
      </c>
      <c r="H475" s="6" t="s">
        <v>350</v>
      </c>
      <c r="I475" s="5" t="s">
        <v>1308</v>
      </c>
      <c r="J475" s="7">
        <f>538</f>
        <v>538</v>
      </c>
      <c r="K475" s="5" t="s">
        <v>270</v>
      </c>
      <c r="L475" s="8">
        <f>1</f>
        <v>1</v>
      </c>
      <c r="M475" s="8">
        <f>43040000</f>
        <v>43040000</v>
      </c>
      <c r="N475" s="6" t="s">
        <v>1775</v>
      </c>
      <c r="O475" s="5" t="s">
        <v>755</v>
      </c>
      <c r="P475" s="5" t="s">
        <v>898</v>
      </c>
      <c r="R475" s="8">
        <f>43039999</f>
        <v>43039999</v>
      </c>
      <c r="S475" s="5" t="s">
        <v>240</v>
      </c>
      <c r="T475" s="5" t="s">
        <v>237</v>
      </c>
      <c r="U475" s="5" t="s">
        <v>238</v>
      </c>
      <c r="V475" s="5" t="s">
        <v>238</v>
      </c>
      <c r="W475" s="5" t="s">
        <v>241</v>
      </c>
      <c r="X475" s="5" t="s">
        <v>337</v>
      </c>
      <c r="Y475" s="5" t="s">
        <v>238</v>
      </c>
      <c r="AB475" s="5" t="s">
        <v>238</v>
      </c>
      <c r="AD475" s="6" t="s">
        <v>238</v>
      </c>
      <c r="AG475" s="6" t="s">
        <v>758</v>
      </c>
      <c r="AH475" s="5" t="s">
        <v>247</v>
      </c>
      <c r="AI475" s="5" t="s">
        <v>248</v>
      </c>
      <c r="AY475" s="5" t="s">
        <v>250</v>
      </c>
      <c r="AZ475" s="5" t="s">
        <v>238</v>
      </c>
      <c r="BA475" s="5" t="s">
        <v>251</v>
      </c>
      <c r="BB475" s="5" t="s">
        <v>238</v>
      </c>
      <c r="BC475" s="5" t="s">
        <v>253</v>
      </c>
      <c r="BD475" s="5" t="s">
        <v>238</v>
      </c>
      <c r="BF475" s="5" t="s">
        <v>238</v>
      </c>
      <c r="BH475" s="5" t="s">
        <v>697</v>
      </c>
      <c r="BI475" s="6" t="s">
        <v>698</v>
      </c>
      <c r="BJ475" s="5" t="s">
        <v>255</v>
      </c>
      <c r="BK475" s="5" t="s">
        <v>256</v>
      </c>
      <c r="BL475" s="5" t="s">
        <v>238</v>
      </c>
      <c r="BM475" s="7">
        <f>0</f>
        <v>0</v>
      </c>
      <c r="BN475" s="8">
        <f>0</f>
        <v>0</v>
      </c>
      <c r="BO475" s="5" t="s">
        <v>257</v>
      </c>
      <c r="BP475" s="5" t="s">
        <v>258</v>
      </c>
      <c r="CD475" s="5" t="s">
        <v>238</v>
      </c>
      <c r="CE475" s="5" t="s">
        <v>238</v>
      </c>
      <c r="CI475" s="5" t="s">
        <v>527</v>
      </c>
      <c r="CJ475" s="5" t="s">
        <v>260</v>
      </c>
      <c r="CK475" s="5" t="s">
        <v>238</v>
      </c>
      <c r="CM475" s="5" t="s">
        <v>897</v>
      </c>
      <c r="CN475" s="6" t="s">
        <v>262</v>
      </c>
      <c r="CO475" s="5" t="s">
        <v>263</v>
      </c>
      <c r="CP475" s="5" t="s">
        <v>264</v>
      </c>
      <c r="CQ475" s="5" t="s">
        <v>238</v>
      </c>
      <c r="CR475" s="5" t="s">
        <v>238</v>
      </c>
      <c r="CS475" s="5">
        <v>0</v>
      </c>
      <c r="CT475" s="5" t="s">
        <v>265</v>
      </c>
      <c r="CU475" s="5" t="s">
        <v>1330</v>
      </c>
      <c r="CV475" s="5" t="s">
        <v>649</v>
      </c>
      <c r="CX475" s="8">
        <f>43040000</f>
        <v>43040000</v>
      </c>
      <c r="CY475" s="8">
        <f>0</f>
        <v>0</v>
      </c>
      <c r="DA475" s="5" t="s">
        <v>238</v>
      </c>
      <c r="DB475" s="5" t="s">
        <v>238</v>
      </c>
      <c r="DD475" s="5" t="s">
        <v>238</v>
      </c>
      <c r="DG475" s="5" t="s">
        <v>238</v>
      </c>
      <c r="DH475" s="5" t="s">
        <v>238</v>
      </c>
      <c r="DI475" s="5" t="s">
        <v>238</v>
      </c>
      <c r="DJ475" s="5" t="s">
        <v>238</v>
      </c>
      <c r="DK475" s="5" t="s">
        <v>274</v>
      </c>
      <c r="DL475" s="5" t="s">
        <v>272</v>
      </c>
      <c r="DM475" s="7">
        <f>538</f>
        <v>538</v>
      </c>
      <c r="DN475" s="5" t="s">
        <v>238</v>
      </c>
      <c r="DO475" s="5" t="s">
        <v>238</v>
      </c>
      <c r="DP475" s="5" t="s">
        <v>238</v>
      </c>
      <c r="DQ475" s="5" t="s">
        <v>238</v>
      </c>
      <c r="DT475" s="5" t="s">
        <v>353</v>
      </c>
      <c r="DU475" s="5" t="s">
        <v>274</v>
      </c>
      <c r="HM475" s="5" t="s">
        <v>271</v>
      </c>
      <c r="HP475" s="5" t="s">
        <v>272</v>
      </c>
      <c r="HQ475" s="5" t="s">
        <v>272</v>
      </c>
    </row>
    <row r="476" spans="1:238" x14ac:dyDescent="0.4">
      <c r="A476" s="5">
        <v>512</v>
      </c>
      <c r="B476" s="5">
        <v>1</v>
      </c>
      <c r="C476" s="5">
        <v>1</v>
      </c>
      <c r="D476" s="5" t="s">
        <v>346</v>
      </c>
      <c r="E476" s="5" t="s">
        <v>347</v>
      </c>
      <c r="F476" s="5" t="s">
        <v>282</v>
      </c>
      <c r="G476" s="5" t="s">
        <v>3027</v>
      </c>
      <c r="H476" s="6" t="s">
        <v>350</v>
      </c>
      <c r="I476" s="5" t="s">
        <v>3027</v>
      </c>
      <c r="J476" s="7">
        <f>52</f>
        <v>52</v>
      </c>
      <c r="K476" s="5" t="s">
        <v>270</v>
      </c>
      <c r="L476" s="8">
        <f>1</f>
        <v>1</v>
      </c>
      <c r="M476" s="8">
        <f>3120000</f>
        <v>3120000</v>
      </c>
      <c r="N476" s="6" t="s">
        <v>3104</v>
      </c>
      <c r="O476" s="5" t="s">
        <v>268</v>
      </c>
      <c r="P476" s="5" t="s">
        <v>755</v>
      </c>
      <c r="R476" s="8">
        <f>3119999</f>
        <v>3119999</v>
      </c>
      <c r="S476" s="5" t="s">
        <v>240</v>
      </c>
      <c r="T476" s="5" t="s">
        <v>237</v>
      </c>
      <c r="U476" s="5" t="s">
        <v>238</v>
      </c>
      <c r="V476" s="5" t="s">
        <v>238</v>
      </c>
      <c r="W476" s="5" t="s">
        <v>241</v>
      </c>
      <c r="X476" s="5" t="s">
        <v>337</v>
      </c>
      <c r="Y476" s="5" t="s">
        <v>238</v>
      </c>
      <c r="AB476" s="5" t="s">
        <v>238</v>
      </c>
      <c r="AD476" s="6" t="s">
        <v>238</v>
      </c>
      <c r="AG476" s="6" t="s">
        <v>758</v>
      </c>
      <c r="AH476" s="5" t="s">
        <v>247</v>
      </c>
      <c r="AI476" s="5" t="s">
        <v>248</v>
      </c>
      <c r="AY476" s="5" t="s">
        <v>250</v>
      </c>
      <c r="AZ476" s="5" t="s">
        <v>238</v>
      </c>
      <c r="BA476" s="5" t="s">
        <v>251</v>
      </c>
      <c r="BB476" s="5" t="s">
        <v>238</v>
      </c>
      <c r="BC476" s="5" t="s">
        <v>253</v>
      </c>
      <c r="BD476" s="5" t="s">
        <v>238</v>
      </c>
      <c r="BF476" s="5" t="s">
        <v>238</v>
      </c>
      <c r="BH476" s="5" t="s">
        <v>798</v>
      </c>
      <c r="BI476" s="6" t="s">
        <v>799</v>
      </c>
      <c r="BJ476" s="5" t="s">
        <v>255</v>
      </c>
      <c r="BK476" s="5" t="s">
        <v>256</v>
      </c>
      <c r="BL476" s="5" t="s">
        <v>238</v>
      </c>
      <c r="BM476" s="7">
        <f>0</f>
        <v>0</v>
      </c>
      <c r="BN476" s="8">
        <f>0</f>
        <v>0</v>
      </c>
      <c r="BO476" s="5" t="s">
        <v>257</v>
      </c>
      <c r="BP476" s="5" t="s">
        <v>258</v>
      </c>
      <c r="CD476" s="5" t="s">
        <v>238</v>
      </c>
      <c r="CE476" s="5" t="s">
        <v>238</v>
      </c>
      <c r="CI476" s="5" t="s">
        <v>527</v>
      </c>
      <c r="CJ476" s="5" t="s">
        <v>260</v>
      </c>
      <c r="CK476" s="5" t="s">
        <v>238</v>
      </c>
      <c r="CM476" s="5" t="s">
        <v>1020</v>
      </c>
      <c r="CN476" s="6" t="s">
        <v>262</v>
      </c>
      <c r="CO476" s="5" t="s">
        <v>263</v>
      </c>
      <c r="CP476" s="5" t="s">
        <v>264</v>
      </c>
      <c r="CQ476" s="5" t="s">
        <v>238</v>
      </c>
      <c r="CR476" s="5" t="s">
        <v>238</v>
      </c>
      <c r="CS476" s="5">
        <v>0</v>
      </c>
      <c r="CT476" s="5" t="s">
        <v>265</v>
      </c>
      <c r="CU476" s="5" t="s">
        <v>351</v>
      </c>
      <c r="CV476" s="5" t="s">
        <v>394</v>
      </c>
      <c r="CX476" s="8">
        <f>3120000</f>
        <v>3120000</v>
      </c>
      <c r="CY476" s="8">
        <f>0</f>
        <v>0</v>
      </c>
      <c r="DA476" s="5" t="s">
        <v>238</v>
      </c>
      <c r="DB476" s="5" t="s">
        <v>238</v>
      </c>
      <c r="DD476" s="5" t="s">
        <v>238</v>
      </c>
      <c r="DG476" s="5" t="s">
        <v>238</v>
      </c>
      <c r="DH476" s="5" t="s">
        <v>238</v>
      </c>
      <c r="DI476" s="5" t="s">
        <v>238</v>
      </c>
      <c r="DJ476" s="5" t="s">
        <v>238</v>
      </c>
      <c r="DK476" s="5" t="s">
        <v>271</v>
      </c>
      <c r="DL476" s="5" t="s">
        <v>272</v>
      </c>
      <c r="DM476" s="7">
        <f>52</f>
        <v>52</v>
      </c>
      <c r="DN476" s="5" t="s">
        <v>238</v>
      </c>
      <c r="DO476" s="5" t="s">
        <v>238</v>
      </c>
      <c r="DP476" s="5" t="s">
        <v>238</v>
      </c>
      <c r="DQ476" s="5" t="s">
        <v>238</v>
      </c>
      <c r="DT476" s="5" t="s">
        <v>353</v>
      </c>
      <c r="DU476" s="5" t="s">
        <v>356</v>
      </c>
      <c r="HM476" s="5" t="s">
        <v>271</v>
      </c>
      <c r="HP476" s="5" t="s">
        <v>272</v>
      </c>
      <c r="HQ476" s="5" t="s">
        <v>272</v>
      </c>
    </row>
    <row r="477" spans="1:238" x14ac:dyDescent="0.4">
      <c r="A477" s="5">
        <v>513</v>
      </c>
      <c r="B477" s="5">
        <v>1</v>
      </c>
      <c r="C477" s="5">
        <v>1</v>
      </c>
      <c r="D477" s="5" t="s">
        <v>346</v>
      </c>
      <c r="E477" s="5" t="s">
        <v>347</v>
      </c>
      <c r="F477" s="5" t="s">
        <v>282</v>
      </c>
      <c r="G477" s="5" t="s">
        <v>239</v>
      </c>
      <c r="H477" s="6" t="s">
        <v>350</v>
      </c>
      <c r="I477" s="5" t="s">
        <v>239</v>
      </c>
      <c r="J477" s="7">
        <f>20</f>
        <v>20</v>
      </c>
      <c r="K477" s="5" t="s">
        <v>270</v>
      </c>
      <c r="L477" s="8">
        <f>1</f>
        <v>1</v>
      </c>
      <c r="M477" s="8">
        <f>1200000</f>
        <v>1200000</v>
      </c>
      <c r="N477" s="6" t="s">
        <v>1032</v>
      </c>
      <c r="O477" s="5" t="s">
        <v>651</v>
      </c>
      <c r="P477" s="5" t="s">
        <v>309</v>
      </c>
      <c r="R477" s="8">
        <f>1199999</f>
        <v>1199999</v>
      </c>
      <c r="S477" s="5" t="s">
        <v>240</v>
      </c>
      <c r="T477" s="5" t="s">
        <v>237</v>
      </c>
      <c r="U477" s="5" t="s">
        <v>238</v>
      </c>
      <c r="V477" s="5" t="s">
        <v>238</v>
      </c>
      <c r="W477" s="5" t="s">
        <v>241</v>
      </c>
      <c r="X477" s="5" t="s">
        <v>337</v>
      </c>
      <c r="Y477" s="5" t="s">
        <v>238</v>
      </c>
      <c r="AB477" s="5" t="s">
        <v>238</v>
      </c>
      <c r="AD477" s="6" t="s">
        <v>238</v>
      </c>
      <c r="AG477" s="6" t="s">
        <v>1085</v>
      </c>
      <c r="AH477" s="5" t="s">
        <v>247</v>
      </c>
      <c r="AI477" s="5" t="s">
        <v>248</v>
      </c>
      <c r="AY477" s="5" t="s">
        <v>250</v>
      </c>
      <c r="AZ477" s="5" t="s">
        <v>238</v>
      </c>
      <c r="BA477" s="5" t="s">
        <v>251</v>
      </c>
      <c r="BB477" s="5" t="s">
        <v>238</v>
      </c>
      <c r="BC477" s="5" t="s">
        <v>253</v>
      </c>
      <c r="BD477" s="5" t="s">
        <v>238</v>
      </c>
      <c r="BF477" s="5" t="s">
        <v>238</v>
      </c>
      <c r="BH477" s="5" t="s">
        <v>798</v>
      </c>
      <c r="BI477" s="6" t="s">
        <v>1085</v>
      </c>
      <c r="BJ477" s="5" t="s">
        <v>255</v>
      </c>
      <c r="BK477" s="5" t="s">
        <v>256</v>
      </c>
      <c r="BL477" s="5" t="s">
        <v>238</v>
      </c>
      <c r="BM477" s="7">
        <f>0</f>
        <v>0</v>
      </c>
      <c r="BN477" s="8">
        <f>0</f>
        <v>0</v>
      </c>
      <c r="BO477" s="5" t="s">
        <v>257</v>
      </c>
      <c r="BP477" s="5" t="s">
        <v>258</v>
      </c>
      <c r="CD477" s="5" t="s">
        <v>238</v>
      </c>
      <c r="CE477" s="5" t="s">
        <v>238</v>
      </c>
      <c r="CI477" s="5" t="s">
        <v>527</v>
      </c>
      <c r="CJ477" s="5" t="s">
        <v>260</v>
      </c>
      <c r="CK477" s="5" t="s">
        <v>238</v>
      </c>
      <c r="CM477" s="5" t="s">
        <v>822</v>
      </c>
      <c r="CN477" s="6" t="s">
        <v>262</v>
      </c>
      <c r="CO477" s="5" t="s">
        <v>263</v>
      </c>
      <c r="CP477" s="5" t="s">
        <v>264</v>
      </c>
      <c r="CQ477" s="5" t="s">
        <v>238</v>
      </c>
      <c r="CR477" s="5" t="s">
        <v>238</v>
      </c>
      <c r="CS477" s="5">
        <v>0</v>
      </c>
      <c r="CT477" s="5" t="s">
        <v>265</v>
      </c>
      <c r="CU477" s="5" t="s">
        <v>266</v>
      </c>
      <c r="CV477" s="5" t="s">
        <v>331</v>
      </c>
      <c r="CX477" s="8">
        <f>1200000</f>
        <v>1200000</v>
      </c>
      <c r="CY477" s="8">
        <f>0</f>
        <v>0</v>
      </c>
      <c r="DA477" s="5" t="s">
        <v>238</v>
      </c>
      <c r="DB477" s="5" t="s">
        <v>238</v>
      </c>
      <c r="DD477" s="5" t="s">
        <v>238</v>
      </c>
      <c r="DG477" s="5" t="s">
        <v>238</v>
      </c>
      <c r="DH477" s="5" t="s">
        <v>238</v>
      </c>
      <c r="DI477" s="5" t="s">
        <v>238</v>
      </c>
      <c r="DJ477" s="5" t="s">
        <v>238</v>
      </c>
      <c r="DK477" s="5" t="s">
        <v>271</v>
      </c>
      <c r="DL477" s="5" t="s">
        <v>272</v>
      </c>
      <c r="DM477" s="7">
        <f>20</f>
        <v>20</v>
      </c>
      <c r="DN477" s="5" t="s">
        <v>238</v>
      </c>
      <c r="DO477" s="5" t="s">
        <v>238</v>
      </c>
      <c r="DP477" s="5" t="s">
        <v>238</v>
      </c>
      <c r="DQ477" s="5" t="s">
        <v>238</v>
      </c>
      <c r="DT477" s="5" t="s">
        <v>353</v>
      </c>
      <c r="DU477" s="5" t="s">
        <v>310</v>
      </c>
      <c r="HM477" s="5" t="s">
        <v>271</v>
      </c>
      <c r="HP477" s="5" t="s">
        <v>272</v>
      </c>
      <c r="HQ477" s="5" t="s">
        <v>272</v>
      </c>
    </row>
    <row r="478" spans="1:238" x14ac:dyDescent="0.4">
      <c r="A478" s="5">
        <v>514</v>
      </c>
      <c r="B478" s="5">
        <v>1</v>
      </c>
      <c r="C478" s="5">
        <v>1</v>
      </c>
      <c r="D478" s="5" t="s">
        <v>346</v>
      </c>
      <c r="E478" s="5" t="s">
        <v>347</v>
      </c>
      <c r="F478" s="5" t="s">
        <v>282</v>
      </c>
      <c r="G478" s="5" t="s">
        <v>239</v>
      </c>
      <c r="H478" s="6" t="s">
        <v>350</v>
      </c>
      <c r="I478" s="5" t="s">
        <v>239</v>
      </c>
      <c r="J478" s="7">
        <f>14</f>
        <v>14</v>
      </c>
      <c r="K478" s="5" t="s">
        <v>270</v>
      </c>
      <c r="L478" s="8">
        <f>1</f>
        <v>1</v>
      </c>
      <c r="M478" s="8">
        <f>4998000</f>
        <v>4998000</v>
      </c>
      <c r="N478" s="6" t="s">
        <v>1127</v>
      </c>
      <c r="O478" s="5" t="s">
        <v>651</v>
      </c>
      <c r="P478" s="5" t="s">
        <v>690</v>
      </c>
      <c r="R478" s="8">
        <f>4997999</f>
        <v>4997999</v>
      </c>
      <c r="S478" s="5" t="s">
        <v>240</v>
      </c>
      <c r="T478" s="5" t="s">
        <v>237</v>
      </c>
      <c r="U478" s="5" t="s">
        <v>238</v>
      </c>
      <c r="V478" s="5" t="s">
        <v>238</v>
      </c>
      <c r="W478" s="5" t="s">
        <v>241</v>
      </c>
      <c r="X478" s="5" t="s">
        <v>337</v>
      </c>
      <c r="Y478" s="5" t="s">
        <v>238</v>
      </c>
      <c r="AB478" s="5" t="s">
        <v>238</v>
      </c>
      <c r="AD478" s="6" t="s">
        <v>238</v>
      </c>
      <c r="AG478" s="6" t="s">
        <v>1085</v>
      </c>
      <c r="AH478" s="5" t="s">
        <v>247</v>
      </c>
      <c r="AI478" s="5" t="s">
        <v>248</v>
      </c>
      <c r="AY478" s="5" t="s">
        <v>250</v>
      </c>
      <c r="AZ478" s="5" t="s">
        <v>238</v>
      </c>
      <c r="BA478" s="5" t="s">
        <v>251</v>
      </c>
      <c r="BB478" s="5" t="s">
        <v>238</v>
      </c>
      <c r="BC478" s="5" t="s">
        <v>253</v>
      </c>
      <c r="BD478" s="5" t="s">
        <v>238</v>
      </c>
      <c r="BF478" s="5" t="s">
        <v>238</v>
      </c>
      <c r="BH478" s="5" t="s">
        <v>798</v>
      </c>
      <c r="BI478" s="6" t="s">
        <v>799</v>
      </c>
      <c r="BJ478" s="5" t="s">
        <v>255</v>
      </c>
      <c r="BK478" s="5" t="s">
        <v>256</v>
      </c>
      <c r="BL478" s="5" t="s">
        <v>238</v>
      </c>
      <c r="BM478" s="7">
        <f>0</f>
        <v>0</v>
      </c>
      <c r="BN478" s="8">
        <f>0</f>
        <v>0</v>
      </c>
      <c r="BO478" s="5" t="s">
        <v>257</v>
      </c>
      <c r="BP478" s="5" t="s">
        <v>258</v>
      </c>
      <c r="CD478" s="5" t="s">
        <v>238</v>
      </c>
      <c r="CE478" s="5" t="s">
        <v>238</v>
      </c>
      <c r="CI478" s="5" t="s">
        <v>259</v>
      </c>
      <c r="CJ478" s="5" t="s">
        <v>260</v>
      </c>
      <c r="CK478" s="5" t="s">
        <v>238</v>
      </c>
      <c r="CM478" s="5" t="s">
        <v>689</v>
      </c>
      <c r="CN478" s="6" t="s">
        <v>262</v>
      </c>
      <c r="CO478" s="5" t="s">
        <v>263</v>
      </c>
      <c r="CP478" s="5" t="s">
        <v>264</v>
      </c>
      <c r="CQ478" s="5" t="s">
        <v>238</v>
      </c>
      <c r="CR478" s="5" t="s">
        <v>238</v>
      </c>
      <c r="CS478" s="5">
        <v>0</v>
      </c>
      <c r="CT478" s="5" t="s">
        <v>265</v>
      </c>
      <c r="CU478" s="5" t="s">
        <v>266</v>
      </c>
      <c r="CV478" s="5" t="s">
        <v>331</v>
      </c>
      <c r="CX478" s="8">
        <f>4998000</f>
        <v>4998000</v>
      </c>
      <c r="CY478" s="8">
        <f>0</f>
        <v>0</v>
      </c>
      <c r="DA478" s="5" t="s">
        <v>238</v>
      </c>
      <c r="DB478" s="5" t="s">
        <v>238</v>
      </c>
      <c r="DD478" s="5" t="s">
        <v>238</v>
      </c>
      <c r="DG478" s="5" t="s">
        <v>238</v>
      </c>
      <c r="DH478" s="5" t="s">
        <v>238</v>
      </c>
      <c r="DI478" s="5" t="s">
        <v>238</v>
      </c>
      <c r="DJ478" s="5" t="s">
        <v>238</v>
      </c>
      <c r="DK478" s="5" t="s">
        <v>271</v>
      </c>
      <c r="DL478" s="5" t="s">
        <v>272</v>
      </c>
      <c r="DM478" s="7">
        <f>14</f>
        <v>14</v>
      </c>
      <c r="DN478" s="5" t="s">
        <v>238</v>
      </c>
      <c r="DO478" s="5" t="s">
        <v>238</v>
      </c>
      <c r="DP478" s="5" t="s">
        <v>238</v>
      </c>
      <c r="DQ478" s="5" t="s">
        <v>238</v>
      </c>
      <c r="DT478" s="5" t="s">
        <v>353</v>
      </c>
      <c r="DU478" s="5" t="s">
        <v>379</v>
      </c>
      <c r="HM478" s="5" t="s">
        <v>271</v>
      </c>
      <c r="HP478" s="5" t="s">
        <v>272</v>
      </c>
      <c r="HQ478" s="5" t="s">
        <v>272</v>
      </c>
    </row>
    <row r="479" spans="1:238" x14ac:dyDescent="0.4">
      <c r="A479" s="5">
        <v>515</v>
      </c>
      <c r="B479" s="5">
        <v>1</v>
      </c>
      <c r="C479" s="5">
        <v>4</v>
      </c>
      <c r="D479" s="5" t="s">
        <v>346</v>
      </c>
      <c r="E479" s="5" t="s">
        <v>347</v>
      </c>
      <c r="F479" s="5" t="s">
        <v>282</v>
      </c>
      <c r="G479" s="5" t="s">
        <v>1341</v>
      </c>
      <c r="H479" s="6" t="s">
        <v>350</v>
      </c>
      <c r="I479" s="5" t="s">
        <v>1309</v>
      </c>
      <c r="J479" s="7">
        <f>23.18</f>
        <v>23.18</v>
      </c>
      <c r="K479" s="5" t="s">
        <v>270</v>
      </c>
      <c r="L479" s="8">
        <f>4326800</f>
        <v>4326800</v>
      </c>
      <c r="M479" s="8">
        <f>9325000</f>
        <v>9325000</v>
      </c>
      <c r="N479" s="6" t="s">
        <v>2180</v>
      </c>
      <c r="O479" s="5" t="s">
        <v>268</v>
      </c>
      <c r="P479" s="5" t="s">
        <v>313</v>
      </c>
      <c r="Q479" s="8">
        <f>624775</f>
        <v>624775</v>
      </c>
      <c r="R479" s="8">
        <f>4998200</f>
        <v>4998200</v>
      </c>
      <c r="S479" s="5" t="s">
        <v>240</v>
      </c>
      <c r="T479" s="5" t="s">
        <v>237</v>
      </c>
      <c r="U479" s="5" t="s">
        <v>238</v>
      </c>
      <c r="V479" s="5" t="s">
        <v>238</v>
      </c>
      <c r="W479" s="5" t="s">
        <v>241</v>
      </c>
      <c r="X479" s="5" t="s">
        <v>337</v>
      </c>
      <c r="Y479" s="5" t="s">
        <v>238</v>
      </c>
      <c r="AB479" s="5" t="s">
        <v>238</v>
      </c>
      <c r="AC479" s="6" t="s">
        <v>238</v>
      </c>
      <c r="AD479" s="6" t="s">
        <v>238</v>
      </c>
      <c r="AF479" s="6" t="s">
        <v>238</v>
      </c>
      <c r="AG479" s="6" t="s">
        <v>246</v>
      </c>
      <c r="AH479" s="5" t="s">
        <v>247</v>
      </c>
      <c r="AI479" s="5" t="s">
        <v>248</v>
      </c>
      <c r="AO479" s="5" t="s">
        <v>238</v>
      </c>
      <c r="AP479" s="5" t="s">
        <v>238</v>
      </c>
      <c r="AQ479" s="5" t="s">
        <v>238</v>
      </c>
      <c r="AR479" s="6" t="s">
        <v>238</v>
      </c>
      <c r="AS479" s="6" t="s">
        <v>238</v>
      </c>
      <c r="AT479" s="6" t="s">
        <v>238</v>
      </c>
      <c r="AW479" s="5" t="s">
        <v>304</v>
      </c>
      <c r="AX479" s="5" t="s">
        <v>304</v>
      </c>
      <c r="AY479" s="5" t="s">
        <v>250</v>
      </c>
      <c r="AZ479" s="5" t="s">
        <v>305</v>
      </c>
      <c r="BA479" s="5" t="s">
        <v>251</v>
      </c>
      <c r="BB479" s="5" t="s">
        <v>238</v>
      </c>
      <c r="BC479" s="5" t="s">
        <v>253</v>
      </c>
      <c r="BD479" s="5" t="s">
        <v>238</v>
      </c>
      <c r="BF479" s="5" t="s">
        <v>238</v>
      </c>
      <c r="BH479" s="5" t="s">
        <v>283</v>
      </c>
      <c r="BI479" s="6" t="s">
        <v>293</v>
      </c>
      <c r="BJ479" s="5" t="s">
        <v>294</v>
      </c>
      <c r="BK479" s="5" t="s">
        <v>294</v>
      </c>
      <c r="BL479" s="5" t="s">
        <v>238</v>
      </c>
      <c r="BM479" s="7">
        <f>0</f>
        <v>0</v>
      </c>
      <c r="BN479" s="8">
        <f>-624775</f>
        <v>-624775</v>
      </c>
      <c r="BO479" s="5" t="s">
        <v>257</v>
      </c>
      <c r="BP479" s="5" t="s">
        <v>258</v>
      </c>
      <c r="BQ479" s="5" t="s">
        <v>238</v>
      </c>
      <c r="BR479" s="5" t="s">
        <v>238</v>
      </c>
      <c r="BS479" s="5" t="s">
        <v>238</v>
      </c>
      <c r="BT479" s="5" t="s">
        <v>238</v>
      </c>
      <c r="CC479" s="5" t="s">
        <v>258</v>
      </c>
      <c r="CD479" s="5" t="s">
        <v>238</v>
      </c>
      <c r="CE479" s="5" t="s">
        <v>238</v>
      </c>
      <c r="CI479" s="5" t="s">
        <v>259</v>
      </c>
      <c r="CJ479" s="5" t="s">
        <v>260</v>
      </c>
      <c r="CK479" s="5" t="s">
        <v>238</v>
      </c>
      <c r="CM479" s="5" t="s">
        <v>723</v>
      </c>
      <c r="CN479" s="6" t="s">
        <v>262</v>
      </c>
      <c r="CO479" s="5" t="s">
        <v>263</v>
      </c>
      <c r="CP479" s="5" t="s">
        <v>264</v>
      </c>
      <c r="CQ479" s="5" t="s">
        <v>285</v>
      </c>
      <c r="CR479" s="5" t="s">
        <v>238</v>
      </c>
      <c r="CS479" s="5">
        <v>6.7000000000000004E-2</v>
      </c>
      <c r="CT479" s="5" t="s">
        <v>265</v>
      </c>
      <c r="CU479" s="5" t="s">
        <v>1342</v>
      </c>
      <c r="CV479" s="5" t="s">
        <v>267</v>
      </c>
      <c r="CW479" s="7">
        <f>0</f>
        <v>0</v>
      </c>
      <c r="CX479" s="8">
        <f>9325000</f>
        <v>9325000</v>
      </c>
      <c r="CY479" s="8">
        <f>4951575</f>
        <v>4951575</v>
      </c>
      <c r="DA479" s="5" t="s">
        <v>238</v>
      </c>
      <c r="DB479" s="5" t="s">
        <v>238</v>
      </c>
      <c r="DD479" s="5" t="s">
        <v>238</v>
      </c>
      <c r="DE479" s="8">
        <f>0</f>
        <v>0</v>
      </c>
      <c r="DG479" s="5" t="s">
        <v>238</v>
      </c>
      <c r="DH479" s="5" t="s">
        <v>238</v>
      </c>
      <c r="DI479" s="5" t="s">
        <v>238</v>
      </c>
      <c r="DJ479" s="5" t="s">
        <v>238</v>
      </c>
      <c r="DK479" s="5" t="s">
        <v>271</v>
      </c>
      <c r="DL479" s="5" t="s">
        <v>272</v>
      </c>
      <c r="DM479" s="7">
        <f>23.18</f>
        <v>23.18</v>
      </c>
      <c r="DN479" s="5" t="s">
        <v>238</v>
      </c>
      <c r="DO479" s="5" t="s">
        <v>238</v>
      </c>
      <c r="DP479" s="5" t="s">
        <v>238</v>
      </c>
      <c r="DQ479" s="5" t="s">
        <v>238</v>
      </c>
      <c r="DT479" s="5" t="s">
        <v>353</v>
      </c>
      <c r="DU479" s="5" t="s">
        <v>313</v>
      </c>
      <c r="GL479" s="5" t="s">
        <v>2181</v>
      </c>
      <c r="HM479" s="5" t="s">
        <v>313</v>
      </c>
      <c r="HP479" s="5" t="s">
        <v>272</v>
      </c>
      <c r="HQ479" s="5" t="s">
        <v>272</v>
      </c>
      <c r="HR479" s="5" t="s">
        <v>238</v>
      </c>
      <c r="HS479" s="5" t="s">
        <v>238</v>
      </c>
      <c r="HT479" s="5" t="s">
        <v>238</v>
      </c>
      <c r="HU479" s="5" t="s">
        <v>238</v>
      </c>
      <c r="HV479" s="5" t="s">
        <v>238</v>
      </c>
      <c r="HW479" s="5" t="s">
        <v>238</v>
      </c>
      <c r="HX479" s="5" t="s">
        <v>238</v>
      </c>
      <c r="HY479" s="5" t="s">
        <v>238</v>
      </c>
      <c r="HZ479" s="5" t="s">
        <v>238</v>
      </c>
      <c r="IA479" s="5" t="s">
        <v>238</v>
      </c>
      <c r="IB479" s="5" t="s">
        <v>238</v>
      </c>
      <c r="IC479" s="5" t="s">
        <v>238</v>
      </c>
      <c r="ID479" s="5" t="s">
        <v>238</v>
      </c>
    </row>
    <row r="480" spans="1:238" x14ac:dyDescent="0.4">
      <c r="A480" s="5">
        <v>516</v>
      </c>
      <c r="B480" s="5">
        <v>1</v>
      </c>
      <c r="C480" s="5">
        <v>4</v>
      </c>
      <c r="D480" s="5" t="s">
        <v>346</v>
      </c>
      <c r="E480" s="5" t="s">
        <v>347</v>
      </c>
      <c r="F480" s="5" t="s">
        <v>282</v>
      </c>
      <c r="G480" s="5" t="s">
        <v>349</v>
      </c>
      <c r="H480" s="6" t="s">
        <v>350</v>
      </c>
      <c r="I480" s="5" t="s">
        <v>1621</v>
      </c>
      <c r="J480" s="7">
        <f>0</f>
        <v>0</v>
      </c>
      <c r="K480" s="5" t="s">
        <v>270</v>
      </c>
      <c r="L480" s="8">
        <f>148732</f>
        <v>148732</v>
      </c>
      <c r="M480" s="8">
        <f>163080</f>
        <v>163080</v>
      </c>
      <c r="N480" s="6" t="s">
        <v>1354</v>
      </c>
      <c r="O480" s="5" t="s">
        <v>898</v>
      </c>
      <c r="P480" s="5" t="s">
        <v>274</v>
      </c>
      <c r="Q480" s="8">
        <f>3587</f>
        <v>3587</v>
      </c>
      <c r="R480" s="8">
        <f>14348</f>
        <v>14348</v>
      </c>
      <c r="S480" s="5" t="s">
        <v>240</v>
      </c>
      <c r="T480" s="5" t="s">
        <v>287</v>
      </c>
      <c r="U480" s="5" t="s">
        <v>238</v>
      </c>
      <c r="V480" s="5" t="s">
        <v>238</v>
      </c>
      <c r="W480" s="5" t="s">
        <v>241</v>
      </c>
      <c r="X480" s="5" t="s">
        <v>238</v>
      </c>
      <c r="Y480" s="5" t="s">
        <v>238</v>
      </c>
      <c r="AB480" s="5" t="s">
        <v>238</v>
      </c>
      <c r="AC480" s="6" t="s">
        <v>238</v>
      </c>
      <c r="AD480" s="6" t="s">
        <v>238</v>
      </c>
      <c r="AF480" s="6" t="s">
        <v>238</v>
      </c>
      <c r="AG480" s="6" t="s">
        <v>246</v>
      </c>
      <c r="AH480" s="5" t="s">
        <v>247</v>
      </c>
      <c r="AI480" s="5" t="s">
        <v>248</v>
      </c>
      <c r="AO480" s="5" t="s">
        <v>238</v>
      </c>
      <c r="AP480" s="5" t="s">
        <v>238</v>
      </c>
      <c r="AQ480" s="5" t="s">
        <v>238</v>
      </c>
      <c r="AR480" s="6" t="s">
        <v>238</v>
      </c>
      <c r="AS480" s="6" t="s">
        <v>238</v>
      </c>
      <c r="AT480" s="6" t="s">
        <v>238</v>
      </c>
      <c r="AW480" s="5" t="s">
        <v>304</v>
      </c>
      <c r="AX480" s="5" t="s">
        <v>304</v>
      </c>
      <c r="AY480" s="5" t="s">
        <v>250</v>
      </c>
      <c r="AZ480" s="5" t="s">
        <v>305</v>
      </c>
      <c r="BA480" s="5" t="s">
        <v>251</v>
      </c>
      <c r="BB480" s="5" t="s">
        <v>238</v>
      </c>
      <c r="BC480" s="5" t="s">
        <v>253</v>
      </c>
      <c r="BD480" s="5" t="s">
        <v>238</v>
      </c>
      <c r="BF480" s="5" t="s">
        <v>238</v>
      </c>
      <c r="BH480" s="5" t="s">
        <v>283</v>
      </c>
      <c r="BI480" s="6" t="s">
        <v>293</v>
      </c>
      <c r="BJ480" s="5" t="s">
        <v>294</v>
      </c>
      <c r="BK480" s="5" t="s">
        <v>294</v>
      </c>
      <c r="BL480" s="5" t="s">
        <v>238</v>
      </c>
      <c r="BM480" s="7">
        <f>0</f>
        <v>0</v>
      </c>
      <c r="BN480" s="8">
        <f>-3587</f>
        <v>-3587</v>
      </c>
      <c r="BO480" s="5" t="s">
        <v>257</v>
      </c>
      <c r="BP480" s="5" t="s">
        <v>258</v>
      </c>
      <c r="BQ480" s="5" t="s">
        <v>238</v>
      </c>
      <c r="BR480" s="5" t="s">
        <v>238</v>
      </c>
      <c r="BS480" s="5" t="s">
        <v>238</v>
      </c>
      <c r="BT480" s="5" t="s">
        <v>238</v>
      </c>
      <c r="CC480" s="5" t="s">
        <v>258</v>
      </c>
      <c r="CD480" s="5" t="s">
        <v>238</v>
      </c>
      <c r="CE480" s="5" t="s">
        <v>238</v>
      </c>
      <c r="CI480" s="5" t="s">
        <v>259</v>
      </c>
      <c r="CJ480" s="5" t="s">
        <v>260</v>
      </c>
      <c r="CK480" s="5" t="s">
        <v>238</v>
      </c>
      <c r="CM480" s="5" t="s">
        <v>402</v>
      </c>
      <c r="CN480" s="6" t="s">
        <v>262</v>
      </c>
      <c r="CO480" s="5" t="s">
        <v>263</v>
      </c>
      <c r="CP480" s="5" t="s">
        <v>264</v>
      </c>
      <c r="CQ480" s="5" t="s">
        <v>285</v>
      </c>
      <c r="CR480" s="5" t="s">
        <v>238</v>
      </c>
      <c r="CS480" s="5">
        <v>2.1999999999999999E-2</v>
      </c>
      <c r="CT480" s="5" t="s">
        <v>265</v>
      </c>
      <c r="CU480" s="5" t="s">
        <v>1493</v>
      </c>
      <c r="CV480" s="5" t="s">
        <v>308</v>
      </c>
      <c r="CW480" s="7">
        <f>0</f>
        <v>0</v>
      </c>
      <c r="CX480" s="8">
        <f>163080</f>
        <v>163080</v>
      </c>
      <c r="CY480" s="8">
        <f>152319</f>
        <v>152319</v>
      </c>
      <c r="DA480" s="5" t="s">
        <v>238</v>
      </c>
      <c r="DB480" s="5" t="s">
        <v>238</v>
      </c>
      <c r="DD480" s="5" t="s">
        <v>238</v>
      </c>
      <c r="DE480" s="8">
        <f>0</f>
        <v>0</v>
      </c>
      <c r="DG480" s="5" t="s">
        <v>238</v>
      </c>
      <c r="DH480" s="5" t="s">
        <v>238</v>
      </c>
      <c r="DI480" s="5" t="s">
        <v>238</v>
      </c>
      <c r="DJ480" s="5" t="s">
        <v>238</v>
      </c>
      <c r="DK480" s="5" t="s">
        <v>272</v>
      </c>
      <c r="DL480" s="5" t="s">
        <v>272</v>
      </c>
      <c r="DM480" s="8" t="s">
        <v>238</v>
      </c>
      <c r="DN480" s="5" t="s">
        <v>238</v>
      </c>
      <c r="DO480" s="5" t="s">
        <v>238</v>
      </c>
      <c r="DP480" s="5" t="s">
        <v>238</v>
      </c>
      <c r="DQ480" s="5" t="s">
        <v>238</v>
      </c>
      <c r="DT480" s="5" t="s">
        <v>353</v>
      </c>
      <c r="DU480" s="5" t="s">
        <v>389</v>
      </c>
      <c r="GL480" s="5" t="s">
        <v>1622</v>
      </c>
      <c r="HM480" s="5" t="s">
        <v>310</v>
      </c>
      <c r="HP480" s="5" t="s">
        <v>272</v>
      </c>
      <c r="HQ480" s="5" t="s">
        <v>272</v>
      </c>
      <c r="HR480" s="5" t="s">
        <v>238</v>
      </c>
      <c r="HS480" s="5" t="s">
        <v>238</v>
      </c>
      <c r="HT480" s="5" t="s">
        <v>238</v>
      </c>
      <c r="HU480" s="5" t="s">
        <v>238</v>
      </c>
      <c r="HV480" s="5" t="s">
        <v>238</v>
      </c>
      <c r="HW480" s="5" t="s">
        <v>238</v>
      </c>
      <c r="HX480" s="5" t="s">
        <v>238</v>
      </c>
      <c r="HY480" s="5" t="s">
        <v>238</v>
      </c>
      <c r="HZ480" s="5" t="s">
        <v>238</v>
      </c>
      <c r="IA480" s="5" t="s">
        <v>238</v>
      </c>
      <c r="IB480" s="5" t="s">
        <v>238</v>
      </c>
      <c r="IC480" s="5" t="s">
        <v>238</v>
      </c>
      <c r="ID480" s="5" t="s">
        <v>238</v>
      </c>
    </row>
    <row r="481" spans="1:238" x14ac:dyDescent="0.4">
      <c r="A481" s="5">
        <v>517</v>
      </c>
      <c r="B481" s="5">
        <v>1</v>
      </c>
      <c r="C481" s="5">
        <v>4</v>
      </c>
      <c r="D481" s="5" t="s">
        <v>346</v>
      </c>
      <c r="E481" s="5" t="s">
        <v>347</v>
      </c>
      <c r="F481" s="5" t="s">
        <v>282</v>
      </c>
      <c r="G481" s="5" t="s">
        <v>349</v>
      </c>
      <c r="H481" s="6" t="s">
        <v>350</v>
      </c>
      <c r="I481" s="5" t="s">
        <v>345</v>
      </c>
      <c r="J481" s="7">
        <f>0</f>
        <v>0</v>
      </c>
      <c r="K481" s="5" t="s">
        <v>270</v>
      </c>
      <c r="L481" s="8">
        <f>24031203</f>
        <v>24031203</v>
      </c>
      <c r="M481" s="8">
        <f>31249935</f>
        <v>31249935</v>
      </c>
      <c r="N481" s="6" t="s">
        <v>348</v>
      </c>
      <c r="O481" s="5" t="s">
        <v>319</v>
      </c>
      <c r="P481" s="5" t="s">
        <v>271</v>
      </c>
      <c r="Q481" s="8">
        <f>2406244</f>
        <v>2406244</v>
      </c>
      <c r="R481" s="8">
        <f>7218732</f>
        <v>7218732</v>
      </c>
      <c r="S481" s="5" t="s">
        <v>240</v>
      </c>
      <c r="T481" s="5" t="s">
        <v>287</v>
      </c>
      <c r="U481" s="5" t="s">
        <v>238</v>
      </c>
      <c r="V481" s="5" t="s">
        <v>238</v>
      </c>
      <c r="W481" s="5" t="s">
        <v>241</v>
      </c>
      <c r="X481" s="5" t="s">
        <v>238</v>
      </c>
      <c r="Y481" s="5" t="s">
        <v>238</v>
      </c>
      <c r="AB481" s="5" t="s">
        <v>238</v>
      </c>
      <c r="AC481" s="6" t="s">
        <v>238</v>
      </c>
      <c r="AD481" s="6" t="s">
        <v>238</v>
      </c>
      <c r="AF481" s="6" t="s">
        <v>238</v>
      </c>
      <c r="AG481" s="6" t="s">
        <v>246</v>
      </c>
      <c r="AH481" s="5" t="s">
        <v>247</v>
      </c>
      <c r="AI481" s="5" t="s">
        <v>248</v>
      </c>
      <c r="AO481" s="5" t="s">
        <v>238</v>
      </c>
      <c r="AP481" s="5" t="s">
        <v>238</v>
      </c>
      <c r="AQ481" s="5" t="s">
        <v>238</v>
      </c>
      <c r="AR481" s="6" t="s">
        <v>238</v>
      </c>
      <c r="AS481" s="6" t="s">
        <v>238</v>
      </c>
      <c r="AT481" s="6" t="s">
        <v>238</v>
      </c>
      <c r="AW481" s="5" t="s">
        <v>304</v>
      </c>
      <c r="AX481" s="5" t="s">
        <v>304</v>
      </c>
      <c r="AY481" s="5" t="s">
        <v>250</v>
      </c>
      <c r="AZ481" s="5" t="s">
        <v>305</v>
      </c>
      <c r="BA481" s="5" t="s">
        <v>251</v>
      </c>
      <c r="BB481" s="5" t="s">
        <v>238</v>
      </c>
      <c r="BC481" s="5" t="s">
        <v>253</v>
      </c>
      <c r="BD481" s="5" t="s">
        <v>238</v>
      </c>
      <c r="BF481" s="5" t="s">
        <v>238</v>
      </c>
      <c r="BH481" s="5" t="s">
        <v>283</v>
      </c>
      <c r="BI481" s="6" t="s">
        <v>293</v>
      </c>
      <c r="BJ481" s="5" t="s">
        <v>294</v>
      </c>
      <c r="BK481" s="5" t="s">
        <v>294</v>
      </c>
      <c r="BL481" s="5" t="s">
        <v>238</v>
      </c>
      <c r="BM481" s="7">
        <f>0</f>
        <v>0</v>
      </c>
      <c r="BN481" s="8">
        <f>-2406244</f>
        <v>-2406244</v>
      </c>
      <c r="BO481" s="5" t="s">
        <v>257</v>
      </c>
      <c r="BP481" s="5" t="s">
        <v>258</v>
      </c>
      <c r="BQ481" s="5" t="s">
        <v>238</v>
      </c>
      <c r="BR481" s="5" t="s">
        <v>238</v>
      </c>
      <c r="BS481" s="5" t="s">
        <v>238</v>
      </c>
      <c r="BT481" s="5" t="s">
        <v>238</v>
      </c>
      <c r="CC481" s="5" t="s">
        <v>258</v>
      </c>
      <c r="CD481" s="5" t="s">
        <v>238</v>
      </c>
      <c r="CE481" s="5" t="s">
        <v>238</v>
      </c>
      <c r="CI481" s="5" t="s">
        <v>259</v>
      </c>
      <c r="CJ481" s="5" t="s">
        <v>260</v>
      </c>
      <c r="CK481" s="5" t="s">
        <v>238</v>
      </c>
      <c r="CM481" s="5" t="s">
        <v>291</v>
      </c>
      <c r="CN481" s="6" t="s">
        <v>262</v>
      </c>
      <c r="CO481" s="5" t="s">
        <v>263</v>
      </c>
      <c r="CP481" s="5" t="s">
        <v>264</v>
      </c>
      <c r="CQ481" s="5" t="s">
        <v>285</v>
      </c>
      <c r="CR481" s="5" t="s">
        <v>238</v>
      </c>
      <c r="CS481" s="5">
        <v>7.6999999999999999E-2</v>
      </c>
      <c r="CT481" s="5" t="s">
        <v>265</v>
      </c>
      <c r="CU481" s="5" t="s">
        <v>351</v>
      </c>
      <c r="CV481" s="5" t="s">
        <v>352</v>
      </c>
      <c r="CW481" s="7">
        <f>0</f>
        <v>0</v>
      </c>
      <c r="CX481" s="8">
        <f>31249935</f>
        <v>31249935</v>
      </c>
      <c r="CY481" s="8">
        <f>26437447</f>
        <v>26437447</v>
      </c>
      <c r="DA481" s="5" t="s">
        <v>238</v>
      </c>
      <c r="DB481" s="5" t="s">
        <v>238</v>
      </c>
      <c r="DD481" s="5" t="s">
        <v>238</v>
      </c>
      <c r="DE481" s="8">
        <f>0</f>
        <v>0</v>
      </c>
      <c r="DG481" s="5" t="s">
        <v>238</v>
      </c>
      <c r="DH481" s="5" t="s">
        <v>238</v>
      </c>
      <c r="DI481" s="5" t="s">
        <v>238</v>
      </c>
      <c r="DJ481" s="5" t="s">
        <v>238</v>
      </c>
      <c r="DK481" s="5" t="s">
        <v>272</v>
      </c>
      <c r="DL481" s="5" t="s">
        <v>272</v>
      </c>
      <c r="DM481" s="8" t="s">
        <v>238</v>
      </c>
      <c r="DN481" s="5" t="s">
        <v>238</v>
      </c>
      <c r="DO481" s="5" t="s">
        <v>238</v>
      </c>
      <c r="DP481" s="5" t="s">
        <v>238</v>
      </c>
      <c r="DQ481" s="5" t="s">
        <v>238</v>
      </c>
      <c r="DT481" s="5" t="s">
        <v>353</v>
      </c>
      <c r="DU481" s="5" t="s">
        <v>354</v>
      </c>
      <c r="GL481" s="5" t="s">
        <v>355</v>
      </c>
      <c r="HM481" s="5" t="s">
        <v>356</v>
      </c>
      <c r="HP481" s="5" t="s">
        <v>272</v>
      </c>
      <c r="HQ481" s="5" t="s">
        <v>272</v>
      </c>
      <c r="HR481" s="5" t="s">
        <v>238</v>
      </c>
      <c r="HS481" s="5" t="s">
        <v>238</v>
      </c>
      <c r="HT481" s="5" t="s">
        <v>238</v>
      </c>
      <c r="HU481" s="5" t="s">
        <v>238</v>
      </c>
      <c r="HV481" s="5" t="s">
        <v>238</v>
      </c>
      <c r="HW481" s="5" t="s">
        <v>238</v>
      </c>
      <c r="HX481" s="5" t="s">
        <v>238</v>
      </c>
      <c r="HY481" s="5" t="s">
        <v>238</v>
      </c>
      <c r="HZ481" s="5" t="s">
        <v>238</v>
      </c>
      <c r="IA481" s="5" t="s">
        <v>238</v>
      </c>
      <c r="IB481" s="5" t="s">
        <v>238</v>
      </c>
      <c r="IC481" s="5" t="s">
        <v>238</v>
      </c>
      <c r="ID481" s="5" t="s">
        <v>238</v>
      </c>
    </row>
    <row r="482" spans="1:238" x14ac:dyDescent="0.4">
      <c r="A482" s="5">
        <v>518</v>
      </c>
      <c r="B482" s="5">
        <v>1</v>
      </c>
      <c r="C482" s="5">
        <v>4</v>
      </c>
      <c r="D482" s="5" t="s">
        <v>346</v>
      </c>
      <c r="E482" s="5" t="s">
        <v>347</v>
      </c>
      <c r="F482" s="5" t="s">
        <v>282</v>
      </c>
      <c r="G482" s="5" t="s">
        <v>349</v>
      </c>
      <c r="H482" s="6" t="s">
        <v>350</v>
      </c>
      <c r="I482" s="5" t="s">
        <v>469</v>
      </c>
      <c r="J482" s="7">
        <f>0</f>
        <v>0</v>
      </c>
      <c r="K482" s="5" t="s">
        <v>270</v>
      </c>
      <c r="L482" s="8">
        <f>306168</f>
        <v>306168</v>
      </c>
      <c r="M482" s="8">
        <f>361900</f>
        <v>361900</v>
      </c>
      <c r="N482" s="6" t="s">
        <v>3163</v>
      </c>
      <c r="O482" s="5" t="s">
        <v>319</v>
      </c>
      <c r="P482" s="5" t="s">
        <v>272</v>
      </c>
      <c r="Q482" s="8">
        <f>361899</f>
        <v>361899</v>
      </c>
      <c r="R482" s="8">
        <f>55732</f>
        <v>55732</v>
      </c>
      <c r="S482" s="5" t="s">
        <v>240</v>
      </c>
      <c r="T482" s="5" t="s">
        <v>287</v>
      </c>
      <c r="U482" s="5" t="s">
        <v>238</v>
      </c>
      <c r="V482" s="5" t="s">
        <v>238</v>
      </c>
      <c r="W482" s="5" t="s">
        <v>241</v>
      </c>
      <c r="X482" s="5" t="s">
        <v>238</v>
      </c>
      <c r="Y482" s="5" t="s">
        <v>238</v>
      </c>
      <c r="AB482" s="5" t="s">
        <v>238</v>
      </c>
      <c r="AC482" s="6" t="s">
        <v>238</v>
      </c>
      <c r="AD482" s="6" t="s">
        <v>238</v>
      </c>
      <c r="AF482" s="6" t="s">
        <v>238</v>
      </c>
      <c r="AG482" s="6" t="s">
        <v>246</v>
      </c>
      <c r="AH482" s="5" t="s">
        <v>247</v>
      </c>
      <c r="AI482" s="5" t="s">
        <v>248</v>
      </c>
      <c r="AO482" s="5" t="s">
        <v>238</v>
      </c>
      <c r="AP482" s="5" t="s">
        <v>238</v>
      </c>
      <c r="AQ482" s="5" t="s">
        <v>238</v>
      </c>
      <c r="AR482" s="6" t="s">
        <v>238</v>
      </c>
      <c r="AS482" s="6" t="s">
        <v>238</v>
      </c>
      <c r="AT482" s="6" t="s">
        <v>238</v>
      </c>
      <c r="AW482" s="5" t="s">
        <v>304</v>
      </c>
      <c r="AX482" s="5" t="s">
        <v>304</v>
      </c>
      <c r="AY482" s="5" t="s">
        <v>250</v>
      </c>
      <c r="AZ482" s="5" t="s">
        <v>305</v>
      </c>
      <c r="BA482" s="5" t="s">
        <v>251</v>
      </c>
      <c r="BB482" s="5" t="s">
        <v>238</v>
      </c>
      <c r="BC482" s="5" t="s">
        <v>253</v>
      </c>
      <c r="BD482" s="5" t="s">
        <v>238</v>
      </c>
      <c r="BF482" s="5" t="s">
        <v>238</v>
      </c>
      <c r="BH482" s="5" t="s">
        <v>283</v>
      </c>
      <c r="BI482" s="6" t="s">
        <v>293</v>
      </c>
      <c r="BJ482" s="5" t="s">
        <v>294</v>
      </c>
      <c r="BK482" s="5" t="s">
        <v>294</v>
      </c>
      <c r="BL482" s="5" t="s">
        <v>238</v>
      </c>
      <c r="BM482" s="7">
        <f>0</f>
        <v>0</v>
      </c>
      <c r="BN482" s="8">
        <f>-27866</f>
        <v>-27866</v>
      </c>
      <c r="BO482" s="5" t="s">
        <v>257</v>
      </c>
      <c r="BP482" s="5" t="s">
        <v>258</v>
      </c>
      <c r="BQ482" s="5" t="s">
        <v>238</v>
      </c>
      <c r="BR482" s="5" t="s">
        <v>238</v>
      </c>
      <c r="BS482" s="5" t="s">
        <v>238</v>
      </c>
      <c r="BT482" s="5" t="s">
        <v>238</v>
      </c>
      <c r="CC482" s="5" t="s">
        <v>258</v>
      </c>
      <c r="CD482" s="5" t="s">
        <v>238</v>
      </c>
      <c r="CE482" s="5" t="s">
        <v>238</v>
      </c>
      <c r="CI482" s="5" t="s">
        <v>259</v>
      </c>
      <c r="CJ482" s="5" t="s">
        <v>260</v>
      </c>
      <c r="CK482" s="5" t="s">
        <v>238</v>
      </c>
      <c r="CM482" s="5" t="s">
        <v>408</v>
      </c>
      <c r="CN482" s="6" t="s">
        <v>262</v>
      </c>
      <c r="CO482" s="5" t="s">
        <v>263</v>
      </c>
      <c r="CP482" s="5" t="s">
        <v>264</v>
      </c>
      <c r="CQ482" s="5" t="s">
        <v>285</v>
      </c>
      <c r="CR482" s="5" t="s">
        <v>238</v>
      </c>
      <c r="CS482" s="5">
        <v>7.6999999999999999E-2</v>
      </c>
      <c r="CT482" s="5" t="s">
        <v>265</v>
      </c>
      <c r="CU482" s="5" t="s">
        <v>351</v>
      </c>
      <c r="CV482" s="5" t="s">
        <v>352</v>
      </c>
      <c r="CW482" s="7">
        <f>0</f>
        <v>0</v>
      </c>
      <c r="CX482" s="8">
        <f>361900</f>
        <v>361900</v>
      </c>
      <c r="CY482" s="8">
        <f>334034</f>
        <v>334034</v>
      </c>
      <c r="DA482" s="5" t="s">
        <v>238</v>
      </c>
      <c r="DB482" s="5" t="s">
        <v>238</v>
      </c>
      <c r="DD482" s="5" t="s">
        <v>238</v>
      </c>
      <c r="DE482" s="8">
        <f>0</f>
        <v>0</v>
      </c>
      <c r="DG482" s="5" t="s">
        <v>238</v>
      </c>
      <c r="DH482" s="5" t="s">
        <v>238</v>
      </c>
      <c r="DI482" s="5" t="s">
        <v>238</v>
      </c>
      <c r="DJ482" s="5" t="s">
        <v>238</v>
      </c>
      <c r="DK482" s="5" t="s">
        <v>272</v>
      </c>
      <c r="DL482" s="5" t="s">
        <v>272</v>
      </c>
      <c r="DM482" s="8" t="s">
        <v>238</v>
      </c>
      <c r="DN482" s="5" t="s">
        <v>238</v>
      </c>
      <c r="DO482" s="5" t="s">
        <v>238</v>
      </c>
      <c r="DP482" s="5" t="s">
        <v>238</v>
      </c>
      <c r="DQ482" s="5" t="s">
        <v>238</v>
      </c>
      <c r="DT482" s="5" t="s">
        <v>353</v>
      </c>
      <c r="DU482" s="5" t="s">
        <v>361</v>
      </c>
      <c r="GL482" s="5" t="s">
        <v>3164</v>
      </c>
      <c r="HM482" s="5" t="s">
        <v>274</v>
      </c>
      <c r="HP482" s="5" t="s">
        <v>272</v>
      </c>
      <c r="HQ482" s="5" t="s">
        <v>272</v>
      </c>
      <c r="HR482" s="5" t="s">
        <v>238</v>
      </c>
      <c r="HS482" s="5" t="s">
        <v>238</v>
      </c>
      <c r="HT482" s="5" t="s">
        <v>238</v>
      </c>
      <c r="HU482" s="5" t="s">
        <v>238</v>
      </c>
      <c r="HV482" s="5" t="s">
        <v>238</v>
      </c>
      <c r="HW482" s="5" t="s">
        <v>238</v>
      </c>
      <c r="HX482" s="5" t="s">
        <v>238</v>
      </c>
      <c r="HY482" s="5" t="s">
        <v>238</v>
      </c>
      <c r="HZ482" s="5" t="s">
        <v>238</v>
      </c>
      <c r="IA482" s="5" t="s">
        <v>238</v>
      </c>
      <c r="IB482" s="5" t="s">
        <v>238</v>
      </c>
      <c r="IC482" s="5" t="s">
        <v>238</v>
      </c>
      <c r="ID482" s="5" t="s">
        <v>238</v>
      </c>
    </row>
    <row r="483" spans="1:238" x14ac:dyDescent="0.4">
      <c r="A483" s="5">
        <v>519</v>
      </c>
      <c r="B483" s="5">
        <v>1</v>
      </c>
      <c r="C483" s="5">
        <v>4</v>
      </c>
      <c r="D483" s="5" t="s">
        <v>346</v>
      </c>
      <c r="E483" s="5" t="s">
        <v>347</v>
      </c>
      <c r="F483" s="5" t="s">
        <v>282</v>
      </c>
      <c r="G483" s="5" t="s">
        <v>349</v>
      </c>
      <c r="H483" s="6" t="s">
        <v>350</v>
      </c>
      <c r="I483" s="5" t="s">
        <v>1623</v>
      </c>
      <c r="J483" s="7">
        <f>0</f>
        <v>0</v>
      </c>
      <c r="K483" s="5" t="s">
        <v>270</v>
      </c>
      <c r="L483" s="8">
        <f>694056</f>
        <v>694056</v>
      </c>
      <c r="M483" s="8">
        <f>726000</f>
        <v>726000</v>
      </c>
      <c r="N483" s="6" t="s">
        <v>1624</v>
      </c>
      <c r="O483" s="5" t="s">
        <v>898</v>
      </c>
      <c r="P483" s="5" t="s">
        <v>272</v>
      </c>
      <c r="Q483" s="8">
        <f>15972</f>
        <v>15972</v>
      </c>
      <c r="R483" s="8">
        <f>31944</f>
        <v>31944</v>
      </c>
      <c r="S483" s="5" t="s">
        <v>240</v>
      </c>
      <c r="T483" s="5" t="s">
        <v>287</v>
      </c>
      <c r="U483" s="5" t="s">
        <v>238</v>
      </c>
      <c r="V483" s="5" t="s">
        <v>238</v>
      </c>
      <c r="W483" s="5" t="s">
        <v>241</v>
      </c>
      <c r="X483" s="5" t="s">
        <v>238</v>
      </c>
      <c r="Y483" s="5" t="s">
        <v>238</v>
      </c>
      <c r="AB483" s="5" t="s">
        <v>238</v>
      </c>
      <c r="AC483" s="6" t="s">
        <v>238</v>
      </c>
      <c r="AD483" s="6" t="s">
        <v>238</v>
      </c>
      <c r="AF483" s="6" t="s">
        <v>238</v>
      </c>
      <c r="AG483" s="6" t="s">
        <v>246</v>
      </c>
      <c r="AH483" s="5" t="s">
        <v>247</v>
      </c>
      <c r="AI483" s="5" t="s">
        <v>248</v>
      </c>
      <c r="AO483" s="5" t="s">
        <v>238</v>
      </c>
      <c r="AP483" s="5" t="s">
        <v>238</v>
      </c>
      <c r="AQ483" s="5" t="s">
        <v>238</v>
      </c>
      <c r="AR483" s="6" t="s">
        <v>238</v>
      </c>
      <c r="AS483" s="6" t="s">
        <v>238</v>
      </c>
      <c r="AT483" s="6" t="s">
        <v>238</v>
      </c>
      <c r="AW483" s="5" t="s">
        <v>304</v>
      </c>
      <c r="AX483" s="5" t="s">
        <v>304</v>
      </c>
      <c r="AY483" s="5" t="s">
        <v>250</v>
      </c>
      <c r="AZ483" s="5" t="s">
        <v>305</v>
      </c>
      <c r="BA483" s="5" t="s">
        <v>251</v>
      </c>
      <c r="BB483" s="5" t="s">
        <v>238</v>
      </c>
      <c r="BC483" s="5" t="s">
        <v>253</v>
      </c>
      <c r="BD483" s="5" t="s">
        <v>238</v>
      </c>
      <c r="BF483" s="5" t="s">
        <v>238</v>
      </c>
      <c r="BH483" s="5" t="s">
        <v>283</v>
      </c>
      <c r="BI483" s="6" t="s">
        <v>293</v>
      </c>
      <c r="BJ483" s="5" t="s">
        <v>294</v>
      </c>
      <c r="BK483" s="5" t="s">
        <v>294</v>
      </c>
      <c r="BL483" s="5" t="s">
        <v>238</v>
      </c>
      <c r="BM483" s="7">
        <f>0</f>
        <v>0</v>
      </c>
      <c r="BN483" s="8">
        <f>-15972</f>
        <v>-15972</v>
      </c>
      <c r="BO483" s="5" t="s">
        <v>257</v>
      </c>
      <c r="BP483" s="5" t="s">
        <v>258</v>
      </c>
      <c r="BQ483" s="5" t="s">
        <v>238</v>
      </c>
      <c r="BR483" s="5" t="s">
        <v>238</v>
      </c>
      <c r="BS483" s="5" t="s">
        <v>238</v>
      </c>
      <c r="BT483" s="5" t="s">
        <v>238</v>
      </c>
      <c r="CC483" s="5" t="s">
        <v>258</v>
      </c>
      <c r="CD483" s="5" t="s">
        <v>238</v>
      </c>
      <c r="CE483" s="5" t="s">
        <v>238</v>
      </c>
      <c r="CI483" s="5" t="s">
        <v>259</v>
      </c>
      <c r="CJ483" s="5" t="s">
        <v>260</v>
      </c>
      <c r="CK483" s="5" t="s">
        <v>238</v>
      </c>
      <c r="CM483" s="5" t="s">
        <v>408</v>
      </c>
      <c r="CN483" s="6" t="s">
        <v>262</v>
      </c>
      <c r="CO483" s="5" t="s">
        <v>263</v>
      </c>
      <c r="CP483" s="5" t="s">
        <v>264</v>
      </c>
      <c r="CQ483" s="5" t="s">
        <v>285</v>
      </c>
      <c r="CR483" s="5" t="s">
        <v>238</v>
      </c>
      <c r="CS483" s="5">
        <v>2.1999999999999999E-2</v>
      </c>
      <c r="CT483" s="5" t="s">
        <v>265</v>
      </c>
      <c r="CU483" s="5" t="s">
        <v>1493</v>
      </c>
      <c r="CV483" s="5" t="s">
        <v>308</v>
      </c>
      <c r="CW483" s="7">
        <f>0</f>
        <v>0</v>
      </c>
      <c r="CX483" s="8">
        <f>726000</f>
        <v>726000</v>
      </c>
      <c r="CY483" s="8">
        <f>710028</f>
        <v>710028</v>
      </c>
      <c r="DA483" s="5" t="s">
        <v>238</v>
      </c>
      <c r="DB483" s="5" t="s">
        <v>238</v>
      </c>
      <c r="DD483" s="5" t="s">
        <v>238</v>
      </c>
      <c r="DE483" s="8">
        <f>0</f>
        <v>0</v>
      </c>
      <c r="DG483" s="5" t="s">
        <v>238</v>
      </c>
      <c r="DH483" s="5" t="s">
        <v>238</v>
      </c>
      <c r="DI483" s="5" t="s">
        <v>238</v>
      </c>
      <c r="DJ483" s="5" t="s">
        <v>238</v>
      </c>
      <c r="DK483" s="5" t="s">
        <v>272</v>
      </c>
      <c r="DL483" s="5" t="s">
        <v>272</v>
      </c>
      <c r="DM483" s="8" t="s">
        <v>238</v>
      </c>
      <c r="DN483" s="5" t="s">
        <v>238</v>
      </c>
      <c r="DO483" s="5" t="s">
        <v>238</v>
      </c>
      <c r="DP483" s="5" t="s">
        <v>238</v>
      </c>
      <c r="DQ483" s="5" t="s">
        <v>238</v>
      </c>
      <c r="DT483" s="5" t="s">
        <v>353</v>
      </c>
      <c r="DU483" s="5" t="s">
        <v>377</v>
      </c>
      <c r="GL483" s="5" t="s">
        <v>1625</v>
      </c>
      <c r="HM483" s="5" t="s">
        <v>274</v>
      </c>
      <c r="HP483" s="5" t="s">
        <v>272</v>
      </c>
      <c r="HQ483" s="5" t="s">
        <v>272</v>
      </c>
      <c r="HR483" s="5" t="s">
        <v>238</v>
      </c>
      <c r="HS483" s="5" t="s">
        <v>238</v>
      </c>
      <c r="HT483" s="5" t="s">
        <v>238</v>
      </c>
      <c r="HU483" s="5" t="s">
        <v>238</v>
      </c>
      <c r="HV483" s="5" t="s">
        <v>238</v>
      </c>
      <c r="HW483" s="5" t="s">
        <v>238</v>
      </c>
      <c r="HX483" s="5" t="s">
        <v>238</v>
      </c>
      <c r="HY483" s="5" t="s">
        <v>238</v>
      </c>
      <c r="HZ483" s="5" t="s">
        <v>238</v>
      </c>
      <c r="IA483" s="5" t="s">
        <v>238</v>
      </c>
      <c r="IB483" s="5" t="s">
        <v>238</v>
      </c>
      <c r="IC483" s="5" t="s">
        <v>238</v>
      </c>
      <c r="ID483" s="5" t="s">
        <v>238</v>
      </c>
    </row>
    <row r="484" spans="1:238" x14ac:dyDescent="0.4">
      <c r="A484" s="5">
        <v>520</v>
      </c>
      <c r="B484" s="5">
        <v>1</v>
      </c>
      <c r="C484" s="5">
        <v>1</v>
      </c>
      <c r="D484" s="5" t="s">
        <v>1024</v>
      </c>
      <c r="E484" s="5" t="s">
        <v>347</v>
      </c>
      <c r="F484" s="5" t="s">
        <v>282</v>
      </c>
      <c r="G484" s="5" t="s">
        <v>1314</v>
      </c>
      <c r="H484" s="6" t="s">
        <v>1026</v>
      </c>
      <c r="I484" s="5" t="s">
        <v>1314</v>
      </c>
      <c r="J484" s="7">
        <f>1872</f>
        <v>1872</v>
      </c>
      <c r="K484" s="5" t="s">
        <v>270</v>
      </c>
      <c r="L484" s="8">
        <f>1</f>
        <v>1</v>
      </c>
      <c r="M484" s="8">
        <f>149760000</f>
        <v>149760000</v>
      </c>
      <c r="N484" s="6" t="s">
        <v>1355</v>
      </c>
      <c r="O484" s="5" t="s">
        <v>755</v>
      </c>
      <c r="P484" s="5" t="s">
        <v>639</v>
      </c>
      <c r="R484" s="8">
        <f>149759999</f>
        <v>149759999</v>
      </c>
      <c r="S484" s="5" t="s">
        <v>240</v>
      </c>
      <c r="T484" s="5" t="s">
        <v>237</v>
      </c>
      <c r="U484" s="5" t="s">
        <v>238</v>
      </c>
      <c r="V484" s="5" t="s">
        <v>238</v>
      </c>
      <c r="W484" s="5" t="s">
        <v>241</v>
      </c>
      <c r="X484" s="5" t="s">
        <v>337</v>
      </c>
      <c r="Y484" s="5" t="s">
        <v>238</v>
      </c>
      <c r="AB484" s="5" t="s">
        <v>238</v>
      </c>
      <c r="AD484" s="6" t="s">
        <v>238</v>
      </c>
      <c r="AG484" s="6" t="s">
        <v>246</v>
      </c>
      <c r="AH484" s="5" t="s">
        <v>247</v>
      </c>
      <c r="AI484" s="5" t="s">
        <v>248</v>
      </c>
      <c r="AY484" s="5" t="s">
        <v>250</v>
      </c>
      <c r="AZ484" s="5" t="s">
        <v>238</v>
      </c>
      <c r="BA484" s="5" t="s">
        <v>251</v>
      </c>
      <c r="BB484" s="5" t="s">
        <v>238</v>
      </c>
      <c r="BC484" s="5" t="s">
        <v>253</v>
      </c>
      <c r="BD484" s="5" t="s">
        <v>238</v>
      </c>
      <c r="BF484" s="5" t="s">
        <v>238</v>
      </c>
      <c r="BH484" s="5" t="s">
        <v>798</v>
      </c>
      <c r="BI484" s="6" t="s">
        <v>799</v>
      </c>
      <c r="BJ484" s="5" t="s">
        <v>255</v>
      </c>
      <c r="BK484" s="5" t="s">
        <v>256</v>
      </c>
      <c r="BL484" s="5" t="s">
        <v>238</v>
      </c>
      <c r="BM484" s="7">
        <f>0</f>
        <v>0</v>
      </c>
      <c r="BN484" s="8">
        <f>0</f>
        <v>0</v>
      </c>
      <c r="BO484" s="5" t="s">
        <v>257</v>
      </c>
      <c r="BP484" s="5" t="s">
        <v>258</v>
      </c>
      <c r="CD484" s="5" t="s">
        <v>238</v>
      </c>
      <c r="CE484" s="5" t="s">
        <v>238</v>
      </c>
      <c r="CI484" s="5" t="s">
        <v>527</v>
      </c>
      <c r="CJ484" s="5" t="s">
        <v>260</v>
      </c>
      <c r="CK484" s="5" t="s">
        <v>238</v>
      </c>
      <c r="CM484" s="5" t="s">
        <v>1095</v>
      </c>
      <c r="CN484" s="6" t="s">
        <v>262</v>
      </c>
      <c r="CO484" s="5" t="s">
        <v>263</v>
      </c>
      <c r="CP484" s="5" t="s">
        <v>264</v>
      </c>
      <c r="CQ484" s="5" t="s">
        <v>238</v>
      </c>
      <c r="CR484" s="5" t="s">
        <v>238</v>
      </c>
      <c r="CS484" s="5">
        <v>0</v>
      </c>
      <c r="CT484" s="5" t="s">
        <v>265</v>
      </c>
      <c r="CU484" s="5" t="s">
        <v>1493</v>
      </c>
      <c r="CV484" s="5" t="s">
        <v>649</v>
      </c>
      <c r="CX484" s="8">
        <f>149760000</f>
        <v>149760000</v>
      </c>
      <c r="CY484" s="8">
        <f>0</f>
        <v>0</v>
      </c>
      <c r="DA484" s="5" t="s">
        <v>238</v>
      </c>
      <c r="DB484" s="5" t="s">
        <v>238</v>
      </c>
      <c r="DD484" s="5" t="s">
        <v>238</v>
      </c>
      <c r="DG484" s="5" t="s">
        <v>238</v>
      </c>
      <c r="DH484" s="5" t="s">
        <v>238</v>
      </c>
      <c r="DI484" s="5" t="s">
        <v>238</v>
      </c>
      <c r="DJ484" s="5" t="s">
        <v>238</v>
      </c>
      <c r="DK484" s="5" t="s">
        <v>356</v>
      </c>
      <c r="DL484" s="5" t="s">
        <v>272</v>
      </c>
      <c r="DM484" s="7">
        <f>1872</f>
        <v>1872</v>
      </c>
      <c r="DN484" s="5" t="s">
        <v>238</v>
      </c>
      <c r="DO484" s="5" t="s">
        <v>238</v>
      </c>
      <c r="DP484" s="5" t="s">
        <v>238</v>
      </c>
      <c r="DQ484" s="5" t="s">
        <v>238</v>
      </c>
      <c r="DT484" s="5" t="s">
        <v>1027</v>
      </c>
      <c r="DU484" s="5" t="s">
        <v>271</v>
      </c>
      <c r="HM484" s="5" t="s">
        <v>271</v>
      </c>
      <c r="HP484" s="5" t="s">
        <v>272</v>
      </c>
      <c r="HQ484" s="5" t="s">
        <v>272</v>
      </c>
    </row>
    <row r="485" spans="1:238" x14ac:dyDescent="0.4">
      <c r="A485" s="5">
        <v>521</v>
      </c>
      <c r="B485" s="5">
        <v>1</v>
      </c>
      <c r="C485" s="5">
        <v>1</v>
      </c>
      <c r="D485" s="5" t="s">
        <v>1024</v>
      </c>
      <c r="E485" s="5" t="s">
        <v>347</v>
      </c>
      <c r="F485" s="5" t="s">
        <v>282</v>
      </c>
      <c r="G485" s="5" t="s">
        <v>1314</v>
      </c>
      <c r="H485" s="6" t="s">
        <v>1026</v>
      </c>
      <c r="I485" s="5" t="s">
        <v>1314</v>
      </c>
      <c r="J485" s="7">
        <f>12</f>
        <v>12</v>
      </c>
      <c r="K485" s="5" t="s">
        <v>270</v>
      </c>
      <c r="L485" s="8">
        <f>1</f>
        <v>1</v>
      </c>
      <c r="M485" s="8">
        <f>1080000</f>
        <v>1080000</v>
      </c>
      <c r="N485" s="6" t="s">
        <v>1582</v>
      </c>
      <c r="O485" s="5" t="s">
        <v>286</v>
      </c>
      <c r="P485" s="5" t="s">
        <v>1583</v>
      </c>
      <c r="R485" s="8">
        <f>1079999</f>
        <v>1079999</v>
      </c>
      <c r="S485" s="5" t="s">
        <v>240</v>
      </c>
      <c r="T485" s="5" t="s">
        <v>237</v>
      </c>
      <c r="U485" s="5" t="s">
        <v>238</v>
      </c>
      <c r="V485" s="5" t="s">
        <v>238</v>
      </c>
      <c r="W485" s="5" t="s">
        <v>241</v>
      </c>
      <c r="X485" s="5" t="s">
        <v>337</v>
      </c>
      <c r="Y485" s="5" t="s">
        <v>238</v>
      </c>
      <c r="AB485" s="5" t="s">
        <v>238</v>
      </c>
      <c r="AD485" s="6" t="s">
        <v>238</v>
      </c>
      <c r="AG485" s="6" t="s">
        <v>246</v>
      </c>
      <c r="AH485" s="5" t="s">
        <v>247</v>
      </c>
      <c r="AI485" s="5" t="s">
        <v>248</v>
      </c>
      <c r="AY485" s="5" t="s">
        <v>250</v>
      </c>
      <c r="AZ485" s="5" t="s">
        <v>238</v>
      </c>
      <c r="BA485" s="5" t="s">
        <v>251</v>
      </c>
      <c r="BB485" s="5" t="s">
        <v>238</v>
      </c>
      <c r="BC485" s="5" t="s">
        <v>253</v>
      </c>
      <c r="BD485" s="5" t="s">
        <v>238</v>
      </c>
      <c r="BF485" s="5" t="s">
        <v>238</v>
      </c>
      <c r="BH485" s="5" t="s">
        <v>254</v>
      </c>
      <c r="BI485" s="6" t="s">
        <v>246</v>
      </c>
      <c r="BJ485" s="5" t="s">
        <v>255</v>
      </c>
      <c r="BK485" s="5" t="s">
        <v>256</v>
      </c>
      <c r="BL485" s="5" t="s">
        <v>238</v>
      </c>
      <c r="BM485" s="7">
        <f>0</f>
        <v>0</v>
      </c>
      <c r="BN485" s="8">
        <f>0</f>
        <v>0</v>
      </c>
      <c r="BO485" s="5" t="s">
        <v>257</v>
      </c>
      <c r="BP485" s="5" t="s">
        <v>258</v>
      </c>
      <c r="CD485" s="5" t="s">
        <v>238</v>
      </c>
      <c r="CE485" s="5" t="s">
        <v>238</v>
      </c>
      <c r="CI485" s="5" t="s">
        <v>527</v>
      </c>
      <c r="CJ485" s="5" t="s">
        <v>260</v>
      </c>
      <c r="CK485" s="5" t="s">
        <v>238</v>
      </c>
      <c r="CM485" s="5" t="s">
        <v>868</v>
      </c>
      <c r="CN485" s="6" t="s">
        <v>262</v>
      </c>
      <c r="CO485" s="5" t="s">
        <v>263</v>
      </c>
      <c r="CP485" s="5" t="s">
        <v>264</v>
      </c>
      <c r="CQ485" s="5" t="s">
        <v>238</v>
      </c>
      <c r="CR485" s="5" t="s">
        <v>238</v>
      </c>
      <c r="CS485" s="5">
        <v>0</v>
      </c>
      <c r="CT485" s="5" t="s">
        <v>265</v>
      </c>
      <c r="CU485" s="5" t="s">
        <v>1493</v>
      </c>
      <c r="CV485" s="5" t="s">
        <v>267</v>
      </c>
      <c r="CX485" s="8">
        <f>1080000</f>
        <v>1080000</v>
      </c>
      <c r="CY485" s="8">
        <f>0</f>
        <v>0</v>
      </c>
      <c r="DA485" s="5" t="s">
        <v>238</v>
      </c>
      <c r="DB485" s="5" t="s">
        <v>238</v>
      </c>
      <c r="DD485" s="5" t="s">
        <v>238</v>
      </c>
      <c r="DG485" s="5" t="s">
        <v>238</v>
      </c>
      <c r="DH485" s="5" t="s">
        <v>238</v>
      </c>
      <c r="DI485" s="5" t="s">
        <v>238</v>
      </c>
      <c r="DJ485" s="5" t="s">
        <v>238</v>
      </c>
      <c r="DK485" s="5" t="s">
        <v>271</v>
      </c>
      <c r="DL485" s="5" t="s">
        <v>272</v>
      </c>
      <c r="DM485" s="7">
        <f>12</f>
        <v>12</v>
      </c>
      <c r="DN485" s="5" t="s">
        <v>238</v>
      </c>
      <c r="DO485" s="5" t="s">
        <v>238</v>
      </c>
      <c r="DP485" s="5" t="s">
        <v>238</v>
      </c>
      <c r="DQ485" s="5" t="s">
        <v>238</v>
      </c>
      <c r="DT485" s="5" t="s">
        <v>1027</v>
      </c>
      <c r="DU485" s="5" t="s">
        <v>274</v>
      </c>
      <c r="HM485" s="5" t="s">
        <v>271</v>
      </c>
      <c r="HP485" s="5" t="s">
        <v>272</v>
      </c>
      <c r="HQ485" s="5" t="s">
        <v>272</v>
      </c>
    </row>
    <row r="486" spans="1:238" x14ac:dyDescent="0.4">
      <c r="A486" s="5">
        <v>522</v>
      </c>
      <c r="B486" s="5">
        <v>1</v>
      </c>
      <c r="C486" s="5">
        <v>1</v>
      </c>
      <c r="D486" s="5" t="s">
        <v>1024</v>
      </c>
      <c r="E486" s="5" t="s">
        <v>347</v>
      </c>
      <c r="F486" s="5" t="s">
        <v>282</v>
      </c>
      <c r="G486" s="5" t="s">
        <v>239</v>
      </c>
      <c r="H486" s="6" t="s">
        <v>1026</v>
      </c>
      <c r="I486" s="5" t="s">
        <v>239</v>
      </c>
      <c r="J486" s="7">
        <f>63</f>
        <v>63</v>
      </c>
      <c r="K486" s="5" t="s">
        <v>270</v>
      </c>
      <c r="L486" s="8">
        <f>1</f>
        <v>1</v>
      </c>
      <c r="M486" s="8">
        <f>3780000</f>
        <v>3780000</v>
      </c>
      <c r="N486" s="6" t="s">
        <v>1025</v>
      </c>
      <c r="O486" s="5" t="s">
        <v>268</v>
      </c>
      <c r="P486" s="5" t="s">
        <v>996</v>
      </c>
      <c r="R486" s="8">
        <f>3779999</f>
        <v>3779999</v>
      </c>
      <c r="S486" s="5" t="s">
        <v>240</v>
      </c>
      <c r="T486" s="5" t="s">
        <v>237</v>
      </c>
      <c r="U486" s="5" t="s">
        <v>238</v>
      </c>
      <c r="V486" s="5" t="s">
        <v>238</v>
      </c>
      <c r="W486" s="5" t="s">
        <v>241</v>
      </c>
      <c r="X486" s="5" t="s">
        <v>337</v>
      </c>
      <c r="Y486" s="5" t="s">
        <v>238</v>
      </c>
      <c r="AB486" s="5" t="s">
        <v>238</v>
      </c>
      <c r="AD486" s="6" t="s">
        <v>238</v>
      </c>
      <c r="AG486" s="6" t="s">
        <v>246</v>
      </c>
      <c r="AH486" s="5" t="s">
        <v>247</v>
      </c>
      <c r="AI486" s="5" t="s">
        <v>248</v>
      </c>
      <c r="AY486" s="5" t="s">
        <v>250</v>
      </c>
      <c r="AZ486" s="5" t="s">
        <v>238</v>
      </c>
      <c r="BA486" s="5" t="s">
        <v>251</v>
      </c>
      <c r="BB486" s="5" t="s">
        <v>238</v>
      </c>
      <c r="BC486" s="5" t="s">
        <v>253</v>
      </c>
      <c r="BD486" s="5" t="s">
        <v>238</v>
      </c>
      <c r="BF486" s="5" t="s">
        <v>238</v>
      </c>
      <c r="BH486" s="5" t="s">
        <v>859</v>
      </c>
      <c r="BI486" s="6" t="s">
        <v>368</v>
      </c>
      <c r="BJ486" s="5" t="s">
        <v>255</v>
      </c>
      <c r="BK486" s="5" t="s">
        <v>256</v>
      </c>
      <c r="BL486" s="5" t="s">
        <v>238</v>
      </c>
      <c r="BM486" s="7">
        <f>0</f>
        <v>0</v>
      </c>
      <c r="BN486" s="8">
        <f>0</f>
        <v>0</v>
      </c>
      <c r="BO486" s="5" t="s">
        <v>257</v>
      </c>
      <c r="BP486" s="5" t="s">
        <v>258</v>
      </c>
      <c r="CD486" s="5" t="s">
        <v>238</v>
      </c>
      <c r="CE486" s="5" t="s">
        <v>238</v>
      </c>
      <c r="CI486" s="5" t="s">
        <v>527</v>
      </c>
      <c r="CJ486" s="5" t="s">
        <v>260</v>
      </c>
      <c r="CK486" s="5" t="s">
        <v>238</v>
      </c>
      <c r="CM486" s="5" t="s">
        <v>995</v>
      </c>
      <c r="CN486" s="6" t="s">
        <v>262</v>
      </c>
      <c r="CO486" s="5" t="s">
        <v>263</v>
      </c>
      <c r="CP486" s="5" t="s">
        <v>264</v>
      </c>
      <c r="CQ486" s="5" t="s">
        <v>238</v>
      </c>
      <c r="CR486" s="5" t="s">
        <v>238</v>
      </c>
      <c r="CS486" s="5">
        <v>0</v>
      </c>
      <c r="CT486" s="5" t="s">
        <v>265</v>
      </c>
      <c r="CU486" s="5" t="s">
        <v>266</v>
      </c>
      <c r="CV486" s="5" t="s">
        <v>267</v>
      </c>
      <c r="CX486" s="8">
        <f>3780000</f>
        <v>3780000</v>
      </c>
      <c r="CY486" s="8">
        <f>0</f>
        <v>0</v>
      </c>
      <c r="DA486" s="5" t="s">
        <v>238</v>
      </c>
      <c r="DB486" s="5" t="s">
        <v>238</v>
      </c>
      <c r="DD486" s="5" t="s">
        <v>238</v>
      </c>
      <c r="DG486" s="5" t="s">
        <v>238</v>
      </c>
      <c r="DH486" s="5" t="s">
        <v>238</v>
      </c>
      <c r="DI486" s="5" t="s">
        <v>238</v>
      </c>
      <c r="DJ486" s="5" t="s">
        <v>238</v>
      </c>
      <c r="DK486" s="5" t="s">
        <v>271</v>
      </c>
      <c r="DL486" s="5" t="s">
        <v>272</v>
      </c>
      <c r="DM486" s="7">
        <f>63</f>
        <v>63</v>
      </c>
      <c r="DN486" s="5" t="s">
        <v>238</v>
      </c>
      <c r="DO486" s="5" t="s">
        <v>238</v>
      </c>
      <c r="DP486" s="5" t="s">
        <v>238</v>
      </c>
      <c r="DQ486" s="5" t="s">
        <v>238</v>
      </c>
      <c r="DT486" s="5" t="s">
        <v>1027</v>
      </c>
      <c r="DU486" s="5" t="s">
        <v>356</v>
      </c>
      <c r="HM486" s="5" t="s">
        <v>271</v>
      </c>
      <c r="HP486" s="5" t="s">
        <v>272</v>
      </c>
      <c r="HQ486" s="5" t="s">
        <v>272</v>
      </c>
    </row>
    <row r="487" spans="1:238" x14ac:dyDescent="0.4">
      <c r="A487" s="5">
        <v>523</v>
      </c>
      <c r="B487" s="5">
        <v>1</v>
      </c>
      <c r="C487" s="5">
        <v>1</v>
      </c>
      <c r="D487" s="5" t="s">
        <v>1024</v>
      </c>
      <c r="E487" s="5" t="s">
        <v>347</v>
      </c>
      <c r="F487" s="5" t="s">
        <v>282</v>
      </c>
      <c r="G487" s="5" t="s">
        <v>695</v>
      </c>
      <c r="H487" s="6" t="s">
        <v>1026</v>
      </c>
      <c r="I487" s="5" t="s">
        <v>695</v>
      </c>
      <c r="J487" s="7">
        <f>21</f>
        <v>21</v>
      </c>
      <c r="K487" s="5" t="s">
        <v>270</v>
      </c>
      <c r="L487" s="8">
        <f>1</f>
        <v>1</v>
      </c>
      <c r="M487" s="8">
        <f>1260000</f>
        <v>1260000</v>
      </c>
      <c r="N487" s="6" t="s">
        <v>1355</v>
      </c>
      <c r="O487" s="5" t="s">
        <v>268</v>
      </c>
      <c r="P487" s="5" t="s">
        <v>639</v>
      </c>
      <c r="R487" s="8">
        <f>1259999</f>
        <v>1259999</v>
      </c>
      <c r="S487" s="5" t="s">
        <v>240</v>
      </c>
      <c r="T487" s="5" t="s">
        <v>237</v>
      </c>
      <c r="U487" s="5" t="s">
        <v>238</v>
      </c>
      <c r="V487" s="5" t="s">
        <v>238</v>
      </c>
      <c r="W487" s="5" t="s">
        <v>241</v>
      </c>
      <c r="X487" s="5" t="s">
        <v>337</v>
      </c>
      <c r="Y487" s="5" t="s">
        <v>238</v>
      </c>
      <c r="AB487" s="5" t="s">
        <v>238</v>
      </c>
      <c r="AD487" s="6" t="s">
        <v>238</v>
      </c>
      <c r="AG487" s="6" t="s">
        <v>246</v>
      </c>
      <c r="AH487" s="5" t="s">
        <v>247</v>
      </c>
      <c r="AI487" s="5" t="s">
        <v>248</v>
      </c>
      <c r="AY487" s="5" t="s">
        <v>250</v>
      </c>
      <c r="AZ487" s="5" t="s">
        <v>238</v>
      </c>
      <c r="BA487" s="5" t="s">
        <v>251</v>
      </c>
      <c r="BB487" s="5" t="s">
        <v>238</v>
      </c>
      <c r="BC487" s="5" t="s">
        <v>253</v>
      </c>
      <c r="BD487" s="5" t="s">
        <v>238</v>
      </c>
      <c r="BF487" s="5" t="s">
        <v>238</v>
      </c>
      <c r="BH487" s="5" t="s">
        <v>697</v>
      </c>
      <c r="BI487" s="6" t="s">
        <v>698</v>
      </c>
      <c r="BJ487" s="5" t="s">
        <v>255</v>
      </c>
      <c r="BK487" s="5" t="s">
        <v>256</v>
      </c>
      <c r="BL487" s="5" t="s">
        <v>238</v>
      </c>
      <c r="BM487" s="7">
        <f>0</f>
        <v>0</v>
      </c>
      <c r="BN487" s="8">
        <f>0</f>
        <v>0</v>
      </c>
      <c r="BO487" s="5" t="s">
        <v>257</v>
      </c>
      <c r="BP487" s="5" t="s">
        <v>258</v>
      </c>
      <c r="CD487" s="5" t="s">
        <v>238</v>
      </c>
      <c r="CE487" s="5" t="s">
        <v>238</v>
      </c>
      <c r="CI487" s="5" t="s">
        <v>527</v>
      </c>
      <c r="CJ487" s="5" t="s">
        <v>260</v>
      </c>
      <c r="CK487" s="5" t="s">
        <v>238</v>
      </c>
      <c r="CM487" s="5" t="s">
        <v>1095</v>
      </c>
      <c r="CN487" s="6" t="s">
        <v>262</v>
      </c>
      <c r="CO487" s="5" t="s">
        <v>263</v>
      </c>
      <c r="CP487" s="5" t="s">
        <v>264</v>
      </c>
      <c r="CQ487" s="5" t="s">
        <v>238</v>
      </c>
      <c r="CR487" s="5" t="s">
        <v>238</v>
      </c>
      <c r="CS487" s="5">
        <v>0</v>
      </c>
      <c r="CT487" s="5" t="s">
        <v>265</v>
      </c>
      <c r="CU487" s="5" t="s">
        <v>351</v>
      </c>
      <c r="CV487" s="5" t="s">
        <v>394</v>
      </c>
      <c r="CX487" s="8">
        <f>1260000</f>
        <v>1260000</v>
      </c>
      <c r="CY487" s="8">
        <f>0</f>
        <v>0</v>
      </c>
      <c r="DA487" s="5" t="s">
        <v>238</v>
      </c>
      <c r="DB487" s="5" t="s">
        <v>238</v>
      </c>
      <c r="DD487" s="5" t="s">
        <v>238</v>
      </c>
      <c r="DG487" s="5" t="s">
        <v>238</v>
      </c>
      <c r="DH487" s="5" t="s">
        <v>238</v>
      </c>
      <c r="DI487" s="5" t="s">
        <v>238</v>
      </c>
      <c r="DJ487" s="5" t="s">
        <v>238</v>
      </c>
      <c r="DK487" s="5" t="s">
        <v>271</v>
      </c>
      <c r="DL487" s="5" t="s">
        <v>272</v>
      </c>
      <c r="DM487" s="7">
        <f>21</f>
        <v>21</v>
      </c>
      <c r="DN487" s="5" t="s">
        <v>238</v>
      </c>
      <c r="DO487" s="5" t="s">
        <v>238</v>
      </c>
      <c r="DP487" s="5" t="s">
        <v>238</v>
      </c>
      <c r="DQ487" s="5" t="s">
        <v>238</v>
      </c>
      <c r="DT487" s="5" t="s">
        <v>1027</v>
      </c>
      <c r="DU487" s="5" t="s">
        <v>310</v>
      </c>
      <c r="HM487" s="5" t="s">
        <v>271</v>
      </c>
      <c r="HP487" s="5" t="s">
        <v>272</v>
      </c>
      <c r="HQ487" s="5" t="s">
        <v>272</v>
      </c>
    </row>
    <row r="488" spans="1:238" x14ac:dyDescent="0.4">
      <c r="A488" s="5">
        <v>524</v>
      </c>
      <c r="B488" s="5">
        <v>1</v>
      </c>
      <c r="C488" s="5">
        <v>1</v>
      </c>
      <c r="D488" s="5" t="s">
        <v>1024</v>
      </c>
      <c r="E488" s="5" t="s">
        <v>347</v>
      </c>
      <c r="F488" s="5" t="s">
        <v>282</v>
      </c>
      <c r="G488" s="5" t="s">
        <v>1308</v>
      </c>
      <c r="H488" s="6" t="s">
        <v>1026</v>
      </c>
      <c r="I488" s="5" t="s">
        <v>1308</v>
      </c>
      <c r="J488" s="7">
        <f>639</f>
        <v>639</v>
      </c>
      <c r="K488" s="5" t="s">
        <v>270</v>
      </c>
      <c r="L488" s="8">
        <f>1</f>
        <v>1</v>
      </c>
      <c r="M488" s="8">
        <f>86265000</f>
        <v>86265000</v>
      </c>
      <c r="N488" s="6" t="s">
        <v>848</v>
      </c>
      <c r="O488" s="5" t="s">
        <v>898</v>
      </c>
      <c r="P488" s="5" t="s">
        <v>850</v>
      </c>
      <c r="R488" s="8">
        <f>86264999</f>
        <v>86264999</v>
      </c>
      <c r="S488" s="5" t="s">
        <v>240</v>
      </c>
      <c r="T488" s="5" t="s">
        <v>237</v>
      </c>
      <c r="U488" s="5" t="s">
        <v>238</v>
      </c>
      <c r="V488" s="5" t="s">
        <v>238</v>
      </c>
      <c r="W488" s="5" t="s">
        <v>241</v>
      </c>
      <c r="X488" s="5" t="s">
        <v>337</v>
      </c>
      <c r="Y488" s="5" t="s">
        <v>238</v>
      </c>
      <c r="AB488" s="5" t="s">
        <v>238</v>
      </c>
      <c r="AD488" s="6" t="s">
        <v>238</v>
      </c>
      <c r="AG488" s="6" t="s">
        <v>246</v>
      </c>
      <c r="AH488" s="5" t="s">
        <v>247</v>
      </c>
      <c r="AI488" s="5" t="s">
        <v>248</v>
      </c>
      <c r="AY488" s="5" t="s">
        <v>250</v>
      </c>
      <c r="AZ488" s="5" t="s">
        <v>238</v>
      </c>
      <c r="BA488" s="5" t="s">
        <v>251</v>
      </c>
      <c r="BB488" s="5" t="s">
        <v>238</v>
      </c>
      <c r="BC488" s="5" t="s">
        <v>253</v>
      </c>
      <c r="BD488" s="5" t="s">
        <v>238</v>
      </c>
      <c r="BF488" s="5" t="s">
        <v>238</v>
      </c>
      <c r="BH488" s="5" t="s">
        <v>798</v>
      </c>
      <c r="BI488" s="6" t="s">
        <v>799</v>
      </c>
      <c r="BJ488" s="5" t="s">
        <v>255</v>
      </c>
      <c r="BK488" s="5" t="s">
        <v>256</v>
      </c>
      <c r="BL488" s="5" t="s">
        <v>238</v>
      </c>
      <c r="BM488" s="7">
        <f>0</f>
        <v>0</v>
      </c>
      <c r="BN488" s="8">
        <f>0</f>
        <v>0</v>
      </c>
      <c r="BO488" s="5" t="s">
        <v>257</v>
      </c>
      <c r="BP488" s="5" t="s">
        <v>258</v>
      </c>
      <c r="CD488" s="5" t="s">
        <v>238</v>
      </c>
      <c r="CE488" s="5" t="s">
        <v>238</v>
      </c>
      <c r="CI488" s="5" t="s">
        <v>527</v>
      </c>
      <c r="CJ488" s="5" t="s">
        <v>260</v>
      </c>
      <c r="CK488" s="5" t="s">
        <v>238</v>
      </c>
      <c r="CM488" s="5" t="s">
        <v>849</v>
      </c>
      <c r="CN488" s="6" t="s">
        <v>262</v>
      </c>
      <c r="CO488" s="5" t="s">
        <v>263</v>
      </c>
      <c r="CP488" s="5" t="s">
        <v>264</v>
      </c>
      <c r="CQ488" s="5" t="s">
        <v>238</v>
      </c>
      <c r="CR488" s="5" t="s">
        <v>238</v>
      </c>
      <c r="CS488" s="5">
        <v>0</v>
      </c>
      <c r="CT488" s="5" t="s">
        <v>265</v>
      </c>
      <c r="CU488" s="5" t="s">
        <v>1330</v>
      </c>
      <c r="CV488" s="5" t="s">
        <v>308</v>
      </c>
      <c r="CX488" s="8">
        <f>86265000</f>
        <v>86265000</v>
      </c>
      <c r="CY488" s="8">
        <f>0</f>
        <v>0</v>
      </c>
      <c r="DA488" s="5" t="s">
        <v>238</v>
      </c>
      <c r="DB488" s="5" t="s">
        <v>238</v>
      </c>
      <c r="DD488" s="5" t="s">
        <v>238</v>
      </c>
      <c r="DG488" s="5" t="s">
        <v>238</v>
      </c>
      <c r="DH488" s="5" t="s">
        <v>238</v>
      </c>
      <c r="DI488" s="5" t="s">
        <v>238</v>
      </c>
      <c r="DJ488" s="5" t="s">
        <v>238</v>
      </c>
      <c r="DK488" s="5" t="s">
        <v>271</v>
      </c>
      <c r="DL488" s="5" t="s">
        <v>272</v>
      </c>
      <c r="DM488" s="7">
        <f>639</f>
        <v>639</v>
      </c>
      <c r="DN488" s="5" t="s">
        <v>238</v>
      </c>
      <c r="DO488" s="5" t="s">
        <v>238</v>
      </c>
      <c r="DP488" s="5" t="s">
        <v>238</v>
      </c>
      <c r="DQ488" s="5" t="s">
        <v>238</v>
      </c>
      <c r="DT488" s="5" t="s">
        <v>1027</v>
      </c>
      <c r="DU488" s="5" t="s">
        <v>379</v>
      </c>
      <c r="HM488" s="5" t="s">
        <v>271</v>
      </c>
      <c r="HP488" s="5" t="s">
        <v>272</v>
      </c>
      <c r="HQ488" s="5" t="s">
        <v>272</v>
      </c>
    </row>
    <row r="489" spans="1:238" x14ac:dyDescent="0.4">
      <c r="A489" s="5">
        <v>525</v>
      </c>
      <c r="B489" s="5">
        <v>1</v>
      </c>
      <c r="C489" s="5">
        <v>1</v>
      </c>
      <c r="D489" s="5" t="s">
        <v>1024</v>
      </c>
      <c r="E489" s="5" t="s">
        <v>347</v>
      </c>
      <c r="F489" s="5" t="s">
        <v>282</v>
      </c>
      <c r="G489" s="5" t="s">
        <v>239</v>
      </c>
      <c r="H489" s="6" t="s">
        <v>1026</v>
      </c>
      <c r="I489" s="5" t="s">
        <v>239</v>
      </c>
      <c r="J489" s="7">
        <f>60</f>
        <v>60</v>
      </c>
      <c r="K489" s="5" t="s">
        <v>270</v>
      </c>
      <c r="L489" s="8">
        <f>1</f>
        <v>1</v>
      </c>
      <c r="M489" s="8">
        <f>3600000</f>
        <v>3600000</v>
      </c>
      <c r="N489" s="6" t="s">
        <v>1041</v>
      </c>
      <c r="O489" s="5" t="s">
        <v>650</v>
      </c>
      <c r="P489" s="5" t="s">
        <v>1042</v>
      </c>
      <c r="R489" s="8">
        <f>3599999</f>
        <v>3599999</v>
      </c>
      <c r="S489" s="5" t="s">
        <v>240</v>
      </c>
      <c r="T489" s="5" t="s">
        <v>237</v>
      </c>
      <c r="U489" s="5" t="s">
        <v>238</v>
      </c>
      <c r="V489" s="5" t="s">
        <v>238</v>
      </c>
      <c r="W489" s="5" t="s">
        <v>241</v>
      </c>
      <c r="X489" s="5" t="s">
        <v>337</v>
      </c>
      <c r="Y489" s="5" t="s">
        <v>238</v>
      </c>
      <c r="AB489" s="5" t="s">
        <v>238</v>
      </c>
      <c r="AD489" s="6" t="s">
        <v>238</v>
      </c>
      <c r="AG489" s="6" t="s">
        <v>246</v>
      </c>
      <c r="AH489" s="5" t="s">
        <v>247</v>
      </c>
      <c r="AI489" s="5" t="s">
        <v>248</v>
      </c>
      <c r="AY489" s="5" t="s">
        <v>250</v>
      </c>
      <c r="AZ489" s="5" t="s">
        <v>238</v>
      </c>
      <c r="BA489" s="5" t="s">
        <v>251</v>
      </c>
      <c r="BB489" s="5" t="s">
        <v>238</v>
      </c>
      <c r="BC489" s="5" t="s">
        <v>253</v>
      </c>
      <c r="BD489" s="5" t="s">
        <v>238</v>
      </c>
      <c r="BF489" s="5" t="s">
        <v>238</v>
      </c>
      <c r="BH489" s="5" t="s">
        <v>254</v>
      </c>
      <c r="BI489" s="6" t="s">
        <v>246</v>
      </c>
      <c r="BJ489" s="5" t="s">
        <v>255</v>
      </c>
      <c r="BK489" s="5" t="s">
        <v>256</v>
      </c>
      <c r="BL489" s="5" t="s">
        <v>238</v>
      </c>
      <c r="BM489" s="7">
        <f>0</f>
        <v>0</v>
      </c>
      <c r="BN489" s="8">
        <f>0</f>
        <v>0</v>
      </c>
      <c r="BO489" s="5" t="s">
        <v>257</v>
      </c>
      <c r="BP489" s="5" t="s">
        <v>258</v>
      </c>
      <c r="CD489" s="5" t="s">
        <v>238</v>
      </c>
      <c r="CE489" s="5" t="s">
        <v>238</v>
      </c>
      <c r="CI489" s="5" t="s">
        <v>527</v>
      </c>
      <c r="CJ489" s="5" t="s">
        <v>260</v>
      </c>
      <c r="CK489" s="5" t="s">
        <v>238</v>
      </c>
      <c r="CM489" s="5" t="s">
        <v>699</v>
      </c>
      <c r="CN489" s="6" t="s">
        <v>262</v>
      </c>
      <c r="CO489" s="5" t="s">
        <v>263</v>
      </c>
      <c r="CP489" s="5" t="s">
        <v>264</v>
      </c>
      <c r="CQ489" s="5" t="s">
        <v>238</v>
      </c>
      <c r="CR489" s="5" t="s">
        <v>238</v>
      </c>
      <c r="CS489" s="5">
        <v>0</v>
      </c>
      <c r="CT489" s="5" t="s">
        <v>265</v>
      </c>
      <c r="CU489" s="5" t="s">
        <v>266</v>
      </c>
      <c r="CV489" s="5" t="s">
        <v>649</v>
      </c>
      <c r="CX489" s="8">
        <f>3600000</f>
        <v>3600000</v>
      </c>
      <c r="CY489" s="8">
        <f>0</f>
        <v>0</v>
      </c>
      <c r="DA489" s="5" t="s">
        <v>238</v>
      </c>
      <c r="DB489" s="5" t="s">
        <v>238</v>
      </c>
      <c r="DD489" s="5" t="s">
        <v>238</v>
      </c>
      <c r="DG489" s="5" t="s">
        <v>238</v>
      </c>
      <c r="DH489" s="5" t="s">
        <v>238</v>
      </c>
      <c r="DI489" s="5" t="s">
        <v>238</v>
      </c>
      <c r="DJ489" s="5" t="s">
        <v>238</v>
      </c>
      <c r="DK489" s="5" t="s">
        <v>271</v>
      </c>
      <c r="DL489" s="5" t="s">
        <v>272</v>
      </c>
      <c r="DM489" s="7">
        <f>60</f>
        <v>60</v>
      </c>
      <c r="DN489" s="5" t="s">
        <v>238</v>
      </c>
      <c r="DO489" s="5" t="s">
        <v>238</v>
      </c>
      <c r="DP489" s="5" t="s">
        <v>238</v>
      </c>
      <c r="DQ489" s="5" t="s">
        <v>238</v>
      </c>
      <c r="DT489" s="5" t="s">
        <v>1027</v>
      </c>
      <c r="DU489" s="5" t="s">
        <v>313</v>
      </c>
      <c r="HM489" s="5" t="s">
        <v>271</v>
      </c>
      <c r="HP489" s="5" t="s">
        <v>272</v>
      </c>
      <c r="HQ489" s="5" t="s">
        <v>272</v>
      </c>
    </row>
    <row r="490" spans="1:238" x14ac:dyDescent="0.4">
      <c r="A490" s="5">
        <v>526</v>
      </c>
      <c r="B490" s="5">
        <v>1</v>
      </c>
      <c r="C490" s="5">
        <v>1</v>
      </c>
      <c r="D490" s="5" t="s">
        <v>1024</v>
      </c>
      <c r="E490" s="5" t="s">
        <v>347</v>
      </c>
      <c r="F490" s="5" t="s">
        <v>282</v>
      </c>
      <c r="G490" s="5" t="s">
        <v>239</v>
      </c>
      <c r="H490" s="6" t="s">
        <v>1026</v>
      </c>
      <c r="I490" s="5" t="s">
        <v>239</v>
      </c>
      <c r="J490" s="7">
        <f>10</f>
        <v>10</v>
      </c>
      <c r="K490" s="5" t="s">
        <v>270</v>
      </c>
      <c r="L490" s="8">
        <f>1</f>
        <v>1</v>
      </c>
      <c r="M490" s="8">
        <f>950000</f>
        <v>950000</v>
      </c>
      <c r="N490" s="6" t="s">
        <v>804</v>
      </c>
      <c r="O490" s="5" t="s">
        <v>268</v>
      </c>
      <c r="P490" s="5" t="s">
        <v>268</v>
      </c>
      <c r="R490" s="8">
        <f>949999</f>
        <v>949999</v>
      </c>
      <c r="S490" s="5" t="s">
        <v>240</v>
      </c>
      <c r="T490" s="5" t="s">
        <v>237</v>
      </c>
      <c r="U490" s="5" t="s">
        <v>238</v>
      </c>
      <c r="V490" s="5" t="s">
        <v>238</v>
      </c>
      <c r="W490" s="5" t="s">
        <v>241</v>
      </c>
      <c r="X490" s="5" t="s">
        <v>337</v>
      </c>
      <c r="Y490" s="5" t="s">
        <v>238</v>
      </c>
      <c r="AB490" s="5" t="s">
        <v>238</v>
      </c>
      <c r="AD490" s="6" t="s">
        <v>238</v>
      </c>
      <c r="AG490" s="6" t="s">
        <v>246</v>
      </c>
      <c r="AH490" s="5" t="s">
        <v>247</v>
      </c>
      <c r="AI490" s="5" t="s">
        <v>248</v>
      </c>
      <c r="AY490" s="5" t="s">
        <v>250</v>
      </c>
      <c r="AZ490" s="5" t="s">
        <v>238</v>
      </c>
      <c r="BA490" s="5" t="s">
        <v>251</v>
      </c>
      <c r="BB490" s="5" t="s">
        <v>238</v>
      </c>
      <c r="BC490" s="5" t="s">
        <v>253</v>
      </c>
      <c r="BD490" s="5" t="s">
        <v>238</v>
      </c>
      <c r="BF490" s="5" t="s">
        <v>238</v>
      </c>
      <c r="BH490" s="5" t="s">
        <v>859</v>
      </c>
      <c r="BI490" s="6" t="s">
        <v>368</v>
      </c>
      <c r="BJ490" s="5" t="s">
        <v>255</v>
      </c>
      <c r="BK490" s="5" t="s">
        <v>294</v>
      </c>
      <c r="BL490" s="5" t="s">
        <v>238</v>
      </c>
      <c r="BM490" s="7">
        <f>0</f>
        <v>0</v>
      </c>
      <c r="BN490" s="8">
        <f>0</f>
        <v>0</v>
      </c>
      <c r="BO490" s="5" t="s">
        <v>257</v>
      </c>
      <c r="BP490" s="5" t="s">
        <v>258</v>
      </c>
      <c r="CD490" s="5" t="s">
        <v>238</v>
      </c>
      <c r="CE490" s="5" t="s">
        <v>238</v>
      </c>
      <c r="CI490" s="5" t="s">
        <v>259</v>
      </c>
      <c r="CJ490" s="5" t="s">
        <v>260</v>
      </c>
      <c r="CK490" s="5" t="s">
        <v>238</v>
      </c>
      <c r="CM490" s="5" t="s">
        <v>807</v>
      </c>
      <c r="CN490" s="6" t="s">
        <v>262</v>
      </c>
      <c r="CO490" s="5" t="s">
        <v>263</v>
      </c>
      <c r="CP490" s="5" t="s">
        <v>264</v>
      </c>
      <c r="CQ490" s="5" t="s">
        <v>238</v>
      </c>
      <c r="CR490" s="5" t="s">
        <v>238</v>
      </c>
      <c r="CS490" s="5">
        <v>0</v>
      </c>
      <c r="CT490" s="5" t="s">
        <v>265</v>
      </c>
      <c r="CU490" s="5" t="s">
        <v>266</v>
      </c>
      <c r="CV490" s="5" t="s">
        <v>267</v>
      </c>
      <c r="CX490" s="8">
        <f>950000</f>
        <v>950000</v>
      </c>
      <c r="CY490" s="8">
        <f>0</f>
        <v>0</v>
      </c>
      <c r="DA490" s="5" t="s">
        <v>238</v>
      </c>
      <c r="DB490" s="5" t="s">
        <v>238</v>
      </c>
      <c r="DD490" s="5" t="s">
        <v>238</v>
      </c>
      <c r="DG490" s="5" t="s">
        <v>238</v>
      </c>
      <c r="DH490" s="5" t="s">
        <v>238</v>
      </c>
      <c r="DI490" s="5" t="s">
        <v>238</v>
      </c>
      <c r="DJ490" s="5" t="s">
        <v>238</v>
      </c>
      <c r="DK490" s="5" t="s">
        <v>271</v>
      </c>
      <c r="DL490" s="5" t="s">
        <v>272</v>
      </c>
      <c r="DM490" s="7">
        <f>10</f>
        <v>10</v>
      </c>
      <c r="DN490" s="5" t="s">
        <v>238</v>
      </c>
      <c r="DO490" s="5" t="s">
        <v>238</v>
      </c>
      <c r="DP490" s="5" t="s">
        <v>238</v>
      </c>
      <c r="DQ490" s="5" t="s">
        <v>238</v>
      </c>
      <c r="DT490" s="5" t="s">
        <v>1027</v>
      </c>
      <c r="DU490" s="5" t="s">
        <v>389</v>
      </c>
      <c r="HM490" s="5" t="s">
        <v>310</v>
      </c>
      <c r="HP490" s="5" t="s">
        <v>272</v>
      </c>
      <c r="HQ490" s="5" t="s">
        <v>272</v>
      </c>
    </row>
    <row r="491" spans="1:238" x14ac:dyDescent="0.4">
      <c r="A491" s="5">
        <v>527</v>
      </c>
      <c r="B491" s="5">
        <v>1</v>
      </c>
      <c r="C491" s="5">
        <v>1</v>
      </c>
      <c r="D491" s="5" t="s">
        <v>1024</v>
      </c>
      <c r="E491" s="5" t="s">
        <v>347</v>
      </c>
      <c r="F491" s="5" t="s">
        <v>282</v>
      </c>
      <c r="G491" s="5" t="s">
        <v>2433</v>
      </c>
      <c r="H491" s="6" t="s">
        <v>1026</v>
      </c>
      <c r="I491" s="5" t="s">
        <v>2433</v>
      </c>
      <c r="J491" s="7">
        <f>7</f>
        <v>7</v>
      </c>
      <c r="K491" s="5" t="s">
        <v>270</v>
      </c>
      <c r="L491" s="8">
        <f>1</f>
        <v>1</v>
      </c>
      <c r="M491" s="8">
        <f>420000</f>
        <v>420000</v>
      </c>
      <c r="N491" s="6" t="s">
        <v>1048</v>
      </c>
      <c r="O491" s="5" t="s">
        <v>650</v>
      </c>
      <c r="P491" s="5" t="s">
        <v>279</v>
      </c>
      <c r="R491" s="8">
        <f>419999</f>
        <v>419999</v>
      </c>
      <c r="S491" s="5" t="s">
        <v>240</v>
      </c>
      <c r="T491" s="5" t="s">
        <v>237</v>
      </c>
      <c r="U491" s="5" t="s">
        <v>238</v>
      </c>
      <c r="V491" s="5" t="s">
        <v>238</v>
      </c>
      <c r="W491" s="5" t="s">
        <v>241</v>
      </c>
      <c r="X491" s="5" t="s">
        <v>337</v>
      </c>
      <c r="Y491" s="5" t="s">
        <v>238</v>
      </c>
      <c r="AB491" s="5" t="s">
        <v>238</v>
      </c>
      <c r="AD491" s="6" t="s">
        <v>238</v>
      </c>
      <c r="AG491" s="6" t="s">
        <v>246</v>
      </c>
      <c r="AH491" s="5" t="s">
        <v>247</v>
      </c>
      <c r="AI491" s="5" t="s">
        <v>248</v>
      </c>
      <c r="AY491" s="5" t="s">
        <v>250</v>
      </c>
      <c r="AZ491" s="5" t="s">
        <v>238</v>
      </c>
      <c r="BA491" s="5" t="s">
        <v>251</v>
      </c>
      <c r="BB491" s="5" t="s">
        <v>238</v>
      </c>
      <c r="BC491" s="5" t="s">
        <v>253</v>
      </c>
      <c r="BD491" s="5" t="s">
        <v>238</v>
      </c>
      <c r="BF491" s="5" t="s">
        <v>238</v>
      </c>
      <c r="BH491" s="5" t="s">
        <v>697</v>
      </c>
      <c r="BI491" s="6" t="s">
        <v>698</v>
      </c>
      <c r="BJ491" s="5" t="s">
        <v>255</v>
      </c>
      <c r="BK491" s="5" t="s">
        <v>256</v>
      </c>
      <c r="BL491" s="5" t="s">
        <v>238</v>
      </c>
      <c r="BM491" s="7">
        <f>0</f>
        <v>0</v>
      </c>
      <c r="BN491" s="8">
        <f>0</f>
        <v>0</v>
      </c>
      <c r="BO491" s="5" t="s">
        <v>257</v>
      </c>
      <c r="BP491" s="5" t="s">
        <v>258</v>
      </c>
      <c r="CD491" s="5" t="s">
        <v>238</v>
      </c>
      <c r="CE491" s="5" t="s">
        <v>238</v>
      </c>
      <c r="CI491" s="5" t="s">
        <v>527</v>
      </c>
      <c r="CJ491" s="5" t="s">
        <v>260</v>
      </c>
      <c r="CK491" s="5" t="s">
        <v>238</v>
      </c>
      <c r="CM491" s="5" t="s">
        <v>1050</v>
      </c>
      <c r="CN491" s="6" t="s">
        <v>262</v>
      </c>
      <c r="CO491" s="5" t="s">
        <v>263</v>
      </c>
      <c r="CP491" s="5" t="s">
        <v>264</v>
      </c>
      <c r="CQ491" s="5" t="s">
        <v>238</v>
      </c>
      <c r="CR491" s="5" t="s">
        <v>238</v>
      </c>
      <c r="CS491" s="5">
        <v>0</v>
      </c>
      <c r="CT491" s="5" t="s">
        <v>265</v>
      </c>
      <c r="CU491" s="5" t="s">
        <v>2381</v>
      </c>
      <c r="CV491" s="5" t="s">
        <v>649</v>
      </c>
      <c r="CX491" s="8">
        <f>420000</f>
        <v>420000</v>
      </c>
      <c r="CY491" s="8">
        <f>0</f>
        <v>0</v>
      </c>
      <c r="DA491" s="5" t="s">
        <v>238</v>
      </c>
      <c r="DB491" s="5" t="s">
        <v>238</v>
      </c>
      <c r="DD491" s="5" t="s">
        <v>238</v>
      </c>
      <c r="DG491" s="5" t="s">
        <v>238</v>
      </c>
      <c r="DH491" s="5" t="s">
        <v>238</v>
      </c>
      <c r="DI491" s="5" t="s">
        <v>238</v>
      </c>
      <c r="DJ491" s="5" t="s">
        <v>238</v>
      </c>
      <c r="DK491" s="5" t="s">
        <v>271</v>
      </c>
      <c r="DL491" s="5" t="s">
        <v>272</v>
      </c>
      <c r="DM491" s="7">
        <f>7</f>
        <v>7</v>
      </c>
      <c r="DN491" s="5" t="s">
        <v>238</v>
      </c>
      <c r="DO491" s="5" t="s">
        <v>238</v>
      </c>
      <c r="DP491" s="5" t="s">
        <v>238</v>
      </c>
      <c r="DQ491" s="5" t="s">
        <v>238</v>
      </c>
      <c r="DT491" s="5" t="s">
        <v>1027</v>
      </c>
      <c r="DU491" s="5" t="s">
        <v>354</v>
      </c>
      <c r="HM491" s="5" t="s">
        <v>271</v>
      </c>
      <c r="HP491" s="5" t="s">
        <v>272</v>
      </c>
      <c r="HQ491" s="5" t="s">
        <v>272</v>
      </c>
    </row>
    <row r="492" spans="1:238" x14ac:dyDescent="0.4">
      <c r="A492" s="5">
        <v>528</v>
      </c>
      <c r="B492" s="5">
        <v>1</v>
      </c>
      <c r="C492" s="5">
        <v>1</v>
      </c>
      <c r="D492" s="5" t="s">
        <v>1024</v>
      </c>
      <c r="E492" s="5" t="s">
        <v>347</v>
      </c>
      <c r="F492" s="5" t="s">
        <v>282</v>
      </c>
      <c r="G492" s="5" t="s">
        <v>3027</v>
      </c>
      <c r="H492" s="6" t="s">
        <v>1026</v>
      </c>
      <c r="I492" s="5" t="s">
        <v>3027</v>
      </c>
      <c r="J492" s="7">
        <f>53</f>
        <v>53</v>
      </c>
      <c r="K492" s="5" t="s">
        <v>270</v>
      </c>
      <c r="L492" s="8">
        <f>1</f>
        <v>1</v>
      </c>
      <c r="M492" s="8">
        <f>8639000</f>
        <v>8639000</v>
      </c>
      <c r="N492" s="6" t="s">
        <v>804</v>
      </c>
      <c r="O492" s="5" t="s">
        <v>268</v>
      </c>
      <c r="P492" s="5" t="s">
        <v>268</v>
      </c>
      <c r="R492" s="8">
        <f>8638999</f>
        <v>8638999</v>
      </c>
      <c r="S492" s="5" t="s">
        <v>240</v>
      </c>
      <c r="T492" s="5" t="s">
        <v>237</v>
      </c>
      <c r="U492" s="5" t="s">
        <v>238</v>
      </c>
      <c r="V492" s="5" t="s">
        <v>238</v>
      </c>
      <c r="W492" s="5" t="s">
        <v>241</v>
      </c>
      <c r="X492" s="5" t="s">
        <v>337</v>
      </c>
      <c r="Y492" s="5" t="s">
        <v>238</v>
      </c>
      <c r="AB492" s="5" t="s">
        <v>238</v>
      </c>
      <c r="AD492" s="6" t="s">
        <v>238</v>
      </c>
      <c r="AG492" s="6" t="s">
        <v>246</v>
      </c>
      <c r="AH492" s="5" t="s">
        <v>247</v>
      </c>
      <c r="AI492" s="5" t="s">
        <v>248</v>
      </c>
      <c r="AY492" s="5" t="s">
        <v>250</v>
      </c>
      <c r="AZ492" s="5" t="s">
        <v>238</v>
      </c>
      <c r="BA492" s="5" t="s">
        <v>251</v>
      </c>
      <c r="BB492" s="5" t="s">
        <v>238</v>
      </c>
      <c r="BC492" s="5" t="s">
        <v>253</v>
      </c>
      <c r="BD492" s="5" t="s">
        <v>238</v>
      </c>
      <c r="BF492" s="5" t="s">
        <v>238</v>
      </c>
      <c r="BH492" s="5" t="s">
        <v>798</v>
      </c>
      <c r="BI492" s="6" t="s">
        <v>799</v>
      </c>
      <c r="BJ492" s="5" t="s">
        <v>255</v>
      </c>
      <c r="BK492" s="5" t="s">
        <v>294</v>
      </c>
      <c r="BL492" s="5" t="s">
        <v>238</v>
      </c>
      <c r="BM492" s="7">
        <f>0</f>
        <v>0</v>
      </c>
      <c r="BN492" s="8">
        <f>0</f>
        <v>0</v>
      </c>
      <c r="BO492" s="5" t="s">
        <v>257</v>
      </c>
      <c r="BP492" s="5" t="s">
        <v>258</v>
      </c>
      <c r="CD492" s="5" t="s">
        <v>238</v>
      </c>
      <c r="CE492" s="5" t="s">
        <v>238</v>
      </c>
      <c r="CI492" s="5" t="s">
        <v>259</v>
      </c>
      <c r="CJ492" s="5" t="s">
        <v>260</v>
      </c>
      <c r="CK492" s="5" t="s">
        <v>238</v>
      </c>
      <c r="CM492" s="5" t="s">
        <v>807</v>
      </c>
      <c r="CN492" s="6" t="s">
        <v>262</v>
      </c>
      <c r="CO492" s="5" t="s">
        <v>263</v>
      </c>
      <c r="CP492" s="5" t="s">
        <v>264</v>
      </c>
      <c r="CQ492" s="5" t="s">
        <v>238</v>
      </c>
      <c r="CR492" s="5" t="s">
        <v>238</v>
      </c>
      <c r="CS492" s="5">
        <v>0</v>
      </c>
      <c r="CT492" s="5" t="s">
        <v>265</v>
      </c>
      <c r="CU492" s="5" t="s">
        <v>351</v>
      </c>
      <c r="CV492" s="5" t="s">
        <v>394</v>
      </c>
      <c r="CX492" s="8">
        <f>8639000</f>
        <v>8639000</v>
      </c>
      <c r="CY492" s="8">
        <f>0</f>
        <v>0</v>
      </c>
      <c r="DA492" s="5" t="s">
        <v>238</v>
      </c>
      <c r="DB492" s="5" t="s">
        <v>238</v>
      </c>
      <c r="DD492" s="5" t="s">
        <v>238</v>
      </c>
      <c r="DG492" s="5" t="s">
        <v>238</v>
      </c>
      <c r="DH492" s="5" t="s">
        <v>238</v>
      </c>
      <c r="DI492" s="5" t="s">
        <v>238</v>
      </c>
      <c r="DJ492" s="5" t="s">
        <v>238</v>
      </c>
      <c r="DK492" s="5" t="s">
        <v>271</v>
      </c>
      <c r="DL492" s="5" t="s">
        <v>272</v>
      </c>
      <c r="DM492" s="7">
        <f>53</f>
        <v>53</v>
      </c>
      <c r="DN492" s="5" t="s">
        <v>238</v>
      </c>
      <c r="DO492" s="5" t="s">
        <v>238</v>
      </c>
      <c r="DP492" s="5" t="s">
        <v>238</v>
      </c>
      <c r="DQ492" s="5" t="s">
        <v>238</v>
      </c>
      <c r="DT492" s="5" t="s">
        <v>1027</v>
      </c>
      <c r="DU492" s="5" t="s">
        <v>361</v>
      </c>
      <c r="HM492" s="5" t="s">
        <v>310</v>
      </c>
      <c r="HP492" s="5" t="s">
        <v>272</v>
      </c>
      <c r="HQ492" s="5" t="s">
        <v>272</v>
      </c>
    </row>
    <row r="493" spans="1:238" x14ac:dyDescent="0.4">
      <c r="A493" s="5">
        <v>529</v>
      </c>
      <c r="B493" s="5">
        <v>1</v>
      </c>
      <c r="C493" s="5">
        <v>4</v>
      </c>
      <c r="D493" s="5" t="s">
        <v>1024</v>
      </c>
      <c r="E493" s="5" t="s">
        <v>347</v>
      </c>
      <c r="F493" s="5" t="s">
        <v>282</v>
      </c>
      <c r="G493" s="5" t="s">
        <v>375</v>
      </c>
      <c r="H493" s="6" t="s">
        <v>1026</v>
      </c>
      <c r="I493" s="5" t="s">
        <v>373</v>
      </c>
      <c r="J493" s="7">
        <f>0</f>
        <v>0</v>
      </c>
      <c r="K493" s="5" t="s">
        <v>270</v>
      </c>
      <c r="L493" s="8">
        <f>1212945</f>
        <v>1212945</v>
      </c>
      <c r="M493" s="8">
        <f>1823970</f>
        <v>1823970</v>
      </c>
      <c r="N493" s="6" t="s">
        <v>374</v>
      </c>
      <c r="O493" s="5" t="s">
        <v>268</v>
      </c>
      <c r="P493" s="5" t="s">
        <v>356</v>
      </c>
      <c r="Q493" s="8">
        <f>122205</f>
        <v>122205</v>
      </c>
      <c r="R493" s="8">
        <f>611025</f>
        <v>611025</v>
      </c>
      <c r="S493" s="5" t="s">
        <v>240</v>
      </c>
      <c r="T493" s="5" t="s">
        <v>287</v>
      </c>
      <c r="U493" s="5" t="s">
        <v>238</v>
      </c>
      <c r="V493" s="5" t="s">
        <v>238</v>
      </c>
      <c r="W493" s="5" t="s">
        <v>241</v>
      </c>
      <c r="X493" s="5" t="s">
        <v>337</v>
      </c>
      <c r="Y493" s="5" t="s">
        <v>238</v>
      </c>
      <c r="AB493" s="5" t="s">
        <v>238</v>
      </c>
      <c r="AC493" s="6" t="s">
        <v>238</v>
      </c>
      <c r="AD493" s="6" t="s">
        <v>238</v>
      </c>
      <c r="AF493" s="6" t="s">
        <v>238</v>
      </c>
      <c r="AG493" s="6" t="s">
        <v>246</v>
      </c>
      <c r="AH493" s="5" t="s">
        <v>247</v>
      </c>
      <c r="AI493" s="5" t="s">
        <v>248</v>
      </c>
      <c r="AO493" s="5" t="s">
        <v>238</v>
      </c>
      <c r="AP493" s="5" t="s">
        <v>238</v>
      </c>
      <c r="AQ493" s="5" t="s">
        <v>238</v>
      </c>
      <c r="AR493" s="6" t="s">
        <v>238</v>
      </c>
      <c r="AS493" s="6" t="s">
        <v>238</v>
      </c>
      <c r="AT493" s="6" t="s">
        <v>238</v>
      </c>
      <c r="AW493" s="5" t="s">
        <v>304</v>
      </c>
      <c r="AX493" s="5" t="s">
        <v>304</v>
      </c>
      <c r="AY493" s="5" t="s">
        <v>250</v>
      </c>
      <c r="AZ493" s="5" t="s">
        <v>305</v>
      </c>
      <c r="BA493" s="5" t="s">
        <v>251</v>
      </c>
      <c r="BB493" s="5" t="s">
        <v>238</v>
      </c>
      <c r="BC493" s="5" t="s">
        <v>253</v>
      </c>
      <c r="BD493" s="5" t="s">
        <v>238</v>
      </c>
      <c r="BF493" s="5" t="s">
        <v>238</v>
      </c>
      <c r="BH493" s="5" t="s">
        <v>283</v>
      </c>
      <c r="BI493" s="6" t="s">
        <v>293</v>
      </c>
      <c r="BJ493" s="5" t="s">
        <v>294</v>
      </c>
      <c r="BK493" s="5" t="s">
        <v>294</v>
      </c>
      <c r="BL493" s="5" t="s">
        <v>238</v>
      </c>
      <c r="BM493" s="7">
        <f>0</f>
        <v>0</v>
      </c>
      <c r="BN493" s="8">
        <f>-122205</f>
        <v>-122205</v>
      </c>
      <c r="BO493" s="5" t="s">
        <v>257</v>
      </c>
      <c r="BP493" s="5" t="s">
        <v>258</v>
      </c>
      <c r="BQ493" s="5" t="s">
        <v>238</v>
      </c>
      <c r="BR493" s="5" t="s">
        <v>238</v>
      </c>
      <c r="BS493" s="5" t="s">
        <v>238</v>
      </c>
      <c r="BT493" s="5" t="s">
        <v>238</v>
      </c>
      <c r="CC493" s="5" t="s">
        <v>258</v>
      </c>
      <c r="CD493" s="5" t="s">
        <v>238</v>
      </c>
      <c r="CE493" s="5" t="s">
        <v>238</v>
      </c>
      <c r="CI493" s="5" t="s">
        <v>259</v>
      </c>
      <c r="CJ493" s="5" t="s">
        <v>260</v>
      </c>
      <c r="CK493" s="5" t="s">
        <v>238</v>
      </c>
      <c r="CM493" s="5" t="s">
        <v>376</v>
      </c>
      <c r="CN493" s="6" t="s">
        <v>262</v>
      </c>
      <c r="CO493" s="5" t="s">
        <v>263</v>
      </c>
      <c r="CP493" s="5" t="s">
        <v>264</v>
      </c>
      <c r="CQ493" s="5" t="s">
        <v>285</v>
      </c>
      <c r="CR493" s="5" t="s">
        <v>238</v>
      </c>
      <c r="CS493" s="5">
        <v>6.7000000000000004E-2</v>
      </c>
      <c r="CT493" s="5" t="s">
        <v>265</v>
      </c>
      <c r="CU493" s="5" t="s">
        <v>351</v>
      </c>
      <c r="CV493" s="5" t="s">
        <v>449</v>
      </c>
      <c r="CW493" s="7">
        <f>0</f>
        <v>0</v>
      </c>
      <c r="CX493" s="8">
        <f>1823970</f>
        <v>1823970</v>
      </c>
      <c r="CY493" s="8">
        <f>1335150</f>
        <v>1335150</v>
      </c>
      <c r="DA493" s="5" t="s">
        <v>238</v>
      </c>
      <c r="DB493" s="5" t="s">
        <v>238</v>
      </c>
      <c r="DD493" s="5" t="s">
        <v>238</v>
      </c>
      <c r="DE493" s="8">
        <f>0</f>
        <v>0</v>
      </c>
      <c r="DG493" s="5" t="s">
        <v>238</v>
      </c>
      <c r="DH493" s="5" t="s">
        <v>238</v>
      </c>
      <c r="DI493" s="5" t="s">
        <v>238</v>
      </c>
      <c r="DJ493" s="5" t="s">
        <v>238</v>
      </c>
      <c r="DK493" s="5" t="s">
        <v>272</v>
      </c>
      <c r="DL493" s="5" t="s">
        <v>272</v>
      </c>
      <c r="DM493" s="8" t="s">
        <v>238</v>
      </c>
      <c r="DN493" s="5" t="s">
        <v>238</v>
      </c>
      <c r="DO493" s="5" t="s">
        <v>238</v>
      </c>
      <c r="DP493" s="5" t="s">
        <v>238</v>
      </c>
      <c r="DQ493" s="5" t="s">
        <v>238</v>
      </c>
      <c r="DT493" s="5" t="s">
        <v>1027</v>
      </c>
      <c r="DU493" s="5" t="s">
        <v>377</v>
      </c>
      <c r="GL493" s="5" t="s">
        <v>3162</v>
      </c>
      <c r="HM493" s="5" t="s">
        <v>379</v>
      </c>
      <c r="HP493" s="5" t="s">
        <v>272</v>
      </c>
      <c r="HQ493" s="5" t="s">
        <v>272</v>
      </c>
      <c r="HR493" s="5" t="s">
        <v>238</v>
      </c>
      <c r="HS493" s="5" t="s">
        <v>238</v>
      </c>
      <c r="HT493" s="5" t="s">
        <v>238</v>
      </c>
      <c r="HU493" s="5" t="s">
        <v>238</v>
      </c>
      <c r="HV493" s="5" t="s">
        <v>238</v>
      </c>
      <c r="HW493" s="5" t="s">
        <v>238</v>
      </c>
      <c r="HX493" s="5" t="s">
        <v>238</v>
      </c>
      <c r="HY493" s="5" t="s">
        <v>238</v>
      </c>
      <c r="HZ493" s="5" t="s">
        <v>238</v>
      </c>
      <c r="IA493" s="5" t="s">
        <v>238</v>
      </c>
      <c r="IB493" s="5" t="s">
        <v>238</v>
      </c>
      <c r="IC493" s="5" t="s">
        <v>238</v>
      </c>
      <c r="ID493" s="5" t="s">
        <v>238</v>
      </c>
    </row>
    <row r="494" spans="1:238" x14ac:dyDescent="0.4">
      <c r="A494" s="5">
        <v>530</v>
      </c>
      <c r="B494" s="5">
        <v>1</v>
      </c>
      <c r="C494" s="5">
        <v>4</v>
      </c>
      <c r="D494" s="5" t="s">
        <v>1024</v>
      </c>
      <c r="E494" s="5" t="s">
        <v>347</v>
      </c>
      <c r="F494" s="5" t="s">
        <v>282</v>
      </c>
      <c r="G494" s="5" t="s">
        <v>349</v>
      </c>
      <c r="H494" s="6" t="s">
        <v>1026</v>
      </c>
      <c r="I494" s="5" t="s">
        <v>345</v>
      </c>
      <c r="J494" s="7">
        <f>0</f>
        <v>0</v>
      </c>
      <c r="K494" s="5" t="s">
        <v>270</v>
      </c>
      <c r="L494" s="8">
        <f>28016625</f>
        <v>28016625</v>
      </c>
      <c r="M494" s="8">
        <f>36432540</f>
        <v>36432540</v>
      </c>
      <c r="N494" s="6" t="s">
        <v>348</v>
      </c>
      <c r="O494" s="5" t="s">
        <v>319</v>
      </c>
      <c r="P494" s="5" t="s">
        <v>271</v>
      </c>
      <c r="Q494" s="8">
        <f>2805305</f>
        <v>2805305</v>
      </c>
      <c r="R494" s="8">
        <f>8415915</f>
        <v>8415915</v>
      </c>
      <c r="S494" s="5" t="s">
        <v>240</v>
      </c>
      <c r="T494" s="5" t="s">
        <v>287</v>
      </c>
      <c r="U494" s="5" t="s">
        <v>238</v>
      </c>
      <c r="V494" s="5" t="s">
        <v>238</v>
      </c>
      <c r="W494" s="5" t="s">
        <v>241</v>
      </c>
      <c r="X494" s="5" t="s">
        <v>238</v>
      </c>
      <c r="Y494" s="5" t="s">
        <v>238</v>
      </c>
      <c r="AB494" s="5" t="s">
        <v>238</v>
      </c>
      <c r="AC494" s="6" t="s">
        <v>238</v>
      </c>
      <c r="AD494" s="6" t="s">
        <v>238</v>
      </c>
      <c r="AF494" s="6" t="s">
        <v>238</v>
      </c>
      <c r="AG494" s="6" t="s">
        <v>246</v>
      </c>
      <c r="AH494" s="5" t="s">
        <v>247</v>
      </c>
      <c r="AI494" s="5" t="s">
        <v>248</v>
      </c>
      <c r="AO494" s="5" t="s">
        <v>238</v>
      </c>
      <c r="AP494" s="5" t="s">
        <v>238</v>
      </c>
      <c r="AQ494" s="5" t="s">
        <v>238</v>
      </c>
      <c r="AR494" s="6" t="s">
        <v>238</v>
      </c>
      <c r="AS494" s="6" t="s">
        <v>238</v>
      </c>
      <c r="AT494" s="6" t="s">
        <v>238</v>
      </c>
      <c r="AW494" s="5" t="s">
        <v>304</v>
      </c>
      <c r="AX494" s="5" t="s">
        <v>304</v>
      </c>
      <c r="AY494" s="5" t="s">
        <v>250</v>
      </c>
      <c r="AZ494" s="5" t="s">
        <v>305</v>
      </c>
      <c r="BA494" s="5" t="s">
        <v>251</v>
      </c>
      <c r="BB494" s="5" t="s">
        <v>238</v>
      </c>
      <c r="BC494" s="5" t="s">
        <v>253</v>
      </c>
      <c r="BD494" s="5" t="s">
        <v>238</v>
      </c>
      <c r="BF494" s="5" t="s">
        <v>238</v>
      </c>
      <c r="BH494" s="5" t="s">
        <v>283</v>
      </c>
      <c r="BI494" s="6" t="s">
        <v>293</v>
      </c>
      <c r="BJ494" s="5" t="s">
        <v>294</v>
      </c>
      <c r="BK494" s="5" t="s">
        <v>294</v>
      </c>
      <c r="BL494" s="5" t="s">
        <v>238</v>
      </c>
      <c r="BM494" s="7">
        <f>0</f>
        <v>0</v>
      </c>
      <c r="BN494" s="8">
        <f>-2805305</f>
        <v>-2805305</v>
      </c>
      <c r="BO494" s="5" t="s">
        <v>257</v>
      </c>
      <c r="BP494" s="5" t="s">
        <v>258</v>
      </c>
      <c r="BQ494" s="5" t="s">
        <v>238</v>
      </c>
      <c r="BR494" s="5" t="s">
        <v>238</v>
      </c>
      <c r="BS494" s="5" t="s">
        <v>238</v>
      </c>
      <c r="BT494" s="5" t="s">
        <v>238</v>
      </c>
      <c r="CC494" s="5" t="s">
        <v>258</v>
      </c>
      <c r="CD494" s="5" t="s">
        <v>238</v>
      </c>
      <c r="CE494" s="5" t="s">
        <v>238</v>
      </c>
      <c r="CI494" s="5" t="s">
        <v>259</v>
      </c>
      <c r="CJ494" s="5" t="s">
        <v>260</v>
      </c>
      <c r="CK494" s="5" t="s">
        <v>238</v>
      </c>
      <c r="CM494" s="5" t="s">
        <v>291</v>
      </c>
      <c r="CN494" s="6" t="s">
        <v>262</v>
      </c>
      <c r="CO494" s="5" t="s">
        <v>263</v>
      </c>
      <c r="CP494" s="5" t="s">
        <v>264</v>
      </c>
      <c r="CQ494" s="5" t="s">
        <v>285</v>
      </c>
      <c r="CR494" s="5" t="s">
        <v>238</v>
      </c>
      <c r="CS494" s="5">
        <v>7.6999999999999999E-2</v>
      </c>
      <c r="CT494" s="5" t="s">
        <v>265</v>
      </c>
      <c r="CU494" s="5" t="s">
        <v>351</v>
      </c>
      <c r="CV494" s="5" t="s">
        <v>352</v>
      </c>
      <c r="CW494" s="7">
        <f>0</f>
        <v>0</v>
      </c>
      <c r="CX494" s="8">
        <f>36432540</f>
        <v>36432540</v>
      </c>
      <c r="CY494" s="8">
        <f>30821930</f>
        <v>30821930</v>
      </c>
      <c r="DA494" s="5" t="s">
        <v>238</v>
      </c>
      <c r="DB494" s="5" t="s">
        <v>238</v>
      </c>
      <c r="DD494" s="5" t="s">
        <v>238</v>
      </c>
      <c r="DE494" s="8">
        <f>0</f>
        <v>0</v>
      </c>
      <c r="DG494" s="5" t="s">
        <v>238</v>
      </c>
      <c r="DH494" s="5" t="s">
        <v>238</v>
      </c>
      <c r="DI494" s="5" t="s">
        <v>238</v>
      </c>
      <c r="DJ494" s="5" t="s">
        <v>238</v>
      </c>
      <c r="DK494" s="5" t="s">
        <v>272</v>
      </c>
      <c r="DL494" s="5" t="s">
        <v>272</v>
      </c>
      <c r="DM494" s="8" t="s">
        <v>238</v>
      </c>
      <c r="DN494" s="5" t="s">
        <v>238</v>
      </c>
      <c r="DO494" s="5" t="s">
        <v>238</v>
      </c>
      <c r="DP494" s="5" t="s">
        <v>238</v>
      </c>
      <c r="DQ494" s="5" t="s">
        <v>238</v>
      </c>
      <c r="DT494" s="5" t="s">
        <v>1027</v>
      </c>
      <c r="DU494" s="5" t="s">
        <v>371</v>
      </c>
      <c r="GL494" s="5" t="s">
        <v>3161</v>
      </c>
      <c r="HM494" s="5" t="s">
        <v>356</v>
      </c>
      <c r="HP494" s="5" t="s">
        <v>272</v>
      </c>
      <c r="HQ494" s="5" t="s">
        <v>272</v>
      </c>
      <c r="HR494" s="5" t="s">
        <v>238</v>
      </c>
      <c r="HS494" s="5" t="s">
        <v>238</v>
      </c>
      <c r="HT494" s="5" t="s">
        <v>238</v>
      </c>
      <c r="HU494" s="5" t="s">
        <v>238</v>
      </c>
      <c r="HV494" s="5" t="s">
        <v>238</v>
      </c>
      <c r="HW494" s="5" t="s">
        <v>238</v>
      </c>
      <c r="HX494" s="5" t="s">
        <v>238</v>
      </c>
      <c r="HY494" s="5" t="s">
        <v>238</v>
      </c>
      <c r="HZ494" s="5" t="s">
        <v>238</v>
      </c>
      <c r="IA494" s="5" t="s">
        <v>238</v>
      </c>
      <c r="IB494" s="5" t="s">
        <v>238</v>
      </c>
      <c r="IC494" s="5" t="s">
        <v>238</v>
      </c>
      <c r="ID494" s="5" t="s">
        <v>238</v>
      </c>
    </row>
    <row r="495" spans="1:238" x14ac:dyDescent="0.4">
      <c r="A495" s="5">
        <v>531</v>
      </c>
      <c r="B495" s="5">
        <v>1</v>
      </c>
      <c r="C495" s="5">
        <v>4</v>
      </c>
      <c r="D495" s="5" t="s">
        <v>1047</v>
      </c>
      <c r="E495" s="5" t="s">
        <v>347</v>
      </c>
      <c r="F495" s="5" t="s">
        <v>282</v>
      </c>
      <c r="G495" s="5" t="s">
        <v>1499</v>
      </c>
      <c r="H495" s="6" t="s">
        <v>1049</v>
      </c>
      <c r="I495" s="5" t="s">
        <v>1314</v>
      </c>
      <c r="J495" s="7">
        <f>2150</f>
        <v>2150</v>
      </c>
      <c r="K495" s="5" t="s">
        <v>270</v>
      </c>
      <c r="L495" s="8">
        <f>22059000</f>
        <v>22059000</v>
      </c>
      <c r="M495" s="8">
        <f>290250000</f>
        <v>290250000</v>
      </c>
      <c r="N495" s="6" t="s">
        <v>1571</v>
      </c>
      <c r="O495" s="5" t="s">
        <v>898</v>
      </c>
      <c r="P495" s="5" t="s">
        <v>915</v>
      </c>
      <c r="Q495" s="8">
        <f>6385500</f>
        <v>6385500</v>
      </c>
      <c r="R495" s="8">
        <f>268191000</f>
        <v>268191000</v>
      </c>
      <c r="S495" s="5" t="s">
        <v>240</v>
      </c>
      <c r="T495" s="5" t="s">
        <v>237</v>
      </c>
      <c r="U495" s="5" t="s">
        <v>238</v>
      </c>
      <c r="V495" s="5" t="s">
        <v>238</v>
      </c>
      <c r="W495" s="5" t="s">
        <v>241</v>
      </c>
      <c r="X495" s="5" t="s">
        <v>337</v>
      </c>
      <c r="Y495" s="5" t="s">
        <v>238</v>
      </c>
      <c r="AB495" s="5" t="s">
        <v>238</v>
      </c>
      <c r="AC495" s="6" t="s">
        <v>238</v>
      </c>
      <c r="AD495" s="6" t="s">
        <v>238</v>
      </c>
      <c r="AF495" s="6" t="s">
        <v>238</v>
      </c>
      <c r="AG495" s="6" t="s">
        <v>246</v>
      </c>
      <c r="AH495" s="5" t="s">
        <v>247</v>
      </c>
      <c r="AI495" s="5" t="s">
        <v>248</v>
      </c>
      <c r="AO495" s="5" t="s">
        <v>238</v>
      </c>
      <c r="AP495" s="5" t="s">
        <v>238</v>
      </c>
      <c r="AQ495" s="5" t="s">
        <v>238</v>
      </c>
      <c r="AR495" s="6" t="s">
        <v>238</v>
      </c>
      <c r="AS495" s="6" t="s">
        <v>238</v>
      </c>
      <c r="AT495" s="6" t="s">
        <v>238</v>
      </c>
      <c r="AW495" s="5" t="s">
        <v>304</v>
      </c>
      <c r="AX495" s="5" t="s">
        <v>304</v>
      </c>
      <c r="AY495" s="5" t="s">
        <v>250</v>
      </c>
      <c r="AZ495" s="5" t="s">
        <v>305</v>
      </c>
      <c r="BA495" s="5" t="s">
        <v>251</v>
      </c>
      <c r="BB495" s="5" t="s">
        <v>238</v>
      </c>
      <c r="BC495" s="5" t="s">
        <v>253</v>
      </c>
      <c r="BD495" s="5" t="s">
        <v>238</v>
      </c>
      <c r="BF495" s="5" t="s">
        <v>1495</v>
      </c>
      <c r="BH495" s="5" t="s">
        <v>283</v>
      </c>
      <c r="BI495" s="6" t="s">
        <v>293</v>
      </c>
      <c r="BJ495" s="5" t="s">
        <v>294</v>
      </c>
      <c r="BK495" s="5" t="s">
        <v>294</v>
      </c>
      <c r="BL495" s="5" t="s">
        <v>238</v>
      </c>
      <c r="BM495" s="7">
        <f>0</f>
        <v>0</v>
      </c>
      <c r="BN495" s="8">
        <f>-6385500</f>
        <v>-6385500</v>
      </c>
      <c r="BO495" s="5" t="s">
        <v>257</v>
      </c>
      <c r="BP495" s="5" t="s">
        <v>258</v>
      </c>
      <c r="BQ495" s="5" t="s">
        <v>238</v>
      </c>
      <c r="BR495" s="5" t="s">
        <v>238</v>
      </c>
      <c r="BS495" s="5" t="s">
        <v>238</v>
      </c>
      <c r="BT495" s="5" t="s">
        <v>238</v>
      </c>
      <c r="CC495" s="5" t="s">
        <v>258</v>
      </c>
      <c r="CD495" s="5" t="s">
        <v>238</v>
      </c>
      <c r="CE495" s="5" t="s">
        <v>238</v>
      </c>
      <c r="CI495" s="5" t="s">
        <v>527</v>
      </c>
      <c r="CJ495" s="5" t="s">
        <v>260</v>
      </c>
      <c r="CK495" s="5" t="s">
        <v>238</v>
      </c>
      <c r="CM495" s="5" t="s">
        <v>699</v>
      </c>
      <c r="CN495" s="6" t="s">
        <v>262</v>
      </c>
      <c r="CO495" s="5" t="s">
        <v>263</v>
      </c>
      <c r="CP495" s="5" t="s">
        <v>264</v>
      </c>
      <c r="CQ495" s="5" t="s">
        <v>285</v>
      </c>
      <c r="CR495" s="5" t="s">
        <v>238</v>
      </c>
      <c r="CS495" s="5">
        <v>2.1999999999999999E-2</v>
      </c>
      <c r="CT495" s="5" t="s">
        <v>265</v>
      </c>
      <c r="CU495" s="5" t="s">
        <v>1493</v>
      </c>
      <c r="CV495" s="5" t="s">
        <v>308</v>
      </c>
      <c r="CW495" s="7">
        <f>0</f>
        <v>0</v>
      </c>
      <c r="CX495" s="8">
        <f>290250000</f>
        <v>290250000</v>
      </c>
      <c r="CY495" s="8">
        <f>28444500</f>
        <v>28444500</v>
      </c>
      <c r="DA495" s="5" t="s">
        <v>238</v>
      </c>
      <c r="DB495" s="5" t="s">
        <v>238</v>
      </c>
      <c r="DD495" s="5" t="s">
        <v>238</v>
      </c>
      <c r="DE495" s="8">
        <f>0</f>
        <v>0</v>
      </c>
      <c r="DG495" s="5" t="s">
        <v>238</v>
      </c>
      <c r="DH495" s="5" t="s">
        <v>238</v>
      </c>
      <c r="DI495" s="5" t="s">
        <v>238</v>
      </c>
      <c r="DJ495" s="5" t="s">
        <v>238</v>
      </c>
      <c r="DK495" s="5" t="s">
        <v>274</v>
      </c>
      <c r="DL495" s="5" t="s">
        <v>272</v>
      </c>
      <c r="DM495" s="7">
        <f>2150</f>
        <v>2150</v>
      </c>
      <c r="DN495" s="5" t="s">
        <v>238</v>
      </c>
      <c r="DO495" s="5" t="s">
        <v>238</v>
      </c>
      <c r="DP495" s="5" t="s">
        <v>238</v>
      </c>
      <c r="DQ495" s="5" t="s">
        <v>238</v>
      </c>
      <c r="DT495" s="5" t="s">
        <v>1051</v>
      </c>
      <c r="DU495" s="5" t="s">
        <v>271</v>
      </c>
      <c r="GL495" s="5" t="s">
        <v>1626</v>
      </c>
      <c r="HM495" s="5" t="s">
        <v>313</v>
      </c>
      <c r="HP495" s="5" t="s">
        <v>272</v>
      </c>
      <c r="HQ495" s="5" t="s">
        <v>272</v>
      </c>
      <c r="HR495" s="5" t="s">
        <v>238</v>
      </c>
      <c r="HS495" s="5" t="s">
        <v>238</v>
      </c>
      <c r="HT495" s="5" t="s">
        <v>238</v>
      </c>
      <c r="HU495" s="5" t="s">
        <v>238</v>
      </c>
      <c r="HV495" s="5" t="s">
        <v>238</v>
      </c>
      <c r="HW495" s="5" t="s">
        <v>238</v>
      </c>
      <c r="HX495" s="5" t="s">
        <v>238</v>
      </c>
      <c r="HY495" s="5" t="s">
        <v>238</v>
      </c>
      <c r="HZ495" s="5" t="s">
        <v>238</v>
      </c>
      <c r="IA495" s="5" t="s">
        <v>238</v>
      </c>
      <c r="IB495" s="5" t="s">
        <v>238</v>
      </c>
      <c r="IC495" s="5" t="s">
        <v>238</v>
      </c>
      <c r="ID495" s="5" t="s">
        <v>238</v>
      </c>
    </row>
    <row r="496" spans="1:238" x14ac:dyDescent="0.4">
      <c r="A496" s="5">
        <v>532</v>
      </c>
      <c r="B496" s="5">
        <v>1</v>
      </c>
      <c r="C496" s="5">
        <v>4</v>
      </c>
      <c r="D496" s="5" t="s">
        <v>1047</v>
      </c>
      <c r="E496" s="5" t="s">
        <v>347</v>
      </c>
      <c r="F496" s="5" t="s">
        <v>282</v>
      </c>
      <c r="G496" s="5" t="s">
        <v>1666</v>
      </c>
      <c r="H496" s="6" t="s">
        <v>1049</v>
      </c>
      <c r="I496" s="5" t="s">
        <v>1308</v>
      </c>
      <c r="J496" s="7">
        <f>1040</f>
        <v>1040</v>
      </c>
      <c r="K496" s="5" t="s">
        <v>270</v>
      </c>
      <c r="L496" s="8">
        <f>60278400</f>
        <v>60278400</v>
      </c>
      <c r="M496" s="8">
        <f>239200000</f>
        <v>239200000</v>
      </c>
      <c r="N496" s="6" t="s">
        <v>1795</v>
      </c>
      <c r="O496" s="5" t="s">
        <v>898</v>
      </c>
      <c r="P496" s="5" t="s">
        <v>991</v>
      </c>
      <c r="Q496" s="8">
        <f>5262400</f>
        <v>5262400</v>
      </c>
      <c r="R496" s="8">
        <f>178921600</f>
        <v>178921600</v>
      </c>
      <c r="S496" s="5" t="s">
        <v>240</v>
      </c>
      <c r="T496" s="5" t="s">
        <v>237</v>
      </c>
      <c r="U496" s="5" t="s">
        <v>238</v>
      </c>
      <c r="V496" s="5" t="s">
        <v>238</v>
      </c>
      <c r="W496" s="5" t="s">
        <v>241</v>
      </c>
      <c r="X496" s="5" t="s">
        <v>337</v>
      </c>
      <c r="Y496" s="5" t="s">
        <v>238</v>
      </c>
      <c r="AB496" s="5" t="s">
        <v>238</v>
      </c>
      <c r="AC496" s="6" t="s">
        <v>238</v>
      </c>
      <c r="AD496" s="6" t="s">
        <v>238</v>
      </c>
      <c r="AF496" s="6" t="s">
        <v>238</v>
      </c>
      <c r="AG496" s="6" t="s">
        <v>246</v>
      </c>
      <c r="AH496" s="5" t="s">
        <v>247</v>
      </c>
      <c r="AI496" s="5" t="s">
        <v>248</v>
      </c>
      <c r="AO496" s="5" t="s">
        <v>238</v>
      </c>
      <c r="AP496" s="5" t="s">
        <v>238</v>
      </c>
      <c r="AQ496" s="5" t="s">
        <v>238</v>
      </c>
      <c r="AR496" s="6" t="s">
        <v>238</v>
      </c>
      <c r="AS496" s="6" t="s">
        <v>238</v>
      </c>
      <c r="AT496" s="6" t="s">
        <v>238</v>
      </c>
      <c r="AW496" s="5" t="s">
        <v>304</v>
      </c>
      <c r="AX496" s="5" t="s">
        <v>304</v>
      </c>
      <c r="AY496" s="5" t="s">
        <v>250</v>
      </c>
      <c r="AZ496" s="5" t="s">
        <v>305</v>
      </c>
      <c r="BA496" s="5" t="s">
        <v>251</v>
      </c>
      <c r="BB496" s="5" t="s">
        <v>238</v>
      </c>
      <c r="BC496" s="5" t="s">
        <v>253</v>
      </c>
      <c r="BD496" s="5" t="s">
        <v>238</v>
      </c>
      <c r="BF496" s="5" t="s">
        <v>238</v>
      </c>
      <c r="BH496" s="5" t="s">
        <v>283</v>
      </c>
      <c r="BI496" s="6" t="s">
        <v>293</v>
      </c>
      <c r="BJ496" s="5" t="s">
        <v>294</v>
      </c>
      <c r="BK496" s="5" t="s">
        <v>294</v>
      </c>
      <c r="BL496" s="5" t="s">
        <v>238</v>
      </c>
      <c r="BM496" s="7">
        <f>0</f>
        <v>0</v>
      </c>
      <c r="BN496" s="8">
        <f>-5262400</f>
        <v>-5262400</v>
      </c>
      <c r="BO496" s="5" t="s">
        <v>257</v>
      </c>
      <c r="BP496" s="5" t="s">
        <v>258</v>
      </c>
      <c r="BQ496" s="5" t="s">
        <v>238</v>
      </c>
      <c r="BR496" s="5" t="s">
        <v>238</v>
      </c>
      <c r="BS496" s="5" t="s">
        <v>238</v>
      </c>
      <c r="BT496" s="5" t="s">
        <v>238</v>
      </c>
      <c r="CC496" s="5" t="s">
        <v>258</v>
      </c>
      <c r="CD496" s="5" t="s">
        <v>238</v>
      </c>
      <c r="CE496" s="5" t="s">
        <v>238</v>
      </c>
      <c r="CI496" s="5" t="s">
        <v>259</v>
      </c>
      <c r="CJ496" s="5" t="s">
        <v>260</v>
      </c>
      <c r="CK496" s="5" t="s">
        <v>238</v>
      </c>
      <c r="CM496" s="5" t="s">
        <v>1064</v>
      </c>
      <c r="CN496" s="6" t="s">
        <v>262</v>
      </c>
      <c r="CO496" s="5" t="s">
        <v>263</v>
      </c>
      <c r="CP496" s="5" t="s">
        <v>264</v>
      </c>
      <c r="CQ496" s="5" t="s">
        <v>285</v>
      </c>
      <c r="CR496" s="5" t="s">
        <v>238</v>
      </c>
      <c r="CS496" s="5">
        <v>2.1999999999999999E-2</v>
      </c>
      <c r="CT496" s="5" t="s">
        <v>265</v>
      </c>
      <c r="CU496" s="5" t="s">
        <v>1330</v>
      </c>
      <c r="CV496" s="5" t="s">
        <v>308</v>
      </c>
      <c r="CW496" s="7">
        <f>0</f>
        <v>0</v>
      </c>
      <c r="CX496" s="8">
        <f>239200000</f>
        <v>239200000</v>
      </c>
      <c r="CY496" s="8">
        <f>65540800</f>
        <v>65540800</v>
      </c>
      <c r="DA496" s="5" t="s">
        <v>238</v>
      </c>
      <c r="DB496" s="5" t="s">
        <v>238</v>
      </c>
      <c r="DD496" s="5" t="s">
        <v>238</v>
      </c>
      <c r="DE496" s="8">
        <f>0</f>
        <v>0</v>
      </c>
      <c r="DG496" s="5" t="s">
        <v>238</v>
      </c>
      <c r="DH496" s="5" t="s">
        <v>238</v>
      </c>
      <c r="DI496" s="5" t="s">
        <v>238</v>
      </c>
      <c r="DJ496" s="5" t="s">
        <v>238</v>
      </c>
      <c r="DK496" s="5" t="s">
        <v>274</v>
      </c>
      <c r="DL496" s="5" t="s">
        <v>272</v>
      </c>
      <c r="DM496" s="7">
        <f>1040</f>
        <v>1040</v>
      </c>
      <c r="DN496" s="5" t="s">
        <v>238</v>
      </c>
      <c r="DO496" s="5" t="s">
        <v>238</v>
      </c>
      <c r="DP496" s="5" t="s">
        <v>238</v>
      </c>
      <c r="DQ496" s="5" t="s">
        <v>238</v>
      </c>
      <c r="DT496" s="5" t="s">
        <v>1051</v>
      </c>
      <c r="DU496" s="5" t="s">
        <v>274</v>
      </c>
      <c r="GL496" s="5" t="s">
        <v>1796</v>
      </c>
      <c r="HM496" s="5" t="s">
        <v>313</v>
      </c>
      <c r="HP496" s="5" t="s">
        <v>272</v>
      </c>
      <c r="HQ496" s="5" t="s">
        <v>272</v>
      </c>
      <c r="HR496" s="5" t="s">
        <v>238</v>
      </c>
      <c r="HS496" s="5" t="s">
        <v>238</v>
      </c>
      <c r="HT496" s="5" t="s">
        <v>238</v>
      </c>
      <c r="HU496" s="5" t="s">
        <v>238</v>
      </c>
      <c r="HV496" s="5" t="s">
        <v>238</v>
      </c>
      <c r="HW496" s="5" t="s">
        <v>238</v>
      </c>
      <c r="HX496" s="5" t="s">
        <v>238</v>
      </c>
      <c r="HY496" s="5" t="s">
        <v>238</v>
      </c>
      <c r="HZ496" s="5" t="s">
        <v>238</v>
      </c>
      <c r="IA496" s="5" t="s">
        <v>238</v>
      </c>
      <c r="IB496" s="5" t="s">
        <v>238</v>
      </c>
      <c r="IC496" s="5" t="s">
        <v>238</v>
      </c>
      <c r="ID496" s="5" t="s">
        <v>238</v>
      </c>
    </row>
    <row r="497" spans="1:238" x14ac:dyDescent="0.4">
      <c r="A497" s="5">
        <v>533</v>
      </c>
      <c r="B497" s="5">
        <v>1</v>
      </c>
      <c r="C497" s="5">
        <v>1</v>
      </c>
      <c r="D497" s="5" t="s">
        <v>1047</v>
      </c>
      <c r="E497" s="5" t="s">
        <v>347</v>
      </c>
      <c r="F497" s="5" t="s">
        <v>282</v>
      </c>
      <c r="G497" s="5" t="s">
        <v>239</v>
      </c>
      <c r="H497" s="6" t="s">
        <v>1049</v>
      </c>
      <c r="I497" s="5" t="s">
        <v>239</v>
      </c>
      <c r="J497" s="7">
        <f>7</f>
        <v>7</v>
      </c>
      <c r="K497" s="5" t="s">
        <v>270</v>
      </c>
      <c r="L497" s="8">
        <f>1</f>
        <v>1</v>
      </c>
      <c r="M497" s="8">
        <f>490000</f>
        <v>490000</v>
      </c>
      <c r="N497" s="6" t="s">
        <v>1048</v>
      </c>
      <c r="O497" s="5" t="s">
        <v>755</v>
      </c>
      <c r="P497" s="5" t="s">
        <v>279</v>
      </c>
      <c r="R497" s="8">
        <f>489999</f>
        <v>489999</v>
      </c>
      <c r="S497" s="5" t="s">
        <v>240</v>
      </c>
      <c r="T497" s="5" t="s">
        <v>237</v>
      </c>
      <c r="U497" s="5" t="s">
        <v>238</v>
      </c>
      <c r="V497" s="5" t="s">
        <v>238</v>
      </c>
      <c r="W497" s="5" t="s">
        <v>241</v>
      </c>
      <c r="X497" s="5" t="s">
        <v>337</v>
      </c>
      <c r="Y497" s="5" t="s">
        <v>238</v>
      </c>
      <c r="AB497" s="5" t="s">
        <v>238</v>
      </c>
      <c r="AD497" s="6" t="s">
        <v>238</v>
      </c>
      <c r="AG497" s="6" t="s">
        <v>246</v>
      </c>
      <c r="AH497" s="5" t="s">
        <v>247</v>
      </c>
      <c r="AI497" s="5" t="s">
        <v>248</v>
      </c>
      <c r="AY497" s="5" t="s">
        <v>250</v>
      </c>
      <c r="AZ497" s="5" t="s">
        <v>238</v>
      </c>
      <c r="BA497" s="5" t="s">
        <v>251</v>
      </c>
      <c r="BB497" s="5" t="s">
        <v>238</v>
      </c>
      <c r="BC497" s="5" t="s">
        <v>253</v>
      </c>
      <c r="BD497" s="5" t="s">
        <v>238</v>
      </c>
      <c r="BF497" s="5" t="s">
        <v>238</v>
      </c>
      <c r="BH497" s="5" t="s">
        <v>254</v>
      </c>
      <c r="BI497" s="6" t="s">
        <v>246</v>
      </c>
      <c r="BJ497" s="5" t="s">
        <v>255</v>
      </c>
      <c r="BK497" s="5" t="s">
        <v>256</v>
      </c>
      <c r="BL497" s="5" t="s">
        <v>238</v>
      </c>
      <c r="BM497" s="7">
        <f>0</f>
        <v>0</v>
      </c>
      <c r="BN497" s="8">
        <f>0</f>
        <v>0</v>
      </c>
      <c r="BO497" s="5" t="s">
        <v>257</v>
      </c>
      <c r="BP497" s="5" t="s">
        <v>258</v>
      </c>
      <c r="CD497" s="5" t="s">
        <v>238</v>
      </c>
      <c r="CE497" s="5" t="s">
        <v>238</v>
      </c>
      <c r="CI497" s="5" t="s">
        <v>527</v>
      </c>
      <c r="CJ497" s="5" t="s">
        <v>260</v>
      </c>
      <c r="CK497" s="5" t="s">
        <v>238</v>
      </c>
      <c r="CM497" s="5" t="s">
        <v>1050</v>
      </c>
      <c r="CN497" s="6" t="s">
        <v>262</v>
      </c>
      <c r="CO497" s="5" t="s">
        <v>263</v>
      </c>
      <c r="CP497" s="5" t="s">
        <v>264</v>
      </c>
      <c r="CQ497" s="5" t="s">
        <v>238</v>
      </c>
      <c r="CR497" s="5" t="s">
        <v>238</v>
      </c>
      <c r="CS497" s="5">
        <v>0</v>
      </c>
      <c r="CT497" s="5" t="s">
        <v>265</v>
      </c>
      <c r="CU497" s="5" t="s">
        <v>266</v>
      </c>
      <c r="CV497" s="5" t="s">
        <v>754</v>
      </c>
      <c r="CX497" s="8">
        <f>490000</f>
        <v>490000</v>
      </c>
      <c r="CY497" s="8">
        <f>0</f>
        <v>0</v>
      </c>
      <c r="DA497" s="5" t="s">
        <v>238</v>
      </c>
      <c r="DB497" s="5" t="s">
        <v>238</v>
      </c>
      <c r="DD497" s="5" t="s">
        <v>238</v>
      </c>
      <c r="DG497" s="5" t="s">
        <v>238</v>
      </c>
      <c r="DH497" s="5" t="s">
        <v>238</v>
      </c>
      <c r="DI497" s="5" t="s">
        <v>238</v>
      </c>
      <c r="DJ497" s="5" t="s">
        <v>238</v>
      </c>
      <c r="DK497" s="5" t="s">
        <v>271</v>
      </c>
      <c r="DL497" s="5" t="s">
        <v>272</v>
      </c>
      <c r="DM497" s="7">
        <f>7</f>
        <v>7</v>
      </c>
      <c r="DN497" s="5" t="s">
        <v>238</v>
      </c>
      <c r="DO497" s="5" t="s">
        <v>238</v>
      </c>
      <c r="DP497" s="5" t="s">
        <v>238</v>
      </c>
      <c r="DQ497" s="5" t="s">
        <v>238</v>
      </c>
      <c r="DT497" s="5" t="s">
        <v>1051</v>
      </c>
      <c r="DU497" s="5" t="s">
        <v>356</v>
      </c>
      <c r="HM497" s="5" t="s">
        <v>271</v>
      </c>
      <c r="HP497" s="5" t="s">
        <v>272</v>
      </c>
      <c r="HQ497" s="5" t="s">
        <v>272</v>
      </c>
    </row>
    <row r="498" spans="1:238" x14ac:dyDescent="0.4">
      <c r="A498" s="5">
        <v>534</v>
      </c>
      <c r="B498" s="5">
        <v>1</v>
      </c>
      <c r="C498" s="5">
        <v>1</v>
      </c>
      <c r="D498" s="5" t="s">
        <v>1047</v>
      </c>
      <c r="E498" s="5" t="s">
        <v>347</v>
      </c>
      <c r="F498" s="5" t="s">
        <v>282</v>
      </c>
      <c r="G498" s="5" t="s">
        <v>695</v>
      </c>
      <c r="H498" s="6" t="s">
        <v>1049</v>
      </c>
      <c r="I498" s="5" t="s">
        <v>695</v>
      </c>
      <c r="J498" s="7">
        <f>24</f>
        <v>24</v>
      </c>
      <c r="K498" s="5" t="s">
        <v>270</v>
      </c>
      <c r="L498" s="8">
        <f>1</f>
        <v>1</v>
      </c>
      <c r="M498" s="8">
        <f>1680000</f>
        <v>1680000</v>
      </c>
      <c r="N498" s="6" t="s">
        <v>1571</v>
      </c>
      <c r="O498" s="5" t="s">
        <v>268</v>
      </c>
      <c r="P498" s="5" t="s">
        <v>1042</v>
      </c>
      <c r="R498" s="8">
        <f>1679999</f>
        <v>1679999</v>
      </c>
      <c r="S498" s="5" t="s">
        <v>240</v>
      </c>
      <c r="T498" s="5" t="s">
        <v>237</v>
      </c>
      <c r="U498" s="5" t="s">
        <v>238</v>
      </c>
      <c r="V498" s="5" t="s">
        <v>238</v>
      </c>
      <c r="W498" s="5" t="s">
        <v>241</v>
      </c>
      <c r="X498" s="5" t="s">
        <v>337</v>
      </c>
      <c r="Y498" s="5" t="s">
        <v>238</v>
      </c>
      <c r="AB498" s="5" t="s">
        <v>238</v>
      </c>
      <c r="AD498" s="6" t="s">
        <v>238</v>
      </c>
      <c r="AG498" s="6" t="s">
        <v>246</v>
      </c>
      <c r="AH498" s="5" t="s">
        <v>247</v>
      </c>
      <c r="AI498" s="5" t="s">
        <v>248</v>
      </c>
      <c r="AY498" s="5" t="s">
        <v>250</v>
      </c>
      <c r="AZ498" s="5" t="s">
        <v>238</v>
      </c>
      <c r="BA498" s="5" t="s">
        <v>251</v>
      </c>
      <c r="BB498" s="5" t="s">
        <v>238</v>
      </c>
      <c r="BC498" s="5" t="s">
        <v>253</v>
      </c>
      <c r="BD498" s="5" t="s">
        <v>238</v>
      </c>
      <c r="BF498" s="5" t="s">
        <v>238</v>
      </c>
      <c r="BH498" s="5" t="s">
        <v>859</v>
      </c>
      <c r="BI498" s="6" t="s">
        <v>368</v>
      </c>
      <c r="BJ498" s="5" t="s">
        <v>255</v>
      </c>
      <c r="BK498" s="5" t="s">
        <v>256</v>
      </c>
      <c r="BL498" s="5" t="s">
        <v>238</v>
      </c>
      <c r="BM498" s="7">
        <f>0</f>
        <v>0</v>
      </c>
      <c r="BN498" s="8">
        <f>0</f>
        <v>0</v>
      </c>
      <c r="BO498" s="5" t="s">
        <v>257</v>
      </c>
      <c r="BP498" s="5" t="s">
        <v>258</v>
      </c>
      <c r="CD498" s="5" t="s">
        <v>238</v>
      </c>
      <c r="CE498" s="5" t="s">
        <v>238</v>
      </c>
      <c r="CI498" s="5" t="s">
        <v>527</v>
      </c>
      <c r="CJ498" s="5" t="s">
        <v>260</v>
      </c>
      <c r="CK498" s="5" t="s">
        <v>238</v>
      </c>
      <c r="CM498" s="5" t="s">
        <v>699</v>
      </c>
      <c r="CN498" s="6" t="s">
        <v>262</v>
      </c>
      <c r="CO498" s="5" t="s">
        <v>263</v>
      </c>
      <c r="CP498" s="5" t="s">
        <v>264</v>
      </c>
      <c r="CQ498" s="5" t="s">
        <v>238</v>
      </c>
      <c r="CR498" s="5" t="s">
        <v>238</v>
      </c>
      <c r="CS498" s="5">
        <v>0</v>
      </c>
      <c r="CT498" s="5" t="s">
        <v>265</v>
      </c>
      <c r="CU498" s="5" t="s">
        <v>351</v>
      </c>
      <c r="CV498" s="5" t="s">
        <v>394</v>
      </c>
      <c r="CX498" s="8">
        <f>1680000</f>
        <v>1680000</v>
      </c>
      <c r="CY498" s="8">
        <f>0</f>
        <v>0</v>
      </c>
      <c r="DA498" s="5" t="s">
        <v>238</v>
      </c>
      <c r="DB498" s="5" t="s">
        <v>238</v>
      </c>
      <c r="DD498" s="5" t="s">
        <v>238</v>
      </c>
      <c r="DG498" s="5" t="s">
        <v>238</v>
      </c>
      <c r="DH498" s="5" t="s">
        <v>238</v>
      </c>
      <c r="DI498" s="5" t="s">
        <v>238</v>
      </c>
      <c r="DJ498" s="5" t="s">
        <v>238</v>
      </c>
      <c r="DK498" s="5" t="s">
        <v>271</v>
      </c>
      <c r="DL498" s="5" t="s">
        <v>272</v>
      </c>
      <c r="DM498" s="7">
        <f>24</f>
        <v>24</v>
      </c>
      <c r="DN498" s="5" t="s">
        <v>238</v>
      </c>
      <c r="DO498" s="5" t="s">
        <v>238</v>
      </c>
      <c r="DP498" s="5" t="s">
        <v>238</v>
      </c>
      <c r="DQ498" s="5" t="s">
        <v>238</v>
      </c>
      <c r="DT498" s="5" t="s">
        <v>1051</v>
      </c>
      <c r="DU498" s="5" t="s">
        <v>310</v>
      </c>
      <c r="HM498" s="5" t="s">
        <v>271</v>
      </c>
      <c r="HP498" s="5" t="s">
        <v>272</v>
      </c>
      <c r="HQ498" s="5" t="s">
        <v>272</v>
      </c>
    </row>
    <row r="499" spans="1:238" x14ac:dyDescent="0.4">
      <c r="A499" s="5">
        <v>535</v>
      </c>
      <c r="B499" s="5">
        <v>1</v>
      </c>
      <c r="C499" s="5">
        <v>4</v>
      </c>
      <c r="D499" s="5" t="s">
        <v>1047</v>
      </c>
      <c r="E499" s="5" t="s">
        <v>347</v>
      </c>
      <c r="F499" s="5" t="s">
        <v>282</v>
      </c>
      <c r="G499" s="5" t="s">
        <v>3118</v>
      </c>
      <c r="H499" s="6" t="s">
        <v>1049</v>
      </c>
      <c r="I499" s="5" t="s">
        <v>3117</v>
      </c>
      <c r="J499" s="7">
        <f>0</f>
        <v>0</v>
      </c>
      <c r="K499" s="5" t="s">
        <v>270</v>
      </c>
      <c r="L499" s="8">
        <f>615905</f>
        <v>615905</v>
      </c>
      <c r="M499" s="8">
        <f>1231810</f>
        <v>1231810</v>
      </c>
      <c r="N499" s="6" t="s">
        <v>1348</v>
      </c>
      <c r="O499" s="5" t="s">
        <v>377</v>
      </c>
      <c r="P499" s="5" t="s">
        <v>356</v>
      </c>
      <c r="Q499" s="8">
        <f>123181</f>
        <v>123181</v>
      </c>
      <c r="R499" s="8">
        <f>615905</f>
        <v>615905</v>
      </c>
      <c r="S499" s="5" t="s">
        <v>240</v>
      </c>
      <c r="T499" s="5" t="s">
        <v>287</v>
      </c>
      <c r="U499" s="5" t="s">
        <v>238</v>
      </c>
      <c r="V499" s="5" t="s">
        <v>238</v>
      </c>
      <c r="W499" s="5" t="s">
        <v>241</v>
      </c>
      <c r="X499" s="5" t="s">
        <v>337</v>
      </c>
      <c r="Y499" s="5" t="s">
        <v>238</v>
      </c>
      <c r="AB499" s="5" t="s">
        <v>238</v>
      </c>
      <c r="AC499" s="6" t="s">
        <v>238</v>
      </c>
      <c r="AD499" s="6" t="s">
        <v>238</v>
      </c>
      <c r="AF499" s="6" t="s">
        <v>238</v>
      </c>
      <c r="AG499" s="6" t="s">
        <v>246</v>
      </c>
      <c r="AH499" s="5" t="s">
        <v>247</v>
      </c>
      <c r="AI499" s="5" t="s">
        <v>248</v>
      </c>
      <c r="AO499" s="5" t="s">
        <v>238</v>
      </c>
      <c r="AP499" s="5" t="s">
        <v>238</v>
      </c>
      <c r="AQ499" s="5" t="s">
        <v>238</v>
      </c>
      <c r="AR499" s="6" t="s">
        <v>238</v>
      </c>
      <c r="AS499" s="6" t="s">
        <v>238</v>
      </c>
      <c r="AT499" s="6" t="s">
        <v>238</v>
      </c>
      <c r="AW499" s="5" t="s">
        <v>304</v>
      </c>
      <c r="AX499" s="5" t="s">
        <v>304</v>
      </c>
      <c r="AY499" s="5" t="s">
        <v>250</v>
      </c>
      <c r="AZ499" s="5" t="s">
        <v>305</v>
      </c>
      <c r="BA499" s="5" t="s">
        <v>251</v>
      </c>
      <c r="BB499" s="5" t="s">
        <v>238</v>
      </c>
      <c r="BC499" s="5" t="s">
        <v>253</v>
      </c>
      <c r="BD499" s="5" t="s">
        <v>238</v>
      </c>
      <c r="BF499" s="5" t="s">
        <v>238</v>
      </c>
      <c r="BH499" s="5" t="s">
        <v>283</v>
      </c>
      <c r="BI499" s="6" t="s">
        <v>293</v>
      </c>
      <c r="BJ499" s="5" t="s">
        <v>294</v>
      </c>
      <c r="BK499" s="5" t="s">
        <v>294</v>
      </c>
      <c r="BL499" s="5" t="s">
        <v>238</v>
      </c>
      <c r="BM499" s="7">
        <f>0</f>
        <v>0</v>
      </c>
      <c r="BN499" s="8">
        <f>-123181</f>
        <v>-123181</v>
      </c>
      <c r="BO499" s="5" t="s">
        <v>257</v>
      </c>
      <c r="BP499" s="5" t="s">
        <v>258</v>
      </c>
      <c r="BQ499" s="5" t="s">
        <v>238</v>
      </c>
      <c r="BR499" s="5" t="s">
        <v>238</v>
      </c>
      <c r="BS499" s="5" t="s">
        <v>238</v>
      </c>
      <c r="BT499" s="5" t="s">
        <v>238</v>
      </c>
      <c r="CC499" s="5" t="s">
        <v>258</v>
      </c>
      <c r="CD499" s="5" t="s">
        <v>238</v>
      </c>
      <c r="CE499" s="5" t="s">
        <v>238</v>
      </c>
      <c r="CI499" s="5" t="s">
        <v>259</v>
      </c>
      <c r="CJ499" s="5" t="s">
        <v>260</v>
      </c>
      <c r="CK499" s="5" t="s">
        <v>238</v>
      </c>
      <c r="CM499" s="5" t="s">
        <v>376</v>
      </c>
      <c r="CN499" s="6" t="s">
        <v>262</v>
      </c>
      <c r="CO499" s="5" t="s">
        <v>263</v>
      </c>
      <c r="CP499" s="5" t="s">
        <v>264</v>
      </c>
      <c r="CQ499" s="5" t="s">
        <v>285</v>
      </c>
      <c r="CR499" s="5" t="s">
        <v>238</v>
      </c>
      <c r="CS499" s="5">
        <v>0.1</v>
      </c>
      <c r="CT499" s="5" t="s">
        <v>265</v>
      </c>
      <c r="CU499" s="5" t="s">
        <v>351</v>
      </c>
      <c r="CV499" s="5" t="s">
        <v>458</v>
      </c>
      <c r="CW499" s="7">
        <f>0</f>
        <v>0</v>
      </c>
      <c r="CX499" s="8">
        <f>1231810</f>
        <v>1231810</v>
      </c>
      <c r="CY499" s="8">
        <f>739086</f>
        <v>739086</v>
      </c>
      <c r="DA499" s="5" t="s">
        <v>238</v>
      </c>
      <c r="DB499" s="5" t="s">
        <v>238</v>
      </c>
      <c r="DD499" s="5" t="s">
        <v>238</v>
      </c>
      <c r="DE499" s="8">
        <f>0</f>
        <v>0</v>
      </c>
      <c r="DG499" s="5" t="s">
        <v>238</v>
      </c>
      <c r="DH499" s="5" t="s">
        <v>238</v>
      </c>
      <c r="DI499" s="5" t="s">
        <v>238</v>
      </c>
      <c r="DJ499" s="5" t="s">
        <v>238</v>
      </c>
      <c r="DK499" s="5" t="s">
        <v>272</v>
      </c>
      <c r="DL499" s="5" t="s">
        <v>272</v>
      </c>
      <c r="DM499" s="8" t="s">
        <v>238</v>
      </c>
      <c r="DN499" s="5" t="s">
        <v>238</v>
      </c>
      <c r="DO499" s="5" t="s">
        <v>238</v>
      </c>
      <c r="DP499" s="5" t="s">
        <v>238</v>
      </c>
      <c r="DQ499" s="5" t="s">
        <v>238</v>
      </c>
      <c r="DT499" s="5" t="s">
        <v>1051</v>
      </c>
      <c r="DU499" s="5" t="s">
        <v>379</v>
      </c>
      <c r="GL499" s="5" t="s">
        <v>3160</v>
      </c>
      <c r="HM499" s="5" t="s">
        <v>379</v>
      </c>
      <c r="HP499" s="5" t="s">
        <v>272</v>
      </c>
      <c r="HQ499" s="5" t="s">
        <v>272</v>
      </c>
      <c r="HR499" s="5" t="s">
        <v>238</v>
      </c>
      <c r="HS499" s="5" t="s">
        <v>238</v>
      </c>
      <c r="HT499" s="5" t="s">
        <v>238</v>
      </c>
      <c r="HU499" s="5" t="s">
        <v>238</v>
      </c>
      <c r="HV499" s="5" t="s">
        <v>238</v>
      </c>
      <c r="HW499" s="5" t="s">
        <v>238</v>
      </c>
      <c r="HX499" s="5" t="s">
        <v>238</v>
      </c>
      <c r="HY499" s="5" t="s">
        <v>238</v>
      </c>
      <c r="HZ499" s="5" t="s">
        <v>238</v>
      </c>
      <c r="IA499" s="5" t="s">
        <v>238</v>
      </c>
      <c r="IB499" s="5" t="s">
        <v>238</v>
      </c>
      <c r="IC499" s="5" t="s">
        <v>238</v>
      </c>
      <c r="ID499" s="5" t="s">
        <v>238</v>
      </c>
    </row>
    <row r="500" spans="1:238" x14ac:dyDescent="0.4">
      <c r="A500" s="5">
        <v>536</v>
      </c>
      <c r="B500" s="5">
        <v>1</v>
      </c>
      <c r="C500" s="5">
        <v>4</v>
      </c>
      <c r="D500" s="5" t="s">
        <v>1047</v>
      </c>
      <c r="E500" s="5" t="s">
        <v>347</v>
      </c>
      <c r="F500" s="5" t="s">
        <v>282</v>
      </c>
      <c r="G500" s="5" t="s">
        <v>349</v>
      </c>
      <c r="H500" s="6" t="s">
        <v>1049</v>
      </c>
      <c r="I500" s="5" t="s">
        <v>345</v>
      </c>
      <c r="J500" s="7">
        <f>0</f>
        <v>0</v>
      </c>
      <c r="K500" s="5" t="s">
        <v>270</v>
      </c>
      <c r="L500" s="8">
        <f>25128777</f>
        <v>25128777</v>
      </c>
      <c r="M500" s="8">
        <f>32677212</f>
        <v>32677212</v>
      </c>
      <c r="N500" s="6" t="s">
        <v>348</v>
      </c>
      <c r="O500" s="5" t="s">
        <v>319</v>
      </c>
      <c r="P500" s="5" t="s">
        <v>271</v>
      </c>
      <c r="Q500" s="8">
        <f>2516145</f>
        <v>2516145</v>
      </c>
      <c r="R500" s="8">
        <f>7548435</f>
        <v>7548435</v>
      </c>
      <c r="S500" s="5" t="s">
        <v>240</v>
      </c>
      <c r="T500" s="5" t="s">
        <v>287</v>
      </c>
      <c r="U500" s="5" t="s">
        <v>238</v>
      </c>
      <c r="V500" s="5" t="s">
        <v>238</v>
      </c>
      <c r="W500" s="5" t="s">
        <v>241</v>
      </c>
      <c r="X500" s="5" t="s">
        <v>238</v>
      </c>
      <c r="Y500" s="5" t="s">
        <v>238</v>
      </c>
      <c r="AB500" s="5" t="s">
        <v>238</v>
      </c>
      <c r="AC500" s="6" t="s">
        <v>238</v>
      </c>
      <c r="AD500" s="6" t="s">
        <v>238</v>
      </c>
      <c r="AF500" s="6" t="s">
        <v>238</v>
      </c>
      <c r="AG500" s="6" t="s">
        <v>246</v>
      </c>
      <c r="AH500" s="5" t="s">
        <v>247</v>
      </c>
      <c r="AI500" s="5" t="s">
        <v>248</v>
      </c>
      <c r="AO500" s="5" t="s">
        <v>238</v>
      </c>
      <c r="AP500" s="5" t="s">
        <v>238</v>
      </c>
      <c r="AQ500" s="5" t="s">
        <v>238</v>
      </c>
      <c r="AR500" s="6" t="s">
        <v>238</v>
      </c>
      <c r="AS500" s="6" t="s">
        <v>238</v>
      </c>
      <c r="AT500" s="6" t="s">
        <v>238</v>
      </c>
      <c r="AW500" s="5" t="s">
        <v>304</v>
      </c>
      <c r="AX500" s="5" t="s">
        <v>304</v>
      </c>
      <c r="AY500" s="5" t="s">
        <v>250</v>
      </c>
      <c r="AZ500" s="5" t="s">
        <v>305</v>
      </c>
      <c r="BA500" s="5" t="s">
        <v>251</v>
      </c>
      <c r="BB500" s="5" t="s">
        <v>238</v>
      </c>
      <c r="BC500" s="5" t="s">
        <v>253</v>
      </c>
      <c r="BD500" s="5" t="s">
        <v>238</v>
      </c>
      <c r="BF500" s="5" t="s">
        <v>238</v>
      </c>
      <c r="BH500" s="5" t="s">
        <v>283</v>
      </c>
      <c r="BI500" s="6" t="s">
        <v>293</v>
      </c>
      <c r="BJ500" s="5" t="s">
        <v>294</v>
      </c>
      <c r="BK500" s="5" t="s">
        <v>294</v>
      </c>
      <c r="BL500" s="5" t="s">
        <v>238</v>
      </c>
      <c r="BM500" s="7">
        <f>0</f>
        <v>0</v>
      </c>
      <c r="BN500" s="8">
        <f>-2516145</f>
        <v>-2516145</v>
      </c>
      <c r="BO500" s="5" t="s">
        <v>257</v>
      </c>
      <c r="BP500" s="5" t="s">
        <v>258</v>
      </c>
      <c r="BQ500" s="5" t="s">
        <v>238</v>
      </c>
      <c r="BR500" s="5" t="s">
        <v>238</v>
      </c>
      <c r="BS500" s="5" t="s">
        <v>238</v>
      </c>
      <c r="BT500" s="5" t="s">
        <v>238</v>
      </c>
      <c r="CC500" s="5" t="s">
        <v>258</v>
      </c>
      <c r="CD500" s="5" t="s">
        <v>238</v>
      </c>
      <c r="CE500" s="5" t="s">
        <v>238</v>
      </c>
      <c r="CI500" s="5" t="s">
        <v>259</v>
      </c>
      <c r="CJ500" s="5" t="s">
        <v>260</v>
      </c>
      <c r="CK500" s="5" t="s">
        <v>238</v>
      </c>
      <c r="CM500" s="5" t="s">
        <v>291</v>
      </c>
      <c r="CN500" s="6" t="s">
        <v>262</v>
      </c>
      <c r="CO500" s="5" t="s">
        <v>263</v>
      </c>
      <c r="CP500" s="5" t="s">
        <v>264</v>
      </c>
      <c r="CQ500" s="5" t="s">
        <v>285</v>
      </c>
      <c r="CR500" s="5" t="s">
        <v>238</v>
      </c>
      <c r="CS500" s="5">
        <v>7.6999999999999999E-2</v>
      </c>
      <c r="CT500" s="5" t="s">
        <v>265</v>
      </c>
      <c r="CU500" s="5" t="s">
        <v>351</v>
      </c>
      <c r="CV500" s="5" t="s">
        <v>352</v>
      </c>
      <c r="CW500" s="7">
        <f>0</f>
        <v>0</v>
      </c>
      <c r="CX500" s="8">
        <f>32677212</f>
        <v>32677212</v>
      </c>
      <c r="CY500" s="8">
        <f>27644922</f>
        <v>27644922</v>
      </c>
      <c r="DA500" s="5" t="s">
        <v>238</v>
      </c>
      <c r="DB500" s="5" t="s">
        <v>238</v>
      </c>
      <c r="DD500" s="5" t="s">
        <v>238</v>
      </c>
      <c r="DE500" s="8">
        <f>0</f>
        <v>0</v>
      </c>
      <c r="DG500" s="5" t="s">
        <v>238</v>
      </c>
      <c r="DH500" s="5" t="s">
        <v>238</v>
      </c>
      <c r="DI500" s="5" t="s">
        <v>238</v>
      </c>
      <c r="DJ500" s="5" t="s">
        <v>238</v>
      </c>
      <c r="DK500" s="5" t="s">
        <v>272</v>
      </c>
      <c r="DL500" s="5" t="s">
        <v>272</v>
      </c>
      <c r="DM500" s="8" t="s">
        <v>238</v>
      </c>
      <c r="DN500" s="5" t="s">
        <v>238</v>
      </c>
      <c r="DO500" s="5" t="s">
        <v>238</v>
      </c>
      <c r="DP500" s="5" t="s">
        <v>238</v>
      </c>
      <c r="DQ500" s="5" t="s">
        <v>238</v>
      </c>
      <c r="DT500" s="5" t="s">
        <v>1051</v>
      </c>
      <c r="DU500" s="5" t="s">
        <v>313</v>
      </c>
      <c r="GL500" s="5" t="s">
        <v>3159</v>
      </c>
      <c r="HM500" s="5" t="s">
        <v>356</v>
      </c>
      <c r="HP500" s="5" t="s">
        <v>272</v>
      </c>
      <c r="HQ500" s="5" t="s">
        <v>272</v>
      </c>
      <c r="HR500" s="5" t="s">
        <v>238</v>
      </c>
      <c r="HS500" s="5" t="s">
        <v>238</v>
      </c>
      <c r="HT500" s="5" t="s">
        <v>238</v>
      </c>
      <c r="HU500" s="5" t="s">
        <v>238</v>
      </c>
      <c r="HV500" s="5" t="s">
        <v>238</v>
      </c>
      <c r="HW500" s="5" t="s">
        <v>238</v>
      </c>
      <c r="HX500" s="5" t="s">
        <v>238</v>
      </c>
      <c r="HY500" s="5" t="s">
        <v>238</v>
      </c>
      <c r="HZ500" s="5" t="s">
        <v>238</v>
      </c>
      <c r="IA500" s="5" t="s">
        <v>238</v>
      </c>
      <c r="IB500" s="5" t="s">
        <v>238</v>
      </c>
      <c r="IC500" s="5" t="s">
        <v>238</v>
      </c>
      <c r="ID500" s="5" t="s">
        <v>238</v>
      </c>
    </row>
    <row r="501" spans="1:238" x14ac:dyDescent="0.4">
      <c r="A501" s="5">
        <v>537</v>
      </c>
      <c r="B501" s="5">
        <v>1</v>
      </c>
      <c r="C501" s="5">
        <v>4</v>
      </c>
      <c r="D501" s="5" t="s">
        <v>357</v>
      </c>
      <c r="E501" s="5" t="s">
        <v>454</v>
      </c>
      <c r="F501" s="5" t="s">
        <v>282</v>
      </c>
      <c r="G501" s="5" t="s">
        <v>349</v>
      </c>
      <c r="H501" s="6" t="s">
        <v>359</v>
      </c>
      <c r="I501" s="5" t="s">
        <v>3156</v>
      </c>
      <c r="J501" s="7">
        <f>0</f>
        <v>0</v>
      </c>
      <c r="K501" s="5" t="s">
        <v>270</v>
      </c>
      <c r="L501" s="8">
        <f>304521</f>
        <v>304521</v>
      </c>
      <c r="M501" s="8">
        <f>440057</f>
        <v>440057</v>
      </c>
      <c r="N501" s="6" t="s">
        <v>1347</v>
      </c>
      <c r="O501" s="5" t="s">
        <v>319</v>
      </c>
      <c r="P501" s="5" t="s">
        <v>274</v>
      </c>
      <c r="Q501" s="8">
        <f>33884</f>
        <v>33884</v>
      </c>
      <c r="R501" s="8">
        <f>135536</f>
        <v>135536</v>
      </c>
      <c r="S501" s="5" t="s">
        <v>240</v>
      </c>
      <c r="T501" s="5" t="s">
        <v>287</v>
      </c>
      <c r="U501" s="5" t="s">
        <v>238</v>
      </c>
      <c r="V501" s="5" t="s">
        <v>238</v>
      </c>
      <c r="W501" s="5" t="s">
        <v>241</v>
      </c>
      <c r="X501" s="5" t="s">
        <v>238</v>
      </c>
      <c r="Y501" s="5" t="s">
        <v>238</v>
      </c>
      <c r="AB501" s="5" t="s">
        <v>238</v>
      </c>
      <c r="AC501" s="6" t="s">
        <v>238</v>
      </c>
      <c r="AD501" s="6" t="s">
        <v>238</v>
      </c>
      <c r="AF501" s="6" t="s">
        <v>238</v>
      </c>
      <c r="AG501" s="6" t="s">
        <v>1627</v>
      </c>
      <c r="AH501" s="5" t="s">
        <v>247</v>
      </c>
      <c r="AI501" s="5" t="s">
        <v>248</v>
      </c>
      <c r="AO501" s="5" t="s">
        <v>238</v>
      </c>
      <c r="AP501" s="5" t="s">
        <v>238</v>
      </c>
      <c r="AQ501" s="5" t="s">
        <v>238</v>
      </c>
      <c r="AR501" s="6" t="s">
        <v>238</v>
      </c>
      <c r="AS501" s="6" t="s">
        <v>238</v>
      </c>
      <c r="AT501" s="6" t="s">
        <v>238</v>
      </c>
      <c r="AW501" s="5" t="s">
        <v>304</v>
      </c>
      <c r="AX501" s="5" t="s">
        <v>304</v>
      </c>
      <c r="AY501" s="5" t="s">
        <v>250</v>
      </c>
      <c r="AZ501" s="5" t="s">
        <v>305</v>
      </c>
      <c r="BA501" s="5" t="s">
        <v>251</v>
      </c>
      <c r="BB501" s="5" t="s">
        <v>238</v>
      </c>
      <c r="BC501" s="5" t="s">
        <v>253</v>
      </c>
      <c r="BD501" s="5" t="s">
        <v>238</v>
      </c>
      <c r="BF501" s="5" t="s">
        <v>238</v>
      </c>
      <c r="BH501" s="5" t="s">
        <v>283</v>
      </c>
      <c r="BI501" s="6" t="s">
        <v>293</v>
      </c>
      <c r="BJ501" s="5" t="s">
        <v>294</v>
      </c>
      <c r="BK501" s="5" t="s">
        <v>294</v>
      </c>
      <c r="BL501" s="5" t="s">
        <v>238</v>
      </c>
      <c r="BM501" s="7">
        <f>0</f>
        <v>0</v>
      </c>
      <c r="BN501" s="8">
        <f>-33884</f>
        <v>-33884</v>
      </c>
      <c r="BO501" s="5" t="s">
        <v>257</v>
      </c>
      <c r="BP501" s="5" t="s">
        <v>258</v>
      </c>
      <c r="BQ501" s="5" t="s">
        <v>238</v>
      </c>
      <c r="BR501" s="5" t="s">
        <v>238</v>
      </c>
      <c r="BS501" s="5" t="s">
        <v>238</v>
      </c>
      <c r="BT501" s="5" t="s">
        <v>238</v>
      </c>
      <c r="CC501" s="5" t="s">
        <v>258</v>
      </c>
      <c r="CD501" s="5" t="s">
        <v>238</v>
      </c>
      <c r="CE501" s="5" t="s">
        <v>238</v>
      </c>
      <c r="CI501" s="5" t="s">
        <v>259</v>
      </c>
      <c r="CJ501" s="5" t="s">
        <v>260</v>
      </c>
      <c r="CK501" s="5" t="s">
        <v>238</v>
      </c>
      <c r="CM501" s="5" t="s">
        <v>402</v>
      </c>
      <c r="CN501" s="6" t="s">
        <v>262</v>
      </c>
      <c r="CO501" s="5" t="s">
        <v>263</v>
      </c>
      <c r="CP501" s="5" t="s">
        <v>264</v>
      </c>
      <c r="CQ501" s="5" t="s">
        <v>285</v>
      </c>
      <c r="CR501" s="5" t="s">
        <v>238</v>
      </c>
      <c r="CS501" s="5">
        <v>7.6999999999999999E-2</v>
      </c>
      <c r="CT501" s="5" t="s">
        <v>265</v>
      </c>
      <c r="CU501" s="5" t="s">
        <v>351</v>
      </c>
      <c r="CV501" s="5" t="s">
        <v>352</v>
      </c>
      <c r="CW501" s="7">
        <f>0</f>
        <v>0</v>
      </c>
      <c r="CX501" s="8">
        <f>440057</f>
        <v>440057</v>
      </c>
      <c r="CY501" s="8">
        <f>338405</f>
        <v>338405</v>
      </c>
      <c r="DA501" s="5" t="s">
        <v>238</v>
      </c>
      <c r="DB501" s="5" t="s">
        <v>238</v>
      </c>
      <c r="DD501" s="5" t="s">
        <v>238</v>
      </c>
      <c r="DE501" s="8">
        <f>0</f>
        <v>0</v>
      </c>
      <c r="DG501" s="5" t="s">
        <v>238</v>
      </c>
      <c r="DH501" s="5" t="s">
        <v>238</v>
      </c>
      <c r="DI501" s="5" t="s">
        <v>238</v>
      </c>
      <c r="DJ501" s="5" t="s">
        <v>238</v>
      </c>
      <c r="DK501" s="5" t="s">
        <v>272</v>
      </c>
      <c r="DL501" s="5" t="s">
        <v>272</v>
      </c>
      <c r="DM501" s="8" t="s">
        <v>238</v>
      </c>
      <c r="DN501" s="5" t="s">
        <v>238</v>
      </c>
      <c r="DO501" s="5" t="s">
        <v>238</v>
      </c>
      <c r="DP501" s="5" t="s">
        <v>238</v>
      </c>
      <c r="DQ501" s="5" t="s">
        <v>238</v>
      </c>
      <c r="DT501" s="5" t="s">
        <v>3157</v>
      </c>
      <c r="DU501" s="5" t="s">
        <v>271</v>
      </c>
      <c r="GL501" s="5" t="s">
        <v>3158</v>
      </c>
      <c r="HM501" s="5" t="s">
        <v>310</v>
      </c>
      <c r="HP501" s="5" t="s">
        <v>272</v>
      </c>
      <c r="HQ501" s="5" t="s">
        <v>272</v>
      </c>
      <c r="HR501" s="5" t="s">
        <v>238</v>
      </c>
      <c r="HS501" s="5" t="s">
        <v>238</v>
      </c>
      <c r="HT501" s="5" t="s">
        <v>238</v>
      </c>
      <c r="HU501" s="5" t="s">
        <v>238</v>
      </c>
      <c r="HV501" s="5" t="s">
        <v>238</v>
      </c>
      <c r="HW501" s="5" t="s">
        <v>238</v>
      </c>
      <c r="HX501" s="5" t="s">
        <v>238</v>
      </c>
      <c r="HY501" s="5" t="s">
        <v>238</v>
      </c>
      <c r="HZ501" s="5" t="s">
        <v>238</v>
      </c>
      <c r="IA501" s="5" t="s">
        <v>238</v>
      </c>
      <c r="IB501" s="5" t="s">
        <v>238</v>
      </c>
      <c r="IC501" s="5" t="s">
        <v>238</v>
      </c>
      <c r="ID501" s="5" t="s">
        <v>238</v>
      </c>
    </row>
    <row r="502" spans="1:238" x14ac:dyDescent="0.4">
      <c r="A502" s="5">
        <v>538</v>
      </c>
      <c r="B502" s="5">
        <v>1</v>
      </c>
      <c r="C502" s="5">
        <v>4</v>
      </c>
      <c r="D502" s="5" t="s">
        <v>1282</v>
      </c>
      <c r="E502" s="5" t="s">
        <v>347</v>
      </c>
      <c r="F502" s="5" t="s">
        <v>282</v>
      </c>
      <c r="G502" s="5" t="s">
        <v>1499</v>
      </c>
      <c r="H502" s="6" t="s">
        <v>1284</v>
      </c>
      <c r="I502" s="5" t="s">
        <v>1314</v>
      </c>
      <c r="J502" s="7">
        <f>6482</f>
        <v>6482</v>
      </c>
      <c r="K502" s="5" t="s">
        <v>270</v>
      </c>
      <c r="L502" s="8">
        <f>535153920</f>
        <v>535153920</v>
      </c>
      <c r="M502" s="8">
        <f>1393630000</f>
        <v>1393630000</v>
      </c>
      <c r="N502" s="6" t="s">
        <v>1283</v>
      </c>
      <c r="O502" s="5" t="s">
        <v>898</v>
      </c>
      <c r="P502" s="5" t="s">
        <v>1035</v>
      </c>
      <c r="Q502" s="8">
        <f>30659860</f>
        <v>30659860</v>
      </c>
      <c r="R502" s="8">
        <f>858476080</f>
        <v>858476080</v>
      </c>
      <c r="S502" s="5" t="s">
        <v>240</v>
      </c>
      <c r="T502" s="5" t="s">
        <v>237</v>
      </c>
      <c r="U502" s="5" t="s">
        <v>238</v>
      </c>
      <c r="V502" s="5" t="s">
        <v>238</v>
      </c>
      <c r="W502" s="5" t="s">
        <v>241</v>
      </c>
      <c r="X502" s="5" t="s">
        <v>337</v>
      </c>
      <c r="Y502" s="5" t="s">
        <v>238</v>
      </c>
      <c r="AB502" s="5" t="s">
        <v>238</v>
      </c>
      <c r="AC502" s="6" t="s">
        <v>238</v>
      </c>
      <c r="AD502" s="6" t="s">
        <v>238</v>
      </c>
      <c r="AF502" s="6" t="s">
        <v>238</v>
      </c>
      <c r="AG502" s="6" t="s">
        <v>1627</v>
      </c>
      <c r="AH502" s="5" t="s">
        <v>247</v>
      </c>
      <c r="AI502" s="5" t="s">
        <v>248</v>
      </c>
      <c r="AO502" s="5" t="s">
        <v>238</v>
      </c>
      <c r="AP502" s="5" t="s">
        <v>238</v>
      </c>
      <c r="AQ502" s="5" t="s">
        <v>238</v>
      </c>
      <c r="AR502" s="6" t="s">
        <v>238</v>
      </c>
      <c r="AS502" s="6" t="s">
        <v>238</v>
      </c>
      <c r="AT502" s="6" t="s">
        <v>238</v>
      </c>
      <c r="AW502" s="5" t="s">
        <v>304</v>
      </c>
      <c r="AX502" s="5" t="s">
        <v>304</v>
      </c>
      <c r="AY502" s="5" t="s">
        <v>250</v>
      </c>
      <c r="AZ502" s="5" t="s">
        <v>305</v>
      </c>
      <c r="BA502" s="5" t="s">
        <v>251</v>
      </c>
      <c r="BB502" s="5" t="s">
        <v>238</v>
      </c>
      <c r="BC502" s="5" t="s">
        <v>253</v>
      </c>
      <c r="BD502" s="5" t="s">
        <v>238</v>
      </c>
      <c r="BF502" s="5" t="s">
        <v>238</v>
      </c>
      <c r="BH502" s="5" t="s">
        <v>283</v>
      </c>
      <c r="BI502" s="6" t="s">
        <v>293</v>
      </c>
      <c r="BJ502" s="5" t="s">
        <v>294</v>
      </c>
      <c r="BK502" s="5" t="s">
        <v>294</v>
      </c>
      <c r="BL502" s="5" t="s">
        <v>238</v>
      </c>
      <c r="BM502" s="7">
        <f>0</f>
        <v>0</v>
      </c>
      <c r="BN502" s="8">
        <f>-30659860</f>
        <v>-30659860</v>
      </c>
      <c r="BO502" s="5" t="s">
        <v>257</v>
      </c>
      <c r="BP502" s="5" t="s">
        <v>258</v>
      </c>
      <c r="BQ502" s="5" t="s">
        <v>238</v>
      </c>
      <c r="BR502" s="5" t="s">
        <v>238</v>
      </c>
      <c r="BS502" s="5" t="s">
        <v>238</v>
      </c>
      <c r="BT502" s="5" t="s">
        <v>238</v>
      </c>
      <c r="CC502" s="5" t="s">
        <v>258</v>
      </c>
      <c r="CD502" s="5" t="s">
        <v>238</v>
      </c>
      <c r="CE502" s="5" t="s">
        <v>238</v>
      </c>
      <c r="CI502" s="5" t="s">
        <v>259</v>
      </c>
      <c r="CJ502" s="5" t="s">
        <v>260</v>
      </c>
      <c r="CK502" s="5" t="s">
        <v>238</v>
      </c>
      <c r="CM502" s="5" t="s">
        <v>937</v>
      </c>
      <c r="CN502" s="6" t="s">
        <v>262</v>
      </c>
      <c r="CO502" s="5" t="s">
        <v>263</v>
      </c>
      <c r="CP502" s="5" t="s">
        <v>264</v>
      </c>
      <c r="CQ502" s="5" t="s">
        <v>285</v>
      </c>
      <c r="CR502" s="5" t="s">
        <v>238</v>
      </c>
      <c r="CS502" s="5">
        <v>2.1999999999999999E-2</v>
      </c>
      <c r="CT502" s="5" t="s">
        <v>265</v>
      </c>
      <c r="CU502" s="5" t="s">
        <v>1493</v>
      </c>
      <c r="CV502" s="5" t="s">
        <v>308</v>
      </c>
      <c r="CW502" s="7">
        <f>0</f>
        <v>0</v>
      </c>
      <c r="CX502" s="8">
        <f>1393630000</f>
        <v>1393630000</v>
      </c>
      <c r="CY502" s="8">
        <f>565813780</f>
        <v>565813780</v>
      </c>
      <c r="DA502" s="5" t="s">
        <v>238</v>
      </c>
      <c r="DB502" s="5" t="s">
        <v>238</v>
      </c>
      <c r="DD502" s="5" t="s">
        <v>238</v>
      </c>
      <c r="DE502" s="8">
        <f>0</f>
        <v>0</v>
      </c>
      <c r="DG502" s="5" t="s">
        <v>238</v>
      </c>
      <c r="DH502" s="5" t="s">
        <v>238</v>
      </c>
      <c r="DI502" s="5" t="s">
        <v>238</v>
      </c>
      <c r="DJ502" s="5" t="s">
        <v>238</v>
      </c>
      <c r="DK502" s="5" t="s">
        <v>356</v>
      </c>
      <c r="DL502" s="5" t="s">
        <v>272</v>
      </c>
      <c r="DM502" s="7">
        <f>6482</f>
        <v>6482</v>
      </c>
      <c r="DN502" s="5" t="s">
        <v>238</v>
      </c>
      <c r="DO502" s="5" t="s">
        <v>238</v>
      </c>
      <c r="DP502" s="5" t="s">
        <v>238</v>
      </c>
      <c r="DQ502" s="5" t="s">
        <v>238</v>
      </c>
      <c r="DT502" s="5" t="s">
        <v>1285</v>
      </c>
      <c r="DU502" s="5" t="s">
        <v>271</v>
      </c>
      <c r="GL502" s="5" t="s">
        <v>1628</v>
      </c>
      <c r="HM502" s="5" t="s">
        <v>313</v>
      </c>
      <c r="HP502" s="5" t="s">
        <v>272</v>
      </c>
      <c r="HQ502" s="5" t="s">
        <v>272</v>
      </c>
      <c r="HR502" s="5" t="s">
        <v>238</v>
      </c>
      <c r="HS502" s="5" t="s">
        <v>238</v>
      </c>
      <c r="HT502" s="5" t="s">
        <v>238</v>
      </c>
      <c r="HU502" s="5" t="s">
        <v>238</v>
      </c>
      <c r="HV502" s="5" t="s">
        <v>238</v>
      </c>
      <c r="HW502" s="5" t="s">
        <v>238</v>
      </c>
      <c r="HX502" s="5" t="s">
        <v>238</v>
      </c>
      <c r="HY502" s="5" t="s">
        <v>238</v>
      </c>
      <c r="HZ502" s="5" t="s">
        <v>238</v>
      </c>
      <c r="IA502" s="5" t="s">
        <v>238</v>
      </c>
      <c r="IB502" s="5" t="s">
        <v>238</v>
      </c>
      <c r="IC502" s="5" t="s">
        <v>238</v>
      </c>
      <c r="ID502" s="5" t="s">
        <v>238</v>
      </c>
    </row>
    <row r="503" spans="1:238" x14ac:dyDescent="0.4">
      <c r="A503" s="5">
        <v>539</v>
      </c>
      <c r="B503" s="5">
        <v>1</v>
      </c>
      <c r="C503" s="5">
        <v>4</v>
      </c>
      <c r="D503" s="5" t="s">
        <v>1282</v>
      </c>
      <c r="E503" s="5" t="s">
        <v>347</v>
      </c>
      <c r="F503" s="5" t="s">
        <v>282</v>
      </c>
      <c r="G503" s="5" t="s">
        <v>1499</v>
      </c>
      <c r="H503" s="6" t="s">
        <v>1284</v>
      </c>
      <c r="I503" s="5" t="s">
        <v>1314</v>
      </c>
      <c r="J503" s="7">
        <f>802</f>
        <v>802</v>
      </c>
      <c r="K503" s="5" t="s">
        <v>270</v>
      </c>
      <c r="L503" s="8">
        <f>70006580</f>
        <v>70006580</v>
      </c>
      <c r="M503" s="8">
        <f>172430000</f>
        <v>172430000</v>
      </c>
      <c r="N503" s="6" t="s">
        <v>1629</v>
      </c>
      <c r="O503" s="5" t="s">
        <v>898</v>
      </c>
      <c r="P503" s="5" t="s">
        <v>640</v>
      </c>
      <c r="Q503" s="8">
        <f>3793460</f>
        <v>3793460</v>
      </c>
      <c r="R503" s="8">
        <f>102423420</f>
        <v>102423420</v>
      </c>
      <c r="S503" s="5" t="s">
        <v>240</v>
      </c>
      <c r="T503" s="5" t="s">
        <v>237</v>
      </c>
      <c r="U503" s="5" t="s">
        <v>238</v>
      </c>
      <c r="V503" s="5" t="s">
        <v>238</v>
      </c>
      <c r="W503" s="5" t="s">
        <v>241</v>
      </c>
      <c r="X503" s="5" t="s">
        <v>337</v>
      </c>
      <c r="Y503" s="5" t="s">
        <v>238</v>
      </c>
      <c r="AB503" s="5" t="s">
        <v>238</v>
      </c>
      <c r="AC503" s="6" t="s">
        <v>238</v>
      </c>
      <c r="AD503" s="6" t="s">
        <v>238</v>
      </c>
      <c r="AF503" s="6" t="s">
        <v>238</v>
      </c>
      <c r="AG503" s="6" t="s">
        <v>1627</v>
      </c>
      <c r="AH503" s="5" t="s">
        <v>247</v>
      </c>
      <c r="AI503" s="5" t="s">
        <v>248</v>
      </c>
      <c r="AO503" s="5" t="s">
        <v>238</v>
      </c>
      <c r="AP503" s="5" t="s">
        <v>238</v>
      </c>
      <c r="AQ503" s="5" t="s">
        <v>238</v>
      </c>
      <c r="AR503" s="6" t="s">
        <v>238</v>
      </c>
      <c r="AS503" s="6" t="s">
        <v>238</v>
      </c>
      <c r="AT503" s="6" t="s">
        <v>238</v>
      </c>
      <c r="AW503" s="5" t="s">
        <v>304</v>
      </c>
      <c r="AX503" s="5" t="s">
        <v>304</v>
      </c>
      <c r="AY503" s="5" t="s">
        <v>250</v>
      </c>
      <c r="AZ503" s="5" t="s">
        <v>305</v>
      </c>
      <c r="BA503" s="5" t="s">
        <v>251</v>
      </c>
      <c r="BB503" s="5" t="s">
        <v>238</v>
      </c>
      <c r="BC503" s="5" t="s">
        <v>253</v>
      </c>
      <c r="BD503" s="5" t="s">
        <v>238</v>
      </c>
      <c r="BF503" s="5" t="s">
        <v>238</v>
      </c>
      <c r="BH503" s="5" t="s">
        <v>283</v>
      </c>
      <c r="BI503" s="6" t="s">
        <v>293</v>
      </c>
      <c r="BJ503" s="5" t="s">
        <v>294</v>
      </c>
      <c r="BK503" s="5" t="s">
        <v>294</v>
      </c>
      <c r="BL503" s="5" t="s">
        <v>238</v>
      </c>
      <c r="BM503" s="7">
        <f>0</f>
        <v>0</v>
      </c>
      <c r="BN503" s="8">
        <f>-3793460</f>
        <v>-3793460</v>
      </c>
      <c r="BO503" s="5" t="s">
        <v>257</v>
      </c>
      <c r="BP503" s="5" t="s">
        <v>258</v>
      </c>
      <c r="BQ503" s="5" t="s">
        <v>238</v>
      </c>
      <c r="BR503" s="5" t="s">
        <v>238</v>
      </c>
      <c r="BS503" s="5" t="s">
        <v>238</v>
      </c>
      <c r="BT503" s="5" t="s">
        <v>238</v>
      </c>
      <c r="CC503" s="5" t="s">
        <v>258</v>
      </c>
      <c r="CD503" s="5" t="s">
        <v>238</v>
      </c>
      <c r="CE503" s="5" t="s">
        <v>238</v>
      </c>
      <c r="CI503" s="5" t="s">
        <v>259</v>
      </c>
      <c r="CJ503" s="5" t="s">
        <v>260</v>
      </c>
      <c r="CK503" s="5" t="s">
        <v>238</v>
      </c>
      <c r="CM503" s="5" t="s">
        <v>638</v>
      </c>
      <c r="CN503" s="6" t="s">
        <v>262</v>
      </c>
      <c r="CO503" s="5" t="s">
        <v>263</v>
      </c>
      <c r="CP503" s="5" t="s">
        <v>264</v>
      </c>
      <c r="CQ503" s="5" t="s">
        <v>285</v>
      </c>
      <c r="CR503" s="5" t="s">
        <v>238</v>
      </c>
      <c r="CS503" s="5">
        <v>2.1999999999999999E-2</v>
      </c>
      <c r="CT503" s="5" t="s">
        <v>265</v>
      </c>
      <c r="CU503" s="5" t="s">
        <v>1493</v>
      </c>
      <c r="CV503" s="5" t="s">
        <v>308</v>
      </c>
      <c r="CW503" s="7">
        <f>0</f>
        <v>0</v>
      </c>
      <c r="CX503" s="8">
        <f>172430000</f>
        <v>172430000</v>
      </c>
      <c r="CY503" s="8">
        <f>73800040</f>
        <v>73800040</v>
      </c>
      <c r="DA503" s="5" t="s">
        <v>238</v>
      </c>
      <c r="DB503" s="5" t="s">
        <v>238</v>
      </c>
      <c r="DD503" s="5" t="s">
        <v>238</v>
      </c>
      <c r="DE503" s="8">
        <f>0</f>
        <v>0</v>
      </c>
      <c r="DG503" s="5" t="s">
        <v>238</v>
      </c>
      <c r="DH503" s="5" t="s">
        <v>238</v>
      </c>
      <c r="DI503" s="5" t="s">
        <v>238</v>
      </c>
      <c r="DJ503" s="5" t="s">
        <v>238</v>
      </c>
      <c r="DK503" s="5" t="s">
        <v>271</v>
      </c>
      <c r="DL503" s="5" t="s">
        <v>272</v>
      </c>
      <c r="DM503" s="7">
        <f>802</f>
        <v>802</v>
      </c>
      <c r="DN503" s="5" t="s">
        <v>238</v>
      </c>
      <c r="DO503" s="5" t="s">
        <v>238</v>
      </c>
      <c r="DP503" s="5" t="s">
        <v>238</v>
      </c>
      <c r="DQ503" s="5" t="s">
        <v>238</v>
      </c>
      <c r="DT503" s="5" t="s">
        <v>1285</v>
      </c>
      <c r="DU503" s="5" t="s">
        <v>274</v>
      </c>
      <c r="GL503" s="5" t="s">
        <v>1630</v>
      </c>
      <c r="HM503" s="5" t="s">
        <v>313</v>
      </c>
      <c r="HP503" s="5" t="s">
        <v>272</v>
      </c>
      <c r="HQ503" s="5" t="s">
        <v>272</v>
      </c>
      <c r="HR503" s="5" t="s">
        <v>238</v>
      </c>
      <c r="HS503" s="5" t="s">
        <v>238</v>
      </c>
      <c r="HT503" s="5" t="s">
        <v>238</v>
      </c>
      <c r="HU503" s="5" t="s">
        <v>238</v>
      </c>
      <c r="HV503" s="5" t="s">
        <v>238</v>
      </c>
      <c r="HW503" s="5" t="s">
        <v>238</v>
      </c>
      <c r="HX503" s="5" t="s">
        <v>238</v>
      </c>
      <c r="HY503" s="5" t="s">
        <v>238</v>
      </c>
      <c r="HZ503" s="5" t="s">
        <v>238</v>
      </c>
      <c r="IA503" s="5" t="s">
        <v>238</v>
      </c>
      <c r="IB503" s="5" t="s">
        <v>238</v>
      </c>
      <c r="IC503" s="5" t="s">
        <v>238</v>
      </c>
      <c r="ID503" s="5" t="s">
        <v>238</v>
      </c>
    </row>
    <row r="504" spans="1:238" x14ac:dyDescent="0.4">
      <c r="A504" s="5">
        <v>540</v>
      </c>
      <c r="B504" s="5">
        <v>1</v>
      </c>
      <c r="C504" s="5">
        <v>1</v>
      </c>
      <c r="D504" s="5" t="s">
        <v>1282</v>
      </c>
      <c r="E504" s="5" t="s">
        <v>347</v>
      </c>
      <c r="F504" s="5" t="s">
        <v>282</v>
      </c>
      <c r="G504" s="5" t="s">
        <v>1308</v>
      </c>
      <c r="H504" s="6" t="s">
        <v>1284</v>
      </c>
      <c r="I504" s="5" t="s">
        <v>1308</v>
      </c>
      <c r="J504" s="7">
        <f>1586</f>
        <v>1586</v>
      </c>
      <c r="K504" s="5" t="s">
        <v>270</v>
      </c>
      <c r="L504" s="8">
        <f>1</f>
        <v>1</v>
      </c>
      <c r="M504" s="8">
        <f>126880000</f>
        <v>126880000</v>
      </c>
      <c r="N504" s="6" t="s">
        <v>1791</v>
      </c>
      <c r="O504" s="5" t="s">
        <v>755</v>
      </c>
      <c r="P504" s="5" t="s">
        <v>1793</v>
      </c>
      <c r="R504" s="8">
        <f>126879999</f>
        <v>126879999</v>
      </c>
      <c r="S504" s="5" t="s">
        <v>240</v>
      </c>
      <c r="T504" s="5" t="s">
        <v>237</v>
      </c>
      <c r="U504" s="5" t="s">
        <v>238</v>
      </c>
      <c r="V504" s="5" t="s">
        <v>238</v>
      </c>
      <c r="W504" s="5" t="s">
        <v>241</v>
      </c>
      <c r="X504" s="5" t="s">
        <v>337</v>
      </c>
      <c r="Y504" s="5" t="s">
        <v>238</v>
      </c>
      <c r="AB504" s="5" t="s">
        <v>238</v>
      </c>
      <c r="AD504" s="6" t="s">
        <v>238</v>
      </c>
      <c r="AG504" s="6" t="s">
        <v>246</v>
      </c>
      <c r="AH504" s="5" t="s">
        <v>247</v>
      </c>
      <c r="AI504" s="5" t="s">
        <v>248</v>
      </c>
      <c r="AY504" s="5" t="s">
        <v>250</v>
      </c>
      <c r="AZ504" s="5" t="s">
        <v>238</v>
      </c>
      <c r="BA504" s="5" t="s">
        <v>251</v>
      </c>
      <c r="BB504" s="5" t="s">
        <v>238</v>
      </c>
      <c r="BC504" s="5" t="s">
        <v>253</v>
      </c>
      <c r="BD504" s="5" t="s">
        <v>238</v>
      </c>
      <c r="BF504" s="5" t="s">
        <v>238</v>
      </c>
      <c r="BH504" s="5" t="s">
        <v>254</v>
      </c>
      <c r="BI504" s="6" t="s">
        <v>246</v>
      </c>
      <c r="BJ504" s="5" t="s">
        <v>255</v>
      </c>
      <c r="BK504" s="5" t="s">
        <v>256</v>
      </c>
      <c r="BL504" s="5" t="s">
        <v>238</v>
      </c>
      <c r="BM504" s="7">
        <f>0</f>
        <v>0</v>
      </c>
      <c r="BN504" s="8">
        <f>0</f>
        <v>0</v>
      </c>
      <c r="BO504" s="5" t="s">
        <v>257</v>
      </c>
      <c r="BP504" s="5" t="s">
        <v>258</v>
      </c>
      <c r="CD504" s="5" t="s">
        <v>238</v>
      </c>
      <c r="CE504" s="5" t="s">
        <v>238</v>
      </c>
      <c r="CI504" s="5" t="s">
        <v>527</v>
      </c>
      <c r="CJ504" s="5" t="s">
        <v>260</v>
      </c>
      <c r="CK504" s="5" t="s">
        <v>238</v>
      </c>
      <c r="CM504" s="5" t="s">
        <v>1792</v>
      </c>
      <c r="CN504" s="6" t="s">
        <v>262</v>
      </c>
      <c r="CO504" s="5" t="s">
        <v>263</v>
      </c>
      <c r="CP504" s="5" t="s">
        <v>264</v>
      </c>
      <c r="CQ504" s="5" t="s">
        <v>238</v>
      </c>
      <c r="CR504" s="5" t="s">
        <v>238</v>
      </c>
      <c r="CS504" s="5">
        <v>0</v>
      </c>
      <c r="CT504" s="5" t="s">
        <v>265</v>
      </c>
      <c r="CU504" s="5" t="s">
        <v>1330</v>
      </c>
      <c r="CV504" s="5" t="s">
        <v>649</v>
      </c>
      <c r="CX504" s="8">
        <f>126880000</f>
        <v>126880000</v>
      </c>
      <c r="CY504" s="8">
        <f>0</f>
        <v>0</v>
      </c>
      <c r="DA504" s="5" t="s">
        <v>238</v>
      </c>
      <c r="DB504" s="5" t="s">
        <v>238</v>
      </c>
      <c r="DD504" s="5" t="s">
        <v>238</v>
      </c>
      <c r="DG504" s="5" t="s">
        <v>238</v>
      </c>
      <c r="DH504" s="5" t="s">
        <v>238</v>
      </c>
      <c r="DI504" s="5" t="s">
        <v>238</v>
      </c>
      <c r="DJ504" s="5" t="s">
        <v>238</v>
      </c>
      <c r="DK504" s="5" t="s">
        <v>274</v>
      </c>
      <c r="DL504" s="5" t="s">
        <v>272</v>
      </c>
      <c r="DM504" s="7">
        <f>1586</f>
        <v>1586</v>
      </c>
      <c r="DN504" s="5" t="s">
        <v>238</v>
      </c>
      <c r="DO504" s="5" t="s">
        <v>238</v>
      </c>
      <c r="DP504" s="5" t="s">
        <v>238</v>
      </c>
      <c r="DQ504" s="5" t="s">
        <v>238</v>
      </c>
      <c r="DT504" s="5" t="s">
        <v>1285</v>
      </c>
      <c r="DU504" s="5" t="s">
        <v>356</v>
      </c>
      <c r="HM504" s="5" t="s">
        <v>271</v>
      </c>
      <c r="HP504" s="5" t="s">
        <v>272</v>
      </c>
      <c r="HQ504" s="5" t="s">
        <v>272</v>
      </c>
    </row>
    <row r="505" spans="1:238" x14ac:dyDescent="0.4">
      <c r="A505" s="5">
        <v>541</v>
      </c>
      <c r="B505" s="5">
        <v>1</v>
      </c>
      <c r="C505" s="5">
        <v>1</v>
      </c>
      <c r="D505" s="5" t="s">
        <v>1282</v>
      </c>
      <c r="E505" s="5" t="s">
        <v>347</v>
      </c>
      <c r="F505" s="5" t="s">
        <v>282</v>
      </c>
      <c r="G505" s="5" t="s">
        <v>3027</v>
      </c>
      <c r="H505" s="6" t="s">
        <v>1284</v>
      </c>
      <c r="I505" s="5" t="s">
        <v>3027</v>
      </c>
      <c r="J505" s="7">
        <f>76</f>
        <v>76</v>
      </c>
      <c r="K505" s="5" t="s">
        <v>270</v>
      </c>
      <c r="L505" s="8">
        <f>1</f>
        <v>1</v>
      </c>
      <c r="M505" s="8">
        <f>12388000</f>
        <v>12388000</v>
      </c>
      <c r="N505" s="6" t="s">
        <v>2138</v>
      </c>
      <c r="O505" s="5" t="s">
        <v>268</v>
      </c>
      <c r="P505" s="5" t="s">
        <v>332</v>
      </c>
      <c r="R505" s="8">
        <f>12387999</f>
        <v>12387999</v>
      </c>
      <c r="S505" s="5" t="s">
        <v>240</v>
      </c>
      <c r="T505" s="5" t="s">
        <v>237</v>
      </c>
      <c r="U505" s="5" t="s">
        <v>238</v>
      </c>
      <c r="V505" s="5" t="s">
        <v>238</v>
      </c>
      <c r="W505" s="5" t="s">
        <v>241</v>
      </c>
      <c r="X505" s="5" t="s">
        <v>337</v>
      </c>
      <c r="Y505" s="5" t="s">
        <v>238</v>
      </c>
      <c r="AB505" s="5" t="s">
        <v>238</v>
      </c>
      <c r="AD505" s="6" t="s">
        <v>238</v>
      </c>
      <c r="AG505" s="6" t="s">
        <v>246</v>
      </c>
      <c r="AH505" s="5" t="s">
        <v>247</v>
      </c>
      <c r="AI505" s="5" t="s">
        <v>248</v>
      </c>
      <c r="AY505" s="5" t="s">
        <v>250</v>
      </c>
      <c r="AZ505" s="5" t="s">
        <v>238</v>
      </c>
      <c r="BA505" s="5" t="s">
        <v>251</v>
      </c>
      <c r="BB505" s="5" t="s">
        <v>238</v>
      </c>
      <c r="BC505" s="5" t="s">
        <v>253</v>
      </c>
      <c r="BD505" s="5" t="s">
        <v>238</v>
      </c>
      <c r="BF505" s="5" t="s">
        <v>238</v>
      </c>
      <c r="BH505" s="5" t="s">
        <v>859</v>
      </c>
      <c r="BI505" s="6" t="s">
        <v>368</v>
      </c>
      <c r="BJ505" s="5" t="s">
        <v>255</v>
      </c>
      <c r="BK505" s="5" t="s">
        <v>256</v>
      </c>
      <c r="BL505" s="5" t="s">
        <v>238</v>
      </c>
      <c r="BM505" s="7">
        <f>0</f>
        <v>0</v>
      </c>
      <c r="BN505" s="8">
        <f>0</f>
        <v>0</v>
      </c>
      <c r="BO505" s="5" t="s">
        <v>257</v>
      </c>
      <c r="BP505" s="5" t="s">
        <v>258</v>
      </c>
      <c r="CD505" s="5" t="s">
        <v>238</v>
      </c>
      <c r="CE505" s="5" t="s">
        <v>238</v>
      </c>
      <c r="CI505" s="5" t="s">
        <v>259</v>
      </c>
      <c r="CJ505" s="5" t="s">
        <v>260</v>
      </c>
      <c r="CK505" s="5" t="s">
        <v>238</v>
      </c>
      <c r="CM505" s="5" t="s">
        <v>882</v>
      </c>
      <c r="CN505" s="6" t="s">
        <v>262</v>
      </c>
      <c r="CO505" s="5" t="s">
        <v>263</v>
      </c>
      <c r="CP505" s="5" t="s">
        <v>264</v>
      </c>
      <c r="CQ505" s="5" t="s">
        <v>238</v>
      </c>
      <c r="CR505" s="5" t="s">
        <v>238</v>
      </c>
      <c r="CS505" s="5">
        <v>0</v>
      </c>
      <c r="CT505" s="5" t="s">
        <v>265</v>
      </c>
      <c r="CU505" s="5" t="s">
        <v>351</v>
      </c>
      <c r="CV505" s="5" t="s">
        <v>394</v>
      </c>
      <c r="CX505" s="8">
        <f>12388000</f>
        <v>12388000</v>
      </c>
      <c r="CY505" s="8">
        <f>0</f>
        <v>0</v>
      </c>
      <c r="DA505" s="5" t="s">
        <v>238</v>
      </c>
      <c r="DB505" s="5" t="s">
        <v>238</v>
      </c>
      <c r="DD505" s="5" t="s">
        <v>238</v>
      </c>
      <c r="DG505" s="5" t="s">
        <v>238</v>
      </c>
      <c r="DH505" s="5" t="s">
        <v>238</v>
      </c>
      <c r="DI505" s="5" t="s">
        <v>238</v>
      </c>
      <c r="DJ505" s="5" t="s">
        <v>238</v>
      </c>
      <c r="DK505" s="5" t="s">
        <v>271</v>
      </c>
      <c r="DL505" s="5" t="s">
        <v>272</v>
      </c>
      <c r="DM505" s="7">
        <f>76</f>
        <v>76</v>
      </c>
      <c r="DN505" s="5" t="s">
        <v>238</v>
      </c>
      <c r="DO505" s="5" t="s">
        <v>238</v>
      </c>
      <c r="DP505" s="5" t="s">
        <v>238</v>
      </c>
      <c r="DQ505" s="5" t="s">
        <v>238</v>
      </c>
      <c r="DT505" s="5" t="s">
        <v>1285</v>
      </c>
      <c r="DU505" s="5" t="s">
        <v>310</v>
      </c>
      <c r="HM505" s="5" t="s">
        <v>271</v>
      </c>
      <c r="HP505" s="5" t="s">
        <v>272</v>
      </c>
      <c r="HQ505" s="5" t="s">
        <v>272</v>
      </c>
    </row>
    <row r="506" spans="1:238" x14ac:dyDescent="0.4">
      <c r="A506" s="5">
        <v>542</v>
      </c>
      <c r="B506" s="5">
        <v>1</v>
      </c>
      <c r="C506" s="5">
        <v>4</v>
      </c>
      <c r="D506" s="5" t="s">
        <v>1282</v>
      </c>
      <c r="E506" s="5" t="s">
        <v>347</v>
      </c>
      <c r="F506" s="5" t="s">
        <v>282</v>
      </c>
      <c r="G506" s="5" t="s">
        <v>668</v>
      </c>
      <c r="H506" s="6" t="s">
        <v>1284</v>
      </c>
      <c r="I506" s="5" t="s">
        <v>1274</v>
      </c>
      <c r="J506" s="7">
        <f>384</f>
        <v>384</v>
      </c>
      <c r="K506" s="5" t="s">
        <v>270</v>
      </c>
      <c r="L506" s="8">
        <f>25344000</f>
        <v>25344000</v>
      </c>
      <c r="M506" s="8">
        <f>84480000</f>
        <v>84480000</v>
      </c>
      <c r="N506" s="6" t="s">
        <v>1283</v>
      </c>
      <c r="O506" s="5" t="s">
        <v>965</v>
      </c>
      <c r="P506" s="5" t="s">
        <v>1035</v>
      </c>
      <c r="Q506" s="8">
        <f>2112000</f>
        <v>2112000</v>
      </c>
      <c r="R506" s="8">
        <f>59136000</f>
        <v>59136000</v>
      </c>
      <c r="S506" s="5" t="s">
        <v>240</v>
      </c>
      <c r="T506" s="5" t="s">
        <v>237</v>
      </c>
      <c r="U506" s="5" t="s">
        <v>238</v>
      </c>
      <c r="V506" s="5" t="s">
        <v>238</v>
      </c>
      <c r="W506" s="5" t="s">
        <v>241</v>
      </c>
      <c r="X506" s="5" t="s">
        <v>337</v>
      </c>
      <c r="Y506" s="5" t="s">
        <v>238</v>
      </c>
      <c r="AB506" s="5" t="s">
        <v>238</v>
      </c>
      <c r="AC506" s="6" t="s">
        <v>238</v>
      </c>
      <c r="AD506" s="6" t="s">
        <v>238</v>
      </c>
      <c r="AF506" s="6" t="s">
        <v>238</v>
      </c>
      <c r="AG506" s="6" t="s">
        <v>246</v>
      </c>
      <c r="AH506" s="5" t="s">
        <v>247</v>
      </c>
      <c r="AI506" s="5" t="s">
        <v>248</v>
      </c>
      <c r="AO506" s="5" t="s">
        <v>238</v>
      </c>
      <c r="AP506" s="5" t="s">
        <v>238</v>
      </c>
      <c r="AQ506" s="5" t="s">
        <v>238</v>
      </c>
      <c r="AR506" s="6" t="s">
        <v>238</v>
      </c>
      <c r="AS506" s="6" t="s">
        <v>238</v>
      </c>
      <c r="AT506" s="6" t="s">
        <v>238</v>
      </c>
      <c r="AW506" s="5" t="s">
        <v>304</v>
      </c>
      <c r="AX506" s="5" t="s">
        <v>304</v>
      </c>
      <c r="AY506" s="5" t="s">
        <v>250</v>
      </c>
      <c r="AZ506" s="5" t="s">
        <v>305</v>
      </c>
      <c r="BA506" s="5" t="s">
        <v>251</v>
      </c>
      <c r="BB506" s="5" t="s">
        <v>238</v>
      </c>
      <c r="BC506" s="5" t="s">
        <v>253</v>
      </c>
      <c r="BD506" s="5" t="s">
        <v>238</v>
      </c>
      <c r="BF506" s="5" t="s">
        <v>238</v>
      </c>
      <c r="BH506" s="5" t="s">
        <v>283</v>
      </c>
      <c r="BI506" s="6" t="s">
        <v>293</v>
      </c>
      <c r="BJ506" s="5" t="s">
        <v>294</v>
      </c>
      <c r="BK506" s="5" t="s">
        <v>294</v>
      </c>
      <c r="BL506" s="5" t="s">
        <v>238</v>
      </c>
      <c r="BM506" s="7">
        <f>0</f>
        <v>0</v>
      </c>
      <c r="BN506" s="8">
        <f>-2112000</f>
        <v>-2112000</v>
      </c>
      <c r="BO506" s="5" t="s">
        <v>257</v>
      </c>
      <c r="BP506" s="5" t="s">
        <v>258</v>
      </c>
      <c r="BQ506" s="5" t="s">
        <v>238</v>
      </c>
      <c r="BR506" s="5" t="s">
        <v>238</v>
      </c>
      <c r="BS506" s="5" t="s">
        <v>238</v>
      </c>
      <c r="BT506" s="5" t="s">
        <v>238</v>
      </c>
      <c r="CC506" s="5" t="s">
        <v>258</v>
      </c>
      <c r="CD506" s="5" t="s">
        <v>238</v>
      </c>
      <c r="CE506" s="5" t="s">
        <v>238</v>
      </c>
      <c r="CI506" s="5" t="s">
        <v>259</v>
      </c>
      <c r="CJ506" s="5" t="s">
        <v>260</v>
      </c>
      <c r="CK506" s="5" t="s">
        <v>238</v>
      </c>
      <c r="CM506" s="5" t="s">
        <v>937</v>
      </c>
      <c r="CN506" s="6" t="s">
        <v>262</v>
      </c>
      <c r="CO506" s="5" t="s">
        <v>263</v>
      </c>
      <c r="CP506" s="5" t="s">
        <v>264</v>
      </c>
      <c r="CQ506" s="5" t="s">
        <v>285</v>
      </c>
      <c r="CR506" s="5" t="s">
        <v>238</v>
      </c>
      <c r="CS506" s="5">
        <v>2.5000000000000001E-2</v>
      </c>
      <c r="CT506" s="5" t="s">
        <v>265</v>
      </c>
      <c r="CU506" s="5" t="s">
        <v>1266</v>
      </c>
      <c r="CV506" s="5" t="s">
        <v>308</v>
      </c>
      <c r="CW506" s="7">
        <f>0</f>
        <v>0</v>
      </c>
      <c r="CX506" s="8">
        <f>84480000</f>
        <v>84480000</v>
      </c>
      <c r="CY506" s="8">
        <f>27456000</f>
        <v>27456000</v>
      </c>
      <c r="DA506" s="5" t="s">
        <v>238</v>
      </c>
      <c r="DB506" s="5" t="s">
        <v>238</v>
      </c>
      <c r="DD506" s="5" t="s">
        <v>238</v>
      </c>
      <c r="DE506" s="8">
        <f>0</f>
        <v>0</v>
      </c>
      <c r="DG506" s="5" t="s">
        <v>238</v>
      </c>
      <c r="DH506" s="5" t="s">
        <v>238</v>
      </c>
      <c r="DI506" s="5" t="s">
        <v>238</v>
      </c>
      <c r="DJ506" s="5" t="s">
        <v>238</v>
      </c>
      <c r="DK506" s="5" t="s">
        <v>271</v>
      </c>
      <c r="DL506" s="5" t="s">
        <v>272</v>
      </c>
      <c r="DM506" s="7">
        <f>384</f>
        <v>384</v>
      </c>
      <c r="DN506" s="5" t="s">
        <v>238</v>
      </c>
      <c r="DO506" s="5" t="s">
        <v>238</v>
      </c>
      <c r="DP506" s="5" t="s">
        <v>238</v>
      </c>
      <c r="DQ506" s="5" t="s">
        <v>238</v>
      </c>
      <c r="DT506" s="5" t="s">
        <v>1285</v>
      </c>
      <c r="DU506" s="5" t="s">
        <v>379</v>
      </c>
      <c r="GL506" s="5" t="s">
        <v>1286</v>
      </c>
      <c r="HM506" s="5" t="s">
        <v>313</v>
      </c>
      <c r="HP506" s="5" t="s">
        <v>272</v>
      </c>
      <c r="HQ506" s="5" t="s">
        <v>272</v>
      </c>
      <c r="HR506" s="5" t="s">
        <v>238</v>
      </c>
      <c r="HS506" s="5" t="s">
        <v>238</v>
      </c>
      <c r="HT506" s="5" t="s">
        <v>238</v>
      </c>
      <c r="HU506" s="5" t="s">
        <v>238</v>
      </c>
      <c r="HV506" s="5" t="s">
        <v>238</v>
      </c>
      <c r="HW506" s="5" t="s">
        <v>238</v>
      </c>
      <c r="HX506" s="5" t="s">
        <v>238</v>
      </c>
      <c r="HY506" s="5" t="s">
        <v>238</v>
      </c>
      <c r="HZ506" s="5" t="s">
        <v>238</v>
      </c>
      <c r="IA506" s="5" t="s">
        <v>238</v>
      </c>
      <c r="IB506" s="5" t="s">
        <v>238</v>
      </c>
      <c r="IC506" s="5" t="s">
        <v>238</v>
      </c>
      <c r="ID506" s="5" t="s">
        <v>238</v>
      </c>
    </row>
    <row r="507" spans="1:238" x14ac:dyDescent="0.4">
      <c r="A507" s="5">
        <v>543</v>
      </c>
      <c r="B507" s="5">
        <v>1</v>
      </c>
      <c r="C507" s="5">
        <v>1</v>
      </c>
      <c r="D507" s="5" t="s">
        <v>1282</v>
      </c>
      <c r="E507" s="5" t="s">
        <v>347</v>
      </c>
      <c r="F507" s="5" t="s">
        <v>282</v>
      </c>
      <c r="G507" s="5" t="s">
        <v>1309</v>
      </c>
      <c r="H507" s="6" t="s">
        <v>1284</v>
      </c>
      <c r="I507" s="5" t="s">
        <v>1309</v>
      </c>
      <c r="J507" s="7">
        <f>16</f>
        <v>16</v>
      </c>
      <c r="K507" s="5" t="s">
        <v>270</v>
      </c>
      <c r="L507" s="8">
        <f>1</f>
        <v>1</v>
      </c>
      <c r="M507" s="8">
        <f>1280000</f>
        <v>1280000</v>
      </c>
      <c r="N507" s="6" t="s">
        <v>2183</v>
      </c>
      <c r="O507" s="5" t="s">
        <v>650</v>
      </c>
      <c r="P507" s="5" t="s">
        <v>1017</v>
      </c>
      <c r="R507" s="8">
        <f>1279999</f>
        <v>1279999</v>
      </c>
      <c r="S507" s="5" t="s">
        <v>240</v>
      </c>
      <c r="T507" s="5" t="s">
        <v>237</v>
      </c>
      <c r="U507" s="5" t="s">
        <v>238</v>
      </c>
      <c r="V507" s="5" t="s">
        <v>238</v>
      </c>
      <c r="W507" s="5" t="s">
        <v>241</v>
      </c>
      <c r="X507" s="5" t="s">
        <v>337</v>
      </c>
      <c r="Y507" s="5" t="s">
        <v>238</v>
      </c>
      <c r="AB507" s="5" t="s">
        <v>238</v>
      </c>
      <c r="AD507" s="6" t="s">
        <v>238</v>
      </c>
      <c r="AG507" s="6" t="s">
        <v>246</v>
      </c>
      <c r="AH507" s="5" t="s">
        <v>247</v>
      </c>
      <c r="AI507" s="5" t="s">
        <v>248</v>
      </c>
      <c r="AY507" s="5" t="s">
        <v>250</v>
      </c>
      <c r="AZ507" s="5" t="s">
        <v>238</v>
      </c>
      <c r="BA507" s="5" t="s">
        <v>251</v>
      </c>
      <c r="BB507" s="5" t="s">
        <v>238</v>
      </c>
      <c r="BC507" s="5" t="s">
        <v>253</v>
      </c>
      <c r="BD507" s="5" t="s">
        <v>238</v>
      </c>
      <c r="BF507" s="5" t="s">
        <v>238</v>
      </c>
      <c r="BH507" s="5" t="s">
        <v>798</v>
      </c>
      <c r="BI507" s="6" t="s">
        <v>799</v>
      </c>
      <c r="BJ507" s="5" t="s">
        <v>255</v>
      </c>
      <c r="BK507" s="5" t="s">
        <v>256</v>
      </c>
      <c r="BL507" s="5" t="s">
        <v>238</v>
      </c>
      <c r="BM507" s="7">
        <f>0</f>
        <v>0</v>
      </c>
      <c r="BN507" s="8">
        <f>0</f>
        <v>0</v>
      </c>
      <c r="BO507" s="5" t="s">
        <v>257</v>
      </c>
      <c r="BP507" s="5" t="s">
        <v>258</v>
      </c>
      <c r="CD507" s="5" t="s">
        <v>238</v>
      </c>
      <c r="CE507" s="5" t="s">
        <v>238</v>
      </c>
      <c r="CI507" s="5" t="s">
        <v>527</v>
      </c>
      <c r="CJ507" s="5" t="s">
        <v>260</v>
      </c>
      <c r="CK507" s="5" t="s">
        <v>238</v>
      </c>
      <c r="CM507" s="5" t="s">
        <v>1016</v>
      </c>
      <c r="CN507" s="6" t="s">
        <v>262</v>
      </c>
      <c r="CO507" s="5" t="s">
        <v>263</v>
      </c>
      <c r="CP507" s="5" t="s">
        <v>264</v>
      </c>
      <c r="CQ507" s="5" t="s">
        <v>238</v>
      </c>
      <c r="CR507" s="5" t="s">
        <v>238</v>
      </c>
      <c r="CS507" s="5">
        <v>0</v>
      </c>
      <c r="CT507" s="5" t="s">
        <v>265</v>
      </c>
      <c r="CU507" s="5" t="s">
        <v>1342</v>
      </c>
      <c r="CV507" s="5" t="s">
        <v>649</v>
      </c>
      <c r="CX507" s="8">
        <f>1280000</f>
        <v>1280000</v>
      </c>
      <c r="CY507" s="8">
        <f>0</f>
        <v>0</v>
      </c>
      <c r="DA507" s="5" t="s">
        <v>238</v>
      </c>
      <c r="DB507" s="5" t="s">
        <v>238</v>
      </c>
      <c r="DD507" s="5" t="s">
        <v>238</v>
      </c>
      <c r="DG507" s="5" t="s">
        <v>238</v>
      </c>
      <c r="DH507" s="5" t="s">
        <v>238</v>
      </c>
      <c r="DI507" s="5" t="s">
        <v>238</v>
      </c>
      <c r="DJ507" s="5" t="s">
        <v>238</v>
      </c>
      <c r="DK507" s="5" t="s">
        <v>271</v>
      </c>
      <c r="DL507" s="5" t="s">
        <v>272</v>
      </c>
      <c r="DM507" s="7">
        <f>16</f>
        <v>16</v>
      </c>
      <c r="DN507" s="5" t="s">
        <v>238</v>
      </c>
      <c r="DO507" s="5" t="s">
        <v>238</v>
      </c>
      <c r="DP507" s="5" t="s">
        <v>238</v>
      </c>
      <c r="DQ507" s="5" t="s">
        <v>238</v>
      </c>
      <c r="DT507" s="5" t="s">
        <v>1285</v>
      </c>
      <c r="DU507" s="5" t="s">
        <v>313</v>
      </c>
      <c r="HM507" s="5" t="s">
        <v>271</v>
      </c>
      <c r="HP507" s="5" t="s">
        <v>272</v>
      </c>
      <c r="HQ507" s="5" t="s">
        <v>272</v>
      </c>
    </row>
    <row r="508" spans="1:238" x14ac:dyDescent="0.4">
      <c r="A508" s="5">
        <v>544</v>
      </c>
      <c r="B508" s="5">
        <v>1</v>
      </c>
      <c r="C508" s="5">
        <v>4</v>
      </c>
      <c r="D508" s="5" t="s">
        <v>1282</v>
      </c>
      <c r="E508" s="5" t="s">
        <v>347</v>
      </c>
      <c r="F508" s="5" t="s">
        <v>282</v>
      </c>
      <c r="G508" s="5" t="s">
        <v>349</v>
      </c>
      <c r="H508" s="6" t="s">
        <v>1284</v>
      </c>
      <c r="I508" s="5" t="s">
        <v>3138</v>
      </c>
      <c r="J508" s="7">
        <f>0</f>
        <v>0</v>
      </c>
      <c r="K508" s="5" t="s">
        <v>270</v>
      </c>
      <c r="L508" s="8">
        <f>986936</f>
        <v>986936</v>
      </c>
      <c r="M508" s="8">
        <f>1348272</f>
        <v>1348272</v>
      </c>
      <c r="N508" s="6" t="s">
        <v>1339</v>
      </c>
      <c r="O508" s="5" t="s">
        <v>268</v>
      </c>
      <c r="P508" s="5" t="s">
        <v>274</v>
      </c>
      <c r="Q508" s="8">
        <f>90334</f>
        <v>90334</v>
      </c>
      <c r="R508" s="8">
        <f>361336</f>
        <v>361336</v>
      </c>
      <c r="S508" s="5" t="s">
        <v>240</v>
      </c>
      <c r="T508" s="5" t="s">
        <v>287</v>
      </c>
      <c r="U508" s="5" t="s">
        <v>238</v>
      </c>
      <c r="V508" s="5" t="s">
        <v>238</v>
      </c>
      <c r="W508" s="5" t="s">
        <v>241</v>
      </c>
      <c r="X508" s="5" t="s">
        <v>238</v>
      </c>
      <c r="Y508" s="5" t="s">
        <v>238</v>
      </c>
      <c r="AB508" s="5" t="s">
        <v>238</v>
      </c>
      <c r="AC508" s="6" t="s">
        <v>238</v>
      </c>
      <c r="AD508" s="6" t="s">
        <v>238</v>
      </c>
      <c r="AF508" s="6" t="s">
        <v>238</v>
      </c>
      <c r="AG508" s="6" t="s">
        <v>2927</v>
      </c>
      <c r="AH508" s="5" t="s">
        <v>247</v>
      </c>
      <c r="AI508" s="5" t="s">
        <v>248</v>
      </c>
      <c r="AO508" s="5" t="s">
        <v>238</v>
      </c>
      <c r="AP508" s="5" t="s">
        <v>238</v>
      </c>
      <c r="AQ508" s="5" t="s">
        <v>238</v>
      </c>
      <c r="AR508" s="6" t="s">
        <v>238</v>
      </c>
      <c r="AS508" s="6" t="s">
        <v>238</v>
      </c>
      <c r="AT508" s="6" t="s">
        <v>238</v>
      </c>
      <c r="AW508" s="5" t="s">
        <v>304</v>
      </c>
      <c r="AX508" s="5" t="s">
        <v>304</v>
      </c>
      <c r="AY508" s="5" t="s">
        <v>250</v>
      </c>
      <c r="AZ508" s="5" t="s">
        <v>305</v>
      </c>
      <c r="BA508" s="5" t="s">
        <v>251</v>
      </c>
      <c r="BB508" s="5" t="s">
        <v>238</v>
      </c>
      <c r="BC508" s="5" t="s">
        <v>253</v>
      </c>
      <c r="BD508" s="5" t="s">
        <v>238</v>
      </c>
      <c r="BF508" s="5" t="s">
        <v>238</v>
      </c>
      <c r="BH508" s="5" t="s">
        <v>283</v>
      </c>
      <c r="BI508" s="6" t="s">
        <v>293</v>
      </c>
      <c r="BJ508" s="5" t="s">
        <v>294</v>
      </c>
      <c r="BK508" s="5" t="s">
        <v>294</v>
      </c>
      <c r="BL508" s="5" t="s">
        <v>238</v>
      </c>
      <c r="BM508" s="7">
        <f>0</f>
        <v>0</v>
      </c>
      <c r="BN508" s="8">
        <f>-90334</f>
        <v>-90334</v>
      </c>
      <c r="BO508" s="5" t="s">
        <v>257</v>
      </c>
      <c r="BP508" s="5" t="s">
        <v>258</v>
      </c>
      <c r="BQ508" s="5" t="s">
        <v>238</v>
      </c>
      <c r="BR508" s="5" t="s">
        <v>238</v>
      </c>
      <c r="BS508" s="5" t="s">
        <v>238</v>
      </c>
      <c r="BT508" s="5" t="s">
        <v>238</v>
      </c>
      <c r="CC508" s="5" t="s">
        <v>258</v>
      </c>
      <c r="CD508" s="5" t="s">
        <v>238</v>
      </c>
      <c r="CE508" s="5" t="s">
        <v>238</v>
      </c>
      <c r="CI508" s="5" t="s">
        <v>259</v>
      </c>
      <c r="CJ508" s="5" t="s">
        <v>260</v>
      </c>
      <c r="CK508" s="5" t="s">
        <v>238</v>
      </c>
      <c r="CM508" s="5" t="s">
        <v>402</v>
      </c>
      <c r="CN508" s="6" t="s">
        <v>262</v>
      </c>
      <c r="CO508" s="5" t="s">
        <v>263</v>
      </c>
      <c r="CP508" s="5" t="s">
        <v>264</v>
      </c>
      <c r="CQ508" s="5" t="s">
        <v>285</v>
      </c>
      <c r="CR508" s="5" t="s">
        <v>238</v>
      </c>
      <c r="CS508" s="5">
        <v>6.7000000000000004E-2</v>
      </c>
      <c r="CT508" s="5" t="s">
        <v>265</v>
      </c>
      <c r="CU508" s="5" t="s">
        <v>351</v>
      </c>
      <c r="CV508" s="5" t="s">
        <v>365</v>
      </c>
      <c r="CW508" s="7">
        <f>0</f>
        <v>0</v>
      </c>
      <c r="CX508" s="8">
        <f>1348272</f>
        <v>1348272</v>
      </c>
      <c r="CY508" s="8">
        <f>1077270</f>
        <v>1077270</v>
      </c>
      <c r="DA508" s="5" t="s">
        <v>238</v>
      </c>
      <c r="DB508" s="5" t="s">
        <v>238</v>
      </c>
      <c r="DD508" s="5" t="s">
        <v>238</v>
      </c>
      <c r="DE508" s="8">
        <f>0</f>
        <v>0</v>
      </c>
      <c r="DG508" s="5" t="s">
        <v>238</v>
      </c>
      <c r="DH508" s="5" t="s">
        <v>238</v>
      </c>
      <c r="DI508" s="5" t="s">
        <v>238</v>
      </c>
      <c r="DJ508" s="5" t="s">
        <v>238</v>
      </c>
      <c r="DK508" s="5" t="s">
        <v>272</v>
      </c>
      <c r="DL508" s="5" t="s">
        <v>272</v>
      </c>
      <c r="DM508" s="8" t="s">
        <v>238</v>
      </c>
      <c r="DN508" s="5" t="s">
        <v>238</v>
      </c>
      <c r="DO508" s="5" t="s">
        <v>238</v>
      </c>
      <c r="DP508" s="5" t="s">
        <v>238</v>
      </c>
      <c r="DQ508" s="5" t="s">
        <v>238</v>
      </c>
      <c r="DT508" s="5" t="s">
        <v>1285</v>
      </c>
      <c r="DU508" s="5" t="s">
        <v>389</v>
      </c>
      <c r="GL508" s="5" t="s">
        <v>3155</v>
      </c>
      <c r="HM508" s="5" t="s">
        <v>310</v>
      </c>
      <c r="HP508" s="5" t="s">
        <v>272</v>
      </c>
      <c r="HQ508" s="5" t="s">
        <v>272</v>
      </c>
      <c r="HR508" s="5" t="s">
        <v>238</v>
      </c>
      <c r="HS508" s="5" t="s">
        <v>238</v>
      </c>
      <c r="HT508" s="5" t="s">
        <v>238</v>
      </c>
      <c r="HU508" s="5" t="s">
        <v>238</v>
      </c>
      <c r="HV508" s="5" t="s">
        <v>238</v>
      </c>
      <c r="HW508" s="5" t="s">
        <v>238</v>
      </c>
      <c r="HX508" s="5" t="s">
        <v>238</v>
      </c>
      <c r="HY508" s="5" t="s">
        <v>238</v>
      </c>
      <c r="HZ508" s="5" t="s">
        <v>238</v>
      </c>
      <c r="IA508" s="5" t="s">
        <v>238</v>
      </c>
      <c r="IB508" s="5" t="s">
        <v>238</v>
      </c>
      <c r="IC508" s="5" t="s">
        <v>238</v>
      </c>
      <c r="ID508" s="5" t="s">
        <v>238</v>
      </c>
    </row>
    <row r="509" spans="1:238" x14ac:dyDescent="0.4">
      <c r="A509" s="5">
        <v>545</v>
      </c>
      <c r="B509" s="5">
        <v>1</v>
      </c>
      <c r="C509" s="5">
        <v>4</v>
      </c>
      <c r="D509" s="5" t="s">
        <v>1282</v>
      </c>
      <c r="E509" s="5" t="s">
        <v>347</v>
      </c>
      <c r="F509" s="5" t="s">
        <v>282</v>
      </c>
      <c r="G509" s="5" t="s">
        <v>349</v>
      </c>
      <c r="H509" s="6" t="s">
        <v>1284</v>
      </c>
      <c r="I509" s="5" t="s">
        <v>345</v>
      </c>
      <c r="J509" s="7">
        <f>0</f>
        <v>0</v>
      </c>
      <c r="K509" s="5" t="s">
        <v>270</v>
      </c>
      <c r="L509" s="8">
        <f>38460139</f>
        <v>38460139</v>
      </c>
      <c r="M509" s="8">
        <f>50013184</f>
        <v>50013184</v>
      </c>
      <c r="N509" s="6" t="s">
        <v>348</v>
      </c>
      <c r="O509" s="5" t="s">
        <v>319</v>
      </c>
      <c r="P509" s="5" t="s">
        <v>271</v>
      </c>
      <c r="Q509" s="8">
        <f>3851015</f>
        <v>3851015</v>
      </c>
      <c r="R509" s="8">
        <f>11553045</f>
        <v>11553045</v>
      </c>
      <c r="S509" s="5" t="s">
        <v>240</v>
      </c>
      <c r="T509" s="5" t="s">
        <v>287</v>
      </c>
      <c r="U509" s="5" t="s">
        <v>238</v>
      </c>
      <c r="V509" s="5" t="s">
        <v>238</v>
      </c>
      <c r="W509" s="5" t="s">
        <v>241</v>
      </c>
      <c r="X509" s="5" t="s">
        <v>238</v>
      </c>
      <c r="Y509" s="5" t="s">
        <v>238</v>
      </c>
      <c r="AB509" s="5" t="s">
        <v>238</v>
      </c>
      <c r="AC509" s="6" t="s">
        <v>238</v>
      </c>
      <c r="AD509" s="6" t="s">
        <v>238</v>
      </c>
      <c r="AF509" s="6" t="s">
        <v>238</v>
      </c>
      <c r="AG509" s="6" t="s">
        <v>2927</v>
      </c>
      <c r="AH509" s="5" t="s">
        <v>247</v>
      </c>
      <c r="AI509" s="5" t="s">
        <v>248</v>
      </c>
      <c r="AO509" s="5" t="s">
        <v>238</v>
      </c>
      <c r="AP509" s="5" t="s">
        <v>238</v>
      </c>
      <c r="AQ509" s="5" t="s">
        <v>238</v>
      </c>
      <c r="AR509" s="6" t="s">
        <v>238</v>
      </c>
      <c r="AS509" s="6" t="s">
        <v>238</v>
      </c>
      <c r="AT509" s="6" t="s">
        <v>238</v>
      </c>
      <c r="AW509" s="5" t="s">
        <v>304</v>
      </c>
      <c r="AX509" s="5" t="s">
        <v>304</v>
      </c>
      <c r="AY509" s="5" t="s">
        <v>250</v>
      </c>
      <c r="AZ509" s="5" t="s">
        <v>305</v>
      </c>
      <c r="BA509" s="5" t="s">
        <v>251</v>
      </c>
      <c r="BB509" s="5" t="s">
        <v>238</v>
      </c>
      <c r="BC509" s="5" t="s">
        <v>253</v>
      </c>
      <c r="BD509" s="5" t="s">
        <v>238</v>
      </c>
      <c r="BF509" s="5" t="s">
        <v>238</v>
      </c>
      <c r="BH509" s="5" t="s">
        <v>283</v>
      </c>
      <c r="BI509" s="6" t="s">
        <v>293</v>
      </c>
      <c r="BJ509" s="5" t="s">
        <v>294</v>
      </c>
      <c r="BK509" s="5" t="s">
        <v>294</v>
      </c>
      <c r="BL509" s="5" t="s">
        <v>238</v>
      </c>
      <c r="BM509" s="7">
        <f>0</f>
        <v>0</v>
      </c>
      <c r="BN509" s="8">
        <f>-3851015</f>
        <v>-3851015</v>
      </c>
      <c r="BO509" s="5" t="s">
        <v>257</v>
      </c>
      <c r="BP509" s="5" t="s">
        <v>258</v>
      </c>
      <c r="BQ509" s="5" t="s">
        <v>238</v>
      </c>
      <c r="BR509" s="5" t="s">
        <v>238</v>
      </c>
      <c r="BS509" s="5" t="s">
        <v>238</v>
      </c>
      <c r="BT509" s="5" t="s">
        <v>238</v>
      </c>
      <c r="CC509" s="5" t="s">
        <v>258</v>
      </c>
      <c r="CD509" s="5" t="s">
        <v>238</v>
      </c>
      <c r="CE509" s="5" t="s">
        <v>238</v>
      </c>
      <c r="CI509" s="5" t="s">
        <v>259</v>
      </c>
      <c r="CJ509" s="5" t="s">
        <v>260</v>
      </c>
      <c r="CK509" s="5" t="s">
        <v>238</v>
      </c>
      <c r="CM509" s="5" t="s">
        <v>291</v>
      </c>
      <c r="CN509" s="6" t="s">
        <v>262</v>
      </c>
      <c r="CO509" s="5" t="s">
        <v>263</v>
      </c>
      <c r="CP509" s="5" t="s">
        <v>264</v>
      </c>
      <c r="CQ509" s="5" t="s">
        <v>285</v>
      </c>
      <c r="CR509" s="5" t="s">
        <v>238</v>
      </c>
      <c r="CS509" s="5">
        <v>7.6999999999999999E-2</v>
      </c>
      <c r="CT509" s="5" t="s">
        <v>265</v>
      </c>
      <c r="CU509" s="5" t="s">
        <v>351</v>
      </c>
      <c r="CV509" s="5" t="s">
        <v>352</v>
      </c>
      <c r="CW509" s="7">
        <f>0</f>
        <v>0</v>
      </c>
      <c r="CX509" s="8">
        <f>50013184</f>
        <v>50013184</v>
      </c>
      <c r="CY509" s="8">
        <f>42311154</f>
        <v>42311154</v>
      </c>
      <c r="DA509" s="5" t="s">
        <v>238</v>
      </c>
      <c r="DB509" s="5" t="s">
        <v>238</v>
      </c>
      <c r="DD509" s="5" t="s">
        <v>238</v>
      </c>
      <c r="DE509" s="8">
        <f>0</f>
        <v>0</v>
      </c>
      <c r="DG509" s="5" t="s">
        <v>238</v>
      </c>
      <c r="DH509" s="5" t="s">
        <v>238</v>
      </c>
      <c r="DI509" s="5" t="s">
        <v>238</v>
      </c>
      <c r="DJ509" s="5" t="s">
        <v>238</v>
      </c>
      <c r="DK509" s="5" t="s">
        <v>272</v>
      </c>
      <c r="DL509" s="5" t="s">
        <v>272</v>
      </c>
      <c r="DM509" s="8" t="s">
        <v>238</v>
      </c>
      <c r="DN509" s="5" t="s">
        <v>238</v>
      </c>
      <c r="DO509" s="5" t="s">
        <v>238</v>
      </c>
      <c r="DP509" s="5" t="s">
        <v>238</v>
      </c>
      <c r="DQ509" s="5" t="s">
        <v>238</v>
      </c>
      <c r="DT509" s="5" t="s">
        <v>1285</v>
      </c>
      <c r="DU509" s="5" t="s">
        <v>354</v>
      </c>
      <c r="GL509" s="5" t="s">
        <v>3154</v>
      </c>
      <c r="HM509" s="5" t="s">
        <v>356</v>
      </c>
      <c r="HP509" s="5" t="s">
        <v>272</v>
      </c>
      <c r="HQ509" s="5" t="s">
        <v>272</v>
      </c>
      <c r="HR509" s="5" t="s">
        <v>238</v>
      </c>
      <c r="HS509" s="5" t="s">
        <v>238</v>
      </c>
      <c r="HT509" s="5" t="s">
        <v>238</v>
      </c>
      <c r="HU509" s="5" t="s">
        <v>238</v>
      </c>
      <c r="HV509" s="5" t="s">
        <v>238</v>
      </c>
      <c r="HW509" s="5" t="s">
        <v>238</v>
      </c>
      <c r="HX509" s="5" t="s">
        <v>238</v>
      </c>
      <c r="HY509" s="5" t="s">
        <v>238</v>
      </c>
      <c r="HZ509" s="5" t="s">
        <v>238</v>
      </c>
      <c r="IA509" s="5" t="s">
        <v>238</v>
      </c>
      <c r="IB509" s="5" t="s">
        <v>238</v>
      </c>
      <c r="IC509" s="5" t="s">
        <v>238</v>
      </c>
      <c r="ID509" s="5" t="s">
        <v>238</v>
      </c>
    </row>
    <row r="510" spans="1:238" x14ac:dyDescent="0.4">
      <c r="A510" s="5">
        <v>546</v>
      </c>
      <c r="B510" s="5">
        <v>1</v>
      </c>
      <c r="C510" s="5">
        <v>4</v>
      </c>
      <c r="D510" s="5" t="s">
        <v>1282</v>
      </c>
      <c r="E510" s="5" t="s">
        <v>347</v>
      </c>
      <c r="F510" s="5" t="s">
        <v>282</v>
      </c>
      <c r="G510" s="5" t="s">
        <v>349</v>
      </c>
      <c r="H510" s="6" t="s">
        <v>1284</v>
      </c>
      <c r="I510" s="5" t="s">
        <v>469</v>
      </c>
      <c r="J510" s="7">
        <f>0</f>
        <v>0</v>
      </c>
      <c r="K510" s="5" t="s">
        <v>270</v>
      </c>
      <c r="L510" s="8">
        <f>1349370</f>
        <v>1349370</v>
      </c>
      <c r="M510" s="8">
        <f>1595000</f>
        <v>1595000</v>
      </c>
      <c r="N510" s="6" t="s">
        <v>3152</v>
      </c>
      <c r="O510" s="5" t="s">
        <v>319</v>
      </c>
      <c r="P510" s="5" t="s">
        <v>272</v>
      </c>
      <c r="Q510" s="8">
        <f>122815</f>
        <v>122815</v>
      </c>
      <c r="R510" s="8">
        <f>245630</f>
        <v>245630</v>
      </c>
      <c r="S510" s="5" t="s">
        <v>240</v>
      </c>
      <c r="T510" s="5" t="s">
        <v>287</v>
      </c>
      <c r="U510" s="5" t="s">
        <v>238</v>
      </c>
      <c r="V510" s="5" t="s">
        <v>238</v>
      </c>
      <c r="W510" s="5" t="s">
        <v>241</v>
      </c>
      <c r="X510" s="5" t="s">
        <v>238</v>
      </c>
      <c r="Y510" s="5" t="s">
        <v>238</v>
      </c>
      <c r="AB510" s="5" t="s">
        <v>238</v>
      </c>
      <c r="AC510" s="6" t="s">
        <v>238</v>
      </c>
      <c r="AD510" s="6" t="s">
        <v>238</v>
      </c>
      <c r="AF510" s="6" t="s">
        <v>238</v>
      </c>
      <c r="AG510" s="6" t="s">
        <v>2927</v>
      </c>
      <c r="AH510" s="5" t="s">
        <v>247</v>
      </c>
      <c r="AI510" s="5" t="s">
        <v>248</v>
      </c>
      <c r="AO510" s="5" t="s">
        <v>238</v>
      </c>
      <c r="AP510" s="5" t="s">
        <v>238</v>
      </c>
      <c r="AQ510" s="5" t="s">
        <v>238</v>
      </c>
      <c r="AR510" s="6" t="s">
        <v>238</v>
      </c>
      <c r="AS510" s="6" t="s">
        <v>238</v>
      </c>
      <c r="AT510" s="6" t="s">
        <v>238</v>
      </c>
      <c r="AW510" s="5" t="s">
        <v>304</v>
      </c>
      <c r="AX510" s="5" t="s">
        <v>304</v>
      </c>
      <c r="AY510" s="5" t="s">
        <v>250</v>
      </c>
      <c r="AZ510" s="5" t="s">
        <v>305</v>
      </c>
      <c r="BA510" s="5" t="s">
        <v>251</v>
      </c>
      <c r="BB510" s="5" t="s">
        <v>238</v>
      </c>
      <c r="BC510" s="5" t="s">
        <v>253</v>
      </c>
      <c r="BD510" s="5" t="s">
        <v>238</v>
      </c>
      <c r="BF510" s="5" t="s">
        <v>238</v>
      </c>
      <c r="BH510" s="5" t="s">
        <v>283</v>
      </c>
      <c r="BI510" s="6" t="s">
        <v>293</v>
      </c>
      <c r="BJ510" s="5" t="s">
        <v>294</v>
      </c>
      <c r="BK510" s="5" t="s">
        <v>294</v>
      </c>
      <c r="BL510" s="5" t="s">
        <v>238</v>
      </c>
      <c r="BM510" s="7">
        <f>0</f>
        <v>0</v>
      </c>
      <c r="BN510" s="8">
        <f>-122815</f>
        <v>-122815</v>
      </c>
      <c r="BO510" s="5" t="s">
        <v>257</v>
      </c>
      <c r="BP510" s="5" t="s">
        <v>258</v>
      </c>
      <c r="BQ510" s="5" t="s">
        <v>238</v>
      </c>
      <c r="BR510" s="5" t="s">
        <v>238</v>
      </c>
      <c r="BS510" s="5" t="s">
        <v>238</v>
      </c>
      <c r="BT510" s="5" t="s">
        <v>238</v>
      </c>
      <c r="CC510" s="5" t="s">
        <v>258</v>
      </c>
      <c r="CD510" s="5" t="s">
        <v>238</v>
      </c>
      <c r="CE510" s="5" t="s">
        <v>238</v>
      </c>
      <c r="CI510" s="5" t="s">
        <v>259</v>
      </c>
      <c r="CJ510" s="5" t="s">
        <v>260</v>
      </c>
      <c r="CK510" s="5" t="s">
        <v>238</v>
      </c>
      <c r="CM510" s="5" t="s">
        <v>408</v>
      </c>
      <c r="CN510" s="6" t="s">
        <v>262</v>
      </c>
      <c r="CO510" s="5" t="s">
        <v>263</v>
      </c>
      <c r="CP510" s="5" t="s">
        <v>264</v>
      </c>
      <c r="CQ510" s="5" t="s">
        <v>285</v>
      </c>
      <c r="CR510" s="5" t="s">
        <v>238</v>
      </c>
      <c r="CS510" s="5">
        <v>7.6999999999999999E-2</v>
      </c>
      <c r="CT510" s="5" t="s">
        <v>265</v>
      </c>
      <c r="CU510" s="5" t="s">
        <v>351</v>
      </c>
      <c r="CV510" s="5" t="s">
        <v>352</v>
      </c>
      <c r="CW510" s="7">
        <f>0</f>
        <v>0</v>
      </c>
      <c r="CX510" s="8">
        <f>1595000</f>
        <v>1595000</v>
      </c>
      <c r="CY510" s="8">
        <f>1472185</f>
        <v>1472185</v>
      </c>
      <c r="DA510" s="5" t="s">
        <v>238</v>
      </c>
      <c r="DB510" s="5" t="s">
        <v>238</v>
      </c>
      <c r="DD510" s="5" t="s">
        <v>238</v>
      </c>
      <c r="DE510" s="8">
        <f>0</f>
        <v>0</v>
      </c>
      <c r="DG510" s="5" t="s">
        <v>238</v>
      </c>
      <c r="DH510" s="5" t="s">
        <v>238</v>
      </c>
      <c r="DI510" s="5" t="s">
        <v>238</v>
      </c>
      <c r="DJ510" s="5" t="s">
        <v>238</v>
      </c>
      <c r="DK510" s="5" t="s">
        <v>272</v>
      </c>
      <c r="DL510" s="5" t="s">
        <v>272</v>
      </c>
      <c r="DM510" s="8" t="s">
        <v>238</v>
      </c>
      <c r="DN510" s="5" t="s">
        <v>238</v>
      </c>
      <c r="DO510" s="5" t="s">
        <v>238</v>
      </c>
      <c r="DP510" s="5" t="s">
        <v>238</v>
      </c>
      <c r="DQ510" s="5" t="s">
        <v>238</v>
      </c>
      <c r="DT510" s="5" t="s">
        <v>1285</v>
      </c>
      <c r="DU510" s="5" t="s">
        <v>361</v>
      </c>
      <c r="GL510" s="5" t="s">
        <v>3153</v>
      </c>
      <c r="HM510" s="5" t="s">
        <v>274</v>
      </c>
      <c r="HP510" s="5" t="s">
        <v>272</v>
      </c>
      <c r="HQ510" s="5" t="s">
        <v>272</v>
      </c>
      <c r="HR510" s="5" t="s">
        <v>238</v>
      </c>
      <c r="HS510" s="5" t="s">
        <v>238</v>
      </c>
      <c r="HT510" s="5" t="s">
        <v>238</v>
      </c>
      <c r="HU510" s="5" t="s">
        <v>238</v>
      </c>
      <c r="HV510" s="5" t="s">
        <v>238</v>
      </c>
      <c r="HW510" s="5" t="s">
        <v>238</v>
      </c>
      <c r="HX510" s="5" t="s">
        <v>238</v>
      </c>
      <c r="HY510" s="5" t="s">
        <v>238</v>
      </c>
      <c r="HZ510" s="5" t="s">
        <v>238</v>
      </c>
      <c r="IA510" s="5" t="s">
        <v>238</v>
      </c>
      <c r="IB510" s="5" t="s">
        <v>238</v>
      </c>
      <c r="IC510" s="5" t="s">
        <v>238</v>
      </c>
      <c r="ID510" s="5" t="s">
        <v>238</v>
      </c>
    </row>
    <row r="511" spans="1:238" x14ac:dyDescent="0.4">
      <c r="A511" s="5">
        <v>547</v>
      </c>
      <c r="B511" s="5">
        <v>1</v>
      </c>
      <c r="C511" s="5">
        <v>4</v>
      </c>
      <c r="D511" s="5" t="s">
        <v>823</v>
      </c>
      <c r="E511" s="5" t="s">
        <v>347</v>
      </c>
      <c r="F511" s="5" t="s">
        <v>282</v>
      </c>
      <c r="G511" s="5" t="s">
        <v>1499</v>
      </c>
      <c r="H511" s="6" t="s">
        <v>549</v>
      </c>
      <c r="I511" s="5" t="s">
        <v>1314</v>
      </c>
      <c r="J511" s="7">
        <f>2603</f>
        <v>2603</v>
      </c>
      <c r="K511" s="5" t="s">
        <v>270</v>
      </c>
      <c r="L511" s="8">
        <f>11244960</f>
        <v>11244960</v>
      </c>
      <c r="M511" s="8">
        <f>351405000</f>
        <v>351405000</v>
      </c>
      <c r="N511" s="6" t="s">
        <v>1117</v>
      </c>
      <c r="O511" s="5" t="s">
        <v>898</v>
      </c>
      <c r="P511" s="5" t="s">
        <v>861</v>
      </c>
      <c r="Q511" s="8">
        <f>7730910</f>
        <v>7730910</v>
      </c>
      <c r="R511" s="8">
        <f>340160040</f>
        <v>340160040</v>
      </c>
      <c r="S511" s="5" t="s">
        <v>240</v>
      </c>
      <c r="T511" s="5" t="s">
        <v>237</v>
      </c>
      <c r="U511" s="5" t="s">
        <v>238</v>
      </c>
      <c r="V511" s="5" t="s">
        <v>238</v>
      </c>
      <c r="W511" s="5" t="s">
        <v>241</v>
      </c>
      <c r="X511" s="5" t="s">
        <v>337</v>
      </c>
      <c r="Y511" s="5" t="s">
        <v>238</v>
      </c>
      <c r="AB511" s="5" t="s">
        <v>238</v>
      </c>
      <c r="AC511" s="6" t="s">
        <v>238</v>
      </c>
      <c r="AD511" s="6" t="s">
        <v>238</v>
      </c>
      <c r="AF511" s="6" t="s">
        <v>238</v>
      </c>
      <c r="AG511" s="6" t="s">
        <v>368</v>
      </c>
      <c r="AH511" s="5" t="s">
        <v>247</v>
      </c>
      <c r="AI511" s="5" t="s">
        <v>248</v>
      </c>
      <c r="AO511" s="5" t="s">
        <v>238</v>
      </c>
      <c r="AP511" s="5" t="s">
        <v>238</v>
      </c>
      <c r="AQ511" s="5" t="s">
        <v>238</v>
      </c>
      <c r="AR511" s="6" t="s">
        <v>238</v>
      </c>
      <c r="AS511" s="6" t="s">
        <v>238</v>
      </c>
      <c r="AT511" s="6" t="s">
        <v>238</v>
      </c>
      <c r="AW511" s="5" t="s">
        <v>304</v>
      </c>
      <c r="AX511" s="5" t="s">
        <v>304</v>
      </c>
      <c r="AY511" s="5" t="s">
        <v>250</v>
      </c>
      <c r="AZ511" s="5" t="s">
        <v>305</v>
      </c>
      <c r="BA511" s="5" t="s">
        <v>251</v>
      </c>
      <c r="BB511" s="5" t="s">
        <v>238</v>
      </c>
      <c r="BC511" s="5" t="s">
        <v>253</v>
      </c>
      <c r="BD511" s="5" t="s">
        <v>238</v>
      </c>
      <c r="BF511" s="5" t="s">
        <v>770</v>
      </c>
      <c r="BH511" s="5" t="s">
        <v>283</v>
      </c>
      <c r="BI511" s="6" t="s">
        <v>293</v>
      </c>
      <c r="BJ511" s="5" t="s">
        <v>294</v>
      </c>
      <c r="BK511" s="5" t="s">
        <v>294</v>
      </c>
      <c r="BL511" s="5" t="s">
        <v>238</v>
      </c>
      <c r="BM511" s="7">
        <f>0</f>
        <v>0</v>
      </c>
      <c r="BN511" s="8">
        <f>-7730910</f>
        <v>-7730910</v>
      </c>
      <c r="BO511" s="5" t="s">
        <v>257</v>
      </c>
      <c r="BP511" s="5" t="s">
        <v>258</v>
      </c>
      <c r="BQ511" s="5" t="s">
        <v>238</v>
      </c>
      <c r="BR511" s="5" t="s">
        <v>238</v>
      </c>
      <c r="BS511" s="5" t="s">
        <v>238</v>
      </c>
      <c r="BT511" s="5" t="s">
        <v>238</v>
      </c>
      <c r="CC511" s="5" t="s">
        <v>258</v>
      </c>
      <c r="CD511" s="5" t="s">
        <v>238</v>
      </c>
      <c r="CE511" s="5" t="s">
        <v>238</v>
      </c>
      <c r="CI511" s="5" t="s">
        <v>527</v>
      </c>
      <c r="CJ511" s="5" t="s">
        <v>260</v>
      </c>
      <c r="CK511" s="5" t="s">
        <v>238</v>
      </c>
      <c r="CM511" s="5" t="s">
        <v>970</v>
      </c>
      <c r="CN511" s="6" t="s">
        <v>262</v>
      </c>
      <c r="CO511" s="5" t="s">
        <v>263</v>
      </c>
      <c r="CP511" s="5" t="s">
        <v>264</v>
      </c>
      <c r="CQ511" s="5" t="s">
        <v>285</v>
      </c>
      <c r="CR511" s="5" t="s">
        <v>238</v>
      </c>
      <c r="CS511" s="5">
        <v>2.1999999999999999E-2</v>
      </c>
      <c r="CT511" s="5" t="s">
        <v>265</v>
      </c>
      <c r="CU511" s="5" t="s">
        <v>1493</v>
      </c>
      <c r="CV511" s="5" t="s">
        <v>308</v>
      </c>
      <c r="CW511" s="7">
        <f>0</f>
        <v>0</v>
      </c>
      <c r="CX511" s="8">
        <f>351405000</f>
        <v>351405000</v>
      </c>
      <c r="CY511" s="8">
        <f>18975870</f>
        <v>18975870</v>
      </c>
      <c r="DA511" s="5" t="s">
        <v>238</v>
      </c>
      <c r="DB511" s="5" t="s">
        <v>238</v>
      </c>
      <c r="DD511" s="5" t="s">
        <v>238</v>
      </c>
      <c r="DE511" s="8">
        <f>0</f>
        <v>0</v>
      </c>
      <c r="DG511" s="5" t="s">
        <v>238</v>
      </c>
      <c r="DH511" s="5" t="s">
        <v>238</v>
      </c>
      <c r="DI511" s="5" t="s">
        <v>238</v>
      </c>
      <c r="DJ511" s="5" t="s">
        <v>238</v>
      </c>
      <c r="DK511" s="5" t="s">
        <v>356</v>
      </c>
      <c r="DL511" s="5" t="s">
        <v>272</v>
      </c>
      <c r="DM511" s="7">
        <f>2603</f>
        <v>2603</v>
      </c>
      <c r="DN511" s="5" t="s">
        <v>238</v>
      </c>
      <c r="DO511" s="5" t="s">
        <v>238</v>
      </c>
      <c r="DP511" s="5" t="s">
        <v>238</v>
      </c>
      <c r="DQ511" s="5" t="s">
        <v>238</v>
      </c>
      <c r="DT511" s="5" t="s">
        <v>827</v>
      </c>
      <c r="DU511" s="5" t="s">
        <v>271</v>
      </c>
      <c r="GL511" s="5" t="s">
        <v>1631</v>
      </c>
      <c r="HM511" s="5" t="s">
        <v>313</v>
      </c>
      <c r="HP511" s="5" t="s">
        <v>272</v>
      </c>
      <c r="HQ511" s="5" t="s">
        <v>272</v>
      </c>
      <c r="HR511" s="5" t="s">
        <v>238</v>
      </c>
      <c r="HS511" s="5" t="s">
        <v>238</v>
      </c>
      <c r="HT511" s="5" t="s">
        <v>238</v>
      </c>
      <c r="HU511" s="5" t="s">
        <v>238</v>
      </c>
      <c r="HV511" s="5" t="s">
        <v>238</v>
      </c>
      <c r="HW511" s="5" t="s">
        <v>238</v>
      </c>
      <c r="HX511" s="5" t="s">
        <v>238</v>
      </c>
      <c r="HY511" s="5" t="s">
        <v>238</v>
      </c>
      <c r="HZ511" s="5" t="s">
        <v>238</v>
      </c>
      <c r="IA511" s="5" t="s">
        <v>238</v>
      </c>
      <c r="IB511" s="5" t="s">
        <v>238</v>
      </c>
      <c r="IC511" s="5" t="s">
        <v>238</v>
      </c>
      <c r="ID511" s="5" t="s">
        <v>238</v>
      </c>
    </row>
    <row r="512" spans="1:238" x14ac:dyDescent="0.4">
      <c r="A512" s="5">
        <v>548</v>
      </c>
      <c r="B512" s="5">
        <v>1</v>
      </c>
      <c r="C512" s="5">
        <v>1</v>
      </c>
      <c r="D512" s="5" t="s">
        <v>823</v>
      </c>
      <c r="E512" s="5" t="s">
        <v>347</v>
      </c>
      <c r="F512" s="5" t="s">
        <v>282</v>
      </c>
      <c r="G512" s="5" t="s">
        <v>1314</v>
      </c>
      <c r="H512" s="6" t="s">
        <v>549</v>
      </c>
      <c r="I512" s="5" t="s">
        <v>1314</v>
      </c>
      <c r="J512" s="7">
        <f>29</f>
        <v>29</v>
      </c>
      <c r="K512" s="5" t="s">
        <v>270</v>
      </c>
      <c r="L512" s="8">
        <f>1</f>
        <v>1</v>
      </c>
      <c r="M512" s="8">
        <f>2320000</f>
        <v>2320000</v>
      </c>
      <c r="N512" s="6" t="s">
        <v>1117</v>
      </c>
      <c r="O512" s="5" t="s">
        <v>755</v>
      </c>
      <c r="P512" s="5" t="s">
        <v>971</v>
      </c>
      <c r="R512" s="8">
        <f>2319999</f>
        <v>2319999</v>
      </c>
      <c r="S512" s="5" t="s">
        <v>240</v>
      </c>
      <c r="T512" s="5" t="s">
        <v>237</v>
      </c>
      <c r="U512" s="5" t="s">
        <v>238</v>
      </c>
      <c r="V512" s="5" t="s">
        <v>238</v>
      </c>
      <c r="W512" s="5" t="s">
        <v>241</v>
      </c>
      <c r="X512" s="5" t="s">
        <v>337</v>
      </c>
      <c r="Y512" s="5" t="s">
        <v>238</v>
      </c>
      <c r="AB512" s="5" t="s">
        <v>238</v>
      </c>
      <c r="AD512" s="6" t="s">
        <v>238</v>
      </c>
      <c r="AG512" s="6" t="s">
        <v>368</v>
      </c>
      <c r="AH512" s="5" t="s">
        <v>247</v>
      </c>
      <c r="AI512" s="5" t="s">
        <v>248</v>
      </c>
      <c r="AY512" s="5" t="s">
        <v>250</v>
      </c>
      <c r="AZ512" s="5" t="s">
        <v>238</v>
      </c>
      <c r="BA512" s="5" t="s">
        <v>251</v>
      </c>
      <c r="BB512" s="5" t="s">
        <v>238</v>
      </c>
      <c r="BC512" s="5" t="s">
        <v>253</v>
      </c>
      <c r="BD512" s="5" t="s">
        <v>238</v>
      </c>
      <c r="BF512" s="5" t="s">
        <v>238</v>
      </c>
      <c r="BH512" s="5" t="s">
        <v>859</v>
      </c>
      <c r="BI512" s="6" t="s">
        <v>368</v>
      </c>
      <c r="BJ512" s="5" t="s">
        <v>255</v>
      </c>
      <c r="BK512" s="5" t="s">
        <v>256</v>
      </c>
      <c r="BL512" s="5" t="s">
        <v>238</v>
      </c>
      <c r="BM512" s="7">
        <f>0</f>
        <v>0</v>
      </c>
      <c r="BN512" s="8">
        <f>0</f>
        <v>0</v>
      </c>
      <c r="BO512" s="5" t="s">
        <v>257</v>
      </c>
      <c r="BP512" s="5" t="s">
        <v>258</v>
      </c>
      <c r="CD512" s="5" t="s">
        <v>238</v>
      </c>
      <c r="CE512" s="5" t="s">
        <v>238</v>
      </c>
      <c r="CI512" s="5" t="s">
        <v>527</v>
      </c>
      <c r="CJ512" s="5" t="s">
        <v>260</v>
      </c>
      <c r="CK512" s="5" t="s">
        <v>238</v>
      </c>
      <c r="CM512" s="5" t="s">
        <v>970</v>
      </c>
      <c r="CN512" s="6" t="s">
        <v>262</v>
      </c>
      <c r="CO512" s="5" t="s">
        <v>263</v>
      </c>
      <c r="CP512" s="5" t="s">
        <v>264</v>
      </c>
      <c r="CQ512" s="5" t="s">
        <v>238</v>
      </c>
      <c r="CR512" s="5" t="s">
        <v>238</v>
      </c>
      <c r="CS512" s="5">
        <v>0</v>
      </c>
      <c r="CT512" s="5" t="s">
        <v>265</v>
      </c>
      <c r="CU512" s="5" t="s">
        <v>1493</v>
      </c>
      <c r="CV512" s="5" t="s">
        <v>649</v>
      </c>
      <c r="CX512" s="8">
        <f>2320000</f>
        <v>2320000</v>
      </c>
      <c r="CY512" s="8">
        <f>0</f>
        <v>0</v>
      </c>
      <c r="DA512" s="5" t="s">
        <v>238</v>
      </c>
      <c r="DB512" s="5" t="s">
        <v>238</v>
      </c>
      <c r="DD512" s="5" t="s">
        <v>238</v>
      </c>
      <c r="DG512" s="5" t="s">
        <v>238</v>
      </c>
      <c r="DH512" s="5" t="s">
        <v>238</v>
      </c>
      <c r="DI512" s="5" t="s">
        <v>238</v>
      </c>
      <c r="DJ512" s="5" t="s">
        <v>238</v>
      </c>
      <c r="DK512" s="5" t="s">
        <v>271</v>
      </c>
      <c r="DL512" s="5" t="s">
        <v>272</v>
      </c>
      <c r="DM512" s="7">
        <f>29</f>
        <v>29</v>
      </c>
      <c r="DN512" s="5" t="s">
        <v>238</v>
      </c>
      <c r="DO512" s="5" t="s">
        <v>238</v>
      </c>
      <c r="DP512" s="5" t="s">
        <v>238</v>
      </c>
      <c r="DQ512" s="5" t="s">
        <v>238</v>
      </c>
      <c r="DT512" s="5" t="s">
        <v>827</v>
      </c>
      <c r="DU512" s="5" t="s">
        <v>274</v>
      </c>
      <c r="HM512" s="5" t="s">
        <v>271</v>
      </c>
      <c r="HP512" s="5" t="s">
        <v>272</v>
      </c>
      <c r="HQ512" s="5" t="s">
        <v>272</v>
      </c>
    </row>
    <row r="513" spans="1:238" x14ac:dyDescent="0.4">
      <c r="A513" s="5">
        <v>549</v>
      </c>
      <c r="B513" s="5">
        <v>1</v>
      </c>
      <c r="C513" s="5">
        <v>1</v>
      </c>
      <c r="D513" s="5" t="s">
        <v>823</v>
      </c>
      <c r="E513" s="5" t="s">
        <v>347</v>
      </c>
      <c r="F513" s="5" t="s">
        <v>282</v>
      </c>
      <c r="G513" s="5" t="s">
        <v>239</v>
      </c>
      <c r="H513" s="6" t="s">
        <v>549</v>
      </c>
      <c r="I513" s="5" t="s">
        <v>239</v>
      </c>
      <c r="J513" s="7">
        <f>26</f>
        <v>26</v>
      </c>
      <c r="K513" s="5" t="s">
        <v>270</v>
      </c>
      <c r="L513" s="8">
        <f>1</f>
        <v>1</v>
      </c>
      <c r="M513" s="8">
        <f>1560000</f>
        <v>1560000</v>
      </c>
      <c r="N513" s="6" t="s">
        <v>824</v>
      </c>
      <c r="O513" s="5" t="s">
        <v>268</v>
      </c>
      <c r="P513" s="5" t="s">
        <v>826</v>
      </c>
      <c r="R513" s="8">
        <f>1559999</f>
        <v>1559999</v>
      </c>
      <c r="S513" s="5" t="s">
        <v>240</v>
      </c>
      <c r="T513" s="5" t="s">
        <v>237</v>
      </c>
      <c r="U513" s="5" t="s">
        <v>238</v>
      </c>
      <c r="V513" s="5" t="s">
        <v>238</v>
      </c>
      <c r="W513" s="5" t="s">
        <v>241</v>
      </c>
      <c r="X513" s="5" t="s">
        <v>337</v>
      </c>
      <c r="Y513" s="5" t="s">
        <v>238</v>
      </c>
      <c r="AB513" s="5" t="s">
        <v>238</v>
      </c>
      <c r="AD513" s="6" t="s">
        <v>238</v>
      </c>
      <c r="AG513" s="6" t="s">
        <v>368</v>
      </c>
      <c r="AH513" s="5" t="s">
        <v>247</v>
      </c>
      <c r="AI513" s="5" t="s">
        <v>248</v>
      </c>
      <c r="AY513" s="5" t="s">
        <v>250</v>
      </c>
      <c r="AZ513" s="5" t="s">
        <v>238</v>
      </c>
      <c r="BA513" s="5" t="s">
        <v>251</v>
      </c>
      <c r="BB513" s="5" t="s">
        <v>238</v>
      </c>
      <c r="BC513" s="5" t="s">
        <v>253</v>
      </c>
      <c r="BD513" s="5" t="s">
        <v>238</v>
      </c>
      <c r="BF513" s="5" t="s">
        <v>238</v>
      </c>
      <c r="BH513" s="5" t="s">
        <v>697</v>
      </c>
      <c r="BI513" s="6" t="s">
        <v>698</v>
      </c>
      <c r="BJ513" s="5" t="s">
        <v>255</v>
      </c>
      <c r="BK513" s="5" t="s">
        <v>256</v>
      </c>
      <c r="BL513" s="5" t="s">
        <v>238</v>
      </c>
      <c r="BM513" s="7">
        <f>0</f>
        <v>0</v>
      </c>
      <c r="BN513" s="8">
        <f>0</f>
        <v>0</v>
      </c>
      <c r="BO513" s="5" t="s">
        <v>257</v>
      </c>
      <c r="BP513" s="5" t="s">
        <v>258</v>
      </c>
      <c r="CD513" s="5" t="s">
        <v>238</v>
      </c>
      <c r="CE513" s="5" t="s">
        <v>238</v>
      </c>
      <c r="CI513" s="5" t="s">
        <v>527</v>
      </c>
      <c r="CJ513" s="5" t="s">
        <v>260</v>
      </c>
      <c r="CK513" s="5" t="s">
        <v>238</v>
      </c>
      <c r="CM513" s="5" t="s">
        <v>825</v>
      </c>
      <c r="CN513" s="6" t="s">
        <v>262</v>
      </c>
      <c r="CO513" s="5" t="s">
        <v>263</v>
      </c>
      <c r="CP513" s="5" t="s">
        <v>264</v>
      </c>
      <c r="CQ513" s="5" t="s">
        <v>238</v>
      </c>
      <c r="CR513" s="5" t="s">
        <v>238</v>
      </c>
      <c r="CS513" s="5">
        <v>0</v>
      </c>
      <c r="CT513" s="5" t="s">
        <v>265</v>
      </c>
      <c r="CU513" s="5" t="s">
        <v>266</v>
      </c>
      <c r="CV513" s="5" t="s">
        <v>267</v>
      </c>
      <c r="CX513" s="8">
        <f>1560000</f>
        <v>1560000</v>
      </c>
      <c r="CY513" s="8">
        <f>0</f>
        <v>0</v>
      </c>
      <c r="DA513" s="5" t="s">
        <v>238</v>
      </c>
      <c r="DB513" s="5" t="s">
        <v>238</v>
      </c>
      <c r="DD513" s="5" t="s">
        <v>238</v>
      </c>
      <c r="DG513" s="5" t="s">
        <v>238</v>
      </c>
      <c r="DH513" s="5" t="s">
        <v>238</v>
      </c>
      <c r="DI513" s="5" t="s">
        <v>238</v>
      </c>
      <c r="DJ513" s="5" t="s">
        <v>238</v>
      </c>
      <c r="DK513" s="5" t="s">
        <v>271</v>
      </c>
      <c r="DL513" s="5" t="s">
        <v>272</v>
      </c>
      <c r="DM513" s="7">
        <f>26</f>
        <v>26</v>
      </c>
      <c r="DN513" s="5" t="s">
        <v>238</v>
      </c>
      <c r="DO513" s="5" t="s">
        <v>238</v>
      </c>
      <c r="DP513" s="5" t="s">
        <v>238</v>
      </c>
      <c r="DQ513" s="5" t="s">
        <v>238</v>
      </c>
      <c r="DT513" s="5" t="s">
        <v>827</v>
      </c>
      <c r="DU513" s="5" t="s">
        <v>356</v>
      </c>
      <c r="HM513" s="5" t="s">
        <v>271</v>
      </c>
      <c r="HP513" s="5" t="s">
        <v>272</v>
      </c>
      <c r="HQ513" s="5" t="s">
        <v>272</v>
      </c>
    </row>
    <row r="514" spans="1:238" x14ac:dyDescent="0.4">
      <c r="A514" s="5">
        <v>550</v>
      </c>
      <c r="B514" s="5">
        <v>1</v>
      </c>
      <c r="C514" s="5">
        <v>4</v>
      </c>
      <c r="D514" s="5" t="s">
        <v>823</v>
      </c>
      <c r="E514" s="5" t="s">
        <v>347</v>
      </c>
      <c r="F514" s="5" t="s">
        <v>282</v>
      </c>
      <c r="G514" s="5" t="s">
        <v>1666</v>
      </c>
      <c r="H514" s="6" t="s">
        <v>549</v>
      </c>
      <c r="I514" s="5" t="s">
        <v>1308</v>
      </c>
      <c r="J514" s="7">
        <f>709</f>
        <v>709</v>
      </c>
      <c r="K514" s="5" t="s">
        <v>270</v>
      </c>
      <c r="L514" s="8">
        <f>13591530</f>
        <v>13591530</v>
      </c>
      <c r="M514" s="8">
        <f>95715000</f>
        <v>95715000</v>
      </c>
      <c r="N514" s="6" t="s">
        <v>1735</v>
      </c>
      <c r="O514" s="5" t="s">
        <v>898</v>
      </c>
      <c r="P514" s="5" t="s">
        <v>971</v>
      </c>
      <c r="Q514" s="8">
        <f>2105730</f>
        <v>2105730</v>
      </c>
      <c r="R514" s="8">
        <f>82123470</f>
        <v>82123470</v>
      </c>
      <c r="S514" s="5" t="s">
        <v>240</v>
      </c>
      <c r="T514" s="5" t="s">
        <v>237</v>
      </c>
      <c r="U514" s="5" t="s">
        <v>238</v>
      </c>
      <c r="V514" s="5" t="s">
        <v>238</v>
      </c>
      <c r="W514" s="5" t="s">
        <v>241</v>
      </c>
      <c r="X514" s="5" t="s">
        <v>337</v>
      </c>
      <c r="Y514" s="5" t="s">
        <v>238</v>
      </c>
      <c r="AB514" s="5" t="s">
        <v>238</v>
      </c>
      <c r="AC514" s="6" t="s">
        <v>238</v>
      </c>
      <c r="AD514" s="6" t="s">
        <v>238</v>
      </c>
      <c r="AF514" s="6" t="s">
        <v>238</v>
      </c>
      <c r="AG514" s="6" t="s">
        <v>368</v>
      </c>
      <c r="AH514" s="5" t="s">
        <v>247</v>
      </c>
      <c r="AI514" s="5" t="s">
        <v>248</v>
      </c>
      <c r="AO514" s="5" t="s">
        <v>238</v>
      </c>
      <c r="AP514" s="5" t="s">
        <v>238</v>
      </c>
      <c r="AQ514" s="5" t="s">
        <v>238</v>
      </c>
      <c r="AR514" s="6" t="s">
        <v>238</v>
      </c>
      <c r="AS514" s="6" t="s">
        <v>238</v>
      </c>
      <c r="AT514" s="6" t="s">
        <v>238</v>
      </c>
      <c r="AW514" s="5" t="s">
        <v>304</v>
      </c>
      <c r="AX514" s="5" t="s">
        <v>304</v>
      </c>
      <c r="AY514" s="5" t="s">
        <v>250</v>
      </c>
      <c r="AZ514" s="5" t="s">
        <v>305</v>
      </c>
      <c r="BA514" s="5" t="s">
        <v>251</v>
      </c>
      <c r="BB514" s="5" t="s">
        <v>238</v>
      </c>
      <c r="BC514" s="5" t="s">
        <v>253</v>
      </c>
      <c r="BD514" s="5" t="s">
        <v>238</v>
      </c>
      <c r="BF514" s="5" t="s">
        <v>238</v>
      </c>
      <c r="BH514" s="5" t="s">
        <v>283</v>
      </c>
      <c r="BI514" s="6" t="s">
        <v>293</v>
      </c>
      <c r="BJ514" s="5" t="s">
        <v>294</v>
      </c>
      <c r="BK514" s="5" t="s">
        <v>294</v>
      </c>
      <c r="BL514" s="5" t="s">
        <v>238</v>
      </c>
      <c r="BM514" s="7">
        <f>0</f>
        <v>0</v>
      </c>
      <c r="BN514" s="8">
        <f>-2105730</f>
        <v>-2105730</v>
      </c>
      <c r="BO514" s="5" t="s">
        <v>257</v>
      </c>
      <c r="BP514" s="5" t="s">
        <v>258</v>
      </c>
      <c r="BQ514" s="5" t="s">
        <v>238</v>
      </c>
      <c r="BR514" s="5" t="s">
        <v>238</v>
      </c>
      <c r="BS514" s="5" t="s">
        <v>238</v>
      </c>
      <c r="BT514" s="5" t="s">
        <v>238</v>
      </c>
      <c r="CC514" s="5" t="s">
        <v>258</v>
      </c>
      <c r="CD514" s="5" t="s">
        <v>238</v>
      </c>
      <c r="CE514" s="5" t="s">
        <v>238</v>
      </c>
      <c r="CI514" s="5" t="s">
        <v>527</v>
      </c>
      <c r="CJ514" s="5" t="s">
        <v>260</v>
      </c>
      <c r="CK514" s="5" t="s">
        <v>238</v>
      </c>
      <c r="CM514" s="5" t="s">
        <v>990</v>
      </c>
      <c r="CN514" s="6" t="s">
        <v>262</v>
      </c>
      <c r="CO514" s="5" t="s">
        <v>263</v>
      </c>
      <c r="CP514" s="5" t="s">
        <v>264</v>
      </c>
      <c r="CQ514" s="5" t="s">
        <v>285</v>
      </c>
      <c r="CR514" s="5" t="s">
        <v>238</v>
      </c>
      <c r="CS514" s="5">
        <v>2.1999999999999999E-2</v>
      </c>
      <c r="CT514" s="5" t="s">
        <v>265</v>
      </c>
      <c r="CU514" s="5" t="s">
        <v>1330</v>
      </c>
      <c r="CV514" s="5" t="s">
        <v>308</v>
      </c>
      <c r="CW514" s="7">
        <f>0</f>
        <v>0</v>
      </c>
      <c r="CX514" s="8">
        <f>95715000</f>
        <v>95715000</v>
      </c>
      <c r="CY514" s="8">
        <f>15697260</f>
        <v>15697260</v>
      </c>
      <c r="DA514" s="5" t="s">
        <v>238</v>
      </c>
      <c r="DB514" s="5" t="s">
        <v>238</v>
      </c>
      <c r="DD514" s="5" t="s">
        <v>238</v>
      </c>
      <c r="DE514" s="8">
        <f>0</f>
        <v>0</v>
      </c>
      <c r="DG514" s="5" t="s">
        <v>238</v>
      </c>
      <c r="DH514" s="5" t="s">
        <v>238</v>
      </c>
      <c r="DI514" s="5" t="s">
        <v>238</v>
      </c>
      <c r="DJ514" s="5" t="s">
        <v>238</v>
      </c>
      <c r="DK514" s="5" t="s">
        <v>271</v>
      </c>
      <c r="DL514" s="5" t="s">
        <v>272</v>
      </c>
      <c r="DM514" s="7">
        <f>709</f>
        <v>709</v>
      </c>
      <c r="DN514" s="5" t="s">
        <v>238</v>
      </c>
      <c r="DO514" s="5" t="s">
        <v>238</v>
      </c>
      <c r="DP514" s="5" t="s">
        <v>238</v>
      </c>
      <c r="DQ514" s="5" t="s">
        <v>238</v>
      </c>
      <c r="DT514" s="5" t="s">
        <v>827</v>
      </c>
      <c r="DU514" s="5" t="s">
        <v>310</v>
      </c>
      <c r="GL514" s="5" t="s">
        <v>1736</v>
      </c>
      <c r="HM514" s="5" t="s">
        <v>313</v>
      </c>
      <c r="HP514" s="5" t="s">
        <v>272</v>
      </c>
      <c r="HQ514" s="5" t="s">
        <v>272</v>
      </c>
      <c r="HR514" s="5" t="s">
        <v>238</v>
      </c>
      <c r="HS514" s="5" t="s">
        <v>238</v>
      </c>
      <c r="HT514" s="5" t="s">
        <v>238</v>
      </c>
      <c r="HU514" s="5" t="s">
        <v>238</v>
      </c>
      <c r="HV514" s="5" t="s">
        <v>238</v>
      </c>
      <c r="HW514" s="5" t="s">
        <v>238</v>
      </c>
      <c r="HX514" s="5" t="s">
        <v>238</v>
      </c>
      <c r="HY514" s="5" t="s">
        <v>238</v>
      </c>
      <c r="HZ514" s="5" t="s">
        <v>238</v>
      </c>
      <c r="IA514" s="5" t="s">
        <v>238</v>
      </c>
      <c r="IB514" s="5" t="s">
        <v>238</v>
      </c>
      <c r="IC514" s="5" t="s">
        <v>238</v>
      </c>
      <c r="ID514" s="5" t="s">
        <v>238</v>
      </c>
    </row>
    <row r="515" spans="1:238" x14ac:dyDescent="0.4">
      <c r="A515" s="5">
        <v>551</v>
      </c>
      <c r="B515" s="5">
        <v>1</v>
      </c>
      <c r="C515" s="5">
        <v>4</v>
      </c>
      <c r="D515" s="5" t="s">
        <v>823</v>
      </c>
      <c r="E515" s="5" t="s">
        <v>347</v>
      </c>
      <c r="F515" s="5" t="s">
        <v>282</v>
      </c>
      <c r="G515" s="5" t="s">
        <v>1499</v>
      </c>
      <c r="H515" s="6" t="s">
        <v>549</v>
      </c>
      <c r="I515" s="5" t="s">
        <v>1314</v>
      </c>
      <c r="J515" s="7">
        <f>118</f>
        <v>118</v>
      </c>
      <c r="K515" s="5" t="s">
        <v>270</v>
      </c>
      <c r="L515" s="8">
        <f>784700</f>
        <v>784700</v>
      </c>
      <c r="M515" s="8">
        <f>11210000</f>
        <v>11210000</v>
      </c>
      <c r="N515" s="6" t="s">
        <v>1107</v>
      </c>
      <c r="O515" s="5" t="s">
        <v>755</v>
      </c>
      <c r="P515" s="5" t="s">
        <v>690</v>
      </c>
      <c r="Q515" s="8">
        <f>336300</f>
        <v>336300</v>
      </c>
      <c r="R515" s="8">
        <f>10425300</f>
        <v>10425300</v>
      </c>
      <c r="S515" s="5" t="s">
        <v>240</v>
      </c>
      <c r="T515" s="5" t="s">
        <v>237</v>
      </c>
      <c r="U515" s="5" t="s">
        <v>238</v>
      </c>
      <c r="V515" s="5" t="s">
        <v>238</v>
      </c>
      <c r="W515" s="5" t="s">
        <v>241</v>
      </c>
      <c r="X515" s="5" t="s">
        <v>337</v>
      </c>
      <c r="Y515" s="5" t="s">
        <v>238</v>
      </c>
      <c r="AB515" s="5" t="s">
        <v>238</v>
      </c>
      <c r="AC515" s="6" t="s">
        <v>238</v>
      </c>
      <c r="AD515" s="6" t="s">
        <v>238</v>
      </c>
      <c r="AF515" s="6" t="s">
        <v>238</v>
      </c>
      <c r="AG515" s="6" t="s">
        <v>246</v>
      </c>
      <c r="AH515" s="5" t="s">
        <v>247</v>
      </c>
      <c r="AI515" s="5" t="s">
        <v>248</v>
      </c>
      <c r="AO515" s="5" t="s">
        <v>238</v>
      </c>
      <c r="AP515" s="5" t="s">
        <v>238</v>
      </c>
      <c r="AQ515" s="5" t="s">
        <v>238</v>
      </c>
      <c r="AR515" s="6" t="s">
        <v>238</v>
      </c>
      <c r="AS515" s="6" t="s">
        <v>238</v>
      </c>
      <c r="AT515" s="6" t="s">
        <v>238</v>
      </c>
      <c r="AW515" s="5" t="s">
        <v>304</v>
      </c>
      <c r="AX515" s="5" t="s">
        <v>304</v>
      </c>
      <c r="AY515" s="5" t="s">
        <v>250</v>
      </c>
      <c r="AZ515" s="5" t="s">
        <v>305</v>
      </c>
      <c r="BA515" s="5" t="s">
        <v>251</v>
      </c>
      <c r="BB515" s="5" t="s">
        <v>238</v>
      </c>
      <c r="BC515" s="5" t="s">
        <v>253</v>
      </c>
      <c r="BD515" s="5" t="s">
        <v>238</v>
      </c>
      <c r="BF515" s="5" t="s">
        <v>238</v>
      </c>
      <c r="BH515" s="5" t="s">
        <v>283</v>
      </c>
      <c r="BI515" s="6" t="s">
        <v>293</v>
      </c>
      <c r="BJ515" s="5" t="s">
        <v>294</v>
      </c>
      <c r="BK515" s="5" t="s">
        <v>294</v>
      </c>
      <c r="BL515" s="5" t="s">
        <v>238</v>
      </c>
      <c r="BM515" s="7">
        <f>0</f>
        <v>0</v>
      </c>
      <c r="BN515" s="8">
        <f>-336300</f>
        <v>-336300</v>
      </c>
      <c r="BO515" s="5" t="s">
        <v>257</v>
      </c>
      <c r="BP515" s="5" t="s">
        <v>258</v>
      </c>
      <c r="BQ515" s="5" t="s">
        <v>238</v>
      </c>
      <c r="BR515" s="5" t="s">
        <v>238</v>
      </c>
      <c r="BS515" s="5" t="s">
        <v>238</v>
      </c>
      <c r="BT515" s="5" t="s">
        <v>238</v>
      </c>
      <c r="CC515" s="5" t="s">
        <v>258</v>
      </c>
      <c r="CD515" s="5" t="s">
        <v>238</v>
      </c>
      <c r="CE515" s="5" t="s">
        <v>238</v>
      </c>
      <c r="CI515" s="5" t="s">
        <v>259</v>
      </c>
      <c r="CJ515" s="5" t="s">
        <v>260</v>
      </c>
      <c r="CK515" s="5" t="s">
        <v>238</v>
      </c>
      <c r="CM515" s="5" t="s">
        <v>768</v>
      </c>
      <c r="CN515" s="6" t="s">
        <v>262</v>
      </c>
      <c r="CO515" s="5" t="s">
        <v>263</v>
      </c>
      <c r="CP515" s="5" t="s">
        <v>264</v>
      </c>
      <c r="CQ515" s="5" t="s">
        <v>285</v>
      </c>
      <c r="CR515" s="5" t="s">
        <v>238</v>
      </c>
      <c r="CS515" s="5">
        <v>0.03</v>
      </c>
      <c r="CT515" s="5" t="s">
        <v>265</v>
      </c>
      <c r="CU515" s="5" t="s">
        <v>1493</v>
      </c>
      <c r="CV515" s="5" t="s">
        <v>649</v>
      </c>
      <c r="CW515" s="7">
        <f>0</f>
        <v>0</v>
      </c>
      <c r="CX515" s="8">
        <f>11210000</f>
        <v>11210000</v>
      </c>
      <c r="CY515" s="8">
        <f>1121000</f>
        <v>1121000</v>
      </c>
      <c r="DA515" s="5" t="s">
        <v>238</v>
      </c>
      <c r="DB515" s="5" t="s">
        <v>238</v>
      </c>
      <c r="DD515" s="5" t="s">
        <v>238</v>
      </c>
      <c r="DE515" s="8">
        <f>0</f>
        <v>0</v>
      </c>
      <c r="DG515" s="5" t="s">
        <v>238</v>
      </c>
      <c r="DH515" s="5" t="s">
        <v>238</v>
      </c>
      <c r="DI515" s="5" t="s">
        <v>238</v>
      </c>
      <c r="DJ515" s="5" t="s">
        <v>238</v>
      </c>
      <c r="DK515" s="5" t="s">
        <v>271</v>
      </c>
      <c r="DL515" s="5" t="s">
        <v>272</v>
      </c>
      <c r="DM515" s="7">
        <f>118</f>
        <v>118</v>
      </c>
      <c r="DN515" s="5" t="s">
        <v>238</v>
      </c>
      <c r="DO515" s="5" t="s">
        <v>238</v>
      </c>
      <c r="DP515" s="5" t="s">
        <v>238</v>
      </c>
      <c r="DQ515" s="5" t="s">
        <v>238</v>
      </c>
      <c r="DT515" s="5" t="s">
        <v>827</v>
      </c>
      <c r="DU515" s="5" t="s">
        <v>379</v>
      </c>
      <c r="GL515" s="5" t="s">
        <v>1632</v>
      </c>
      <c r="HM515" s="5" t="s">
        <v>313</v>
      </c>
      <c r="HP515" s="5" t="s">
        <v>272</v>
      </c>
      <c r="HQ515" s="5" t="s">
        <v>272</v>
      </c>
      <c r="HR515" s="5" t="s">
        <v>238</v>
      </c>
      <c r="HS515" s="5" t="s">
        <v>238</v>
      </c>
      <c r="HT515" s="5" t="s">
        <v>238</v>
      </c>
      <c r="HU515" s="5" t="s">
        <v>238</v>
      </c>
      <c r="HV515" s="5" t="s">
        <v>238</v>
      </c>
      <c r="HW515" s="5" t="s">
        <v>238</v>
      </c>
      <c r="HX515" s="5" t="s">
        <v>238</v>
      </c>
      <c r="HY515" s="5" t="s">
        <v>238</v>
      </c>
      <c r="HZ515" s="5" t="s">
        <v>238</v>
      </c>
      <c r="IA515" s="5" t="s">
        <v>238</v>
      </c>
      <c r="IB515" s="5" t="s">
        <v>238</v>
      </c>
      <c r="IC515" s="5" t="s">
        <v>238</v>
      </c>
      <c r="ID515" s="5" t="s">
        <v>238</v>
      </c>
    </row>
    <row r="516" spans="1:238" x14ac:dyDescent="0.4">
      <c r="A516" s="5">
        <v>552</v>
      </c>
      <c r="B516" s="5">
        <v>1</v>
      </c>
      <c r="C516" s="5">
        <v>4</v>
      </c>
      <c r="D516" s="5" t="s">
        <v>823</v>
      </c>
      <c r="E516" s="5" t="s">
        <v>347</v>
      </c>
      <c r="F516" s="5" t="s">
        <v>282</v>
      </c>
      <c r="G516" s="5" t="s">
        <v>646</v>
      </c>
      <c r="H516" s="6" t="s">
        <v>549</v>
      </c>
      <c r="I516" s="5" t="s">
        <v>239</v>
      </c>
      <c r="J516" s="7">
        <f>20</f>
        <v>20</v>
      </c>
      <c r="K516" s="5" t="s">
        <v>270</v>
      </c>
      <c r="L516" s="8">
        <f>1</f>
        <v>1</v>
      </c>
      <c r="M516" s="8">
        <f>1900000</f>
        <v>1900000</v>
      </c>
      <c r="N516" s="6" t="s">
        <v>1099</v>
      </c>
      <c r="O516" s="5" t="s">
        <v>651</v>
      </c>
      <c r="P516" s="5" t="s">
        <v>286</v>
      </c>
      <c r="Q516" s="8">
        <f>79800</f>
        <v>79800</v>
      </c>
      <c r="R516" s="8">
        <f>1899999</f>
        <v>1899999</v>
      </c>
      <c r="S516" s="5" t="s">
        <v>240</v>
      </c>
      <c r="T516" s="5" t="s">
        <v>237</v>
      </c>
      <c r="U516" s="5" t="s">
        <v>238</v>
      </c>
      <c r="V516" s="5" t="s">
        <v>238</v>
      </c>
      <c r="W516" s="5" t="s">
        <v>241</v>
      </c>
      <c r="X516" s="5" t="s">
        <v>337</v>
      </c>
      <c r="Y516" s="5" t="s">
        <v>238</v>
      </c>
      <c r="AB516" s="5" t="s">
        <v>238</v>
      </c>
      <c r="AC516" s="6" t="s">
        <v>238</v>
      </c>
      <c r="AD516" s="6" t="s">
        <v>238</v>
      </c>
      <c r="AF516" s="6" t="s">
        <v>238</v>
      </c>
      <c r="AG516" s="6" t="s">
        <v>246</v>
      </c>
      <c r="AH516" s="5" t="s">
        <v>247</v>
      </c>
      <c r="AI516" s="5" t="s">
        <v>248</v>
      </c>
      <c r="AO516" s="5" t="s">
        <v>238</v>
      </c>
      <c r="AP516" s="5" t="s">
        <v>238</v>
      </c>
      <c r="AQ516" s="5" t="s">
        <v>238</v>
      </c>
      <c r="AR516" s="6" t="s">
        <v>238</v>
      </c>
      <c r="AS516" s="6" t="s">
        <v>238</v>
      </c>
      <c r="AT516" s="6" t="s">
        <v>238</v>
      </c>
      <c r="AW516" s="5" t="s">
        <v>304</v>
      </c>
      <c r="AX516" s="5" t="s">
        <v>304</v>
      </c>
      <c r="AY516" s="5" t="s">
        <v>250</v>
      </c>
      <c r="AZ516" s="5" t="s">
        <v>305</v>
      </c>
      <c r="BA516" s="5" t="s">
        <v>251</v>
      </c>
      <c r="BB516" s="5" t="s">
        <v>238</v>
      </c>
      <c r="BC516" s="5" t="s">
        <v>253</v>
      </c>
      <c r="BD516" s="5" t="s">
        <v>238</v>
      </c>
      <c r="BF516" s="5" t="s">
        <v>238</v>
      </c>
      <c r="BH516" s="5" t="s">
        <v>283</v>
      </c>
      <c r="BI516" s="6" t="s">
        <v>293</v>
      </c>
      <c r="BJ516" s="5" t="s">
        <v>294</v>
      </c>
      <c r="BK516" s="5" t="s">
        <v>294</v>
      </c>
      <c r="BL516" s="5" t="s">
        <v>238</v>
      </c>
      <c r="BM516" s="7">
        <f>0</f>
        <v>0</v>
      </c>
      <c r="BN516" s="8">
        <f>-64599</f>
        <v>-64599</v>
      </c>
      <c r="BO516" s="5" t="s">
        <v>257</v>
      </c>
      <c r="BP516" s="5" t="s">
        <v>258</v>
      </c>
      <c r="BQ516" s="5" t="s">
        <v>238</v>
      </c>
      <c r="BR516" s="5" t="s">
        <v>238</v>
      </c>
      <c r="BS516" s="5" t="s">
        <v>238</v>
      </c>
      <c r="BT516" s="5" t="s">
        <v>238</v>
      </c>
      <c r="CC516" s="5" t="s">
        <v>258</v>
      </c>
      <c r="CD516" s="5" t="s">
        <v>238</v>
      </c>
      <c r="CE516" s="5" t="s">
        <v>238</v>
      </c>
      <c r="CI516" s="5" t="s">
        <v>259</v>
      </c>
      <c r="CJ516" s="5" t="s">
        <v>260</v>
      </c>
      <c r="CK516" s="5" t="s">
        <v>238</v>
      </c>
      <c r="CM516" s="5" t="s">
        <v>330</v>
      </c>
      <c r="CN516" s="6" t="s">
        <v>262</v>
      </c>
      <c r="CO516" s="5" t="s">
        <v>263</v>
      </c>
      <c r="CP516" s="5" t="s">
        <v>264</v>
      </c>
      <c r="CQ516" s="5" t="s">
        <v>285</v>
      </c>
      <c r="CR516" s="5" t="s">
        <v>238</v>
      </c>
      <c r="CS516" s="5">
        <v>4.2000000000000003E-2</v>
      </c>
      <c r="CT516" s="5" t="s">
        <v>265</v>
      </c>
      <c r="CU516" s="5" t="s">
        <v>266</v>
      </c>
      <c r="CV516" s="5" t="s">
        <v>331</v>
      </c>
      <c r="CW516" s="7">
        <f>0</f>
        <v>0</v>
      </c>
      <c r="CX516" s="8">
        <f>1900000</f>
        <v>1900000</v>
      </c>
      <c r="CY516" s="8">
        <f>64600</f>
        <v>64600</v>
      </c>
      <c r="DA516" s="5" t="s">
        <v>238</v>
      </c>
      <c r="DB516" s="5" t="s">
        <v>238</v>
      </c>
      <c r="DD516" s="5" t="s">
        <v>238</v>
      </c>
      <c r="DE516" s="8">
        <f>0</f>
        <v>0</v>
      </c>
      <c r="DG516" s="5" t="s">
        <v>238</v>
      </c>
      <c r="DH516" s="5" t="s">
        <v>238</v>
      </c>
      <c r="DI516" s="5" t="s">
        <v>238</v>
      </c>
      <c r="DJ516" s="5" t="s">
        <v>238</v>
      </c>
      <c r="DK516" s="5" t="s">
        <v>271</v>
      </c>
      <c r="DL516" s="5" t="s">
        <v>272</v>
      </c>
      <c r="DM516" s="7">
        <f>20</f>
        <v>20</v>
      </c>
      <c r="DN516" s="5" t="s">
        <v>238</v>
      </c>
      <c r="DO516" s="5" t="s">
        <v>238</v>
      </c>
      <c r="DP516" s="5" t="s">
        <v>238</v>
      </c>
      <c r="DQ516" s="5" t="s">
        <v>238</v>
      </c>
      <c r="DT516" s="5" t="s">
        <v>827</v>
      </c>
      <c r="DU516" s="5" t="s">
        <v>313</v>
      </c>
      <c r="GL516" s="5" t="s">
        <v>1100</v>
      </c>
      <c r="HM516" s="5" t="s">
        <v>313</v>
      </c>
      <c r="HP516" s="5" t="s">
        <v>272</v>
      </c>
      <c r="HQ516" s="5" t="s">
        <v>272</v>
      </c>
      <c r="HR516" s="5" t="s">
        <v>238</v>
      </c>
      <c r="HS516" s="5" t="s">
        <v>238</v>
      </c>
      <c r="HT516" s="5" t="s">
        <v>238</v>
      </c>
      <c r="HU516" s="5" t="s">
        <v>238</v>
      </c>
      <c r="HV516" s="5" t="s">
        <v>238</v>
      </c>
      <c r="HW516" s="5" t="s">
        <v>238</v>
      </c>
      <c r="HX516" s="5" t="s">
        <v>238</v>
      </c>
      <c r="HY516" s="5" t="s">
        <v>238</v>
      </c>
      <c r="HZ516" s="5" t="s">
        <v>238</v>
      </c>
      <c r="IA516" s="5" t="s">
        <v>238</v>
      </c>
      <c r="IB516" s="5" t="s">
        <v>238</v>
      </c>
      <c r="IC516" s="5" t="s">
        <v>238</v>
      </c>
      <c r="ID516" s="5" t="s">
        <v>238</v>
      </c>
    </row>
    <row r="517" spans="1:238" x14ac:dyDescent="0.4">
      <c r="A517" s="5">
        <v>553</v>
      </c>
      <c r="B517" s="5">
        <v>1</v>
      </c>
      <c r="C517" s="5">
        <v>4</v>
      </c>
      <c r="D517" s="5" t="s">
        <v>823</v>
      </c>
      <c r="E517" s="5" t="s">
        <v>347</v>
      </c>
      <c r="F517" s="5" t="s">
        <v>282</v>
      </c>
      <c r="G517" s="5" t="s">
        <v>646</v>
      </c>
      <c r="H517" s="6" t="s">
        <v>549</v>
      </c>
      <c r="I517" s="5" t="s">
        <v>239</v>
      </c>
      <c r="J517" s="7">
        <f>21</f>
        <v>21</v>
      </c>
      <c r="K517" s="5" t="s">
        <v>270</v>
      </c>
      <c r="L517" s="8">
        <f>738150</f>
        <v>738150</v>
      </c>
      <c r="M517" s="8">
        <f>1995000</f>
        <v>1995000</v>
      </c>
      <c r="N517" s="6" t="s">
        <v>316</v>
      </c>
      <c r="O517" s="5" t="s">
        <v>651</v>
      </c>
      <c r="P517" s="5" t="s">
        <v>319</v>
      </c>
      <c r="Q517" s="8">
        <f>83790</f>
        <v>83790</v>
      </c>
      <c r="R517" s="8">
        <f>1256850</f>
        <v>1256850</v>
      </c>
      <c r="S517" s="5" t="s">
        <v>240</v>
      </c>
      <c r="T517" s="5" t="s">
        <v>237</v>
      </c>
      <c r="U517" s="5" t="s">
        <v>238</v>
      </c>
      <c r="V517" s="5" t="s">
        <v>238</v>
      </c>
      <c r="W517" s="5" t="s">
        <v>241</v>
      </c>
      <c r="X517" s="5" t="s">
        <v>337</v>
      </c>
      <c r="Y517" s="5" t="s">
        <v>238</v>
      </c>
      <c r="AB517" s="5" t="s">
        <v>238</v>
      </c>
      <c r="AC517" s="6" t="s">
        <v>238</v>
      </c>
      <c r="AD517" s="6" t="s">
        <v>238</v>
      </c>
      <c r="AF517" s="6" t="s">
        <v>238</v>
      </c>
      <c r="AG517" s="6" t="s">
        <v>246</v>
      </c>
      <c r="AH517" s="5" t="s">
        <v>247</v>
      </c>
      <c r="AI517" s="5" t="s">
        <v>248</v>
      </c>
      <c r="AO517" s="5" t="s">
        <v>238</v>
      </c>
      <c r="AP517" s="5" t="s">
        <v>238</v>
      </c>
      <c r="AQ517" s="5" t="s">
        <v>238</v>
      </c>
      <c r="AR517" s="6" t="s">
        <v>238</v>
      </c>
      <c r="AS517" s="6" t="s">
        <v>238</v>
      </c>
      <c r="AT517" s="6" t="s">
        <v>238</v>
      </c>
      <c r="AW517" s="5" t="s">
        <v>304</v>
      </c>
      <c r="AX517" s="5" t="s">
        <v>304</v>
      </c>
      <c r="AY517" s="5" t="s">
        <v>250</v>
      </c>
      <c r="AZ517" s="5" t="s">
        <v>305</v>
      </c>
      <c r="BA517" s="5" t="s">
        <v>251</v>
      </c>
      <c r="BB517" s="5" t="s">
        <v>238</v>
      </c>
      <c r="BC517" s="5" t="s">
        <v>253</v>
      </c>
      <c r="BD517" s="5" t="s">
        <v>238</v>
      </c>
      <c r="BF517" s="5" t="s">
        <v>238</v>
      </c>
      <c r="BH517" s="5" t="s">
        <v>283</v>
      </c>
      <c r="BI517" s="6" t="s">
        <v>293</v>
      </c>
      <c r="BJ517" s="5" t="s">
        <v>294</v>
      </c>
      <c r="BK517" s="5" t="s">
        <v>294</v>
      </c>
      <c r="BL517" s="5" t="s">
        <v>238</v>
      </c>
      <c r="BM517" s="7">
        <f>0</f>
        <v>0</v>
      </c>
      <c r="BN517" s="8">
        <f>-83790</f>
        <v>-83790</v>
      </c>
      <c r="BO517" s="5" t="s">
        <v>257</v>
      </c>
      <c r="BP517" s="5" t="s">
        <v>258</v>
      </c>
      <c r="BQ517" s="5" t="s">
        <v>238</v>
      </c>
      <c r="BR517" s="5" t="s">
        <v>238</v>
      </c>
      <c r="BS517" s="5" t="s">
        <v>238</v>
      </c>
      <c r="BT517" s="5" t="s">
        <v>238</v>
      </c>
      <c r="CC517" s="5" t="s">
        <v>258</v>
      </c>
      <c r="CD517" s="5" t="s">
        <v>238</v>
      </c>
      <c r="CE517" s="5" t="s">
        <v>238</v>
      </c>
      <c r="CI517" s="5" t="s">
        <v>259</v>
      </c>
      <c r="CJ517" s="5" t="s">
        <v>260</v>
      </c>
      <c r="CK517" s="5" t="s">
        <v>238</v>
      </c>
      <c r="CM517" s="5" t="s">
        <v>318</v>
      </c>
      <c r="CN517" s="6" t="s">
        <v>262</v>
      </c>
      <c r="CO517" s="5" t="s">
        <v>263</v>
      </c>
      <c r="CP517" s="5" t="s">
        <v>264</v>
      </c>
      <c r="CQ517" s="5" t="s">
        <v>285</v>
      </c>
      <c r="CR517" s="5" t="s">
        <v>238</v>
      </c>
      <c r="CS517" s="5">
        <v>4.2000000000000003E-2</v>
      </c>
      <c r="CT517" s="5" t="s">
        <v>265</v>
      </c>
      <c r="CU517" s="5" t="s">
        <v>266</v>
      </c>
      <c r="CV517" s="5" t="s">
        <v>331</v>
      </c>
      <c r="CW517" s="7">
        <f>0</f>
        <v>0</v>
      </c>
      <c r="CX517" s="8">
        <f>1995000</f>
        <v>1995000</v>
      </c>
      <c r="CY517" s="8">
        <f>821940</f>
        <v>821940</v>
      </c>
      <c r="DA517" s="5" t="s">
        <v>238</v>
      </c>
      <c r="DB517" s="5" t="s">
        <v>238</v>
      </c>
      <c r="DD517" s="5" t="s">
        <v>238</v>
      </c>
      <c r="DE517" s="8">
        <f>0</f>
        <v>0</v>
      </c>
      <c r="DG517" s="5" t="s">
        <v>238</v>
      </c>
      <c r="DH517" s="5" t="s">
        <v>238</v>
      </c>
      <c r="DI517" s="5" t="s">
        <v>238</v>
      </c>
      <c r="DJ517" s="5" t="s">
        <v>238</v>
      </c>
      <c r="DK517" s="5" t="s">
        <v>271</v>
      </c>
      <c r="DL517" s="5" t="s">
        <v>272</v>
      </c>
      <c r="DM517" s="7">
        <f>21</f>
        <v>21</v>
      </c>
      <c r="DN517" s="5" t="s">
        <v>238</v>
      </c>
      <c r="DO517" s="5" t="s">
        <v>238</v>
      </c>
      <c r="DP517" s="5" t="s">
        <v>238</v>
      </c>
      <c r="DQ517" s="5" t="s">
        <v>238</v>
      </c>
      <c r="DT517" s="5" t="s">
        <v>827</v>
      </c>
      <c r="DU517" s="5" t="s">
        <v>389</v>
      </c>
      <c r="GL517" s="5" t="s">
        <v>1147</v>
      </c>
      <c r="HM517" s="5" t="s">
        <v>313</v>
      </c>
      <c r="HP517" s="5" t="s">
        <v>272</v>
      </c>
      <c r="HQ517" s="5" t="s">
        <v>272</v>
      </c>
      <c r="HR517" s="5" t="s">
        <v>238</v>
      </c>
      <c r="HS517" s="5" t="s">
        <v>238</v>
      </c>
      <c r="HT517" s="5" t="s">
        <v>238</v>
      </c>
      <c r="HU517" s="5" t="s">
        <v>238</v>
      </c>
      <c r="HV517" s="5" t="s">
        <v>238</v>
      </c>
      <c r="HW517" s="5" t="s">
        <v>238</v>
      </c>
      <c r="HX517" s="5" t="s">
        <v>238</v>
      </c>
      <c r="HY517" s="5" t="s">
        <v>238</v>
      </c>
      <c r="HZ517" s="5" t="s">
        <v>238</v>
      </c>
      <c r="IA517" s="5" t="s">
        <v>238</v>
      </c>
      <c r="IB517" s="5" t="s">
        <v>238</v>
      </c>
      <c r="IC517" s="5" t="s">
        <v>238</v>
      </c>
      <c r="ID517" s="5" t="s">
        <v>238</v>
      </c>
    </row>
    <row r="518" spans="1:238" x14ac:dyDescent="0.4">
      <c r="A518" s="5">
        <v>554</v>
      </c>
      <c r="B518" s="5">
        <v>1</v>
      </c>
      <c r="C518" s="5">
        <v>4</v>
      </c>
      <c r="D518" s="5" t="s">
        <v>823</v>
      </c>
      <c r="E518" s="5" t="s">
        <v>347</v>
      </c>
      <c r="F518" s="5" t="s">
        <v>282</v>
      </c>
      <c r="G518" s="5" t="s">
        <v>646</v>
      </c>
      <c r="H518" s="6" t="s">
        <v>549</v>
      </c>
      <c r="I518" s="5" t="s">
        <v>239</v>
      </c>
      <c r="J518" s="7">
        <f>32</f>
        <v>32</v>
      </c>
      <c r="K518" s="5" t="s">
        <v>270</v>
      </c>
      <c r="L518" s="8">
        <f>1124800</f>
        <v>1124800</v>
      </c>
      <c r="M518" s="8">
        <f>3040000</f>
        <v>3040000</v>
      </c>
      <c r="N518" s="6" t="s">
        <v>316</v>
      </c>
      <c r="O518" s="5" t="s">
        <v>651</v>
      </c>
      <c r="P518" s="5" t="s">
        <v>319</v>
      </c>
      <c r="Q518" s="8">
        <f>127680</f>
        <v>127680</v>
      </c>
      <c r="R518" s="8">
        <f>1915200</f>
        <v>1915200</v>
      </c>
      <c r="S518" s="5" t="s">
        <v>240</v>
      </c>
      <c r="T518" s="5" t="s">
        <v>237</v>
      </c>
      <c r="U518" s="5" t="s">
        <v>238</v>
      </c>
      <c r="V518" s="5" t="s">
        <v>238</v>
      </c>
      <c r="W518" s="5" t="s">
        <v>241</v>
      </c>
      <c r="X518" s="5" t="s">
        <v>337</v>
      </c>
      <c r="Y518" s="5" t="s">
        <v>238</v>
      </c>
      <c r="AB518" s="5" t="s">
        <v>238</v>
      </c>
      <c r="AC518" s="6" t="s">
        <v>238</v>
      </c>
      <c r="AD518" s="6" t="s">
        <v>238</v>
      </c>
      <c r="AF518" s="6" t="s">
        <v>238</v>
      </c>
      <c r="AG518" s="6" t="s">
        <v>246</v>
      </c>
      <c r="AH518" s="5" t="s">
        <v>247</v>
      </c>
      <c r="AI518" s="5" t="s">
        <v>248</v>
      </c>
      <c r="AO518" s="5" t="s">
        <v>238</v>
      </c>
      <c r="AP518" s="5" t="s">
        <v>238</v>
      </c>
      <c r="AQ518" s="5" t="s">
        <v>238</v>
      </c>
      <c r="AR518" s="6" t="s">
        <v>238</v>
      </c>
      <c r="AS518" s="6" t="s">
        <v>238</v>
      </c>
      <c r="AT518" s="6" t="s">
        <v>238</v>
      </c>
      <c r="AW518" s="5" t="s">
        <v>304</v>
      </c>
      <c r="AX518" s="5" t="s">
        <v>304</v>
      </c>
      <c r="AY518" s="5" t="s">
        <v>250</v>
      </c>
      <c r="AZ518" s="5" t="s">
        <v>305</v>
      </c>
      <c r="BA518" s="5" t="s">
        <v>251</v>
      </c>
      <c r="BB518" s="5" t="s">
        <v>238</v>
      </c>
      <c r="BC518" s="5" t="s">
        <v>253</v>
      </c>
      <c r="BD518" s="5" t="s">
        <v>238</v>
      </c>
      <c r="BF518" s="5" t="s">
        <v>238</v>
      </c>
      <c r="BH518" s="5" t="s">
        <v>283</v>
      </c>
      <c r="BI518" s="6" t="s">
        <v>293</v>
      </c>
      <c r="BJ518" s="5" t="s">
        <v>294</v>
      </c>
      <c r="BK518" s="5" t="s">
        <v>294</v>
      </c>
      <c r="BL518" s="5" t="s">
        <v>238</v>
      </c>
      <c r="BM518" s="7">
        <f>0</f>
        <v>0</v>
      </c>
      <c r="BN518" s="8">
        <f>-127680</f>
        <v>-127680</v>
      </c>
      <c r="BO518" s="5" t="s">
        <v>257</v>
      </c>
      <c r="BP518" s="5" t="s">
        <v>258</v>
      </c>
      <c r="BQ518" s="5" t="s">
        <v>238</v>
      </c>
      <c r="BR518" s="5" t="s">
        <v>238</v>
      </c>
      <c r="BS518" s="5" t="s">
        <v>238</v>
      </c>
      <c r="BT518" s="5" t="s">
        <v>238</v>
      </c>
      <c r="CC518" s="5" t="s">
        <v>258</v>
      </c>
      <c r="CD518" s="5" t="s">
        <v>238</v>
      </c>
      <c r="CE518" s="5" t="s">
        <v>238</v>
      </c>
      <c r="CI518" s="5" t="s">
        <v>259</v>
      </c>
      <c r="CJ518" s="5" t="s">
        <v>260</v>
      </c>
      <c r="CK518" s="5" t="s">
        <v>238</v>
      </c>
      <c r="CM518" s="5" t="s">
        <v>318</v>
      </c>
      <c r="CN518" s="6" t="s">
        <v>262</v>
      </c>
      <c r="CO518" s="5" t="s">
        <v>263</v>
      </c>
      <c r="CP518" s="5" t="s">
        <v>264</v>
      </c>
      <c r="CQ518" s="5" t="s">
        <v>285</v>
      </c>
      <c r="CR518" s="5" t="s">
        <v>238</v>
      </c>
      <c r="CS518" s="5">
        <v>4.2000000000000003E-2</v>
      </c>
      <c r="CT518" s="5" t="s">
        <v>265</v>
      </c>
      <c r="CU518" s="5" t="s">
        <v>266</v>
      </c>
      <c r="CV518" s="5" t="s">
        <v>331</v>
      </c>
      <c r="CW518" s="7">
        <f>0</f>
        <v>0</v>
      </c>
      <c r="CX518" s="8">
        <f>3040000</f>
        <v>3040000</v>
      </c>
      <c r="CY518" s="8">
        <f>1252480</f>
        <v>1252480</v>
      </c>
      <c r="DA518" s="5" t="s">
        <v>238</v>
      </c>
      <c r="DB518" s="5" t="s">
        <v>238</v>
      </c>
      <c r="DD518" s="5" t="s">
        <v>238</v>
      </c>
      <c r="DE518" s="8">
        <f>0</f>
        <v>0</v>
      </c>
      <c r="DG518" s="5" t="s">
        <v>238</v>
      </c>
      <c r="DH518" s="5" t="s">
        <v>238</v>
      </c>
      <c r="DI518" s="5" t="s">
        <v>238</v>
      </c>
      <c r="DJ518" s="5" t="s">
        <v>238</v>
      </c>
      <c r="DK518" s="5" t="s">
        <v>271</v>
      </c>
      <c r="DL518" s="5" t="s">
        <v>272</v>
      </c>
      <c r="DM518" s="7">
        <f>32</f>
        <v>32</v>
      </c>
      <c r="DN518" s="5" t="s">
        <v>238</v>
      </c>
      <c r="DO518" s="5" t="s">
        <v>238</v>
      </c>
      <c r="DP518" s="5" t="s">
        <v>238</v>
      </c>
      <c r="DQ518" s="5" t="s">
        <v>238</v>
      </c>
      <c r="DT518" s="5" t="s">
        <v>827</v>
      </c>
      <c r="DU518" s="5" t="s">
        <v>354</v>
      </c>
      <c r="GL518" s="5" t="s">
        <v>1093</v>
      </c>
      <c r="HM518" s="5" t="s">
        <v>313</v>
      </c>
      <c r="HP518" s="5" t="s">
        <v>272</v>
      </c>
      <c r="HQ518" s="5" t="s">
        <v>272</v>
      </c>
      <c r="HR518" s="5" t="s">
        <v>238</v>
      </c>
      <c r="HS518" s="5" t="s">
        <v>238</v>
      </c>
      <c r="HT518" s="5" t="s">
        <v>238</v>
      </c>
      <c r="HU518" s="5" t="s">
        <v>238</v>
      </c>
      <c r="HV518" s="5" t="s">
        <v>238</v>
      </c>
      <c r="HW518" s="5" t="s">
        <v>238</v>
      </c>
      <c r="HX518" s="5" t="s">
        <v>238</v>
      </c>
      <c r="HY518" s="5" t="s">
        <v>238</v>
      </c>
      <c r="HZ518" s="5" t="s">
        <v>238</v>
      </c>
      <c r="IA518" s="5" t="s">
        <v>238</v>
      </c>
      <c r="IB518" s="5" t="s">
        <v>238</v>
      </c>
      <c r="IC518" s="5" t="s">
        <v>238</v>
      </c>
      <c r="ID518" s="5" t="s">
        <v>238</v>
      </c>
    </row>
    <row r="519" spans="1:238" x14ac:dyDescent="0.4">
      <c r="A519" s="5">
        <v>555</v>
      </c>
      <c r="B519" s="5">
        <v>1</v>
      </c>
      <c r="C519" s="5">
        <v>4</v>
      </c>
      <c r="D519" s="5" t="s">
        <v>823</v>
      </c>
      <c r="E519" s="5" t="s">
        <v>347</v>
      </c>
      <c r="F519" s="5" t="s">
        <v>282</v>
      </c>
      <c r="G519" s="5" t="s">
        <v>646</v>
      </c>
      <c r="H519" s="6" t="s">
        <v>549</v>
      </c>
      <c r="I519" s="5" t="s">
        <v>239</v>
      </c>
      <c r="J519" s="7">
        <f>4</f>
        <v>4</v>
      </c>
      <c r="K519" s="5" t="s">
        <v>270</v>
      </c>
      <c r="L519" s="8">
        <f>140600</f>
        <v>140600</v>
      </c>
      <c r="M519" s="8">
        <f>380000</f>
        <v>380000</v>
      </c>
      <c r="N519" s="6" t="s">
        <v>316</v>
      </c>
      <c r="O519" s="5" t="s">
        <v>651</v>
      </c>
      <c r="P519" s="5" t="s">
        <v>319</v>
      </c>
      <c r="Q519" s="8">
        <f>15960</f>
        <v>15960</v>
      </c>
      <c r="R519" s="8">
        <f>239400</f>
        <v>239400</v>
      </c>
      <c r="S519" s="5" t="s">
        <v>240</v>
      </c>
      <c r="T519" s="5" t="s">
        <v>237</v>
      </c>
      <c r="U519" s="5" t="s">
        <v>238</v>
      </c>
      <c r="V519" s="5" t="s">
        <v>238</v>
      </c>
      <c r="W519" s="5" t="s">
        <v>241</v>
      </c>
      <c r="X519" s="5" t="s">
        <v>337</v>
      </c>
      <c r="Y519" s="5" t="s">
        <v>238</v>
      </c>
      <c r="AB519" s="5" t="s">
        <v>238</v>
      </c>
      <c r="AC519" s="6" t="s">
        <v>238</v>
      </c>
      <c r="AD519" s="6" t="s">
        <v>238</v>
      </c>
      <c r="AF519" s="6" t="s">
        <v>238</v>
      </c>
      <c r="AG519" s="6" t="s">
        <v>246</v>
      </c>
      <c r="AH519" s="5" t="s">
        <v>247</v>
      </c>
      <c r="AI519" s="5" t="s">
        <v>248</v>
      </c>
      <c r="AO519" s="5" t="s">
        <v>238</v>
      </c>
      <c r="AP519" s="5" t="s">
        <v>238</v>
      </c>
      <c r="AQ519" s="5" t="s">
        <v>238</v>
      </c>
      <c r="AR519" s="6" t="s">
        <v>238</v>
      </c>
      <c r="AS519" s="6" t="s">
        <v>238</v>
      </c>
      <c r="AT519" s="6" t="s">
        <v>238</v>
      </c>
      <c r="AW519" s="5" t="s">
        <v>304</v>
      </c>
      <c r="AX519" s="5" t="s">
        <v>304</v>
      </c>
      <c r="AY519" s="5" t="s">
        <v>250</v>
      </c>
      <c r="AZ519" s="5" t="s">
        <v>305</v>
      </c>
      <c r="BA519" s="5" t="s">
        <v>251</v>
      </c>
      <c r="BB519" s="5" t="s">
        <v>238</v>
      </c>
      <c r="BC519" s="5" t="s">
        <v>253</v>
      </c>
      <c r="BD519" s="5" t="s">
        <v>238</v>
      </c>
      <c r="BF519" s="5" t="s">
        <v>238</v>
      </c>
      <c r="BH519" s="5" t="s">
        <v>283</v>
      </c>
      <c r="BI519" s="6" t="s">
        <v>293</v>
      </c>
      <c r="BJ519" s="5" t="s">
        <v>294</v>
      </c>
      <c r="BK519" s="5" t="s">
        <v>294</v>
      </c>
      <c r="BL519" s="5" t="s">
        <v>238</v>
      </c>
      <c r="BM519" s="7">
        <f>0</f>
        <v>0</v>
      </c>
      <c r="BN519" s="8">
        <f>-15960</f>
        <v>-15960</v>
      </c>
      <c r="BO519" s="5" t="s">
        <v>257</v>
      </c>
      <c r="BP519" s="5" t="s">
        <v>258</v>
      </c>
      <c r="BQ519" s="5" t="s">
        <v>238</v>
      </c>
      <c r="BR519" s="5" t="s">
        <v>238</v>
      </c>
      <c r="BS519" s="5" t="s">
        <v>238</v>
      </c>
      <c r="BT519" s="5" t="s">
        <v>238</v>
      </c>
      <c r="CC519" s="5" t="s">
        <v>258</v>
      </c>
      <c r="CD519" s="5" t="s">
        <v>238</v>
      </c>
      <c r="CE519" s="5" t="s">
        <v>238</v>
      </c>
      <c r="CI519" s="5" t="s">
        <v>259</v>
      </c>
      <c r="CJ519" s="5" t="s">
        <v>260</v>
      </c>
      <c r="CK519" s="5" t="s">
        <v>238</v>
      </c>
      <c r="CM519" s="5" t="s">
        <v>318</v>
      </c>
      <c r="CN519" s="6" t="s">
        <v>262</v>
      </c>
      <c r="CO519" s="5" t="s">
        <v>263</v>
      </c>
      <c r="CP519" s="5" t="s">
        <v>264</v>
      </c>
      <c r="CQ519" s="5" t="s">
        <v>285</v>
      </c>
      <c r="CR519" s="5" t="s">
        <v>238</v>
      </c>
      <c r="CS519" s="5">
        <v>4.2000000000000003E-2</v>
      </c>
      <c r="CT519" s="5" t="s">
        <v>265</v>
      </c>
      <c r="CU519" s="5" t="s">
        <v>266</v>
      </c>
      <c r="CV519" s="5" t="s">
        <v>331</v>
      </c>
      <c r="CW519" s="7">
        <f>0</f>
        <v>0</v>
      </c>
      <c r="CX519" s="8">
        <f>380000</f>
        <v>380000</v>
      </c>
      <c r="CY519" s="8">
        <f>156560</f>
        <v>156560</v>
      </c>
      <c r="DA519" s="5" t="s">
        <v>238</v>
      </c>
      <c r="DB519" s="5" t="s">
        <v>238</v>
      </c>
      <c r="DD519" s="5" t="s">
        <v>238</v>
      </c>
      <c r="DE519" s="8">
        <f>0</f>
        <v>0</v>
      </c>
      <c r="DG519" s="5" t="s">
        <v>238</v>
      </c>
      <c r="DH519" s="5" t="s">
        <v>238</v>
      </c>
      <c r="DI519" s="5" t="s">
        <v>238</v>
      </c>
      <c r="DJ519" s="5" t="s">
        <v>238</v>
      </c>
      <c r="DK519" s="5" t="s">
        <v>271</v>
      </c>
      <c r="DL519" s="5" t="s">
        <v>272</v>
      </c>
      <c r="DM519" s="7">
        <f>4</f>
        <v>4</v>
      </c>
      <c r="DN519" s="5" t="s">
        <v>238</v>
      </c>
      <c r="DO519" s="5" t="s">
        <v>238</v>
      </c>
      <c r="DP519" s="5" t="s">
        <v>238</v>
      </c>
      <c r="DQ519" s="5" t="s">
        <v>238</v>
      </c>
      <c r="DT519" s="5" t="s">
        <v>827</v>
      </c>
      <c r="DU519" s="5" t="s">
        <v>361</v>
      </c>
      <c r="GL519" s="5" t="s">
        <v>933</v>
      </c>
      <c r="HM519" s="5" t="s">
        <v>313</v>
      </c>
      <c r="HP519" s="5" t="s">
        <v>272</v>
      </c>
      <c r="HQ519" s="5" t="s">
        <v>272</v>
      </c>
      <c r="HR519" s="5" t="s">
        <v>238</v>
      </c>
      <c r="HS519" s="5" t="s">
        <v>238</v>
      </c>
      <c r="HT519" s="5" t="s">
        <v>238</v>
      </c>
      <c r="HU519" s="5" t="s">
        <v>238</v>
      </c>
      <c r="HV519" s="5" t="s">
        <v>238</v>
      </c>
      <c r="HW519" s="5" t="s">
        <v>238</v>
      </c>
      <c r="HX519" s="5" t="s">
        <v>238</v>
      </c>
      <c r="HY519" s="5" t="s">
        <v>238</v>
      </c>
      <c r="HZ519" s="5" t="s">
        <v>238</v>
      </c>
      <c r="IA519" s="5" t="s">
        <v>238</v>
      </c>
      <c r="IB519" s="5" t="s">
        <v>238</v>
      </c>
      <c r="IC519" s="5" t="s">
        <v>238</v>
      </c>
      <c r="ID519" s="5" t="s">
        <v>238</v>
      </c>
    </row>
    <row r="520" spans="1:238" x14ac:dyDescent="0.4">
      <c r="A520" s="5">
        <v>556</v>
      </c>
      <c r="B520" s="5">
        <v>1</v>
      </c>
      <c r="C520" s="5">
        <v>4</v>
      </c>
      <c r="D520" s="5" t="s">
        <v>823</v>
      </c>
      <c r="E520" s="5" t="s">
        <v>347</v>
      </c>
      <c r="F520" s="5" t="s">
        <v>282</v>
      </c>
      <c r="G520" s="5" t="s">
        <v>3149</v>
      </c>
      <c r="H520" s="6" t="s">
        <v>549</v>
      </c>
      <c r="I520" s="5" t="s">
        <v>3027</v>
      </c>
      <c r="J520" s="7">
        <f>62</f>
        <v>62</v>
      </c>
      <c r="K520" s="5" t="s">
        <v>270</v>
      </c>
      <c r="L520" s="8">
        <f>5366286</f>
        <v>5366286</v>
      </c>
      <c r="M520" s="8">
        <f>10106000</f>
        <v>10106000</v>
      </c>
      <c r="N520" s="6" t="s">
        <v>246</v>
      </c>
      <c r="O520" s="5" t="s">
        <v>268</v>
      </c>
      <c r="P520" s="5" t="s">
        <v>379</v>
      </c>
      <c r="Q520" s="8">
        <f>677102</f>
        <v>677102</v>
      </c>
      <c r="R520" s="8">
        <f>4739714</f>
        <v>4739714</v>
      </c>
      <c r="S520" s="5" t="s">
        <v>240</v>
      </c>
      <c r="T520" s="5" t="s">
        <v>237</v>
      </c>
      <c r="U520" s="5" t="s">
        <v>238</v>
      </c>
      <c r="V520" s="5" t="s">
        <v>238</v>
      </c>
      <c r="W520" s="5" t="s">
        <v>241</v>
      </c>
      <c r="X520" s="5" t="s">
        <v>337</v>
      </c>
      <c r="Y520" s="5" t="s">
        <v>238</v>
      </c>
      <c r="AB520" s="5" t="s">
        <v>238</v>
      </c>
      <c r="AC520" s="6" t="s">
        <v>238</v>
      </c>
      <c r="AD520" s="6" t="s">
        <v>238</v>
      </c>
      <c r="AF520" s="6" t="s">
        <v>238</v>
      </c>
      <c r="AG520" s="6" t="s">
        <v>246</v>
      </c>
      <c r="AH520" s="5" t="s">
        <v>247</v>
      </c>
      <c r="AI520" s="5" t="s">
        <v>248</v>
      </c>
      <c r="AO520" s="5" t="s">
        <v>238</v>
      </c>
      <c r="AP520" s="5" t="s">
        <v>238</v>
      </c>
      <c r="AQ520" s="5" t="s">
        <v>238</v>
      </c>
      <c r="AR520" s="6" t="s">
        <v>238</v>
      </c>
      <c r="AS520" s="6" t="s">
        <v>238</v>
      </c>
      <c r="AT520" s="6" t="s">
        <v>238</v>
      </c>
      <c r="AW520" s="5" t="s">
        <v>304</v>
      </c>
      <c r="AX520" s="5" t="s">
        <v>304</v>
      </c>
      <c r="AY520" s="5" t="s">
        <v>250</v>
      </c>
      <c r="AZ520" s="5" t="s">
        <v>305</v>
      </c>
      <c r="BA520" s="5" t="s">
        <v>251</v>
      </c>
      <c r="BB520" s="5" t="s">
        <v>238</v>
      </c>
      <c r="BC520" s="5" t="s">
        <v>253</v>
      </c>
      <c r="BD520" s="5" t="s">
        <v>238</v>
      </c>
      <c r="BF520" s="5" t="s">
        <v>238</v>
      </c>
      <c r="BH520" s="5" t="s">
        <v>283</v>
      </c>
      <c r="BI520" s="6" t="s">
        <v>293</v>
      </c>
      <c r="BJ520" s="5" t="s">
        <v>294</v>
      </c>
      <c r="BK520" s="5" t="s">
        <v>294</v>
      </c>
      <c r="BL520" s="5" t="s">
        <v>238</v>
      </c>
      <c r="BM520" s="7">
        <f>0</f>
        <v>0</v>
      </c>
      <c r="BN520" s="8">
        <f>-677102</f>
        <v>-677102</v>
      </c>
      <c r="BO520" s="5" t="s">
        <v>257</v>
      </c>
      <c r="BP520" s="5" t="s">
        <v>258</v>
      </c>
      <c r="BQ520" s="5" t="s">
        <v>238</v>
      </c>
      <c r="BR520" s="5" t="s">
        <v>238</v>
      </c>
      <c r="BS520" s="5" t="s">
        <v>238</v>
      </c>
      <c r="BT520" s="5" t="s">
        <v>238</v>
      </c>
      <c r="CC520" s="5" t="s">
        <v>258</v>
      </c>
      <c r="CD520" s="5" t="s">
        <v>238</v>
      </c>
      <c r="CE520" s="5" t="s">
        <v>238</v>
      </c>
      <c r="CI520" s="5" t="s">
        <v>259</v>
      </c>
      <c r="CJ520" s="5" t="s">
        <v>260</v>
      </c>
      <c r="CK520" s="5" t="s">
        <v>238</v>
      </c>
      <c r="CM520" s="5" t="s">
        <v>1358</v>
      </c>
      <c r="CN520" s="6" t="s">
        <v>262</v>
      </c>
      <c r="CO520" s="5" t="s">
        <v>263</v>
      </c>
      <c r="CP520" s="5" t="s">
        <v>264</v>
      </c>
      <c r="CQ520" s="5" t="s">
        <v>285</v>
      </c>
      <c r="CR520" s="5" t="s">
        <v>238</v>
      </c>
      <c r="CS520" s="5">
        <v>6.7000000000000004E-2</v>
      </c>
      <c r="CT520" s="5" t="s">
        <v>265</v>
      </c>
      <c r="CU520" s="5" t="s">
        <v>351</v>
      </c>
      <c r="CV520" s="5" t="s">
        <v>394</v>
      </c>
      <c r="CW520" s="7">
        <f>0</f>
        <v>0</v>
      </c>
      <c r="CX520" s="8">
        <f>10106000</f>
        <v>10106000</v>
      </c>
      <c r="CY520" s="8">
        <f>6043388</f>
        <v>6043388</v>
      </c>
      <c r="DA520" s="5" t="s">
        <v>238</v>
      </c>
      <c r="DB520" s="5" t="s">
        <v>238</v>
      </c>
      <c r="DD520" s="5" t="s">
        <v>238</v>
      </c>
      <c r="DE520" s="8">
        <f>0</f>
        <v>0</v>
      </c>
      <c r="DG520" s="5" t="s">
        <v>238</v>
      </c>
      <c r="DH520" s="5" t="s">
        <v>238</v>
      </c>
      <c r="DI520" s="5" t="s">
        <v>238</v>
      </c>
      <c r="DJ520" s="5" t="s">
        <v>238</v>
      </c>
      <c r="DK520" s="5" t="s">
        <v>271</v>
      </c>
      <c r="DL520" s="5" t="s">
        <v>272</v>
      </c>
      <c r="DM520" s="7">
        <f>62</f>
        <v>62</v>
      </c>
      <c r="DN520" s="5" t="s">
        <v>238</v>
      </c>
      <c r="DO520" s="5" t="s">
        <v>238</v>
      </c>
      <c r="DP520" s="5" t="s">
        <v>238</v>
      </c>
      <c r="DQ520" s="5" t="s">
        <v>238</v>
      </c>
      <c r="DT520" s="5" t="s">
        <v>827</v>
      </c>
      <c r="DU520" s="5" t="s">
        <v>377</v>
      </c>
      <c r="GL520" s="5" t="s">
        <v>3151</v>
      </c>
      <c r="HM520" s="5" t="s">
        <v>313</v>
      </c>
      <c r="HP520" s="5" t="s">
        <v>272</v>
      </c>
      <c r="HQ520" s="5" t="s">
        <v>272</v>
      </c>
      <c r="HR520" s="5" t="s">
        <v>238</v>
      </c>
      <c r="HS520" s="5" t="s">
        <v>238</v>
      </c>
      <c r="HT520" s="5" t="s">
        <v>238</v>
      </c>
      <c r="HU520" s="5" t="s">
        <v>238</v>
      </c>
      <c r="HV520" s="5" t="s">
        <v>238</v>
      </c>
      <c r="HW520" s="5" t="s">
        <v>238</v>
      </c>
      <c r="HX520" s="5" t="s">
        <v>238</v>
      </c>
      <c r="HY520" s="5" t="s">
        <v>238</v>
      </c>
      <c r="HZ520" s="5" t="s">
        <v>238</v>
      </c>
      <c r="IA520" s="5" t="s">
        <v>238</v>
      </c>
      <c r="IB520" s="5" t="s">
        <v>238</v>
      </c>
      <c r="IC520" s="5" t="s">
        <v>238</v>
      </c>
      <c r="ID520" s="5" t="s">
        <v>238</v>
      </c>
    </row>
    <row r="521" spans="1:238" x14ac:dyDescent="0.4">
      <c r="A521" s="5">
        <v>557</v>
      </c>
      <c r="B521" s="5">
        <v>1</v>
      </c>
      <c r="C521" s="5">
        <v>1</v>
      </c>
      <c r="D521" s="5" t="s">
        <v>823</v>
      </c>
      <c r="E521" s="5" t="s">
        <v>347</v>
      </c>
      <c r="F521" s="5" t="s">
        <v>282</v>
      </c>
      <c r="G521" s="5" t="s">
        <v>1309</v>
      </c>
      <c r="H521" s="6" t="s">
        <v>549</v>
      </c>
      <c r="I521" s="5" t="s">
        <v>1309</v>
      </c>
      <c r="J521" s="7">
        <f>24</f>
        <v>24</v>
      </c>
      <c r="K521" s="5" t="s">
        <v>270</v>
      </c>
      <c r="L521" s="8">
        <f>1</f>
        <v>1</v>
      </c>
      <c r="M521" s="8">
        <f>8568000</f>
        <v>8568000</v>
      </c>
      <c r="N521" s="6" t="s">
        <v>1075</v>
      </c>
      <c r="O521" s="5" t="s">
        <v>268</v>
      </c>
      <c r="P521" s="5" t="s">
        <v>611</v>
      </c>
      <c r="R521" s="8">
        <f>8567999</f>
        <v>8567999</v>
      </c>
      <c r="S521" s="5" t="s">
        <v>240</v>
      </c>
      <c r="T521" s="5" t="s">
        <v>237</v>
      </c>
      <c r="U521" s="5" t="s">
        <v>238</v>
      </c>
      <c r="V521" s="5" t="s">
        <v>238</v>
      </c>
      <c r="W521" s="5" t="s">
        <v>241</v>
      </c>
      <c r="X521" s="5" t="s">
        <v>337</v>
      </c>
      <c r="Y521" s="5" t="s">
        <v>238</v>
      </c>
      <c r="AB521" s="5" t="s">
        <v>238</v>
      </c>
      <c r="AD521" s="6" t="s">
        <v>238</v>
      </c>
      <c r="AG521" s="6" t="s">
        <v>246</v>
      </c>
      <c r="AH521" s="5" t="s">
        <v>247</v>
      </c>
      <c r="AI521" s="5" t="s">
        <v>248</v>
      </c>
      <c r="AY521" s="5" t="s">
        <v>250</v>
      </c>
      <c r="AZ521" s="5" t="s">
        <v>238</v>
      </c>
      <c r="BA521" s="5" t="s">
        <v>251</v>
      </c>
      <c r="BB521" s="5" t="s">
        <v>238</v>
      </c>
      <c r="BC521" s="5" t="s">
        <v>253</v>
      </c>
      <c r="BD521" s="5" t="s">
        <v>238</v>
      </c>
      <c r="BF521" s="5" t="s">
        <v>238</v>
      </c>
      <c r="BH521" s="5" t="s">
        <v>697</v>
      </c>
      <c r="BI521" s="6" t="s">
        <v>698</v>
      </c>
      <c r="BJ521" s="5" t="s">
        <v>255</v>
      </c>
      <c r="BK521" s="5" t="s">
        <v>256</v>
      </c>
      <c r="BL521" s="5" t="s">
        <v>238</v>
      </c>
      <c r="BM521" s="7">
        <f>0</f>
        <v>0</v>
      </c>
      <c r="BN521" s="8">
        <f>0</f>
        <v>0</v>
      </c>
      <c r="BO521" s="5" t="s">
        <v>257</v>
      </c>
      <c r="BP521" s="5" t="s">
        <v>258</v>
      </c>
      <c r="CD521" s="5" t="s">
        <v>238</v>
      </c>
      <c r="CE521" s="5" t="s">
        <v>238</v>
      </c>
      <c r="CI521" s="5" t="s">
        <v>259</v>
      </c>
      <c r="CJ521" s="5" t="s">
        <v>260</v>
      </c>
      <c r="CK521" s="5" t="s">
        <v>238</v>
      </c>
      <c r="CM521" s="5" t="s">
        <v>1078</v>
      </c>
      <c r="CN521" s="6" t="s">
        <v>262</v>
      </c>
      <c r="CO521" s="5" t="s">
        <v>263</v>
      </c>
      <c r="CP521" s="5" t="s">
        <v>264</v>
      </c>
      <c r="CQ521" s="5" t="s">
        <v>238</v>
      </c>
      <c r="CR521" s="5" t="s">
        <v>238</v>
      </c>
      <c r="CS521" s="5">
        <v>0</v>
      </c>
      <c r="CT521" s="5" t="s">
        <v>265</v>
      </c>
      <c r="CU521" s="5" t="s">
        <v>1342</v>
      </c>
      <c r="CV521" s="5" t="s">
        <v>267</v>
      </c>
      <c r="CX521" s="8">
        <f>8568000</f>
        <v>8568000</v>
      </c>
      <c r="CY521" s="8">
        <f>0</f>
        <v>0</v>
      </c>
      <c r="DA521" s="5" t="s">
        <v>238</v>
      </c>
      <c r="DB521" s="5" t="s">
        <v>238</v>
      </c>
      <c r="DD521" s="5" t="s">
        <v>238</v>
      </c>
      <c r="DG521" s="5" t="s">
        <v>238</v>
      </c>
      <c r="DH521" s="5" t="s">
        <v>238</v>
      </c>
      <c r="DI521" s="5" t="s">
        <v>238</v>
      </c>
      <c r="DJ521" s="5" t="s">
        <v>238</v>
      </c>
      <c r="DK521" s="5" t="s">
        <v>271</v>
      </c>
      <c r="DL521" s="5" t="s">
        <v>272</v>
      </c>
      <c r="DM521" s="7">
        <f>24</f>
        <v>24</v>
      </c>
      <c r="DN521" s="5" t="s">
        <v>238</v>
      </c>
      <c r="DO521" s="5" t="s">
        <v>238</v>
      </c>
      <c r="DP521" s="5" t="s">
        <v>238</v>
      </c>
      <c r="DQ521" s="5" t="s">
        <v>238</v>
      </c>
      <c r="DT521" s="5" t="s">
        <v>827</v>
      </c>
      <c r="DU521" s="5" t="s">
        <v>371</v>
      </c>
      <c r="HM521" s="5" t="s">
        <v>271</v>
      </c>
      <c r="HP521" s="5" t="s">
        <v>272</v>
      </c>
      <c r="HQ521" s="5" t="s">
        <v>272</v>
      </c>
    </row>
    <row r="522" spans="1:238" x14ac:dyDescent="0.4">
      <c r="A522" s="5">
        <v>558</v>
      </c>
      <c r="B522" s="5">
        <v>1</v>
      </c>
      <c r="C522" s="5">
        <v>4</v>
      </c>
      <c r="D522" s="5" t="s">
        <v>823</v>
      </c>
      <c r="E522" s="5" t="s">
        <v>347</v>
      </c>
      <c r="F522" s="5" t="s">
        <v>282</v>
      </c>
      <c r="G522" s="5" t="s">
        <v>1021</v>
      </c>
      <c r="H522" s="6" t="s">
        <v>549</v>
      </c>
      <c r="I522" s="5" t="s">
        <v>874</v>
      </c>
      <c r="J522" s="7">
        <f>22</f>
        <v>22</v>
      </c>
      <c r="K522" s="5" t="s">
        <v>270</v>
      </c>
      <c r="L522" s="8">
        <f>1</f>
        <v>1</v>
      </c>
      <c r="M522" s="8">
        <f>4026000</f>
        <v>4026000</v>
      </c>
      <c r="N522" s="6" t="s">
        <v>316</v>
      </c>
      <c r="O522" s="5" t="s">
        <v>268</v>
      </c>
      <c r="P522" s="5" t="s">
        <v>319</v>
      </c>
      <c r="Q522" s="8">
        <f>269742</f>
        <v>269742</v>
      </c>
      <c r="R522" s="8">
        <f>4025999</f>
        <v>4025999</v>
      </c>
      <c r="S522" s="5" t="s">
        <v>240</v>
      </c>
      <c r="T522" s="5" t="s">
        <v>237</v>
      </c>
      <c r="U522" s="5" t="s">
        <v>238</v>
      </c>
      <c r="V522" s="5" t="s">
        <v>238</v>
      </c>
      <c r="W522" s="5" t="s">
        <v>241</v>
      </c>
      <c r="X522" s="5" t="s">
        <v>337</v>
      </c>
      <c r="Y522" s="5" t="s">
        <v>238</v>
      </c>
      <c r="AB522" s="5" t="s">
        <v>238</v>
      </c>
      <c r="AC522" s="6" t="s">
        <v>238</v>
      </c>
      <c r="AD522" s="6" t="s">
        <v>238</v>
      </c>
      <c r="AF522" s="6" t="s">
        <v>238</v>
      </c>
      <c r="AG522" s="6" t="s">
        <v>246</v>
      </c>
      <c r="AH522" s="5" t="s">
        <v>247</v>
      </c>
      <c r="AI522" s="5" t="s">
        <v>248</v>
      </c>
      <c r="AO522" s="5" t="s">
        <v>238</v>
      </c>
      <c r="AP522" s="5" t="s">
        <v>238</v>
      </c>
      <c r="AQ522" s="5" t="s">
        <v>238</v>
      </c>
      <c r="AR522" s="6" t="s">
        <v>238</v>
      </c>
      <c r="AS522" s="6" t="s">
        <v>238</v>
      </c>
      <c r="AT522" s="6" t="s">
        <v>238</v>
      </c>
      <c r="AW522" s="5" t="s">
        <v>304</v>
      </c>
      <c r="AX522" s="5" t="s">
        <v>304</v>
      </c>
      <c r="AY522" s="5" t="s">
        <v>250</v>
      </c>
      <c r="AZ522" s="5" t="s">
        <v>305</v>
      </c>
      <c r="BA522" s="5" t="s">
        <v>251</v>
      </c>
      <c r="BB522" s="5" t="s">
        <v>238</v>
      </c>
      <c r="BC522" s="5" t="s">
        <v>253</v>
      </c>
      <c r="BD522" s="5" t="s">
        <v>238</v>
      </c>
      <c r="BF522" s="5" t="s">
        <v>238</v>
      </c>
      <c r="BH522" s="5" t="s">
        <v>283</v>
      </c>
      <c r="BI522" s="6" t="s">
        <v>293</v>
      </c>
      <c r="BJ522" s="5" t="s">
        <v>294</v>
      </c>
      <c r="BK522" s="5" t="s">
        <v>294</v>
      </c>
      <c r="BL522" s="5" t="s">
        <v>238</v>
      </c>
      <c r="BM522" s="7">
        <f>0</f>
        <v>0</v>
      </c>
      <c r="BN522" s="8">
        <f>-249611</f>
        <v>-249611</v>
      </c>
      <c r="BO522" s="5" t="s">
        <v>257</v>
      </c>
      <c r="BP522" s="5" t="s">
        <v>258</v>
      </c>
      <c r="BQ522" s="5" t="s">
        <v>238</v>
      </c>
      <c r="BR522" s="5" t="s">
        <v>238</v>
      </c>
      <c r="BS522" s="5" t="s">
        <v>238</v>
      </c>
      <c r="BT522" s="5" t="s">
        <v>238</v>
      </c>
      <c r="CC522" s="5" t="s">
        <v>258</v>
      </c>
      <c r="CD522" s="5" t="s">
        <v>238</v>
      </c>
      <c r="CE522" s="5" t="s">
        <v>238</v>
      </c>
      <c r="CI522" s="5" t="s">
        <v>259</v>
      </c>
      <c r="CJ522" s="5" t="s">
        <v>260</v>
      </c>
      <c r="CK522" s="5" t="s">
        <v>238</v>
      </c>
      <c r="CM522" s="5" t="s">
        <v>318</v>
      </c>
      <c r="CN522" s="6" t="s">
        <v>262</v>
      </c>
      <c r="CO522" s="5" t="s">
        <v>263</v>
      </c>
      <c r="CP522" s="5" t="s">
        <v>264</v>
      </c>
      <c r="CQ522" s="5" t="s">
        <v>285</v>
      </c>
      <c r="CR522" s="5" t="s">
        <v>238</v>
      </c>
      <c r="CS522" s="5">
        <v>6.7000000000000004E-2</v>
      </c>
      <c r="CT522" s="5" t="s">
        <v>265</v>
      </c>
      <c r="CU522" s="5" t="s">
        <v>266</v>
      </c>
      <c r="CV522" s="5" t="s">
        <v>267</v>
      </c>
      <c r="CW522" s="7">
        <f>0</f>
        <v>0</v>
      </c>
      <c r="CX522" s="8">
        <f>4026000</f>
        <v>4026000</v>
      </c>
      <c r="CY522" s="8">
        <f>249612</f>
        <v>249612</v>
      </c>
      <c r="DA522" s="5" t="s">
        <v>238</v>
      </c>
      <c r="DB522" s="5" t="s">
        <v>238</v>
      </c>
      <c r="DD522" s="5" t="s">
        <v>238</v>
      </c>
      <c r="DE522" s="8">
        <f>0</f>
        <v>0</v>
      </c>
      <c r="DG522" s="5" t="s">
        <v>238</v>
      </c>
      <c r="DH522" s="5" t="s">
        <v>238</v>
      </c>
      <c r="DI522" s="5" t="s">
        <v>238</v>
      </c>
      <c r="DJ522" s="5" t="s">
        <v>238</v>
      </c>
      <c r="DK522" s="5" t="s">
        <v>271</v>
      </c>
      <c r="DL522" s="5" t="s">
        <v>272</v>
      </c>
      <c r="DM522" s="7">
        <f>22</f>
        <v>22</v>
      </c>
      <c r="DN522" s="5" t="s">
        <v>238</v>
      </c>
      <c r="DO522" s="5" t="s">
        <v>238</v>
      </c>
      <c r="DP522" s="5" t="s">
        <v>238</v>
      </c>
      <c r="DQ522" s="5" t="s">
        <v>238</v>
      </c>
      <c r="DT522" s="5" t="s">
        <v>827</v>
      </c>
      <c r="DU522" s="5" t="s">
        <v>395</v>
      </c>
      <c r="GL522" s="5" t="s">
        <v>1022</v>
      </c>
      <c r="HM522" s="5" t="s">
        <v>313</v>
      </c>
      <c r="HP522" s="5" t="s">
        <v>272</v>
      </c>
      <c r="HQ522" s="5" t="s">
        <v>272</v>
      </c>
      <c r="HR522" s="5" t="s">
        <v>238</v>
      </c>
      <c r="HS522" s="5" t="s">
        <v>238</v>
      </c>
      <c r="HT522" s="5" t="s">
        <v>238</v>
      </c>
      <c r="HU522" s="5" t="s">
        <v>238</v>
      </c>
      <c r="HV522" s="5" t="s">
        <v>238</v>
      </c>
      <c r="HW522" s="5" t="s">
        <v>238</v>
      </c>
      <c r="HX522" s="5" t="s">
        <v>238</v>
      </c>
      <c r="HY522" s="5" t="s">
        <v>238</v>
      </c>
      <c r="HZ522" s="5" t="s">
        <v>238</v>
      </c>
      <c r="IA522" s="5" t="s">
        <v>238</v>
      </c>
      <c r="IB522" s="5" t="s">
        <v>238</v>
      </c>
      <c r="IC522" s="5" t="s">
        <v>238</v>
      </c>
      <c r="ID522" s="5" t="s">
        <v>238</v>
      </c>
    </row>
    <row r="523" spans="1:238" x14ac:dyDescent="0.4">
      <c r="A523" s="5">
        <v>559</v>
      </c>
      <c r="B523" s="5">
        <v>1</v>
      </c>
      <c r="C523" s="5">
        <v>4</v>
      </c>
      <c r="D523" s="5" t="s">
        <v>823</v>
      </c>
      <c r="E523" s="5" t="s">
        <v>347</v>
      </c>
      <c r="F523" s="5" t="s">
        <v>282</v>
      </c>
      <c r="G523" s="5" t="s">
        <v>3149</v>
      </c>
      <c r="H523" s="6" t="s">
        <v>549</v>
      </c>
      <c r="I523" s="5" t="s">
        <v>3027</v>
      </c>
      <c r="J523" s="7">
        <f>13</f>
        <v>13</v>
      </c>
      <c r="K523" s="5" t="s">
        <v>270</v>
      </c>
      <c r="L523" s="8">
        <f>738530</f>
        <v>738530</v>
      </c>
      <c r="M523" s="8">
        <f>1235000</f>
        <v>1235000</v>
      </c>
      <c r="N523" s="6" t="s">
        <v>3148</v>
      </c>
      <c r="O523" s="5" t="s">
        <v>268</v>
      </c>
      <c r="P523" s="5" t="s">
        <v>310</v>
      </c>
      <c r="Q523" s="8">
        <f>82745</f>
        <v>82745</v>
      </c>
      <c r="R523" s="8">
        <f>496470</f>
        <v>496470</v>
      </c>
      <c r="S523" s="5" t="s">
        <v>240</v>
      </c>
      <c r="T523" s="5" t="s">
        <v>237</v>
      </c>
      <c r="U523" s="5" t="s">
        <v>238</v>
      </c>
      <c r="V523" s="5" t="s">
        <v>238</v>
      </c>
      <c r="W523" s="5" t="s">
        <v>241</v>
      </c>
      <c r="X523" s="5" t="s">
        <v>337</v>
      </c>
      <c r="Y523" s="5" t="s">
        <v>238</v>
      </c>
      <c r="AB523" s="5" t="s">
        <v>238</v>
      </c>
      <c r="AC523" s="6" t="s">
        <v>238</v>
      </c>
      <c r="AD523" s="6" t="s">
        <v>238</v>
      </c>
      <c r="AF523" s="6" t="s">
        <v>238</v>
      </c>
      <c r="AG523" s="6" t="s">
        <v>246</v>
      </c>
      <c r="AH523" s="5" t="s">
        <v>247</v>
      </c>
      <c r="AI523" s="5" t="s">
        <v>248</v>
      </c>
      <c r="AO523" s="5" t="s">
        <v>238</v>
      </c>
      <c r="AP523" s="5" t="s">
        <v>238</v>
      </c>
      <c r="AQ523" s="5" t="s">
        <v>238</v>
      </c>
      <c r="AR523" s="6" t="s">
        <v>238</v>
      </c>
      <c r="AS523" s="6" t="s">
        <v>238</v>
      </c>
      <c r="AT523" s="6" t="s">
        <v>238</v>
      </c>
      <c r="AW523" s="5" t="s">
        <v>304</v>
      </c>
      <c r="AX523" s="5" t="s">
        <v>304</v>
      </c>
      <c r="AY523" s="5" t="s">
        <v>250</v>
      </c>
      <c r="AZ523" s="5" t="s">
        <v>305</v>
      </c>
      <c r="BA523" s="5" t="s">
        <v>251</v>
      </c>
      <c r="BB523" s="5" t="s">
        <v>238</v>
      </c>
      <c r="BC523" s="5" t="s">
        <v>253</v>
      </c>
      <c r="BD523" s="5" t="s">
        <v>238</v>
      </c>
      <c r="BF523" s="5" t="s">
        <v>238</v>
      </c>
      <c r="BH523" s="5" t="s">
        <v>283</v>
      </c>
      <c r="BI523" s="6" t="s">
        <v>293</v>
      </c>
      <c r="BJ523" s="5" t="s">
        <v>294</v>
      </c>
      <c r="BK523" s="5" t="s">
        <v>294</v>
      </c>
      <c r="BL523" s="5" t="s">
        <v>238</v>
      </c>
      <c r="BM523" s="7">
        <f>0</f>
        <v>0</v>
      </c>
      <c r="BN523" s="8">
        <f>-82745</f>
        <v>-82745</v>
      </c>
      <c r="BO523" s="5" t="s">
        <v>257</v>
      </c>
      <c r="BP523" s="5" t="s">
        <v>258</v>
      </c>
      <c r="BQ523" s="5" t="s">
        <v>238</v>
      </c>
      <c r="BR523" s="5" t="s">
        <v>238</v>
      </c>
      <c r="BS523" s="5" t="s">
        <v>238</v>
      </c>
      <c r="BT523" s="5" t="s">
        <v>238</v>
      </c>
      <c r="CC523" s="5" t="s">
        <v>258</v>
      </c>
      <c r="CD523" s="5" t="s">
        <v>238</v>
      </c>
      <c r="CE523" s="5" t="s">
        <v>238</v>
      </c>
      <c r="CI523" s="5" t="s">
        <v>259</v>
      </c>
      <c r="CJ523" s="5" t="s">
        <v>260</v>
      </c>
      <c r="CK523" s="5" t="s">
        <v>238</v>
      </c>
      <c r="CM523" s="5" t="s">
        <v>1202</v>
      </c>
      <c r="CN523" s="6" t="s">
        <v>262</v>
      </c>
      <c r="CO523" s="5" t="s">
        <v>263</v>
      </c>
      <c r="CP523" s="5" t="s">
        <v>264</v>
      </c>
      <c r="CQ523" s="5" t="s">
        <v>285</v>
      </c>
      <c r="CR523" s="5" t="s">
        <v>238</v>
      </c>
      <c r="CS523" s="5">
        <v>6.7000000000000004E-2</v>
      </c>
      <c r="CT523" s="5" t="s">
        <v>265</v>
      </c>
      <c r="CU523" s="5" t="s">
        <v>351</v>
      </c>
      <c r="CV523" s="5" t="s">
        <v>394</v>
      </c>
      <c r="CW523" s="7">
        <f>0</f>
        <v>0</v>
      </c>
      <c r="CX523" s="8">
        <f>1235000</f>
        <v>1235000</v>
      </c>
      <c r="CY523" s="8">
        <f>821275</f>
        <v>821275</v>
      </c>
      <c r="DA523" s="5" t="s">
        <v>238</v>
      </c>
      <c r="DB523" s="5" t="s">
        <v>238</v>
      </c>
      <c r="DD523" s="5" t="s">
        <v>238</v>
      </c>
      <c r="DE523" s="8">
        <f>0</f>
        <v>0</v>
      </c>
      <c r="DG523" s="5" t="s">
        <v>238</v>
      </c>
      <c r="DH523" s="5" t="s">
        <v>238</v>
      </c>
      <c r="DI523" s="5" t="s">
        <v>238</v>
      </c>
      <c r="DJ523" s="5" t="s">
        <v>238</v>
      </c>
      <c r="DK523" s="5" t="s">
        <v>271</v>
      </c>
      <c r="DL523" s="5" t="s">
        <v>272</v>
      </c>
      <c r="DM523" s="7">
        <f>13</f>
        <v>13</v>
      </c>
      <c r="DN523" s="5" t="s">
        <v>238</v>
      </c>
      <c r="DO523" s="5" t="s">
        <v>238</v>
      </c>
      <c r="DP523" s="5" t="s">
        <v>238</v>
      </c>
      <c r="DQ523" s="5" t="s">
        <v>238</v>
      </c>
      <c r="DT523" s="5" t="s">
        <v>827</v>
      </c>
      <c r="DU523" s="5" t="s">
        <v>319</v>
      </c>
      <c r="GL523" s="5" t="s">
        <v>3150</v>
      </c>
      <c r="HM523" s="5" t="s">
        <v>313</v>
      </c>
      <c r="HP523" s="5" t="s">
        <v>272</v>
      </c>
      <c r="HQ523" s="5" t="s">
        <v>272</v>
      </c>
      <c r="HR523" s="5" t="s">
        <v>238</v>
      </c>
      <c r="HS523" s="5" t="s">
        <v>238</v>
      </c>
      <c r="HT523" s="5" t="s">
        <v>238</v>
      </c>
      <c r="HU523" s="5" t="s">
        <v>238</v>
      </c>
      <c r="HV523" s="5" t="s">
        <v>238</v>
      </c>
      <c r="HW523" s="5" t="s">
        <v>238</v>
      </c>
      <c r="HX523" s="5" t="s">
        <v>238</v>
      </c>
      <c r="HY523" s="5" t="s">
        <v>238</v>
      </c>
      <c r="HZ523" s="5" t="s">
        <v>238</v>
      </c>
      <c r="IA523" s="5" t="s">
        <v>238</v>
      </c>
      <c r="IB523" s="5" t="s">
        <v>238</v>
      </c>
      <c r="IC523" s="5" t="s">
        <v>238</v>
      </c>
      <c r="ID523" s="5" t="s">
        <v>238</v>
      </c>
    </row>
    <row r="524" spans="1:238" x14ac:dyDescent="0.4">
      <c r="A524" s="5">
        <v>560</v>
      </c>
      <c r="B524" s="5">
        <v>1</v>
      </c>
      <c r="C524" s="5">
        <v>4</v>
      </c>
      <c r="D524" s="5" t="s">
        <v>823</v>
      </c>
      <c r="E524" s="5" t="s">
        <v>347</v>
      </c>
      <c r="F524" s="5" t="s">
        <v>282</v>
      </c>
      <c r="G524" s="5" t="s">
        <v>349</v>
      </c>
      <c r="H524" s="6" t="s">
        <v>549</v>
      </c>
      <c r="I524" s="5" t="s">
        <v>404</v>
      </c>
      <c r="J524" s="7">
        <f>0</f>
        <v>0</v>
      </c>
      <c r="K524" s="5" t="s">
        <v>270</v>
      </c>
      <c r="L524" s="8">
        <f>574803</f>
        <v>574803</v>
      </c>
      <c r="M524" s="8">
        <f>719400</f>
        <v>719400</v>
      </c>
      <c r="N524" s="6" t="s">
        <v>618</v>
      </c>
      <c r="O524" s="5" t="s">
        <v>268</v>
      </c>
      <c r="P524" s="5" t="s">
        <v>271</v>
      </c>
      <c r="Q524" s="8">
        <f>48199</f>
        <v>48199</v>
      </c>
      <c r="R524" s="8">
        <f>144597</f>
        <v>144597</v>
      </c>
      <c r="S524" s="5" t="s">
        <v>240</v>
      </c>
      <c r="T524" s="5" t="s">
        <v>287</v>
      </c>
      <c r="U524" s="5" t="s">
        <v>238</v>
      </c>
      <c r="V524" s="5" t="s">
        <v>238</v>
      </c>
      <c r="W524" s="5" t="s">
        <v>241</v>
      </c>
      <c r="X524" s="5" t="s">
        <v>238</v>
      </c>
      <c r="Y524" s="5" t="s">
        <v>238</v>
      </c>
      <c r="AB524" s="5" t="s">
        <v>238</v>
      </c>
      <c r="AC524" s="6" t="s">
        <v>238</v>
      </c>
      <c r="AD524" s="6" t="s">
        <v>238</v>
      </c>
      <c r="AF524" s="6" t="s">
        <v>238</v>
      </c>
      <c r="AG524" s="6" t="s">
        <v>246</v>
      </c>
      <c r="AH524" s="5" t="s">
        <v>247</v>
      </c>
      <c r="AI524" s="5" t="s">
        <v>248</v>
      </c>
      <c r="AO524" s="5" t="s">
        <v>238</v>
      </c>
      <c r="AP524" s="5" t="s">
        <v>238</v>
      </c>
      <c r="AQ524" s="5" t="s">
        <v>238</v>
      </c>
      <c r="AR524" s="6" t="s">
        <v>238</v>
      </c>
      <c r="AS524" s="6" t="s">
        <v>238</v>
      </c>
      <c r="AT524" s="6" t="s">
        <v>238</v>
      </c>
      <c r="AW524" s="5" t="s">
        <v>304</v>
      </c>
      <c r="AX524" s="5" t="s">
        <v>304</v>
      </c>
      <c r="AY524" s="5" t="s">
        <v>250</v>
      </c>
      <c r="AZ524" s="5" t="s">
        <v>305</v>
      </c>
      <c r="BA524" s="5" t="s">
        <v>251</v>
      </c>
      <c r="BB524" s="5" t="s">
        <v>238</v>
      </c>
      <c r="BC524" s="5" t="s">
        <v>253</v>
      </c>
      <c r="BD524" s="5" t="s">
        <v>238</v>
      </c>
      <c r="BF524" s="5" t="s">
        <v>238</v>
      </c>
      <c r="BH524" s="5" t="s">
        <v>283</v>
      </c>
      <c r="BI524" s="6" t="s">
        <v>293</v>
      </c>
      <c r="BJ524" s="5" t="s">
        <v>294</v>
      </c>
      <c r="BK524" s="5" t="s">
        <v>294</v>
      </c>
      <c r="BL524" s="5" t="s">
        <v>238</v>
      </c>
      <c r="BM524" s="7">
        <f>0</f>
        <v>0</v>
      </c>
      <c r="BN524" s="8">
        <f>-48199</f>
        <v>-48199</v>
      </c>
      <c r="BO524" s="5" t="s">
        <v>257</v>
      </c>
      <c r="BP524" s="5" t="s">
        <v>258</v>
      </c>
      <c r="BQ524" s="5" t="s">
        <v>238</v>
      </c>
      <c r="BR524" s="5" t="s">
        <v>238</v>
      </c>
      <c r="BS524" s="5" t="s">
        <v>238</v>
      </c>
      <c r="BT524" s="5" t="s">
        <v>238</v>
      </c>
      <c r="CC524" s="5" t="s">
        <v>258</v>
      </c>
      <c r="CD524" s="5" t="s">
        <v>238</v>
      </c>
      <c r="CE524" s="5" t="s">
        <v>238</v>
      </c>
      <c r="CI524" s="5" t="s">
        <v>259</v>
      </c>
      <c r="CJ524" s="5" t="s">
        <v>260</v>
      </c>
      <c r="CK524" s="5" t="s">
        <v>238</v>
      </c>
      <c r="CM524" s="5" t="s">
        <v>291</v>
      </c>
      <c r="CN524" s="6" t="s">
        <v>262</v>
      </c>
      <c r="CO524" s="5" t="s">
        <v>263</v>
      </c>
      <c r="CP524" s="5" t="s">
        <v>264</v>
      </c>
      <c r="CQ524" s="5" t="s">
        <v>285</v>
      </c>
      <c r="CR524" s="5" t="s">
        <v>238</v>
      </c>
      <c r="CS524" s="5">
        <v>6.7000000000000004E-2</v>
      </c>
      <c r="CT524" s="5" t="s">
        <v>265</v>
      </c>
      <c r="CU524" s="5" t="s">
        <v>351</v>
      </c>
      <c r="CV524" s="5" t="s">
        <v>365</v>
      </c>
      <c r="CW524" s="7">
        <f>0</f>
        <v>0</v>
      </c>
      <c r="CX524" s="8">
        <f>719400</f>
        <v>719400</v>
      </c>
      <c r="CY524" s="8">
        <f>623002</f>
        <v>623002</v>
      </c>
      <c r="DA524" s="5" t="s">
        <v>238</v>
      </c>
      <c r="DB524" s="5" t="s">
        <v>238</v>
      </c>
      <c r="DD524" s="5" t="s">
        <v>238</v>
      </c>
      <c r="DE524" s="8">
        <f>0</f>
        <v>0</v>
      </c>
      <c r="DG524" s="5" t="s">
        <v>238</v>
      </c>
      <c r="DH524" s="5" t="s">
        <v>238</v>
      </c>
      <c r="DI524" s="5" t="s">
        <v>238</v>
      </c>
      <c r="DJ524" s="5" t="s">
        <v>238</v>
      </c>
      <c r="DK524" s="5" t="s">
        <v>272</v>
      </c>
      <c r="DL524" s="5" t="s">
        <v>272</v>
      </c>
      <c r="DM524" s="8" t="s">
        <v>238</v>
      </c>
      <c r="DN524" s="5" t="s">
        <v>238</v>
      </c>
      <c r="DO524" s="5" t="s">
        <v>238</v>
      </c>
      <c r="DP524" s="5" t="s">
        <v>238</v>
      </c>
      <c r="DQ524" s="5" t="s">
        <v>238</v>
      </c>
      <c r="DT524" s="5" t="s">
        <v>827</v>
      </c>
      <c r="DU524" s="5" t="s">
        <v>1114</v>
      </c>
      <c r="GL524" s="5" t="s">
        <v>3147</v>
      </c>
      <c r="HM524" s="5" t="s">
        <v>356</v>
      </c>
      <c r="HP524" s="5" t="s">
        <v>272</v>
      </c>
      <c r="HQ524" s="5" t="s">
        <v>272</v>
      </c>
      <c r="HR524" s="5" t="s">
        <v>238</v>
      </c>
      <c r="HS524" s="5" t="s">
        <v>238</v>
      </c>
      <c r="HT524" s="5" t="s">
        <v>238</v>
      </c>
      <c r="HU524" s="5" t="s">
        <v>238</v>
      </c>
      <c r="HV524" s="5" t="s">
        <v>238</v>
      </c>
      <c r="HW524" s="5" t="s">
        <v>238</v>
      </c>
      <c r="HX524" s="5" t="s">
        <v>238</v>
      </c>
      <c r="HY524" s="5" t="s">
        <v>238</v>
      </c>
      <c r="HZ524" s="5" t="s">
        <v>238</v>
      </c>
      <c r="IA524" s="5" t="s">
        <v>238</v>
      </c>
      <c r="IB524" s="5" t="s">
        <v>238</v>
      </c>
      <c r="IC524" s="5" t="s">
        <v>238</v>
      </c>
      <c r="ID524" s="5" t="s">
        <v>238</v>
      </c>
    </row>
    <row r="525" spans="1:238" x14ac:dyDescent="0.4">
      <c r="A525" s="5">
        <v>561</v>
      </c>
      <c r="B525" s="5">
        <v>1</v>
      </c>
      <c r="C525" s="5">
        <v>4</v>
      </c>
      <c r="D525" s="5" t="s">
        <v>823</v>
      </c>
      <c r="E525" s="5" t="s">
        <v>347</v>
      </c>
      <c r="F525" s="5" t="s">
        <v>282</v>
      </c>
      <c r="G525" s="5" t="s">
        <v>349</v>
      </c>
      <c r="H525" s="6" t="s">
        <v>549</v>
      </c>
      <c r="I525" s="5" t="s">
        <v>345</v>
      </c>
      <c r="J525" s="7">
        <f>0</f>
        <v>0</v>
      </c>
      <c r="K525" s="5" t="s">
        <v>270</v>
      </c>
      <c r="L525" s="8">
        <f>13653678</f>
        <v>13653678</v>
      </c>
      <c r="M525" s="8">
        <f>17755107</f>
        <v>17755107</v>
      </c>
      <c r="N525" s="6" t="s">
        <v>348</v>
      </c>
      <c r="O525" s="5" t="s">
        <v>319</v>
      </c>
      <c r="P525" s="5" t="s">
        <v>271</v>
      </c>
      <c r="Q525" s="8">
        <f>1367143</f>
        <v>1367143</v>
      </c>
      <c r="R525" s="8">
        <f>4101429</f>
        <v>4101429</v>
      </c>
      <c r="S525" s="5" t="s">
        <v>240</v>
      </c>
      <c r="T525" s="5" t="s">
        <v>287</v>
      </c>
      <c r="U525" s="5" t="s">
        <v>238</v>
      </c>
      <c r="V525" s="5" t="s">
        <v>238</v>
      </c>
      <c r="W525" s="5" t="s">
        <v>241</v>
      </c>
      <c r="X525" s="5" t="s">
        <v>238</v>
      </c>
      <c r="Y525" s="5" t="s">
        <v>238</v>
      </c>
      <c r="AB525" s="5" t="s">
        <v>238</v>
      </c>
      <c r="AC525" s="6" t="s">
        <v>238</v>
      </c>
      <c r="AD525" s="6" t="s">
        <v>238</v>
      </c>
      <c r="AF525" s="6" t="s">
        <v>238</v>
      </c>
      <c r="AG525" s="6" t="s">
        <v>246</v>
      </c>
      <c r="AH525" s="5" t="s">
        <v>247</v>
      </c>
      <c r="AI525" s="5" t="s">
        <v>248</v>
      </c>
      <c r="AO525" s="5" t="s">
        <v>238</v>
      </c>
      <c r="AP525" s="5" t="s">
        <v>238</v>
      </c>
      <c r="AQ525" s="5" t="s">
        <v>238</v>
      </c>
      <c r="AR525" s="6" t="s">
        <v>238</v>
      </c>
      <c r="AS525" s="6" t="s">
        <v>238</v>
      </c>
      <c r="AT525" s="6" t="s">
        <v>238</v>
      </c>
      <c r="AW525" s="5" t="s">
        <v>304</v>
      </c>
      <c r="AX525" s="5" t="s">
        <v>304</v>
      </c>
      <c r="AY525" s="5" t="s">
        <v>250</v>
      </c>
      <c r="AZ525" s="5" t="s">
        <v>305</v>
      </c>
      <c r="BA525" s="5" t="s">
        <v>251</v>
      </c>
      <c r="BB525" s="5" t="s">
        <v>238</v>
      </c>
      <c r="BC525" s="5" t="s">
        <v>253</v>
      </c>
      <c r="BD525" s="5" t="s">
        <v>238</v>
      </c>
      <c r="BF525" s="5" t="s">
        <v>238</v>
      </c>
      <c r="BH525" s="5" t="s">
        <v>283</v>
      </c>
      <c r="BI525" s="6" t="s">
        <v>293</v>
      </c>
      <c r="BJ525" s="5" t="s">
        <v>294</v>
      </c>
      <c r="BK525" s="5" t="s">
        <v>294</v>
      </c>
      <c r="BL525" s="5" t="s">
        <v>238</v>
      </c>
      <c r="BM525" s="7">
        <f>0</f>
        <v>0</v>
      </c>
      <c r="BN525" s="8">
        <f>-1367143</f>
        <v>-1367143</v>
      </c>
      <c r="BO525" s="5" t="s">
        <v>257</v>
      </c>
      <c r="BP525" s="5" t="s">
        <v>258</v>
      </c>
      <c r="BQ525" s="5" t="s">
        <v>238</v>
      </c>
      <c r="BR525" s="5" t="s">
        <v>238</v>
      </c>
      <c r="BS525" s="5" t="s">
        <v>238</v>
      </c>
      <c r="BT525" s="5" t="s">
        <v>238</v>
      </c>
      <c r="CC525" s="5" t="s">
        <v>258</v>
      </c>
      <c r="CD525" s="5" t="s">
        <v>238</v>
      </c>
      <c r="CE525" s="5" t="s">
        <v>238</v>
      </c>
      <c r="CI525" s="5" t="s">
        <v>259</v>
      </c>
      <c r="CJ525" s="5" t="s">
        <v>260</v>
      </c>
      <c r="CK525" s="5" t="s">
        <v>238</v>
      </c>
      <c r="CM525" s="5" t="s">
        <v>291</v>
      </c>
      <c r="CN525" s="6" t="s">
        <v>262</v>
      </c>
      <c r="CO525" s="5" t="s">
        <v>263</v>
      </c>
      <c r="CP525" s="5" t="s">
        <v>264</v>
      </c>
      <c r="CQ525" s="5" t="s">
        <v>285</v>
      </c>
      <c r="CR525" s="5" t="s">
        <v>238</v>
      </c>
      <c r="CS525" s="5">
        <v>7.6999999999999999E-2</v>
      </c>
      <c r="CT525" s="5" t="s">
        <v>265</v>
      </c>
      <c r="CU525" s="5" t="s">
        <v>351</v>
      </c>
      <c r="CV525" s="5" t="s">
        <v>352</v>
      </c>
      <c r="CW525" s="7">
        <f>0</f>
        <v>0</v>
      </c>
      <c r="CX525" s="8">
        <f>17755107</f>
        <v>17755107</v>
      </c>
      <c r="CY525" s="8">
        <f>15020821</f>
        <v>15020821</v>
      </c>
      <c r="DA525" s="5" t="s">
        <v>238</v>
      </c>
      <c r="DB525" s="5" t="s">
        <v>238</v>
      </c>
      <c r="DD525" s="5" t="s">
        <v>238</v>
      </c>
      <c r="DE525" s="8">
        <f>0</f>
        <v>0</v>
      </c>
      <c r="DG525" s="5" t="s">
        <v>238</v>
      </c>
      <c r="DH525" s="5" t="s">
        <v>238</v>
      </c>
      <c r="DI525" s="5" t="s">
        <v>238</v>
      </c>
      <c r="DJ525" s="5" t="s">
        <v>238</v>
      </c>
      <c r="DK525" s="5" t="s">
        <v>272</v>
      </c>
      <c r="DL525" s="5" t="s">
        <v>272</v>
      </c>
      <c r="DM525" s="8" t="s">
        <v>238</v>
      </c>
      <c r="DN525" s="5" t="s">
        <v>238</v>
      </c>
      <c r="DO525" s="5" t="s">
        <v>238</v>
      </c>
      <c r="DP525" s="5" t="s">
        <v>238</v>
      </c>
      <c r="DQ525" s="5" t="s">
        <v>238</v>
      </c>
      <c r="DT525" s="5" t="s">
        <v>827</v>
      </c>
      <c r="DU525" s="5" t="s">
        <v>268</v>
      </c>
      <c r="GL525" s="5" t="s">
        <v>3146</v>
      </c>
      <c r="HM525" s="5" t="s">
        <v>356</v>
      </c>
      <c r="HP525" s="5" t="s">
        <v>272</v>
      </c>
      <c r="HQ525" s="5" t="s">
        <v>272</v>
      </c>
      <c r="HR525" s="5" t="s">
        <v>238</v>
      </c>
      <c r="HS525" s="5" t="s">
        <v>238</v>
      </c>
      <c r="HT525" s="5" t="s">
        <v>238</v>
      </c>
      <c r="HU525" s="5" t="s">
        <v>238</v>
      </c>
      <c r="HV525" s="5" t="s">
        <v>238</v>
      </c>
      <c r="HW525" s="5" t="s">
        <v>238</v>
      </c>
      <c r="HX525" s="5" t="s">
        <v>238</v>
      </c>
      <c r="HY525" s="5" t="s">
        <v>238</v>
      </c>
      <c r="HZ525" s="5" t="s">
        <v>238</v>
      </c>
      <c r="IA525" s="5" t="s">
        <v>238</v>
      </c>
      <c r="IB525" s="5" t="s">
        <v>238</v>
      </c>
      <c r="IC525" s="5" t="s">
        <v>238</v>
      </c>
      <c r="ID525" s="5" t="s">
        <v>238</v>
      </c>
    </row>
    <row r="526" spans="1:238" x14ac:dyDescent="0.4">
      <c r="A526" s="5">
        <v>562</v>
      </c>
      <c r="B526" s="5">
        <v>1</v>
      </c>
      <c r="C526" s="5">
        <v>4</v>
      </c>
      <c r="D526" s="5" t="s">
        <v>879</v>
      </c>
      <c r="E526" s="5" t="s">
        <v>347</v>
      </c>
      <c r="F526" s="5" t="s">
        <v>282</v>
      </c>
      <c r="G526" s="5" t="s">
        <v>1499</v>
      </c>
      <c r="H526" s="6" t="s">
        <v>881</v>
      </c>
      <c r="I526" s="5" t="s">
        <v>1314</v>
      </c>
      <c r="J526" s="7">
        <f>3085</f>
        <v>3085</v>
      </c>
      <c r="K526" s="5" t="s">
        <v>270</v>
      </c>
      <c r="L526" s="8">
        <f>123369150</f>
        <v>123369150</v>
      </c>
      <c r="M526" s="8">
        <f>663275000</f>
        <v>663275000</v>
      </c>
      <c r="N526" s="6" t="s">
        <v>1068</v>
      </c>
      <c r="O526" s="5" t="s">
        <v>898</v>
      </c>
      <c r="P526" s="5" t="s">
        <v>1042</v>
      </c>
      <c r="Q526" s="8">
        <f>14592050</f>
        <v>14592050</v>
      </c>
      <c r="R526" s="8">
        <f>539905850</f>
        <v>539905850</v>
      </c>
      <c r="S526" s="5" t="s">
        <v>240</v>
      </c>
      <c r="T526" s="5" t="s">
        <v>237</v>
      </c>
      <c r="U526" s="5" t="s">
        <v>238</v>
      </c>
      <c r="V526" s="5" t="s">
        <v>238</v>
      </c>
      <c r="W526" s="5" t="s">
        <v>241</v>
      </c>
      <c r="X526" s="5" t="s">
        <v>337</v>
      </c>
      <c r="Y526" s="5" t="s">
        <v>238</v>
      </c>
      <c r="AB526" s="5" t="s">
        <v>238</v>
      </c>
      <c r="AC526" s="6" t="s">
        <v>238</v>
      </c>
      <c r="AD526" s="6" t="s">
        <v>238</v>
      </c>
      <c r="AF526" s="6" t="s">
        <v>238</v>
      </c>
      <c r="AG526" s="6" t="s">
        <v>246</v>
      </c>
      <c r="AH526" s="5" t="s">
        <v>247</v>
      </c>
      <c r="AI526" s="5" t="s">
        <v>248</v>
      </c>
      <c r="AO526" s="5" t="s">
        <v>238</v>
      </c>
      <c r="AP526" s="5" t="s">
        <v>238</v>
      </c>
      <c r="AQ526" s="5" t="s">
        <v>238</v>
      </c>
      <c r="AR526" s="6" t="s">
        <v>238</v>
      </c>
      <c r="AS526" s="6" t="s">
        <v>238</v>
      </c>
      <c r="AT526" s="6" t="s">
        <v>238</v>
      </c>
      <c r="AW526" s="5" t="s">
        <v>304</v>
      </c>
      <c r="AX526" s="5" t="s">
        <v>304</v>
      </c>
      <c r="AY526" s="5" t="s">
        <v>250</v>
      </c>
      <c r="AZ526" s="5" t="s">
        <v>305</v>
      </c>
      <c r="BA526" s="5" t="s">
        <v>251</v>
      </c>
      <c r="BB526" s="5" t="s">
        <v>238</v>
      </c>
      <c r="BC526" s="5" t="s">
        <v>253</v>
      </c>
      <c r="BD526" s="5" t="s">
        <v>238</v>
      </c>
      <c r="BF526" s="5" t="s">
        <v>238</v>
      </c>
      <c r="BH526" s="5" t="s">
        <v>283</v>
      </c>
      <c r="BI526" s="6" t="s">
        <v>293</v>
      </c>
      <c r="BJ526" s="5" t="s">
        <v>294</v>
      </c>
      <c r="BK526" s="5" t="s">
        <v>294</v>
      </c>
      <c r="BL526" s="5" t="s">
        <v>238</v>
      </c>
      <c r="BM526" s="7">
        <f>0</f>
        <v>0</v>
      </c>
      <c r="BN526" s="8">
        <f>-14592050</f>
        <v>-14592050</v>
      </c>
      <c r="BO526" s="5" t="s">
        <v>257</v>
      </c>
      <c r="BP526" s="5" t="s">
        <v>258</v>
      </c>
      <c r="BQ526" s="5" t="s">
        <v>238</v>
      </c>
      <c r="BR526" s="5" t="s">
        <v>238</v>
      </c>
      <c r="BS526" s="5" t="s">
        <v>238</v>
      </c>
      <c r="BT526" s="5" t="s">
        <v>238</v>
      </c>
      <c r="CC526" s="5" t="s">
        <v>258</v>
      </c>
      <c r="CD526" s="5" t="s">
        <v>238</v>
      </c>
      <c r="CE526" s="5" t="s">
        <v>238</v>
      </c>
      <c r="CI526" s="5" t="s">
        <v>259</v>
      </c>
      <c r="CJ526" s="5" t="s">
        <v>260</v>
      </c>
      <c r="CK526" s="5" t="s">
        <v>238</v>
      </c>
      <c r="CM526" s="5" t="s">
        <v>882</v>
      </c>
      <c r="CN526" s="6" t="s">
        <v>262</v>
      </c>
      <c r="CO526" s="5" t="s">
        <v>263</v>
      </c>
      <c r="CP526" s="5" t="s">
        <v>264</v>
      </c>
      <c r="CQ526" s="5" t="s">
        <v>285</v>
      </c>
      <c r="CR526" s="5" t="s">
        <v>238</v>
      </c>
      <c r="CS526" s="5">
        <v>2.1999999999999999E-2</v>
      </c>
      <c r="CT526" s="5" t="s">
        <v>265</v>
      </c>
      <c r="CU526" s="5" t="s">
        <v>1493</v>
      </c>
      <c r="CV526" s="5" t="s">
        <v>308</v>
      </c>
      <c r="CW526" s="7">
        <f>0</f>
        <v>0</v>
      </c>
      <c r="CX526" s="8">
        <f>663275000</f>
        <v>663275000</v>
      </c>
      <c r="CY526" s="8">
        <f>137961200</f>
        <v>137961200</v>
      </c>
      <c r="DA526" s="5" t="s">
        <v>238</v>
      </c>
      <c r="DB526" s="5" t="s">
        <v>238</v>
      </c>
      <c r="DD526" s="5" t="s">
        <v>238</v>
      </c>
      <c r="DE526" s="8">
        <f>0</f>
        <v>0</v>
      </c>
      <c r="DG526" s="5" t="s">
        <v>238</v>
      </c>
      <c r="DH526" s="5" t="s">
        <v>238</v>
      </c>
      <c r="DI526" s="5" t="s">
        <v>238</v>
      </c>
      <c r="DJ526" s="5" t="s">
        <v>238</v>
      </c>
      <c r="DK526" s="5" t="s">
        <v>271</v>
      </c>
      <c r="DL526" s="5" t="s">
        <v>272</v>
      </c>
      <c r="DM526" s="7">
        <f>3085</f>
        <v>3085</v>
      </c>
      <c r="DN526" s="5" t="s">
        <v>238</v>
      </c>
      <c r="DO526" s="5" t="s">
        <v>238</v>
      </c>
      <c r="DP526" s="5" t="s">
        <v>238</v>
      </c>
      <c r="DQ526" s="5" t="s">
        <v>238</v>
      </c>
      <c r="DT526" s="5" t="s">
        <v>883</v>
      </c>
      <c r="DU526" s="5" t="s">
        <v>271</v>
      </c>
      <c r="GL526" s="5" t="s">
        <v>1633</v>
      </c>
      <c r="HM526" s="5" t="s">
        <v>313</v>
      </c>
      <c r="HP526" s="5" t="s">
        <v>272</v>
      </c>
      <c r="HQ526" s="5" t="s">
        <v>272</v>
      </c>
      <c r="HR526" s="5" t="s">
        <v>238</v>
      </c>
      <c r="HS526" s="5" t="s">
        <v>238</v>
      </c>
      <c r="HT526" s="5" t="s">
        <v>238</v>
      </c>
      <c r="HU526" s="5" t="s">
        <v>238</v>
      </c>
      <c r="HV526" s="5" t="s">
        <v>238</v>
      </c>
      <c r="HW526" s="5" t="s">
        <v>238</v>
      </c>
      <c r="HX526" s="5" t="s">
        <v>238</v>
      </c>
      <c r="HY526" s="5" t="s">
        <v>238</v>
      </c>
      <c r="HZ526" s="5" t="s">
        <v>238</v>
      </c>
      <c r="IA526" s="5" t="s">
        <v>238</v>
      </c>
      <c r="IB526" s="5" t="s">
        <v>238</v>
      </c>
      <c r="IC526" s="5" t="s">
        <v>238</v>
      </c>
      <c r="ID526" s="5" t="s">
        <v>238</v>
      </c>
    </row>
    <row r="527" spans="1:238" x14ac:dyDescent="0.4">
      <c r="A527" s="5">
        <v>563</v>
      </c>
      <c r="B527" s="5">
        <v>1</v>
      </c>
      <c r="C527" s="5">
        <v>1</v>
      </c>
      <c r="D527" s="5" t="s">
        <v>879</v>
      </c>
      <c r="E527" s="5" t="s">
        <v>347</v>
      </c>
      <c r="F527" s="5" t="s">
        <v>282</v>
      </c>
      <c r="G527" s="5" t="s">
        <v>239</v>
      </c>
      <c r="H527" s="6" t="s">
        <v>881</v>
      </c>
      <c r="I527" s="5" t="s">
        <v>239</v>
      </c>
      <c r="J527" s="7">
        <f>19</f>
        <v>19</v>
      </c>
      <c r="K527" s="5" t="s">
        <v>270</v>
      </c>
      <c r="L527" s="8">
        <f>1</f>
        <v>1</v>
      </c>
      <c r="M527" s="8">
        <f>1729000</f>
        <v>1729000</v>
      </c>
      <c r="N527" s="6" t="s">
        <v>880</v>
      </c>
      <c r="O527" s="5" t="s">
        <v>268</v>
      </c>
      <c r="P527" s="5" t="s">
        <v>332</v>
      </c>
      <c r="R527" s="8">
        <f>1728999</f>
        <v>1728999</v>
      </c>
      <c r="S527" s="5" t="s">
        <v>240</v>
      </c>
      <c r="T527" s="5" t="s">
        <v>237</v>
      </c>
      <c r="U527" s="5" t="s">
        <v>238</v>
      </c>
      <c r="V527" s="5" t="s">
        <v>238</v>
      </c>
      <c r="W527" s="5" t="s">
        <v>241</v>
      </c>
      <c r="X527" s="5" t="s">
        <v>337</v>
      </c>
      <c r="Y527" s="5" t="s">
        <v>238</v>
      </c>
      <c r="AB527" s="5" t="s">
        <v>238</v>
      </c>
      <c r="AD527" s="6" t="s">
        <v>238</v>
      </c>
      <c r="AG527" s="6" t="s">
        <v>246</v>
      </c>
      <c r="AH527" s="5" t="s">
        <v>247</v>
      </c>
      <c r="AI527" s="5" t="s">
        <v>248</v>
      </c>
      <c r="AY527" s="5" t="s">
        <v>250</v>
      </c>
      <c r="AZ527" s="5" t="s">
        <v>238</v>
      </c>
      <c r="BA527" s="5" t="s">
        <v>251</v>
      </c>
      <c r="BB527" s="5" t="s">
        <v>238</v>
      </c>
      <c r="BC527" s="5" t="s">
        <v>253</v>
      </c>
      <c r="BD527" s="5" t="s">
        <v>238</v>
      </c>
      <c r="BF527" s="5" t="s">
        <v>238</v>
      </c>
      <c r="BH527" s="5" t="s">
        <v>254</v>
      </c>
      <c r="BI527" s="6" t="s">
        <v>246</v>
      </c>
      <c r="BJ527" s="5" t="s">
        <v>255</v>
      </c>
      <c r="BK527" s="5" t="s">
        <v>256</v>
      </c>
      <c r="BL527" s="5" t="s">
        <v>238</v>
      </c>
      <c r="BM527" s="7">
        <f>0</f>
        <v>0</v>
      </c>
      <c r="BN527" s="8">
        <f>0</f>
        <v>0</v>
      </c>
      <c r="BO527" s="5" t="s">
        <v>257</v>
      </c>
      <c r="BP527" s="5" t="s">
        <v>258</v>
      </c>
      <c r="CD527" s="5" t="s">
        <v>238</v>
      </c>
      <c r="CE527" s="5" t="s">
        <v>238</v>
      </c>
      <c r="CI527" s="5" t="s">
        <v>259</v>
      </c>
      <c r="CJ527" s="5" t="s">
        <v>260</v>
      </c>
      <c r="CK527" s="5" t="s">
        <v>238</v>
      </c>
      <c r="CM527" s="5" t="s">
        <v>882</v>
      </c>
      <c r="CN527" s="6" t="s">
        <v>262</v>
      </c>
      <c r="CO527" s="5" t="s">
        <v>263</v>
      </c>
      <c r="CP527" s="5" t="s">
        <v>264</v>
      </c>
      <c r="CQ527" s="5" t="s">
        <v>238</v>
      </c>
      <c r="CR527" s="5" t="s">
        <v>238</v>
      </c>
      <c r="CS527" s="5">
        <v>0</v>
      </c>
      <c r="CT527" s="5" t="s">
        <v>265</v>
      </c>
      <c r="CU527" s="5" t="s">
        <v>266</v>
      </c>
      <c r="CV527" s="5" t="s">
        <v>267</v>
      </c>
      <c r="CX527" s="8">
        <f>1729000</f>
        <v>1729000</v>
      </c>
      <c r="CY527" s="8">
        <f>0</f>
        <v>0</v>
      </c>
      <c r="DA527" s="5" t="s">
        <v>238</v>
      </c>
      <c r="DB527" s="5" t="s">
        <v>238</v>
      </c>
      <c r="DD527" s="5" t="s">
        <v>238</v>
      </c>
      <c r="DG527" s="5" t="s">
        <v>238</v>
      </c>
      <c r="DH527" s="5" t="s">
        <v>238</v>
      </c>
      <c r="DI527" s="5" t="s">
        <v>238</v>
      </c>
      <c r="DJ527" s="5" t="s">
        <v>238</v>
      </c>
      <c r="DK527" s="5" t="s">
        <v>271</v>
      </c>
      <c r="DL527" s="5" t="s">
        <v>272</v>
      </c>
      <c r="DM527" s="7">
        <f>19</f>
        <v>19</v>
      </c>
      <c r="DN527" s="5" t="s">
        <v>238</v>
      </c>
      <c r="DO527" s="5" t="s">
        <v>238</v>
      </c>
      <c r="DP527" s="5" t="s">
        <v>238</v>
      </c>
      <c r="DQ527" s="5" t="s">
        <v>238</v>
      </c>
      <c r="DT527" s="5" t="s">
        <v>883</v>
      </c>
      <c r="DU527" s="5" t="s">
        <v>274</v>
      </c>
      <c r="HM527" s="5" t="s">
        <v>271</v>
      </c>
      <c r="HP527" s="5" t="s">
        <v>272</v>
      </c>
      <c r="HQ527" s="5" t="s">
        <v>272</v>
      </c>
    </row>
    <row r="528" spans="1:238" x14ac:dyDescent="0.4">
      <c r="A528" s="5">
        <v>564</v>
      </c>
      <c r="B528" s="5">
        <v>1</v>
      </c>
      <c r="C528" s="5">
        <v>4</v>
      </c>
      <c r="D528" s="5" t="s">
        <v>879</v>
      </c>
      <c r="E528" s="5" t="s">
        <v>347</v>
      </c>
      <c r="F528" s="5" t="s">
        <v>282</v>
      </c>
      <c r="G528" s="5" t="s">
        <v>1666</v>
      </c>
      <c r="H528" s="6" t="s">
        <v>881</v>
      </c>
      <c r="I528" s="5" t="s">
        <v>1308</v>
      </c>
      <c r="J528" s="7">
        <f>1237</f>
        <v>1237</v>
      </c>
      <c r="K528" s="5" t="s">
        <v>270</v>
      </c>
      <c r="L528" s="8">
        <f>71696520</f>
        <v>71696520</v>
      </c>
      <c r="M528" s="8">
        <f>284510000</f>
        <v>284510000</v>
      </c>
      <c r="N528" s="6" t="s">
        <v>1755</v>
      </c>
      <c r="O528" s="5" t="s">
        <v>898</v>
      </c>
      <c r="P528" s="5" t="s">
        <v>991</v>
      </c>
      <c r="Q528" s="8">
        <f>6259220</f>
        <v>6259220</v>
      </c>
      <c r="R528" s="8">
        <f>212813480</f>
        <v>212813480</v>
      </c>
      <c r="S528" s="5" t="s">
        <v>240</v>
      </c>
      <c r="T528" s="5" t="s">
        <v>237</v>
      </c>
      <c r="U528" s="5" t="s">
        <v>238</v>
      </c>
      <c r="V528" s="5" t="s">
        <v>238</v>
      </c>
      <c r="W528" s="5" t="s">
        <v>241</v>
      </c>
      <c r="X528" s="5" t="s">
        <v>337</v>
      </c>
      <c r="Y528" s="5" t="s">
        <v>238</v>
      </c>
      <c r="AB528" s="5" t="s">
        <v>238</v>
      </c>
      <c r="AC528" s="6" t="s">
        <v>238</v>
      </c>
      <c r="AD528" s="6" t="s">
        <v>238</v>
      </c>
      <c r="AF528" s="6" t="s">
        <v>238</v>
      </c>
      <c r="AG528" s="6" t="s">
        <v>246</v>
      </c>
      <c r="AH528" s="5" t="s">
        <v>247</v>
      </c>
      <c r="AI528" s="5" t="s">
        <v>248</v>
      </c>
      <c r="AO528" s="5" t="s">
        <v>238</v>
      </c>
      <c r="AP528" s="5" t="s">
        <v>238</v>
      </c>
      <c r="AQ528" s="5" t="s">
        <v>238</v>
      </c>
      <c r="AR528" s="6" t="s">
        <v>238</v>
      </c>
      <c r="AS528" s="6" t="s">
        <v>238</v>
      </c>
      <c r="AT528" s="6" t="s">
        <v>238</v>
      </c>
      <c r="AW528" s="5" t="s">
        <v>304</v>
      </c>
      <c r="AX528" s="5" t="s">
        <v>304</v>
      </c>
      <c r="AY528" s="5" t="s">
        <v>250</v>
      </c>
      <c r="AZ528" s="5" t="s">
        <v>305</v>
      </c>
      <c r="BA528" s="5" t="s">
        <v>251</v>
      </c>
      <c r="BB528" s="5" t="s">
        <v>238</v>
      </c>
      <c r="BC528" s="5" t="s">
        <v>253</v>
      </c>
      <c r="BD528" s="5" t="s">
        <v>238</v>
      </c>
      <c r="BF528" s="5" t="s">
        <v>238</v>
      </c>
      <c r="BH528" s="5" t="s">
        <v>283</v>
      </c>
      <c r="BI528" s="6" t="s">
        <v>293</v>
      </c>
      <c r="BJ528" s="5" t="s">
        <v>294</v>
      </c>
      <c r="BK528" s="5" t="s">
        <v>294</v>
      </c>
      <c r="BL528" s="5" t="s">
        <v>238</v>
      </c>
      <c r="BM528" s="7">
        <f>0</f>
        <v>0</v>
      </c>
      <c r="BN528" s="8">
        <f>-6259220</f>
        <v>-6259220</v>
      </c>
      <c r="BO528" s="5" t="s">
        <v>257</v>
      </c>
      <c r="BP528" s="5" t="s">
        <v>258</v>
      </c>
      <c r="BQ528" s="5" t="s">
        <v>238</v>
      </c>
      <c r="BR528" s="5" t="s">
        <v>238</v>
      </c>
      <c r="BS528" s="5" t="s">
        <v>238</v>
      </c>
      <c r="BT528" s="5" t="s">
        <v>238</v>
      </c>
      <c r="CC528" s="5" t="s">
        <v>258</v>
      </c>
      <c r="CD528" s="5" t="s">
        <v>238</v>
      </c>
      <c r="CE528" s="5" t="s">
        <v>238</v>
      </c>
      <c r="CI528" s="5" t="s">
        <v>259</v>
      </c>
      <c r="CJ528" s="5" t="s">
        <v>260</v>
      </c>
      <c r="CK528" s="5" t="s">
        <v>238</v>
      </c>
      <c r="CM528" s="5" t="s">
        <v>1064</v>
      </c>
      <c r="CN528" s="6" t="s">
        <v>262</v>
      </c>
      <c r="CO528" s="5" t="s">
        <v>263</v>
      </c>
      <c r="CP528" s="5" t="s">
        <v>264</v>
      </c>
      <c r="CQ528" s="5" t="s">
        <v>285</v>
      </c>
      <c r="CR528" s="5" t="s">
        <v>238</v>
      </c>
      <c r="CS528" s="5">
        <v>2.1999999999999999E-2</v>
      </c>
      <c r="CT528" s="5" t="s">
        <v>265</v>
      </c>
      <c r="CU528" s="5" t="s">
        <v>1330</v>
      </c>
      <c r="CV528" s="5" t="s">
        <v>308</v>
      </c>
      <c r="CW528" s="7">
        <f>0</f>
        <v>0</v>
      </c>
      <c r="CX528" s="8">
        <f>284510000</f>
        <v>284510000</v>
      </c>
      <c r="CY528" s="8">
        <f>77955740</f>
        <v>77955740</v>
      </c>
      <c r="DA528" s="5" t="s">
        <v>238</v>
      </c>
      <c r="DB528" s="5" t="s">
        <v>238</v>
      </c>
      <c r="DD528" s="5" t="s">
        <v>238</v>
      </c>
      <c r="DE528" s="8">
        <f>0</f>
        <v>0</v>
      </c>
      <c r="DG528" s="5" t="s">
        <v>238</v>
      </c>
      <c r="DH528" s="5" t="s">
        <v>238</v>
      </c>
      <c r="DI528" s="5" t="s">
        <v>238</v>
      </c>
      <c r="DJ528" s="5" t="s">
        <v>238</v>
      </c>
      <c r="DK528" s="5" t="s">
        <v>274</v>
      </c>
      <c r="DL528" s="5" t="s">
        <v>272</v>
      </c>
      <c r="DM528" s="7">
        <f>1237</f>
        <v>1237</v>
      </c>
      <c r="DN528" s="5" t="s">
        <v>238</v>
      </c>
      <c r="DO528" s="5" t="s">
        <v>238</v>
      </c>
      <c r="DP528" s="5" t="s">
        <v>238</v>
      </c>
      <c r="DQ528" s="5" t="s">
        <v>238</v>
      </c>
      <c r="DT528" s="5" t="s">
        <v>883</v>
      </c>
      <c r="DU528" s="5" t="s">
        <v>356</v>
      </c>
      <c r="GL528" s="5" t="s">
        <v>1756</v>
      </c>
      <c r="HM528" s="5" t="s">
        <v>313</v>
      </c>
      <c r="HP528" s="5" t="s">
        <v>272</v>
      </c>
      <c r="HQ528" s="5" t="s">
        <v>272</v>
      </c>
      <c r="HR528" s="5" t="s">
        <v>238</v>
      </c>
      <c r="HS528" s="5" t="s">
        <v>238</v>
      </c>
      <c r="HT528" s="5" t="s">
        <v>238</v>
      </c>
      <c r="HU528" s="5" t="s">
        <v>238</v>
      </c>
      <c r="HV528" s="5" t="s">
        <v>238</v>
      </c>
      <c r="HW528" s="5" t="s">
        <v>238</v>
      </c>
      <c r="HX528" s="5" t="s">
        <v>238</v>
      </c>
      <c r="HY528" s="5" t="s">
        <v>238</v>
      </c>
      <c r="HZ528" s="5" t="s">
        <v>238</v>
      </c>
      <c r="IA528" s="5" t="s">
        <v>238</v>
      </c>
      <c r="IB528" s="5" t="s">
        <v>238</v>
      </c>
      <c r="IC528" s="5" t="s">
        <v>238</v>
      </c>
      <c r="ID528" s="5" t="s">
        <v>238</v>
      </c>
    </row>
    <row r="529" spans="1:238" x14ac:dyDescent="0.4">
      <c r="A529" s="5">
        <v>565</v>
      </c>
      <c r="B529" s="5">
        <v>1</v>
      </c>
      <c r="C529" s="5">
        <v>4</v>
      </c>
      <c r="D529" s="5" t="s">
        <v>879</v>
      </c>
      <c r="E529" s="5" t="s">
        <v>347</v>
      </c>
      <c r="F529" s="5" t="s">
        <v>282</v>
      </c>
      <c r="G529" s="5" t="s">
        <v>1666</v>
      </c>
      <c r="H529" s="6" t="s">
        <v>881</v>
      </c>
      <c r="I529" s="5" t="s">
        <v>1308</v>
      </c>
      <c r="J529" s="7">
        <f>200</f>
        <v>200</v>
      </c>
      <c r="K529" s="5" t="s">
        <v>270</v>
      </c>
      <c r="L529" s="8">
        <f>1</f>
        <v>1</v>
      </c>
      <c r="M529" s="8">
        <f>38600000</f>
        <v>38600000</v>
      </c>
      <c r="N529" s="6" t="s">
        <v>1755</v>
      </c>
      <c r="O529" s="5" t="s">
        <v>755</v>
      </c>
      <c r="P529" s="5" t="s">
        <v>991</v>
      </c>
      <c r="Q529" s="8">
        <f>1158000</f>
        <v>1158000</v>
      </c>
      <c r="R529" s="8">
        <f>38599999</f>
        <v>38599999</v>
      </c>
      <c r="S529" s="5" t="s">
        <v>240</v>
      </c>
      <c r="T529" s="5" t="s">
        <v>237</v>
      </c>
      <c r="U529" s="5" t="s">
        <v>238</v>
      </c>
      <c r="V529" s="5" t="s">
        <v>238</v>
      </c>
      <c r="W529" s="5" t="s">
        <v>241</v>
      </c>
      <c r="X529" s="5" t="s">
        <v>337</v>
      </c>
      <c r="Y529" s="5" t="s">
        <v>238</v>
      </c>
      <c r="AB529" s="5" t="s">
        <v>238</v>
      </c>
      <c r="AC529" s="6" t="s">
        <v>238</v>
      </c>
      <c r="AD529" s="6" t="s">
        <v>238</v>
      </c>
      <c r="AF529" s="6" t="s">
        <v>238</v>
      </c>
      <c r="AG529" s="6" t="s">
        <v>246</v>
      </c>
      <c r="AH529" s="5" t="s">
        <v>247</v>
      </c>
      <c r="AI529" s="5" t="s">
        <v>248</v>
      </c>
      <c r="AO529" s="5" t="s">
        <v>238</v>
      </c>
      <c r="AP529" s="5" t="s">
        <v>238</v>
      </c>
      <c r="AQ529" s="5" t="s">
        <v>238</v>
      </c>
      <c r="AR529" s="6" t="s">
        <v>238</v>
      </c>
      <c r="AS529" s="6" t="s">
        <v>238</v>
      </c>
      <c r="AT529" s="6" t="s">
        <v>238</v>
      </c>
      <c r="AW529" s="5" t="s">
        <v>304</v>
      </c>
      <c r="AX529" s="5" t="s">
        <v>304</v>
      </c>
      <c r="AY529" s="5" t="s">
        <v>250</v>
      </c>
      <c r="AZ529" s="5" t="s">
        <v>305</v>
      </c>
      <c r="BA529" s="5" t="s">
        <v>251</v>
      </c>
      <c r="BB529" s="5" t="s">
        <v>238</v>
      </c>
      <c r="BC529" s="5" t="s">
        <v>253</v>
      </c>
      <c r="BD529" s="5" t="s">
        <v>238</v>
      </c>
      <c r="BF529" s="5" t="s">
        <v>238</v>
      </c>
      <c r="BH529" s="5" t="s">
        <v>283</v>
      </c>
      <c r="BI529" s="6" t="s">
        <v>293</v>
      </c>
      <c r="BJ529" s="5" t="s">
        <v>294</v>
      </c>
      <c r="BK529" s="5" t="s">
        <v>294</v>
      </c>
      <c r="BL529" s="5" t="s">
        <v>238</v>
      </c>
      <c r="BM529" s="7">
        <f>0</f>
        <v>0</v>
      </c>
      <c r="BN529" s="8">
        <f>-385999</f>
        <v>-385999</v>
      </c>
      <c r="BO529" s="5" t="s">
        <v>257</v>
      </c>
      <c r="BP529" s="5" t="s">
        <v>258</v>
      </c>
      <c r="BQ529" s="5" t="s">
        <v>238</v>
      </c>
      <c r="BR529" s="5" t="s">
        <v>238</v>
      </c>
      <c r="BS529" s="5" t="s">
        <v>238</v>
      </c>
      <c r="BT529" s="5" t="s">
        <v>238</v>
      </c>
      <c r="CC529" s="5" t="s">
        <v>258</v>
      </c>
      <c r="CD529" s="5" t="s">
        <v>238</v>
      </c>
      <c r="CE529" s="5" t="s">
        <v>238</v>
      </c>
      <c r="CI529" s="5" t="s">
        <v>259</v>
      </c>
      <c r="CJ529" s="5" t="s">
        <v>260</v>
      </c>
      <c r="CK529" s="5" t="s">
        <v>238</v>
      </c>
      <c r="CM529" s="5" t="s">
        <v>1064</v>
      </c>
      <c r="CN529" s="6" t="s">
        <v>262</v>
      </c>
      <c r="CO529" s="5" t="s">
        <v>263</v>
      </c>
      <c r="CP529" s="5" t="s">
        <v>264</v>
      </c>
      <c r="CQ529" s="5" t="s">
        <v>285</v>
      </c>
      <c r="CR529" s="5" t="s">
        <v>238</v>
      </c>
      <c r="CS529" s="5">
        <v>0.03</v>
      </c>
      <c r="CT529" s="5" t="s">
        <v>265</v>
      </c>
      <c r="CU529" s="5" t="s">
        <v>1330</v>
      </c>
      <c r="CV529" s="5" t="s">
        <v>649</v>
      </c>
      <c r="CW529" s="7">
        <f>0</f>
        <v>0</v>
      </c>
      <c r="CX529" s="8">
        <f>38600000</f>
        <v>38600000</v>
      </c>
      <c r="CY529" s="8">
        <f>386000</f>
        <v>386000</v>
      </c>
      <c r="DA529" s="5" t="s">
        <v>238</v>
      </c>
      <c r="DB529" s="5" t="s">
        <v>238</v>
      </c>
      <c r="DD529" s="5" t="s">
        <v>238</v>
      </c>
      <c r="DE529" s="8">
        <f>0</f>
        <v>0</v>
      </c>
      <c r="DG529" s="5" t="s">
        <v>238</v>
      </c>
      <c r="DH529" s="5" t="s">
        <v>238</v>
      </c>
      <c r="DI529" s="5" t="s">
        <v>238</v>
      </c>
      <c r="DJ529" s="5" t="s">
        <v>238</v>
      </c>
      <c r="DK529" s="5" t="s">
        <v>274</v>
      </c>
      <c r="DL529" s="5" t="s">
        <v>272</v>
      </c>
      <c r="DM529" s="7">
        <f>200</f>
        <v>200</v>
      </c>
      <c r="DN529" s="5" t="s">
        <v>238</v>
      </c>
      <c r="DO529" s="5" t="s">
        <v>238</v>
      </c>
      <c r="DP529" s="5" t="s">
        <v>238</v>
      </c>
      <c r="DQ529" s="5" t="s">
        <v>238</v>
      </c>
      <c r="DT529" s="5" t="s">
        <v>883</v>
      </c>
      <c r="DU529" s="5" t="s">
        <v>310</v>
      </c>
      <c r="GL529" s="5" t="s">
        <v>1766</v>
      </c>
      <c r="HM529" s="5" t="s">
        <v>313</v>
      </c>
      <c r="HP529" s="5" t="s">
        <v>272</v>
      </c>
      <c r="HQ529" s="5" t="s">
        <v>272</v>
      </c>
      <c r="HR529" s="5" t="s">
        <v>238</v>
      </c>
      <c r="HS529" s="5" t="s">
        <v>238</v>
      </c>
      <c r="HT529" s="5" t="s">
        <v>238</v>
      </c>
      <c r="HU529" s="5" t="s">
        <v>238</v>
      </c>
      <c r="HV529" s="5" t="s">
        <v>238</v>
      </c>
      <c r="HW529" s="5" t="s">
        <v>238</v>
      </c>
      <c r="HX529" s="5" t="s">
        <v>238</v>
      </c>
      <c r="HY529" s="5" t="s">
        <v>238</v>
      </c>
      <c r="HZ529" s="5" t="s">
        <v>238</v>
      </c>
      <c r="IA529" s="5" t="s">
        <v>238</v>
      </c>
      <c r="IB529" s="5" t="s">
        <v>238</v>
      </c>
      <c r="IC529" s="5" t="s">
        <v>238</v>
      </c>
      <c r="ID529" s="5" t="s">
        <v>238</v>
      </c>
    </row>
    <row r="530" spans="1:238" x14ac:dyDescent="0.4">
      <c r="A530" s="5">
        <v>566</v>
      </c>
      <c r="B530" s="5">
        <v>1</v>
      </c>
      <c r="C530" s="5">
        <v>1</v>
      </c>
      <c r="D530" s="5" t="s">
        <v>879</v>
      </c>
      <c r="E530" s="5" t="s">
        <v>347</v>
      </c>
      <c r="F530" s="5" t="s">
        <v>282</v>
      </c>
      <c r="G530" s="5" t="s">
        <v>3027</v>
      </c>
      <c r="H530" s="6" t="s">
        <v>881</v>
      </c>
      <c r="I530" s="5" t="s">
        <v>3027</v>
      </c>
      <c r="J530" s="7">
        <f>51</f>
        <v>51</v>
      </c>
      <c r="K530" s="5" t="s">
        <v>270</v>
      </c>
      <c r="L530" s="8">
        <f>1</f>
        <v>1</v>
      </c>
      <c r="M530" s="8">
        <f>3060000</f>
        <v>3060000</v>
      </c>
      <c r="N530" s="6" t="s">
        <v>1066</v>
      </c>
      <c r="O530" s="5" t="s">
        <v>268</v>
      </c>
      <c r="P530" s="5" t="s">
        <v>309</v>
      </c>
      <c r="R530" s="8">
        <f>3059999</f>
        <v>3059999</v>
      </c>
      <c r="S530" s="5" t="s">
        <v>240</v>
      </c>
      <c r="T530" s="5" t="s">
        <v>237</v>
      </c>
      <c r="U530" s="5" t="s">
        <v>238</v>
      </c>
      <c r="V530" s="5" t="s">
        <v>238</v>
      </c>
      <c r="W530" s="5" t="s">
        <v>241</v>
      </c>
      <c r="X530" s="5" t="s">
        <v>337</v>
      </c>
      <c r="Y530" s="5" t="s">
        <v>238</v>
      </c>
      <c r="AB530" s="5" t="s">
        <v>238</v>
      </c>
      <c r="AD530" s="6" t="s">
        <v>238</v>
      </c>
      <c r="AG530" s="6" t="s">
        <v>246</v>
      </c>
      <c r="AH530" s="5" t="s">
        <v>247</v>
      </c>
      <c r="AI530" s="5" t="s">
        <v>248</v>
      </c>
      <c r="AY530" s="5" t="s">
        <v>250</v>
      </c>
      <c r="AZ530" s="5" t="s">
        <v>238</v>
      </c>
      <c r="BA530" s="5" t="s">
        <v>251</v>
      </c>
      <c r="BB530" s="5" t="s">
        <v>238</v>
      </c>
      <c r="BC530" s="5" t="s">
        <v>253</v>
      </c>
      <c r="BD530" s="5" t="s">
        <v>238</v>
      </c>
      <c r="BF530" s="5" t="s">
        <v>238</v>
      </c>
      <c r="BH530" s="5" t="s">
        <v>254</v>
      </c>
      <c r="BI530" s="6" t="s">
        <v>246</v>
      </c>
      <c r="BJ530" s="5" t="s">
        <v>255</v>
      </c>
      <c r="BK530" s="5" t="s">
        <v>256</v>
      </c>
      <c r="BL530" s="5" t="s">
        <v>238</v>
      </c>
      <c r="BM530" s="7">
        <f>0</f>
        <v>0</v>
      </c>
      <c r="BN530" s="8">
        <f>0</f>
        <v>0</v>
      </c>
      <c r="BO530" s="5" t="s">
        <v>257</v>
      </c>
      <c r="BP530" s="5" t="s">
        <v>258</v>
      </c>
      <c r="CD530" s="5" t="s">
        <v>238</v>
      </c>
      <c r="CE530" s="5" t="s">
        <v>238</v>
      </c>
      <c r="CI530" s="5" t="s">
        <v>527</v>
      </c>
      <c r="CJ530" s="5" t="s">
        <v>260</v>
      </c>
      <c r="CK530" s="5" t="s">
        <v>238</v>
      </c>
      <c r="CM530" s="5" t="s">
        <v>822</v>
      </c>
      <c r="CN530" s="6" t="s">
        <v>262</v>
      </c>
      <c r="CO530" s="5" t="s">
        <v>263</v>
      </c>
      <c r="CP530" s="5" t="s">
        <v>264</v>
      </c>
      <c r="CQ530" s="5" t="s">
        <v>238</v>
      </c>
      <c r="CR530" s="5" t="s">
        <v>238</v>
      </c>
      <c r="CS530" s="5">
        <v>0</v>
      </c>
      <c r="CT530" s="5" t="s">
        <v>265</v>
      </c>
      <c r="CU530" s="5" t="s">
        <v>351</v>
      </c>
      <c r="CV530" s="5" t="s">
        <v>394</v>
      </c>
      <c r="CX530" s="8">
        <f>3060000</f>
        <v>3060000</v>
      </c>
      <c r="CY530" s="8">
        <f>0</f>
        <v>0</v>
      </c>
      <c r="DA530" s="5" t="s">
        <v>238</v>
      </c>
      <c r="DB530" s="5" t="s">
        <v>238</v>
      </c>
      <c r="DD530" s="5" t="s">
        <v>238</v>
      </c>
      <c r="DG530" s="5" t="s">
        <v>238</v>
      </c>
      <c r="DH530" s="5" t="s">
        <v>238</v>
      </c>
      <c r="DI530" s="5" t="s">
        <v>238</v>
      </c>
      <c r="DJ530" s="5" t="s">
        <v>238</v>
      </c>
      <c r="DK530" s="5" t="s">
        <v>271</v>
      </c>
      <c r="DL530" s="5" t="s">
        <v>272</v>
      </c>
      <c r="DM530" s="7">
        <f>51</f>
        <v>51</v>
      </c>
      <c r="DN530" s="5" t="s">
        <v>238</v>
      </c>
      <c r="DO530" s="5" t="s">
        <v>238</v>
      </c>
      <c r="DP530" s="5" t="s">
        <v>238</v>
      </c>
      <c r="DQ530" s="5" t="s">
        <v>238</v>
      </c>
      <c r="DT530" s="5" t="s">
        <v>883</v>
      </c>
      <c r="DU530" s="5" t="s">
        <v>379</v>
      </c>
      <c r="HM530" s="5" t="s">
        <v>271</v>
      </c>
      <c r="HP530" s="5" t="s">
        <v>272</v>
      </c>
      <c r="HQ530" s="5" t="s">
        <v>272</v>
      </c>
    </row>
    <row r="531" spans="1:238" x14ac:dyDescent="0.4">
      <c r="A531" s="5">
        <v>567</v>
      </c>
      <c r="B531" s="5">
        <v>1</v>
      </c>
      <c r="C531" s="5">
        <v>4</v>
      </c>
      <c r="D531" s="5" t="s">
        <v>879</v>
      </c>
      <c r="E531" s="5" t="s">
        <v>347</v>
      </c>
      <c r="F531" s="5" t="s">
        <v>282</v>
      </c>
      <c r="G531" s="5" t="s">
        <v>646</v>
      </c>
      <c r="H531" s="6" t="s">
        <v>881</v>
      </c>
      <c r="I531" s="5" t="s">
        <v>239</v>
      </c>
      <c r="J531" s="7">
        <f>40</f>
        <v>40</v>
      </c>
      <c r="K531" s="5" t="s">
        <v>270</v>
      </c>
      <c r="L531" s="8">
        <f>288800</f>
        <v>288800</v>
      </c>
      <c r="M531" s="8">
        <f>3800000</f>
        <v>3800000</v>
      </c>
      <c r="N531" s="6" t="s">
        <v>1058</v>
      </c>
      <c r="O531" s="5" t="s">
        <v>650</v>
      </c>
      <c r="P531" s="5" t="s">
        <v>1035</v>
      </c>
      <c r="Q531" s="8">
        <f>125400</f>
        <v>125400</v>
      </c>
      <c r="R531" s="8">
        <f>3511200</f>
        <v>3511200</v>
      </c>
      <c r="S531" s="5" t="s">
        <v>240</v>
      </c>
      <c r="T531" s="5" t="s">
        <v>237</v>
      </c>
      <c r="U531" s="5" t="s">
        <v>238</v>
      </c>
      <c r="V531" s="5" t="s">
        <v>238</v>
      </c>
      <c r="W531" s="5" t="s">
        <v>241</v>
      </c>
      <c r="X531" s="5" t="s">
        <v>337</v>
      </c>
      <c r="Y531" s="5" t="s">
        <v>238</v>
      </c>
      <c r="AB531" s="5" t="s">
        <v>238</v>
      </c>
      <c r="AC531" s="6" t="s">
        <v>238</v>
      </c>
      <c r="AD531" s="6" t="s">
        <v>238</v>
      </c>
      <c r="AF531" s="6" t="s">
        <v>238</v>
      </c>
      <c r="AG531" s="6" t="s">
        <v>246</v>
      </c>
      <c r="AH531" s="5" t="s">
        <v>247</v>
      </c>
      <c r="AI531" s="5" t="s">
        <v>248</v>
      </c>
      <c r="AO531" s="5" t="s">
        <v>238</v>
      </c>
      <c r="AP531" s="5" t="s">
        <v>238</v>
      </c>
      <c r="AQ531" s="5" t="s">
        <v>238</v>
      </c>
      <c r="AR531" s="6" t="s">
        <v>238</v>
      </c>
      <c r="AS531" s="6" t="s">
        <v>238</v>
      </c>
      <c r="AT531" s="6" t="s">
        <v>238</v>
      </c>
      <c r="AW531" s="5" t="s">
        <v>304</v>
      </c>
      <c r="AX531" s="5" t="s">
        <v>304</v>
      </c>
      <c r="AY531" s="5" t="s">
        <v>250</v>
      </c>
      <c r="AZ531" s="5" t="s">
        <v>305</v>
      </c>
      <c r="BA531" s="5" t="s">
        <v>251</v>
      </c>
      <c r="BB531" s="5" t="s">
        <v>238</v>
      </c>
      <c r="BC531" s="5" t="s">
        <v>253</v>
      </c>
      <c r="BD531" s="5" t="s">
        <v>238</v>
      </c>
      <c r="BF531" s="5" t="s">
        <v>238</v>
      </c>
      <c r="BH531" s="5" t="s">
        <v>283</v>
      </c>
      <c r="BI531" s="6" t="s">
        <v>293</v>
      </c>
      <c r="BJ531" s="5" t="s">
        <v>294</v>
      </c>
      <c r="BK531" s="5" t="s">
        <v>294</v>
      </c>
      <c r="BL531" s="5" t="s">
        <v>238</v>
      </c>
      <c r="BM531" s="7">
        <f>0</f>
        <v>0</v>
      </c>
      <c r="BN531" s="8">
        <f>-125400</f>
        <v>-125400</v>
      </c>
      <c r="BO531" s="5" t="s">
        <v>257</v>
      </c>
      <c r="BP531" s="5" t="s">
        <v>258</v>
      </c>
      <c r="BQ531" s="5" t="s">
        <v>238</v>
      </c>
      <c r="BR531" s="5" t="s">
        <v>238</v>
      </c>
      <c r="BS531" s="5" t="s">
        <v>238</v>
      </c>
      <c r="BT531" s="5" t="s">
        <v>238</v>
      </c>
      <c r="CC531" s="5" t="s">
        <v>258</v>
      </c>
      <c r="CD531" s="5" t="s">
        <v>238</v>
      </c>
      <c r="CE531" s="5" t="s">
        <v>238</v>
      </c>
      <c r="CI531" s="5" t="s">
        <v>259</v>
      </c>
      <c r="CJ531" s="5" t="s">
        <v>260</v>
      </c>
      <c r="CK531" s="5" t="s">
        <v>238</v>
      </c>
      <c r="CM531" s="5" t="s">
        <v>937</v>
      </c>
      <c r="CN531" s="6" t="s">
        <v>262</v>
      </c>
      <c r="CO531" s="5" t="s">
        <v>263</v>
      </c>
      <c r="CP531" s="5" t="s">
        <v>264</v>
      </c>
      <c r="CQ531" s="5" t="s">
        <v>285</v>
      </c>
      <c r="CR531" s="5" t="s">
        <v>238</v>
      </c>
      <c r="CS531" s="5">
        <v>3.3000000000000002E-2</v>
      </c>
      <c r="CT531" s="5" t="s">
        <v>265</v>
      </c>
      <c r="CU531" s="5" t="s">
        <v>266</v>
      </c>
      <c r="CV531" s="5" t="s">
        <v>649</v>
      </c>
      <c r="CW531" s="7">
        <f>0</f>
        <v>0</v>
      </c>
      <c r="CX531" s="8">
        <f>3800000</f>
        <v>3800000</v>
      </c>
      <c r="CY531" s="8">
        <f>414200</f>
        <v>414200</v>
      </c>
      <c r="DA531" s="5" t="s">
        <v>238</v>
      </c>
      <c r="DB531" s="5" t="s">
        <v>238</v>
      </c>
      <c r="DD531" s="5" t="s">
        <v>238</v>
      </c>
      <c r="DE531" s="8">
        <f>0</f>
        <v>0</v>
      </c>
      <c r="DG531" s="5" t="s">
        <v>238</v>
      </c>
      <c r="DH531" s="5" t="s">
        <v>238</v>
      </c>
      <c r="DI531" s="5" t="s">
        <v>238</v>
      </c>
      <c r="DJ531" s="5" t="s">
        <v>238</v>
      </c>
      <c r="DK531" s="5" t="s">
        <v>271</v>
      </c>
      <c r="DL531" s="5" t="s">
        <v>272</v>
      </c>
      <c r="DM531" s="7">
        <f>40</f>
        <v>40</v>
      </c>
      <c r="DN531" s="5" t="s">
        <v>238</v>
      </c>
      <c r="DO531" s="5" t="s">
        <v>238</v>
      </c>
      <c r="DP531" s="5" t="s">
        <v>238</v>
      </c>
      <c r="DQ531" s="5" t="s">
        <v>238</v>
      </c>
      <c r="DT531" s="5" t="s">
        <v>883</v>
      </c>
      <c r="DU531" s="5" t="s">
        <v>313</v>
      </c>
      <c r="GL531" s="5" t="s">
        <v>1059</v>
      </c>
      <c r="HM531" s="5" t="s">
        <v>313</v>
      </c>
      <c r="HP531" s="5" t="s">
        <v>272</v>
      </c>
      <c r="HQ531" s="5" t="s">
        <v>272</v>
      </c>
      <c r="HR531" s="5" t="s">
        <v>238</v>
      </c>
      <c r="HS531" s="5" t="s">
        <v>238</v>
      </c>
      <c r="HT531" s="5" t="s">
        <v>238</v>
      </c>
      <c r="HU531" s="5" t="s">
        <v>238</v>
      </c>
      <c r="HV531" s="5" t="s">
        <v>238</v>
      </c>
      <c r="HW531" s="5" t="s">
        <v>238</v>
      </c>
      <c r="HX531" s="5" t="s">
        <v>238</v>
      </c>
      <c r="HY531" s="5" t="s">
        <v>238</v>
      </c>
      <c r="HZ531" s="5" t="s">
        <v>238</v>
      </c>
      <c r="IA531" s="5" t="s">
        <v>238</v>
      </c>
      <c r="IB531" s="5" t="s">
        <v>238</v>
      </c>
      <c r="IC531" s="5" t="s">
        <v>238</v>
      </c>
      <c r="ID531" s="5" t="s">
        <v>238</v>
      </c>
    </row>
    <row r="532" spans="1:238" x14ac:dyDescent="0.4">
      <c r="A532" s="5">
        <v>568</v>
      </c>
      <c r="B532" s="5">
        <v>1</v>
      </c>
      <c r="C532" s="5">
        <v>1</v>
      </c>
      <c r="D532" s="5" t="s">
        <v>879</v>
      </c>
      <c r="E532" s="5" t="s">
        <v>347</v>
      </c>
      <c r="F532" s="5" t="s">
        <v>282</v>
      </c>
      <c r="G532" s="5" t="s">
        <v>239</v>
      </c>
      <c r="H532" s="6" t="s">
        <v>881</v>
      </c>
      <c r="I532" s="5" t="s">
        <v>239</v>
      </c>
      <c r="J532" s="7">
        <f>70</f>
        <v>70</v>
      </c>
      <c r="K532" s="5" t="s">
        <v>270</v>
      </c>
      <c r="L532" s="8">
        <f>1</f>
        <v>1</v>
      </c>
      <c r="M532" s="8">
        <f>6370000</f>
        <v>6370000</v>
      </c>
      <c r="N532" s="6" t="s">
        <v>1143</v>
      </c>
      <c r="O532" s="5" t="s">
        <v>268</v>
      </c>
      <c r="P532" s="5" t="s">
        <v>268</v>
      </c>
      <c r="R532" s="8">
        <f>6369999</f>
        <v>6369999</v>
      </c>
      <c r="S532" s="5" t="s">
        <v>240</v>
      </c>
      <c r="T532" s="5" t="s">
        <v>237</v>
      </c>
      <c r="U532" s="5" t="s">
        <v>238</v>
      </c>
      <c r="V532" s="5" t="s">
        <v>238</v>
      </c>
      <c r="W532" s="5" t="s">
        <v>241</v>
      </c>
      <c r="X532" s="5" t="s">
        <v>337</v>
      </c>
      <c r="Y532" s="5" t="s">
        <v>238</v>
      </c>
      <c r="AB532" s="5" t="s">
        <v>238</v>
      </c>
      <c r="AD532" s="6" t="s">
        <v>238</v>
      </c>
      <c r="AG532" s="6" t="s">
        <v>246</v>
      </c>
      <c r="AH532" s="5" t="s">
        <v>247</v>
      </c>
      <c r="AI532" s="5" t="s">
        <v>248</v>
      </c>
      <c r="AY532" s="5" t="s">
        <v>250</v>
      </c>
      <c r="AZ532" s="5" t="s">
        <v>238</v>
      </c>
      <c r="BA532" s="5" t="s">
        <v>251</v>
      </c>
      <c r="BB532" s="5" t="s">
        <v>238</v>
      </c>
      <c r="BC532" s="5" t="s">
        <v>253</v>
      </c>
      <c r="BD532" s="5" t="s">
        <v>238</v>
      </c>
      <c r="BF532" s="5" t="s">
        <v>238</v>
      </c>
      <c r="BH532" s="5" t="s">
        <v>859</v>
      </c>
      <c r="BI532" s="6" t="s">
        <v>368</v>
      </c>
      <c r="BJ532" s="5" t="s">
        <v>255</v>
      </c>
      <c r="BK532" s="5" t="s">
        <v>294</v>
      </c>
      <c r="BL532" s="5" t="s">
        <v>238</v>
      </c>
      <c r="BM532" s="7">
        <f>0</f>
        <v>0</v>
      </c>
      <c r="BN532" s="8">
        <f>0</f>
        <v>0</v>
      </c>
      <c r="BO532" s="5" t="s">
        <v>257</v>
      </c>
      <c r="BP532" s="5" t="s">
        <v>258</v>
      </c>
      <c r="CD532" s="5" t="s">
        <v>238</v>
      </c>
      <c r="CE532" s="5" t="s">
        <v>238</v>
      </c>
      <c r="CI532" s="5" t="s">
        <v>259</v>
      </c>
      <c r="CJ532" s="5" t="s">
        <v>260</v>
      </c>
      <c r="CK532" s="5" t="s">
        <v>238</v>
      </c>
      <c r="CM532" s="5" t="s">
        <v>657</v>
      </c>
      <c r="CN532" s="6" t="s">
        <v>262</v>
      </c>
      <c r="CO532" s="5" t="s">
        <v>263</v>
      </c>
      <c r="CP532" s="5" t="s">
        <v>264</v>
      </c>
      <c r="CQ532" s="5" t="s">
        <v>238</v>
      </c>
      <c r="CR532" s="5" t="s">
        <v>238</v>
      </c>
      <c r="CS532" s="5">
        <v>0</v>
      </c>
      <c r="CT532" s="5" t="s">
        <v>265</v>
      </c>
      <c r="CU532" s="5" t="s">
        <v>266</v>
      </c>
      <c r="CV532" s="5" t="s">
        <v>267</v>
      </c>
      <c r="CX532" s="8">
        <f>6370000</f>
        <v>6370000</v>
      </c>
      <c r="CY532" s="8">
        <f>0</f>
        <v>0</v>
      </c>
      <c r="DA532" s="5" t="s">
        <v>238</v>
      </c>
      <c r="DB532" s="5" t="s">
        <v>238</v>
      </c>
      <c r="DD532" s="5" t="s">
        <v>238</v>
      </c>
      <c r="DG532" s="5" t="s">
        <v>238</v>
      </c>
      <c r="DH532" s="5" t="s">
        <v>238</v>
      </c>
      <c r="DI532" s="5" t="s">
        <v>238</v>
      </c>
      <c r="DJ532" s="5" t="s">
        <v>238</v>
      </c>
      <c r="DK532" s="5" t="s">
        <v>271</v>
      </c>
      <c r="DL532" s="5" t="s">
        <v>272</v>
      </c>
      <c r="DM532" s="7">
        <f>70</f>
        <v>70</v>
      </c>
      <c r="DN532" s="5" t="s">
        <v>238</v>
      </c>
      <c r="DO532" s="5" t="s">
        <v>238</v>
      </c>
      <c r="DP532" s="5" t="s">
        <v>238</v>
      </c>
      <c r="DQ532" s="5" t="s">
        <v>238</v>
      </c>
      <c r="DT532" s="5" t="s">
        <v>883</v>
      </c>
      <c r="DU532" s="5" t="s">
        <v>389</v>
      </c>
      <c r="HM532" s="5" t="s">
        <v>274</v>
      </c>
      <c r="HP532" s="5" t="s">
        <v>272</v>
      </c>
      <c r="HQ532" s="5" t="s">
        <v>272</v>
      </c>
    </row>
    <row r="533" spans="1:238" x14ac:dyDescent="0.4">
      <c r="A533" s="5">
        <v>569</v>
      </c>
      <c r="B533" s="5">
        <v>1</v>
      </c>
      <c r="C533" s="5">
        <v>1</v>
      </c>
      <c r="D533" s="5" t="s">
        <v>879</v>
      </c>
      <c r="E533" s="5" t="s">
        <v>347</v>
      </c>
      <c r="F533" s="5" t="s">
        <v>282</v>
      </c>
      <c r="G533" s="5" t="s">
        <v>1309</v>
      </c>
      <c r="H533" s="6" t="s">
        <v>881</v>
      </c>
      <c r="I533" s="5" t="s">
        <v>1309</v>
      </c>
      <c r="J533" s="7">
        <f>15</f>
        <v>15</v>
      </c>
      <c r="K533" s="5" t="s">
        <v>270</v>
      </c>
      <c r="L533" s="8">
        <f>1</f>
        <v>1</v>
      </c>
      <c r="M533" s="8">
        <f>5355000</f>
        <v>5355000</v>
      </c>
      <c r="N533" s="6" t="s">
        <v>2198</v>
      </c>
      <c r="O533" s="5" t="s">
        <v>268</v>
      </c>
      <c r="P533" s="5" t="s">
        <v>268</v>
      </c>
      <c r="R533" s="8">
        <f>5354999</f>
        <v>5354999</v>
      </c>
      <c r="S533" s="5" t="s">
        <v>240</v>
      </c>
      <c r="T533" s="5" t="s">
        <v>237</v>
      </c>
      <c r="U533" s="5" t="s">
        <v>238</v>
      </c>
      <c r="V533" s="5" t="s">
        <v>238</v>
      </c>
      <c r="W533" s="5" t="s">
        <v>241</v>
      </c>
      <c r="X533" s="5" t="s">
        <v>337</v>
      </c>
      <c r="Y533" s="5" t="s">
        <v>238</v>
      </c>
      <c r="AB533" s="5" t="s">
        <v>238</v>
      </c>
      <c r="AD533" s="6" t="s">
        <v>238</v>
      </c>
      <c r="AG533" s="6" t="s">
        <v>246</v>
      </c>
      <c r="AH533" s="5" t="s">
        <v>247</v>
      </c>
      <c r="AI533" s="5" t="s">
        <v>248</v>
      </c>
      <c r="AY533" s="5" t="s">
        <v>250</v>
      </c>
      <c r="AZ533" s="5" t="s">
        <v>238</v>
      </c>
      <c r="BA533" s="5" t="s">
        <v>251</v>
      </c>
      <c r="BB533" s="5" t="s">
        <v>238</v>
      </c>
      <c r="BC533" s="5" t="s">
        <v>253</v>
      </c>
      <c r="BD533" s="5" t="s">
        <v>238</v>
      </c>
      <c r="BF533" s="5" t="s">
        <v>238</v>
      </c>
      <c r="BH533" s="5" t="s">
        <v>697</v>
      </c>
      <c r="BI533" s="6" t="s">
        <v>698</v>
      </c>
      <c r="BJ533" s="5" t="s">
        <v>255</v>
      </c>
      <c r="BK533" s="5" t="s">
        <v>294</v>
      </c>
      <c r="BL533" s="5" t="s">
        <v>238</v>
      </c>
      <c r="BM533" s="7">
        <f>0</f>
        <v>0</v>
      </c>
      <c r="BN533" s="8">
        <f>0</f>
        <v>0</v>
      </c>
      <c r="BO533" s="5" t="s">
        <v>257</v>
      </c>
      <c r="BP533" s="5" t="s">
        <v>258</v>
      </c>
      <c r="CD533" s="5" t="s">
        <v>238</v>
      </c>
      <c r="CE533" s="5" t="s">
        <v>238</v>
      </c>
      <c r="CI533" s="5" t="s">
        <v>259</v>
      </c>
      <c r="CJ533" s="5" t="s">
        <v>260</v>
      </c>
      <c r="CK533" s="5" t="s">
        <v>238</v>
      </c>
      <c r="CM533" s="5" t="s">
        <v>1357</v>
      </c>
      <c r="CN533" s="6" t="s">
        <v>262</v>
      </c>
      <c r="CO533" s="5" t="s">
        <v>263</v>
      </c>
      <c r="CP533" s="5" t="s">
        <v>264</v>
      </c>
      <c r="CQ533" s="5" t="s">
        <v>238</v>
      </c>
      <c r="CR533" s="5" t="s">
        <v>238</v>
      </c>
      <c r="CS533" s="5">
        <v>0</v>
      </c>
      <c r="CT533" s="5" t="s">
        <v>265</v>
      </c>
      <c r="CU533" s="5" t="s">
        <v>1342</v>
      </c>
      <c r="CV533" s="5" t="s">
        <v>267</v>
      </c>
      <c r="CX533" s="8">
        <f>5355000</f>
        <v>5355000</v>
      </c>
      <c r="CY533" s="8">
        <f>0</f>
        <v>0</v>
      </c>
      <c r="DA533" s="5" t="s">
        <v>238</v>
      </c>
      <c r="DB533" s="5" t="s">
        <v>238</v>
      </c>
      <c r="DD533" s="5" t="s">
        <v>238</v>
      </c>
      <c r="DG533" s="5" t="s">
        <v>238</v>
      </c>
      <c r="DH533" s="5" t="s">
        <v>238</v>
      </c>
      <c r="DI533" s="5" t="s">
        <v>238</v>
      </c>
      <c r="DJ533" s="5" t="s">
        <v>238</v>
      </c>
      <c r="DK533" s="5" t="s">
        <v>271</v>
      </c>
      <c r="DL533" s="5" t="s">
        <v>272</v>
      </c>
      <c r="DM533" s="7">
        <f>15</f>
        <v>15</v>
      </c>
      <c r="DN533" s="5" t="s">
        <v>238</v>
      </c>
      <c r="DO533" s="5" t="s">
        <v>238</v>
      </c>
      <c r="DP533" s="5" t="s">
        <v>238</v>
      </c>
      <c r="DQ533" s="5" t="s">
        <v>238</v>
      </c>
      <c r="DT533" s="5" t="s">
        <v>883</v>
      </c>
      <c r="DU533" s="5" t="s">
        <v>354</v>
      </c>
      <c r="HM533" s="5" t="s">
        <v>356</v>
      </c>
      <c r="HP533" s="5" t="s">
        <v>272</v>
      </c>
      <c r="HQ533" s="5" t="s">
        <v>272</v>
      </c>
    </row>
    <row r="534" spans="1:238" x14ac:dyDescent="0.4">
      <c r="A534" s="5">
        <v>570</v>
      </c>
      <c r="B534" s="5">
        <v>1</v>
      </c>
      <c r="C534" s="5">
        <v>4</v>
      </c>
      <c r="D534" s="5" t="s">
        <v>879</v>
      </c>
      <c r="E534" s="5" t="s">
        <v>347</v>
      </c>
      <c r="F534" s="5" t="s">
        <v>282</v>
      </c>
      <c r="G534" s="5" t="s">
        <v>2930</v>
      </c>
      <c r="H534" s="6" t="s">
        <v>881</v>
      </c>
      <c r="I534" s="5" t="s">
        <v>3144</v>
      </c>
      <c r="J534" s="7">
        <f>0</f>
        <v>0</v>
      </c>
      <c r="K534" s="5" t="s">
        <v>270</v>
      </c>
      <c r="L534" s="8">
        <f>847480</f>
        <v>847480</v>
      </c>
      <c r="M534" s="8">
        <f>1274400</f>
        <v>1274400</v>
      </c>
      <c r="N534" s="6" t="s">
        <v>601</v>
      </c>
      <c r="O534" s="5" t="s">
        <v>268</v>
      </c>
      <c r="P534" s="5" t="s">
        <v>356</v>
      </c>
      <c r="Q534" s="8">
        <f>85384</f>
        <v>85384</v>
      </c>
      <c r="R534" s="8">
        <f>426920</f>
        <v>426920</v>
      </c>
      <c r="S534" s="5" t="s">
        <v>240</v>
      </c>
      <c r="T534" s="5" t="s">
        <v>287</v>
      </c>
      <c r="U534" s="5" t="s">
        <v>238</v>
      </c>
      <c r="V534" s="5" t="s">
        <v>238</v>
      </c>
      <c r="W534" s="5" t="s">
        <v>241</v>
      </c>
      <c r="X534" s="5" t="s">
        <v>337</v>
      </c>
      <c r="Y534" s="5" t="s">
        <v>238</v>
      </c>
      <c r="AB534" s="5" t="s">
        <v>238</v>
      </c>
      <c r="AC534" s="6" t="s">
        <v>238</v>
      </c>
      <c r="AD534" s="6" t="s">
        <v>238</v>
      </c>
      <c r="AF534" s="6" t="s">
        <v>238</v>
      </c>
      <c r="AG534" s="6" t="s">
        <v>246</v>
      </c>
      <c r="AH534" s="5" t="s">
        <v>247</v>
      </c>
      <c r="AI534" s="5" t="s">
        <v>248</v>
      </c>
      <c r="AO534" s="5" t="s">
        <v>238</v>
      </c>
      <c r="AP534" s="5" t="s">
        <v>238</v>
      </c>
      <c r="AQ534" s="5" t="s">
        <v>238</v>
      </c>
      <c r="AR534" s="6" t="s">
        <v>238</v>
      </c>
      <c r="AS534" s="6" t="s">
        <v>238</v>
      </c>
      <c r="AT534" s="6" t="s">
        <v>238</v>
      </c>
      <c r="AW534" s="5" t="s">
        <v>304</v>
      </c>
      <c r="AX534" s="5" t="s">
        <v>304</v>
      </c>
      <c r="AY534" s="5" t="s">
        <v>250</v>
      </c>
      <c r="AZ534" s="5" t="s">
        <v>305</v>
      </c>
      <c r="BA534" s="5" t="s">
        <v>251</v>
      </c>
      <c r="BB534" s="5" t="s">
        <v>238</v>
      </c>
      <c r="BC534" s="5" t="s">
        <v>253</v>
      </c>
      <c r="BD534" s="5" t="s">
        <v>238</v>
      </c>
      <c r="BF534" s="5" t="s">
        <v>238</v>
      </c>
      <c r="BH534" s="5" t="s">
        <v>283</v>
      </c>
      <c r="BI534" s="6" t="s">
        <v>293</v>
      </c>
      <c r="BJ534" s="5" t="s">
        <v>294</v>
      </c>
      <c r="BK534" s="5" t="s">
        <v>294</v>
      </c>
      <c r="BL534" s="5" t="s">
        <v>238</v>
      </c>
      <c r="BM534" s="7">
        <f>0</f>
        <v>0</v>
      </c>
      <c r="BN534" s="8">
        <f>-85384</f>
        <v>-85384</v>
      </c>
      <c r="BO534" s="5" t="s">
        <v>257</v>
      </c>
      <c r="BP534" s="5" t="s">
        <v>258</v>
      </c>
      <c r="BQ534" s="5" t="s">
        <v>238</v>
      </c>
      <c r="BR534" s="5" t="s">
        <v>238</v>
      </c>
      <c r="BS534" s="5" t="s">
        <v>238</v>
      </c>
      <c r="BT534" s="5" t="s">
        <v>238</v>
      </c>
      <c r="CC534" s="5" t="s">
        <v>258</v>
      </c>
      <c r="CD534" s="5" t="s">
        <v>238</v>
      </c>
      <c r="CE534" s="5" t="s">
        <v>238</v>
      </c>
      <c r="CI534" s="5" t="s">
        <v>259</v>
      </c>
      <c r="CJ534" s="5" t="s">
        <v>260</v>
      </c>
      <c r="CK534" s="5" t="s">
        <v>238</v>
      </c>
      <c r="CM534" s="5" t="s">
        <v>376</v>
      </c>
      <c r="CN534" s="6" t="s">
        <v>262</v>
      </c>
      <c r="CO534" s="5" t="s">
        <v>263</v>
      </c>
      <c r="CP534" s="5" t="s">
        <v>264</v>
      </c>
      <c r="CQ534" s="5" t="s">
        <v>285</v>
      </c>
      <c r="CR534" s="5" t="s">
        <v>238</v>
      </c>
      <c r="CS534" s="5">
        <v>6.7000000000000004E-2</v>
      </c>
      <c r="CT534" s="5" t="s">
        <v>265</v>
      </c>
      <c r="CU534" s="5" t="s">
        <v>351</v>
      </c>
      <c r="CV534" s="5" t="s">
        <v>394</v>
      </c>
      <c r="CW534" s="7">
        <f>0</f>
        <v>0</v>
      </c>
      <c r="CX534" s="8">
        <f>1274400</f>
        <v>1274400</v>
      </c>
      <c r="CY534" s="8">
        <f>932864</f>
        <v>932864</v>
      </c>
      <c r="DA534" s="5" t="s">
        <v>238</v>
      </c>
      <c r="DB534" s="5" t="s">
        <v>238</v>
      </c>
      <c r="DD534" s="5" t="s">
        <v>238</v>
      </c>
      <c r="DE534" s="8">
        <f>0</f>
        <v>0</v>
      </c>
      <c r="DG534" s="5" t="s">
        <v>238</v>
      </c>
      <c r="DH534" s="5" t="s">
        <v>238</v>
      </c>
      <c r="DI534" s="5" t="s">
        <v>238</v>
      </c>
      <c r="DJ534" s="5" t="s">
        <v>238</v>
      </c>
      <c r="DK534" s="5" t="s">
        <v>272</v>
      </c>
      <c r="DL534" s="5" t="s">
        <v>272</v>
      </c>
      <c r="DM534" s="8" t="s">
        <v>238</v>
      </c>
      <c r="DN534" s="5" t="s">
        <v>238</v>
      </c>
      <c r="DO534" s="5" t="s">
        <v>238</v>
      </c>
      <c r="DP534" s="5" t="s">
        <v>238</v>
      </c>
      <c r="DQ534" s="5" t="s">
        <v>238</v>
      </c>
      <c r="DT534" s="5" t="s">
        <v>883</v>
      </c>
      <c r="DU534" s="5" t="s">
        <v>361</v>
      </c>
      <c r="GL534" s="5" t="s">
        <v>3145</v>
      </c>
      <c r="HM534" s="5" t="s">
        <v>379</v>
      </c>
      <c r="HP534" s="5" t="s">
        <v>272</v>
      </c>
      <c r="HQ534" s="5" t="s">
        <v>272</v>
      </c>
      <c r="HR534" s="5" t="s">
        <v>238</v>
      </c>
      <c r="HS534" s="5" t="s">
        <v>238</v>
      </c>
      <c r="HT534" s="5" t="s">
        <v>238</v>
      </c>
      <c r="HU534" s="5" t="s">
        <v>238</v>
      </c>
      <c r="HV534" s="5" t="s">
        <v>238</v>
      </c>
      <c r="HW534" s="5" t="s">
        <v>238</v>
      </c>
      <c r="HX534" s="5" t="s">
        <v>238</v>
      </c>
      <c r="HY534" s="5" t="s">
        <v>238</v>
      </c>
      <c r="HZ534" s="5" t="s">
        <v>238</v>
      </c>
      <c r="IA534" s="5" t="s">
        <v>238</v>
      </c>
      <c r="IB534" s="5" t="s">
        <v>238</v>
      </c>
      <c r="IC534" s="5" t="s">
        <v>238</v>
      </c>
      <c r="ID534" s="5" t="s">
        <v>238</v>
      </c>
    </row>
    <row r="535" spans="1:238" x14ac:dyDescent="0.4">
      <c r="A535" s="5">
        <v>571</v>
      </c>
      <c r="B535" s="5">
        <v>1</v>
      </c>
      <c r="C535" s="5">
        <v>4</v>
      </c>
      <c r="D535" s="5" t="s">
        <v>879</v>
      </c>
      <c r="E535" s="5" t="s">
        <v>347</v>
      </c>
      <c r="F535" s="5" t="s">
        <v>282</v>
      </c>
      <c r="G535" s="5" t="s">
        <v>349</v>
      </c>
      <c r="H535" s="6" t="s">
        <v>881</v>
      </c>
      <c r="I535" s="5" t="s">
        <v>345</v>
      </c>
      <c r="J535" s="7">
        <f>0</f>
        <v>0</v>
      </c>
      <c r="K535" s="5" t="s">
        <v>270</v>
      </c>
      <c r="L535" s="8">
        <f>22238921</f>
        <v>22238921</v>
      </c>
      <c r="M535" s="8">
        <f>28919270</f>
        <v>28919270</v>
      </c>
      <c r="N535" s="6" t="s">
        <v>348</v>
      </c>
      <c r="O535" s="5" t="s">
        <v>319</v>
      </c>
      <c r="P535" s="5" t="s">
        <v>271</v>
      </c>
      <c r="Q535" s="8">
        <f>2226783</f>
        <v>2226783</v>
      </c>
      <c r="R535" s="8">
        <f>6680349</f>
        <v>6680349</v>
      </c>
      <c r="S535" s="5" t="s">
        <v>240</v>
      </c>
      <c r="T535" s="5" t="s">
        <v>287</v>
      </c>
      <c r="U535" s="5" t="s">
        <v>238</v>
      </c>
      <c r="V535" s="5" t="s">
        <v>238</v>
      </c>
      <c r="W535" s="5" t="s">
        <v>241</v>
      </c>
      <c r="X535" s="5" t="s">
        <v>238</v>
      </c>
      <c r="Y535" s="5" t="s">
        <v>238</v>
      </c>
      <c r="AB535" s="5" t="s">
        <v>238</v>
      </c>
      <c r="AC535" s="6" t="s">
        <v>238</v>
      </c>
      <c r="AD535" s="6" t="s">
        <v>238</v>
      </c>
      <c r="AF535" s="6" t="s">
        <v>238</v>
      </c>
      <c r="AG535" s="6" t="s">
        <v>246</v>
      </c>
      <c r="AH535" s="5" t="s">
        <v>247</v>
      </c>
      <c r="AI535" s="5" t="s">
        <v>248</v>
      </c>
      <c r="AO535" s="5" t="s">
        <v>238</v>
      </c>
      <c r="AP535" s="5" t="s">
        <v>238</v>
      </c>
      <c r="AQ535" s="5" t="s">
        <v>238</v>
      </c>
      <c r="AR535" s="6" t="s">
        <v>238</v>
      </c>
      <c r="AS535" s="6" t="s">
        <v>238</v>
      </c>
      <c r="AT535" s="6" t="s">
        <v>238</v>
      </c>
      <c r="AW535" s="5" t="s">
        <v>304</v>
      </c>
      <c r="AX535" s="5" t="s">
        <v>304</v>
      </c>
      <c r="AY535" s="5" t="s">
        <v>250</v>
      </c>
      <c r="AZ535" s="5" t="s">
        <v>305</v>
      </c>
      <c r="BA535" s="5" t="s">
        <v>251</v>
      </c>
      <c r="BB535" s="5" t="s">
        <v>238</v>
      </c>
      <c r="BC535" s="5" t="s">
        <v>253</v>
      </c>
      <c r="BD535" s="5" t="s">
        <v>238</v>
      </c>
      <c r="BF535" s="5" t="s">
        <v>238</v>
      </c>
      <c r="BH535" s="5" t="s">
        <v>283</v>
      </c>
      <c r="BI535" s="6" t="s">
        <v>293</v>
      </c>
      <c r="BJ535" s="5" t="s">
        <v>294</v>
      </c>
      <c r="BK535" s="5" t="s">
        <v>294</v>
      </c>
      <c r="BL535" s="5" t="s">
        <v>238</v>
      </c>
      <c r="BM535" s="7">
        <f>0</f>
        <v>0</v>
      </c>
      <c r="BN535" s="8">
        <f>-2226783</f>
        <v>-2226783</v>
      </c>
      <c r="BO535" s="5" t="s">
        <v>257</v>
      </c>
      <c r="BP535" s="5" t="s">
        <v>258</v>
      </c>
      <c r="BQ535" s="5" t="s">
        <v>238</v>
      </c>
      <c r="BR535" s="5" t="s">
        <v>238</v>
      </c>
      <c r="BS535" s="5" t="s">
        <v>238</v>
      </c>
      <c r="BT535" s="5" t="s">
        <v>238</v>
      </c>
      <c r="CC535" s="5" t="s">
        <v>258</v>
      </c>
      <c r="CD535" s="5" t="s">
        <v>238</v>
      </c>
      <c r="CE535" s="5" t="s">
        <v>238</v>
      </c>
      <c r="CI535" s="5" t="s">
        <v>259</v>
      </c>
      <c r="CJ535" s="5" t="s">
        <v>260</v>
      </c>
      <c r="CK535" s="5" t="s">
        <v>238</v>
      </c>
      <c r="CM535" s="5" t="s">
        <v>291</v>
      </c>
      <c r="CN535" s="6" t="s">
        <v>262</v>
      </c>
      <c r="CO535" s="5" t="s">
        <v>263</v>
      </c>
      <c r="CP535" s="5" t="s">
        <v>264</v>
      </c>
      <c r="CQ535" s="5" t="s">
        <v>285</v>
      </c>
      <c r="CR535" s="5" t="s">
        <v>238</v>
      </c>
      <c r="CS535" s="5">
        <v>7.6999999999999999E-2</v>
      </c>
      <c r="CT535" s="5" t="s">
        <v>265</v>
      </c>
      <c r="CU535" s="5" t="s">
        <v>351</v>
      </c>
      <c r="CV535" s="5" t="s">
        <v>352</v>
      </c>
      <c r="CW535" s="7">
        <f>0</f>
        <v>0</v>
      </c>
      <c r="CX535" s="8">
        <f>28919270</f>
        <v>28919270</v>
      </c>
      <c r="CY535" s="8">
        <f>24465704</f>
        <v>24465704</v>
      </c>
      <c r="DA535" s="5" t="s">
        <v>238</v>
      </c>
      <c r="DB535" s="5" t="s">
        <v>238</v>
      </c>
      <c r="DD535" s="5" t="s">
        <v>238</v>
      </c>
      <c r="DE535" s="8">
        <f>0</f>
        <v>0</v>
      </c>
      <c r="DG535" s="5" t="s">
        <v>238</v>
      </c>
      <c r="DH535" s="5" t="s">
        <v>238</v>
      </c>
      <c r="DI535" s="5" t="s">
        <v>238</v>
      </c>
      <c r="DJ535" s="5" t="s">
        <v>238</v>
      </c>
      <c r="DK535" s="5" t="s">
        <v>272</v>
      </c>
      <c r="DL535" s="5" t="s">
        <v>272</v>
      </c>
      <c r="DM535" s="8" t="s">
        <v>238</v>
      </c>
      <c r="DN535" s="5" t="s">
        <v>238</v>
      </c>
      <c r="DO535" s="5" t="s">
        <v>238</v>
      </c>
      <c r="DP535" s="5" t="s">
        <v>238</v>
      </c>
      <c r="DQ535" s="5" t="s">
        <v>238</v>
      </c>
      <c r="DT535" s="5" t="s">
        <v>883</v>
      </c>
      <c r="DU535" s="5" t="s">
        <v>377</v>
      </c>
      <c r="GL535" s="5" t="s">
        <v>3143</v>
      </c>
      <c r="HM535" s="5" t="s">
        <v>356</v>
      </c>
      <c r="HP535" s="5" t="s">
        <v>272</v>
      </c>
      <c r="HQ535" s="5" t="s">
        <v>272</v>
      </c>
      <c r="HR535" s="5" t="s">
        <v>238</v>
      </c>
      <c r="HS535" s="5" t="s">
        <v>238</v>
      </c>
      <c r="HT535" s="5" t="s">
        <v>238</v>
      </c>
      <c r="HU535" s="5" t="s">
        <v>238</v>
      </c>
      <c r="HV535" s="5" t="s">
        <v>238</v>
      </c>
      <c r="HW535" s="5" t="s">
        <v>238</v>
      </c>
      <c r="HX535" s="5" t="s">
        <v>238</v>
      </c>
      <c r="HY535" s="5" t="s">
        <v>238</v>
      </c>
      <c r="HZ535" s="5" t="s">
        <v>238</v>
      </c>
      <c r="IA535" s="5" t="s">
        <v>238</v>
      </c>
      <c r="IB535" s="5" t="s">
        <v>238</v>
      </c>
      <c r="IC535" s="5" t="s">
        <v>238</v>
      </c>
      <c r="ID535" s="5" t="s">
        <v>238</v>
      </c>
    </row>
    <row r="536" spans="1:238" x14ac:dyDescent="0.4">
      <c r="A536" s="5">
        <v>572</v>
      </c>
      <c r="B536" s="5">
        <v>1</v>
      </c>
      <c r="C536" s="5">
        <v>4</v>
      </c>
      <c r="D536" s="5" t="s">
        <v>875</v>
      </c>
      <c r="E536" s="5" t="s">
        <v>347</v>
      </c>
      <c r="F536" s="5" t="s">
        <v>282</v>
      </c>
      <c r="G536" s="5" t="s">
        <v>1499</v>
      </c>
      <c r="H536" s="6" t="s">
        <v>674</v>
      </c>
      <c r="I536" s="5" t="s">
        <v>1314</v>
      </c>
      <c r="J536" s="7">
        <f>5342</f>
        <v>5342</v>
      </c>
      <c r="K536" s="5" t="s">
        <v>270</v>
      </c>
      <c r="L536" s="8">
        <f>1</f>
        <v>1</v>
      </c>
      <c r="M536" s="8">
        <f>721170000</f>
        <v>721170000</v>
      </c>
      <c r="N536" s="6" t="s">
        <v>1634</v>
      </c>
      <c r="O536" s="5" t="s">
        <v>898</v>
      </c>
      <c r="P536" s="5" t="s">
        <v>1098</v>
      </c>
      <c r="Q536" s="8">
        <f>15865740</f>
        <v>15865740</v>
      </c>
      <c r="R536" s="8">
        <f>721169999</f>
        <v>721169999</v>
      </c>
      <c r="S536" s="5" t="s">
        <v>240</v>
      </c>
      <c r="T536" s="5" t="s">
        <v>237</v>
      </c>
      <c r="U536" s="5" t="s">
        <v>238</v>
      </c>
      <c r="V536" s="5" t="s">
        <v>238</v>
      </c>
      <c r="W536" s="5" t="s">
        <v>241</v>
      </c>
      <c r="X536" s="5" t="s">
        <v>337</v>
      </c>
      <c r="Y536" s="5" t="s">
        <v>238</v>
      </c>
      <c r="AB536" s="5" t="s">
        <v>238</v>
      </c>
      <c r="AC536" s="6" t="s">
        <v>238</v>
      </c>
      <c r="AD536" s="6" t="s">
        <v>238</v>
      </c>
      <c r="AF536" s="6" t="s">
        <v>238</v>
      </c>
      <c r="AG536" s="6" t="s">
        <v>246</v>
      </c>
      <c r="AH536" s="5" t="s">
        <v>247</v>
      </c>
      <c r="AI536" s="5" t="s">
        <v>248</v>
      </c>
      <c r="AO536" s="5" t="s">
        <v>238</v>
      </c>
      <c r="AP536" s="5" t="s">
        <v>238</v>
      </c>
      <c r="AQ536" s="5" t="s">
        <v>238</v>
      </c>
      <c r="AR536" s="6" t="s">
        <v>238</v>
      </c>
      <c r="AS536" s="6" t="s">
        <v>238</v>
      </c>
      <c r="AT536" s="6" t="s">
        <v>238</v>
      </c>
      <c r="AW536" s="5" t="s">
        <v>304</v>
      </c>
      <c r="AX536" s="5" t="s">
        <v>304</v>
      </c>
      <c r="AY536" s="5" t="s">
        <v>250</v>
      </c>
      <c r="AZ536" s="5" t="s">
        <v>305</v>
      </c>
      <c r="BA536" s="5" t="s">
        <v>251</v>
      </c>
      <c r="BB536" s="5" t="s">
        <v>238</v>
      </c>
      <c r="BC536" s="5" t="s">
        <v>253</v>
      </c>
      <c r="BD536" s="5" t="s">
        <v>238</v>
      </c>
      <c r="BF536" s="5" t="s">
        <v>238</v>
      </c>
      <c r="BH536" s="5" t="s">
        <v>283</v>
      </c>
      <c r="BI536" s="6" t="s">
        <v>293</v>
      </c>
      <c r="BJ536" s="5" t="s">
        <v>294</v>
      </c>
      <c r="BK536" s="5" t="s">
        <v>294</v>
      </c>
      <c r="BL536" s="5" t="s">
        <v>238</v>
      </c>
      <c r="BM536" s="7">
        <f>0</f>
        <v>0</v>
      </c>
      <c r="BN536" s="8">
        <f>-7211699</f>
        <v>-7211699</v>
      </c>
      <c r="BO536" s="5" t="s">
        <v>257</v>
      </c>
      <c r="BP536" s="5" t="s">
        <v>258</v>
      </c>
      <c r="BQ536" s="5" t="s">
        <v>238</v>
      </c>
      <c r="BR536" s="5" t="s">
        <v>238</v>
      </c>
      <c r="BS536" s="5" t="s">
        <v>238</v>
      </c>
      <c r="BT536" s="5" t="s">
        <v>238</v>
      </c>
      <c r="CC536" s="5" t="s">
        <v>258</v>
      </c>
      <c r="CD536" s="5" t="s">
        <v>238</v>
      </c>
      <c r="CE536" s="5" t="s">
        <v>238</v>
      </c>
      <c r="CI536" s="5" t="s">
        <v>527</v>
      </c>
      <c r="CJ536" s="5" t="s">
        <v>260</v>
      </c>
      <c r="CK536" s="5" t="s">
        <v>238</v>
      </c>
      <c r="CM536" s="5" t="s">
        <v>974</v>
      </c>
      <c r="CN536" s="6" t="s">
        <v>262</v>
      </c>
      <c r="CO536" s="5" t="s">
        <v>263</v>
      </c>
      <c r="CP536" s="5" t="s">
        <v>264</v>
      </c>
      <c r="CQ536" s="5" t="s">
        <v>285</v>
      </c>
      <c r="CR536" s="5" t="s">
        <v>238</v>
      </c>
      <c r="CS536" s="5">
        <v>2.1999999999999999E-2</v>
      </c>
      <c r="CT536" s="5" t="s">
        <v>265</v>
      </c>
      <c r="CU536" s="5" t="s">
        <v>1493</v>
      </c>
      <c r="CV536" s="5" t="s">
        <v>308</v>
      </c>
      <c r="CW536" s="7">
        <f>0</f>
        <v>0</v>
      </c>
      <c r="CX536" s="8">
        <f>721170000</f>
        <v>721170000</v>
      </c>
      <c r="CY536" s="8">
        <f>7211700</f>
        <v>7211700</v>
      </c>
      <c r="DA536" s="5" t="s">
        <v>238</v>
      </c>
      <c r="DB536" s="5" t="s">
        <v>238</v>
      </c>
      <c r="DD536" s="5" t="s">
        <v>238</v>
      </c>
      <c r="DE536" s="8">
        <f>0</f>
        <v>0</v>
      </c>
      <c r="DG536" s="5" t="s">
        <v>238</v>
      </c>
      <c r="DH536" s="5" t="s">
        <v>238</v>
      </c>
      <c r="DI536" s="5" t="s">
        <v>238</v>
      </c>
      <c r="DJ536" s="5" t="s">
        <v>238</v>
      </c>
      <c r="DK536" s="5" t="s">
        <v>310</v>
      </c>
      <c r="DL536" s="5" t="s">
        <v>272</v>
      </c>
      <c r="DM536" s="7">
        <f>5342</f>
        <v>5342</v>
      </c>
      <c r="DN536" s="5" t="s">
        <v>238</v>
      </c>
      <c r="DO536" s="5" t="s">
        <v>238</v>
      </c>
      <c r="DP536" s="5" t="s">
        <v>238</v>
      </c>
      <c r="DQ536" s="5" t="s">
        <v>238</v>
      </c>
      <c r="DT536" s="5" t="s">
        <v>878</v>
      </c>
      <c r="DU536" s="5" t="s">
        <v>271</v>
      </c>
      <c r="GL536" s="5" t="s">
        <v>1635</v>
      </c>
      <c r="HM536" s="5" t="s">
        <v>313</v>
      </c>
      <c r="HP536" s="5" t="s">
        <v>272</v>
      </c>
      <c r="HQ536" s="5" t="s">
        <v>272</v>
      </c>
      <c r="HR536" s="5" t="s">
        <v>238</v>
      </c>
      <c r="HS536" s="5" t="s">
        <v>238</v>
      </c>
      <c r="HT536" s="5" t="s">
        <v>238</v>
      </c>
      <c r="HU536" s="5" t="s">
        <v>238</v>
      </c>
      <c r="HV536" s="5" t="s">
        <v>238</v>
      </c>
      <c r="HW536" s="5" t="s">
        <v>238</v>
      </c>
      <c r="HX536" s="5" t="s">
        <v>238</v>
      </c>
      <c r="HY536" s="5" t="s">
        <v>238</v>
      </c>
      <c r="HZ536" s="5" t="s">
        <v>238</v>
      </c>
      <c r="IA536" s="5" t="s">
        <v>238</v>
      </c>
      <c r="IB536" s="5" t="s">
        <v>238</v>
      </c>
      <c r="IC536" s="5" t="s">
        <v>238</v>
      </c>
      <c r="ID536" s="5" t="s">
        <v>238</v>
      </c>
    </row>
    <row r="537" spans="1:238" x14ac:dyDescent="0.4">
      <c r="A537" s="5">
        <v>573</v>
      </c>
      <c r="B537" s="5">
        <v>1</v>
      </c>
      <c r="C537" s="5">
        <v>1</v>
      </c>
      <c r="D537" s="5" t="s">
        <v>875</v>
      </c>
      <c r="E537" s="5" t="s">
        <v>347</v>
      </c>
      <c r="F537" s="5" t="s">
        <v>282</v>
      </c>
      <c r="G537" s="5" t="s">
        <v>1308</v>
      </c>
      <c r="H537" s="6" t="s">
        <v>674</v>
      </c>
      <c r="I537" s="5" t="s">
        <v>1308</v>
      </c>
      <c r="J537" s="7">
        <f>1634</f>
        <v>1634</v>
      </c>
      <c r="K537" s="5" t="s">
        <v>270</v>
      </c>
      <c r="L537" s="8">
        <f>1</f>
        <v>1</v>
      </c>
      <c r="M537" s="8">
        <f>130720000</f>
        <v>130720000</v>
      </c>
      <c r="N537" s="6" t="s">
        <v>982</v>
      </c>
      <c r="O537" s="5" t="s">
        <v>755</v>
      </c>
      <c r="P537" s="5" t="s">
        <v>975</v>
      </c>
      <c r="R537" s="8">
        <f>130719999</f>
        <v>130719999</v>
      </c>
      <c r="S537" s="5" t="s">
        <v>240</v>
      </c>
      <c r="T537" s="5" t="s">
        <v>237</v>
      </c>
      <c r="U537" s="5" t="s">
        <v>238</v>
      </c>
      <c r="V537" s="5" t="s">
        <v>238</v>
      </c>
      <c r="W537" s="5" t="s">
        <v>241</v>
      </c>
      <c r="X537" s="5" t="s">
        <v>337</v>
      </c>
      <c r="Y537" s="5" t="s">
        <v>238</v>
      </c>
      <c r="AB537" s="5" t="s">
        <v>238</v>
      </c>
      <c r="AD537" s="6" t="s">
        <v>238</v>
      </c>
      <c r="AG537" s="6" t="s">
        <v>246</v>
      </c>
      <c r="AH537" s="5" t="s">
        <v>247</v>
      </c>
      <c r="AI537" s="5" t="s">
        <v>248</v>
      </c>
      <c r="AY537" s="5" t="s">
        <v>250</v>
      </c>
      <c r="AZ537" s="5" t="s">
        <v>238</v>
      </c>
      <c r="BA537" s="5" t="s">
        <v>251</v>
      </c>
      <c r="BB537" s="5" t="s">
        <v>238</v>
      </c>
      <c r="BC537" s="5" t="s">
        <v>253</v>
      </c>
      <c r="BD537" s="5" t="s">
        <v>238</v>
      </c>
      <c r="BF537" s="5" t="s">
        <v>238</v>
      </c>
      <c r="BH537" s="5" t="s">
        <v>697</v>
      </c>
      <c r="BI537" s="6" t="s">
        <v>698</v>
      </c>
      <c r="BJ537" s="5" t="s">
        <v>255</v>
      </c>
      <c r="BK537" s="5" t="s">
        <v>256</v>
      </c>
      <c r="BL537" s="5" t="s">
        <v>238</v>
      </c>
      <c r="BM537" s="7">
        <f>0</f>
        <v>0</v>
      </c>
      <c r="BN537" s="8">
        <f>0</f>
        <v>0</v>
      </c>
      <c r="BO537" s="5" t="s">
        <v>257</v>
      </c>
      <c r="BP537" s="5" t="s">
        <v>258</v>
      </c>
      <c r="CD537" s="5" t="s">
        <v>238</v>
      </c>
      <c r="CE537" s="5" t="s">
        <v>238</v>
      </c>
      <c r="CI537" s="5" t="s">
        <v>527</v>
      </c>
      <c r="CJ537" s="5" t="s">
        <v>260</v>
      </c>
      <c r="CK537" s="5" t="s">
        <v>238</v>
      </c>
      <c r="CM537" s="5" t="s">
        <v>974</v>
      </c>
      <c r="CN537" s="6" t="s">
        <v>262</v>
      </c>
      <c r="CO537" s="5" t="s">
        <v>263</v>
      </c>
      <c r="CP537" s="5" t="s">
        <v>264</v>
      </c>
      <c r="CQ537" s="5" t="s">
        <v>238</v>
      </c>
      <c r="CR537" s="5" t="s">
        <v>238</v>
      </c>
      <c r="CS537" s="5">
        <v>0</v>
      </c>
      <c r="CT537" s="5" t="s">
        <v>265</v>
      </c>
      <c r="CU537" s="5" t="s">
        <v>1330</v>
      </c>
      <c r="CV537" s="5" t="s">
        <v>649</v>
      </c>
      <c r="CX537" s="8">
        <f>130720000</f>
        <v>130720000</v>
      </c>
      <c r="CY537" s="8">
        <f>0</f>
        <v>0</v>
      </c>
      <c r="DA537" s="5" t="s">
        <v>238</v>
      </c>
      <c r="DB537" s="5" t="s">
        <v>238</v>
      </c>
      <c r="DD537" s="5" t="s">
        <v>238</v>
      </c>
      <c r="DG537" s="5" t="s">
        <v>238</v>
      </c>
      <c r="DH537" s="5" t="s">
        <v>238</v>
      </c>
      <c r="DI537" s="5" t="s">
        <v>238</v>
      </c>
      <c r="DJ537" s="5" t="s">
        <v>238</v>
      </c>
      <c r="DK537" s="5" t="s">
        <v>274</v>
      </c>
      <c r="DL537" s="5" t="s">
        <v>272</v>
      </c>
      <c r="DM537" s="7">
        <f>1634</f>
        <v>1634</v>
      </c>
      <c r="DN537" s="5" t="s">
        <v>238</v>
      </c>
      <c r="DO537" s="5" t="s">
        <v>238</v>
      </c>
      <c r="DP537" s="5" t="s">
        <v>238</v>
      </c>
      <c r="DQ537" s="5" t="s">
        <v>238</v>
      </c>
      <c r="DT537" s="5" t="s">
        <v>878</v>
      </c>
      <c r="DU537" s="5" t="s">
        <v>274</v>
      </c>
      <c r="HM537" s="5" t="s">
        <v>271</v>
      </c>
      <c r="HP537" s="5" t="s">
        <v>272</v>
      </c>
      <c r="HQ537" s="5" t="s">
        <v>272</v>
      </c>
    </row>
    <row r="538" spans="1:238" x14ac:dyDescent="0.4">
      <c r="A538" s="5">
        <v>574</v>
      </c>
      <c r="B538" s="5">
        <v>1</v>
      </c>
      <c r="C538" s="5">
        <v>1</v>
      </c>
      <c r="D538" s="5" t="s">
        <v>875</v>
      </c>
      <c r="E538" s="5" t="s">
        <v>347</v>
      </c>
      <c r="F538" s="5" t="s">
        <v>282</v>
      </c>
      <c r="G538" s="5" t="s">
        <v>695</v>
      </c>
      <c r="H538" s="6" t="s">
        <v>674</v>
      </c>
      <c r="I538" s="5" t="s">
        <v>695</v>
      </c>
      <c r="J538" s="7">
        <f>150</f>
        <v>150</v>
      </c>
      <c r="K538" s="5" t="s">
        <v>270</v>
      </c>
      <c r="L538" s="8">
        <f>1</f>
        <v>1</v>
      </c>
      <c r="M538" s="8">
        <f>19500000</f>
        <v>19500000</v>
      </c>
      <c r="N538" s="6" t="s">
        <v>1634</v>
      </c>
      <c r="O538" s="5" t="s">
        <v>268</v>
      </c>
      <c r="P538" s="5" t="s">
        <v>975</v>
      </c>
      <c r="R538" s="8">
        <f>19499999</f>
        <v>19499999</v>
      </c>
      <c r="S538" s="5" t="s">
        <v>240</v>
      </c>
      <c r="T538" s="5" t="s">
        <v>237</v>
      </c>
      <c r="U538" s="5" t="s">
        <v>238</v>
      </c>
      <c r="V538" s="5" t="s">
        <v>238</v>
      </c>
      <c r="W538" s="5" t="s">
        <v>241</v>
      </c>
      <c r="X538" s="5" t="s">
        <v>337</v>
      </c>
      <c r="Y538" s="5" t="s">
        <v>238</v>
      </c>
      <c r="AB538" s="5" t="s">
        <v>238</v>
      </c>
      <c r="AD538" s="6" t="s">
        <v>238</v>
      </c>
      <c r="AG538" s="6" t="s">
        <v>246</v>
      </c>
      <c r="AH538" s="5" t="s">
        <v>247</v>
      </c>
      <c r="AI538" s="5" t="s">
        <v>248</v>
      </c>
      <c r="AY538" s="5" t="s">
        <v>250</v>
      </c>
      <c r="AZ538" s="5" t="s">
        <v>238</v>
      </c>
      <c r="BA538" s="5" t="s">
        <v>251</v>
      </c>
      <c r="BB538" s="5" t="s">
        <v>238</v>
      </c>
      <c r="BC538" s="5" t="s">
        <v>253</v>
      </c>
      <c r="BD538" s="5" t="s">
        <v>238</v>
      </c>
      <c r="BF538" s="5" t="s">
        <v>238</v>
      </c>
      <c r="BH538" s="5" t="s">
        <v>798</v>
      </c>
      <c r="BI538" s="6" t="s">
        <v>799</v>
      </c>
      <c r="BJ538" s="5" t="s">
        <v>255</v>
      </c>
      <c r="BK538" s="5" t="s">
        <v>256</v>
      </c>
      <c r="BL538" s="5" t="s">
        <v>238</v>
      </c>
      <c r="BM538" s="7">
        <f>0</f>
        <v>0</v>
      </c>
      <c r="BN538" s="8">
        <f>0</f>
        <v>0</v>
      </c>
      <c r="BO538" s="5" t="s">
        <v>257</v>
      </c>
      <c r="BP538" s="5" t="s">
        <v>258</v>
      </c>
      <c r="CD538" s="5" t="s">
        <v>238</v>
      </c>
      <c r="CE538" s="5" t="s">
        <v>238</v>
      </c>
      <c r="CI538" s="5" t="s">
        <v>527</v>
      </c>
      <c r="CJ538" s="5" t="s">
        <v>260</v>
      </c>
      <c r="CK538" s="5" t="s">
        <v>238</v>
      </c>
      <c r="CM538" s="5" t="s">
        <v>974</v>
      </c>
      <c r="CN538" s="6" t="s">
        <v>262</v>
      </c>
      <c r="CO538" s="5" t="s">
        <v>263</v>
      </c>
      <c r="CP538" s="5" t="s">
        <v>264</v>
      </c>
      <c r="CQ538" s="5" t="s">
        <v>238</v>
      </c>
      <c r="CR538" s="5" t="s">
        <v>238</v>
      </c>
      <c r="CS538" s="5">
        <v>0</v>
      </c>
      <c r="CT538" s="5" t="s">
        <v>265</v>
      </c>
      <c r="CU538" s="5" t="s">
        <v>351</v>
      </c>
      <c r="CV538" s="5" t="s">
        <v>394</v>
      </c>
      <c r="CX538" s="8">
        <f>19500000</f>
        <v>19500000</v>
      </c>
      <c r="CY538" s="8">
        <f>0</f>
        <v>0</v>
      </c>
      <c r="DA538" s="5" t="s">
        <v>238</v>
      </c>
      <c r="DB538" s="5" t="s">
        <v>238</v>
      </c>
      <c r="DD538" s="5" t="s">
        <v>238</v>
      </c>
      <c r="DG538" s="5" t="s">
        <v>238</v>
      </c>
      <c r="DH538" s="5" t="s">
        <v>238</v>
      </c>
      <c r="DI538" s="5" t="s">
        <v>238</v>
      </c>
      <c r="DJ538" s="5" t="s">
        <v>238</v>
      </c>
      <c r="DK538" s="5" t="s">
        <v>271</v>
      </c>
      <c r="DL538" s="5" t="s">
        <v>272</v>
      </c>
      <c r="DM538" s="7">
        <f>150</f>
        <v>150</v>
      </c>
      <c r="DN538" s="5" t="s">
        <v>238</v>
      </c>
      <c r="DO538" s="5" t="s">
        <v>238</v>
      </c>
      <c r="DP538" s="5" t="s">
        <v>238</v>
      </c>
      <c r="DQ538" s="5" t="s">
        <v>238</v>
      </c>
      <c r="DT538" s="5" t="s">
        <v>878</v>
      </c>
      <c r="DU538" s="5" t="s">
        <v>356</v>
      </c>
      <c r="HM538" s="5" t="s">
        <v>271</v>
      </c>
      <c r="HP538" s="5" t="s">
        <v>272</v>
      </c>
      <c r="HQ538" s="5" t="s">
        <v>272</v>
      </c>
    </row>
    <row r="539" spans="1:238" x14ac:dyDescent="0.4">
      <c r="A539" s="5">
        <v>575</v>
      </c>
      <c r="B539" s="5">
        <v>1</v>
      </c>
      <c r="C539" s="5">
        <v>1</v>
      </c>
      <c r="D539" s="5" t="s">
        <v>875</v>
      </c>
      <c r="E539" s="5" t="s">
        <v>347</v>
      </c>
      <c r="F539" s="5" t="s">
        <v>282</v>
      </c>
      <c r="G539" s="5" t="s">
        <v>1670</v>
      </c>
      <c r="H539" s="6" t="s">
        <v>674</v>
      </c>
      <c r="I539" s="5" t="s">
        <v>1670</v>
      </c>
      <c r="J539" s="7">
        <f>450</f>
        <v>450</v>
      </c>
      <c r="K539" s="5" t="s">
        <v>270</v>
      </c>
      <c r="L539" s="8">
        <f>1</f>
        <v>1</v>
      </c>
      <c r="M539" s="8">
        <f>36000000</f>
        <v>36000000</v>
      </c>
      <c r="N539" s="6" t="s">
        <v>1671</v>
      </c>
      <c r="O539" s="5" t="s">
        <v>755</v>
      </c>
      <c r="P539" s="5" t="s">
        <v>1042</v>
      </c>
      <c r="R539" s="8">
        <f>35999999</f>
        <v>35999999</v>
      </c>
      <c r="S539" s="5" t="s">
        <v>240</v>
      </c>
      <c r="T539" s="5" t="s">
        <v>237</v>
      </c>
      <c r="U539" s="5" t="s">
        <v>238</v>
      </c>
      <c r="V539" s="5" t="s">
        <v>238</v>
      </c>
      <c r="W539" s="5" t="s">
        <v>241</v>
      </c>
      <c r="X539" s="5" t="s">
        <v>337</v>
      </c>
      <c r="Y539" s="5" t="s">
        <v>238</v>
      </c>
      <c r="AB539" s="5" t="s">
        <v>238</v>
      </c>
      <c r="AD539" s="6" t="s">
        <v>238</v>
      </c>
      <c r="AG539" s="6" t="s">
        <v>246</v>
      </c>
      <c r="AH539" s="5" t="s">
        <v>247</v>
      </c>
      <c r="AI539" s="5" t="s">
        <v>248</v>
      </c>
      <c r="AY539" s="5" t="s">
        <v>250</v>
      </c>
      <c r="AZ539" s="5" t="s">
        <v>238</v>
      </c>
      <c r="BA539" s="5" t="s">
        <v>251</v>
      </c>
      <c r="BB539" s="5" t="s">
        <v>238</v>
      </c>
      <c r="BC539" s="5" t="s">
        <v>253</v>
      </c>
      <c r="BD539" s="5" t="s">
        <v>238</v>
      </c>
      <c r="BF539" s="5" t="s">
        <v>238</v>
      </c>
      <c r="BH539" s="5" t="s">
        <v>254</v>
      </c>
      <c r="BI539" s="6" t="s">
        <v>246</v>
      </c>
      <c r="BJ539" s="5" t="s">
        <v>255</v>
      </c>
      <c r="BK539" s="5" t="s">
        <v>256</v>
      </c>
      <c r="BL539" s="5" t="s">
        <v>238</v>
      </c>
      <c r="BM539" s="7">
        <f>0</f>
        <v>0</v>
      </c>
      <c r="BN539" s="8">
        <f>0</f>
        <v>0</v>
      </c>
      <c r="BO539" s="5" t="s">
        <v>257</v>
      </c>
      <c r="BP539" s="5" t="s">
        <v>258</v>
      </c>
      <c r="CD539" s="5" t="s">
        <v>238</v>
      </c>
      <c r="CE539" s="5" t="s">
        <v>238</v>
      </c>
      <c r="CI539" s="5" t="s">
        <v>527</v>
      </c>
      <c r="CJ539" s="5" t="s">
        <v>260</v>
      </c>
      <c r="CK539" s="5" t="s">
        <v>238</v>
      </c>
      <c r="CM539" s="5" t="s">
        <v>699</v>
      </c>
      <c r="CN539" s="6" t="s">
        <v>262</v>
      </c>
      <c r="CO539" s="5" t="s">
        <v>263</v>
      </c>
      <c r="CP539" s="5" t="s">
        <v>264</v>
      </c>
      <c r="CQ539" s="5" t="s">
        <v>238</v>
      </c>
      <c r="CR539" s="5" t="s">
        <v>238</v>
      </c>
      <c r="CS539" s="5">
        <v>0</v>
      </c>
      <c r="CT539" s="5" t="s">
        <v>265</v>
      </c>
      <c r="CU539" s="5" t="s">
        <v>1330</v>
      </c>
      <c r="CV539" s="5" t="s">
        <v>649</v>
      </c>
      <c r="CX539" s="8">
        <f>36000000</f>
        <v>36000000</v>
      </c>
      <c r="CY539" s="8">
        <f>0</f>
        <v>0</v>
      </c>
      <c r="DA539" s="5" t="s">
        <v>238</v>
      </c>
      <c r="DB539" s="5" t="s">
        <v>238</v>
      </c>
      <c r="DD539" s="5" t="s">
        <v>238</v>
      </c>
      <c r="DG539" s="5" t="s">
        <v>238</v>
      </c>
      <c r="DH539" s="5" t="s">
        <v>238</v>
      </c>
      <c r="DI539" s="5" t="s">
        <v>238</v>
      </c>
      <c r="DJ539" s="5" t="s">
        <v>238</v>
      </c>
      <c r="DK539" s="5" t="s">
        <v>271</v>
      </c>
      <c r="DL539" s="5" t="s">
        <v>272</v>
      </c>
      <c r="DM539" s="7">
        <f>450</f>
        <v>450</v>
      </c>
      <c r="DN539" s="5" t="s">
        <v>238</v>
      </c>
      <c r="DO539" s="5" t="s">
        <v>238</v>
      </c>
      <c r="DP539" s="5" t="s">
        <v>238</v>
      </c>
      <c r="DQ539" s="5" t="s">
        <v>238</v>
      </c>
      <c r="DT539" s="5" t="s">
        <v>878</v>
      </c>
      <c r="DU539" s="5" t="s">
        <v>310</v>
      </c>
      <c r="HM539" s="5" t="s">
        <v>271</v>
      </c>
      <c r="HP539" s="5" t="s">
        <v>272</v>
      </c>
      <c r="HQ539" s="5" t="s">
        <v>272</v>
      </c>
    </row>
    <row r="540" spans="1:238" x14ac:dyDescent="0.4">
      <c r="A540" s="5">
        <v>576</v>
      </c>
      <c r="B540" s="5">
        <v>1</v>
      </c>
      <c r="C540" s="5">
        <v>1</v>
      </c>
      <c r="D540" s="5" t="s">
        <v>875</v>
      </c>
      <c r="E540" s="5" t="s">
        <v>347</v>
      </c>
      <c r="F540" s="5" t="s">
        <v>282</v>
      </c>
      <c r="G540" s="5" t="s">
        <v>3027</v>
      </c>
      <c r="H540" s="6" t="s">
        <v>674</v>
      </c>
      <c r="I540" s="5" t="s">
        <v>3027</v>
      </c>
      <c r="J540" s="7">
        <f>71</f>
        <v>71</v>
      </c>
      <c r="K540" s="5" t="s">
        <v>270</v>
      </c>
      <c r="L540" s="8">
        <f>1</f>
        <v>1</v>
      </c>
      <c r="M540" s="8">
        <f>4260000</f>
        <v>4260000</v>
      </c>
      <c r="N540" s="6" t="s">
        <v>3101</v>
      </c>
      <c r="O540" s="5" t="s">
        <v>268</v>
      </c>
      <c r="P540" s="5" t="s">
        <v>309</v>
      </c>
      <c r="R540" s="8">
        <f>4259999</f>
        <v>4259999</v>
      </c>
      <c r="S540" s="5" t="s">
        <v>240</v>
      </c>
      <c r="T540" s="5" t="s">
        <v>237</v>
      </c>
      <c r="U540" s="5" t="s">
        <v>238</v>
      </c>
      <c r="V540" s="5" t="s">
        <v>238</v>
      </c>
      <c r="W540" s="5" t="s">
        <v>241</v>
      </c>
      <c r="X540" s="5" t="s">
        <v>337</v>
      </c>
      <c r="Y540" s="5" t="s">
        <v>238</v>
      </c>
      <c r="AB540" s="5" t="s">
        <v>238</v>
      </c>
      <c r="AD540" s="6" t="s">
        <v>238</v>
      </c>
      <c r="AG540" s="6" t="s">
        <v>246</v>
      </c>
      <c r="AH540" s="5" t="s">
        <v>247</v>
      </c>
      <c r="AI540" s="5" t="s">
        <v>248</v>
      </c>
      <c r="AY540" s="5" t="s">
        <v>250</v>
      </c>
      <c r="AZ540" s="5" t="s">
        <v>238</v>
      </c>
      <c r="BA540" s="5" t="s">
        <v>251</v>
      </c>
      <c r="BB540" s="5" t="s">
        <v>238</v>
      </c>
      <c r="BC540" s="5" t="s">
        <v>253</v>
      </c>
      <c r="BD540" s="5" t="s">
        <v>238</v>
      </c>
      <c r="BF540" s="5" t="s">
        <v>238</v>
      </c>
      <c r="BH540" s="5" t="s">
        <v>254</v>
      </c>
      <c r="BI540" s="6" t="s">
        <v>246</v>
      </c>
      <c r="BJ540" s="5" t="s">
        <v>255</v>
      </c>
      <c r="BK540" s="5" t="s">
        <v>256</v>
      </c>
      <c r="BL540" s="5" t="s">
        <v>238</v>
      </c>
      <c r="BM540" s="7">
        <f>0</f>
        <v>0</v>
      </c>
      <c r="BN540" s="8">
        <f>0</f>
        <v>0</v>
      </c>
      <c r="BO540" s="5" t="s">
        <v>257</v>
      </c>
      <c r="BP540" s="5" t="s">
        <v>258</v>
      </c>
      <c r="CD540" s="5" t="s">
        <v>238</v>
      </c>
      <c r="CE540" s="5" t="s">
        <v>238</v>
      </c>
      <c r="CI540" s="5" t="s">
        <v>527</v>
      </c>
      <c r="CJ540" s="5" t="s">
        <v>260</v>
      </c>
      <c r="CK540" s="5" t="s">
        <v>238</v>
      </c>
      <c r="CM540" s="5" t="s">
        <v>822</v>
      </c>
      <c r="CN540" s="6" t="s">
        <v>262</v>
      </c>
      <c r="CO540" s="5" t="s">
        <v>263</v>
      </c>
      <c r="CP540" s="5" t="s">
        <v>264</v>
      </c>
      <c r="CQ540" s="5" t="s">
        <v>238</v>
      </c>
      <c r="CR540" s="5" t="s">
        <v>238</v>
      </c>
      <c r="CS540" s="5">
        <v>0</v>
      </c>
      <c r="CT540" s="5" t="s">
        <v>265</v>
      </c>
      <c r="CU540" s="5" t="s">
        <v>351</v>
      </c>
      <c r="CV540" s="5" t="s">
        <v>394</v>
      </c>
      <c r="CX540" s="8">
        <f>4260000</f>
        <v>4260000</v>
      </c>
      <c r="CY540" s="8">
        <f>0</f>
        <v>0</v>
      </c>
      <c r="DA540" s="5" t="s">
        <v>238</v>
      </c>
      <c r="DB540" s="5" t="s">
        <v>238</v>
      </c>
      <c r="DD540" s="5" t="s">
        <v>238</v>
      </c>
      <c r="DG540" s="5" t="s">
        <v>238</v>
      </c>
      <c r="DH540" s="5" t="s">
        <v>238</v>
      </c>
      <c r="DI540" s="5" t="s">
        <v>238</v>
      </c>
      <c r="DJ540" s="5" t="s">
        <v>238</v>
      </c>
      <c r="DK540" s="5" t="s">
        <v>271</v>
      </c>
      <c r="DL540" s="5" t="s">
        <v>272</v>
      </c>
      <c r="DM540" s="7">
        <f>71</f>
        <v>71</v>
      </c>
      <c r="DN540" s="5" t="s">
        <v>238</v>
      </c>
      <c r="DO540" s="5" t="s">
        <v>238</v>
      </c>
      <c r="DP540" s="5" t="s">
        <v>238</v>
      </c>
      <c r="DQ540" s="5" t="s">
        <v>238</v>
      </c>
      <c r="DT540" s="5" t="s">
        <v>878</v>
      </c>
      <c r="DU540" s="5" t="s">
        <v>379</v>
      </c>
      <c r="HM540" s="5" t="s">
        <v>271</v>
      </c>
      <c r="HP540" s="5" t="s">
        <v>272</v>
      </c>
      <c r="HQ540" s="5" t="s">
        <v>272</v>
      </c>
    </row>
    <row r="541" spans="1:238" x14ac:dyDescent="0.4">
      <c r="A541" s="5">
        <v>577</v>
      </c>
      <c r="B541" s="5">
        <v>1</v>
      </c>
      <c r="C541" s="5">
        <v>1</v>
      </c>
      <c r="D541" s="5" t="s">
        <v>875</v>
      </c>
      <c r="E541" s="5" t="s">
        <v>347</v>
      </c>
      <c r="F541" s="5" t="s">
        <v>282</v>
      </c>
      <c r="G541" s="5" t="s">
        <v>874</v>
      </c>
      <c r="H541" s="6" t="s">
        <v>674</v>
      </c>
      <c r="I541" s="5" t="s">
        <v>874</v>
      </c>
      <c r="J541" s="7">
        <f>124</f>
        <v>124</v>
      </c>
      <c r="K541" s="5" t="s">
        <v>270</v>
      </c>
      <c r="L541" s="8">
        <f>1</f>
        <v>1</v>
      </c>
      <c r="M541" s="8">
        <f>9920000</f>
        <v>9920000</v>
      </c>
      <c r="N541" s="6" t="s">
        <v>876</v>
      </c>
      <c r="O541" s="5" t="s">
        <v>650</v>
      </c>
      <c r="P541" s="5" t="s">
        <v>650</v>
      </c>
      <c r="R541" s="8">
        <f>9919999</f>
        <v>9919999</v>
      </c>
      <c r="S541" s="5" t="s">
        <v>240</v>
      </c>
      <c r="T541" s="5" t="s">
        <v>237</v>
      </c>
      <c r="U541" s="5" t="s">
        <v>238</v>
      </c>
      <c r="V541" s="5" t="s">
        <v>238</v>
      </c>
      <c r="W541" s="5" t="s">
        <v>241</v>
      </c>
      <c r="X541" s="5" t="s">
        <v>337</v>
      </c>
      <c r="Y541" s="5" t="s">
        <v>238</v>
      </c>
      <c r="AB541" s="5" t="s">
        <v>238</v>
      </c>
      <c r="AD541" s="6" t="s">
        <v>238</v>
      </c>
      <c r="AG541" s="6" t="s">
        <v>246</v>
      </c>
      <c r="AH541" s="5" t="s">
        <v>247</v>
      </c>
      <c r="AI541" s="5" t="s">
        <v>248</v>
      </c>
      <c r="AY541" s="5" t="s">
        <v>250</v>
      </c>
      <c r="AZ541" s="5" t="s">
        <v>238</v>
      </c>
      <c r="BA541" s="5" t="s">
        <v>251</v>
      </c>
      <c r="BB541" s="5" t="s">
        <v>238</v>
      </c>
      <c r="BC541" s="5" t="s">
        <v>253</v>
      </c>
      <c r="BD541" s="5" t="s">
        <v>238</v>
      </c>
      <c r="BF541" s="5" t="s">
        <v>238</v>
      </c>
      <c r="BH541" s="5" t="s">
        <v>254</v>
      </c>
      <c r="BI541" s="6" t="s">
        <v>246</v>
      </c>
      <c r="BJ541" s="5" t="s">
        <v>255</v>
      </c>
      <c r="BK541" s="5" t="s">
        <v>256</v>
      </c>
      <c r="BL541" s="5" t="s">
        <v>238</v>
      </c>
      <c r="BM541" s="7">
        <f>0</f>
        <v>0</v>
      </c>
      <c r="BN541" s="8">
        <f>0</f>
        <v>0</v>
      </c>
      <c r="BO541" s="5" t="s">
        <v>257</v>
      </c>
      <c r="BP541" s="5" t="s">
        <v>258</v>
      </c>
      <c r="CD541" s="5" t="s">
        <v>238</v>
      </c>
      <c r="CE541" s="5" t="s">
        <v>238</v>
      </c>
      <c r="CI541" s="5" t="s">
        <v>527</v>
      </c>
      <c r="CJ541" s="5" t="s">
        <v>260</v>
      </c>
      <c r="CK541" s="5" t="s">
        <v>238</v>
      </c>
      <c r="CM541" s="5" t="s">
        <v>877</v>
      </c>
      <c r="CN541" s="6" t="s">
        <v>262</v>
      </c>
      <c r="CO541" s="5" t="s">
        <v>263</v>
      </c>
      <c r="CP541" s="5" t="s">
        <v>264</v>
      </c>
      <c r="CQ541" s="5" t="s">
        <v>238</v>
      </c>
      <c r="CR541" s="5" t="s">
        <v>238</v>
      </c>
      <c r="CS541" s="5">
        <v>0</v>
      </c>
      <c r="CT541" s="5" t="s">
        <v>265</v>
      </c>
      <c r="CU541" s="5" t="s">
        <v>266</v>
      </c>
      <c r="CV541" s="5" t="s">
        <v>649</v>
      </c>
      <c r="CX541" s="8">
        <f>9920000</f>
        <v>9920000</v>
      </c>
      <c r="CY541" s="8">
        <f>0</f>
        <v>0</v>
      </c>
      <c r="DA541" s="5" t="s">
        <v>238</v>
      </c>
      <c r="DB541" s="5" t="s">
        <v>238</v>
      </c>
      <c r="DD541" s="5" t="s">
        <v>238</v>
      </c>
      <c r="DG541" s="5" t="s">
        <v>238</v>
      </c>
      <c r="DH541" s="5" t="s">
        <v>238</v>
      </c>
      <c r="DI541" s="5" t="s">
        <v>238</v>
      </c>
      <c r="DJ541" s="5" t="s">
        <v>238</v>
      </c>
      <c r="DK541" s="5" t="s">
        <v>271</v>
      </c>
      <c r="DL541" s="5" t="s">
        <v>272</v>
      </c>
      <c r="DM541" s="7">
        <f>124</f>
        <v>124</v>
      </c>
      <c r="DN541" s="5" t="s">
        <v>238</v>
      </c>
      <c r="DO541" s="5" t="s">
        <v>238</v>
      </c>
      <c r="DP541" s="5" t="s">
        <v>238</v>
      </c>
      <c r="DQ541" s="5" t="s">
        <v>238</v>
      </c>
      <c r="DT541" s="5" t="s">
        <v>878</v>
      </c>
      <c r="DU541" s="5" t="s">
        <v>313</v>
      </c>
      <c r="HM541" s="5" t="s">
        <v>271</v>
      </c>
      <c r="HP541" s="5" t="s">
        <v>272</v>
      </c>
      <c r="HQ541" s="5" t="s">
        <v>272</v>
      </c>
    </row>
    <row r="542" spans="1:238" x14ac:dyDescent="0.4">
      <c r="A542" s="5">
        <v>578</v>
      </c>
      <c r="B542" s="5">
        <v>1</v>
      </c>
      <c r="C542" s="5">
        <v>4</v>
      </c>
      <c r="D542" s="5" t="s">
        <v>875</v>
      </c>
      <c r="E542" s="5" t="s">
        <v>347</v>
      </c>
      <c r="F542" s="5" t="s">
        <v>282</v>
      </c>
      <c r="G542" s="5" t="s">
        <v>3140</v>
      </c>
      <c r="H542" s="6" t="s">
        <v>674</v>
      </c>
      <c r="I542" s="5" t="s">
        <v>430</v>
      </c>
      <c r="J542" s="7">
        <f>0</f>
        <v>0</v>
      </c>
      <c r="K542" s="5" t="s">
        <v>270</v>
      </c>
      <c r="L542" s="8">
        <f>617710</f>
        <v>617710</v>
      </c>
      <c r="M542" s="8">
        <f>1004400</f>
        <v>1004400</v>
      </c>
      <c r="N542" s="6" t="s">
        <v>1359</v>
      </c>
      <c r="O542" s="5" t="s">
        <v>319</v>
      </c>
      <c r="P542" s="5" t="s">
        <v>356</v>
      </c>
      <c r="Q542" s="8">
        <f>77338</f>
        <v>77338</v>
      </c>
      <c r="R542" s="8">
        <f>386690</f>
        <v>386690</v>
      </c>
      <c r="S542" s="5" t="s">
        <v>240</v>
      </c>
      <c r="T542" s="5" t="s">
        <v>287</v>
      </c>
      <c r="U542" s="5" t="s">
        <v>238</v>
      </c>
      <c r="V542" s="5" t="s">
        <v>238</v>
      </c>
      <c r="W542" s="5" t="s">
        <v>241</v>
      </c>
      <c r="X542" s="5" t="s">
        <v>337</v>
      </c>
      <c r="Y542" s="5" t="s">
        <v>238</v>
      </c>
      <c r="AB542" s="5" t="s">
        <v>238</v>
      </c>
      <c r="AC542" s="6" t="s">
        <v>238</v>
      </c>
      <c r="AD542" s="6" t="s">
        <v>238</v>
      </c>
      <c r="AF542" s="6" t="s">
        <v>238</v>
      </c>
      <c r="AG542" s="6" t="s">
        <v>246</v>
      </c>
      <c r="AH542" s="5" t="s">
        <v>247</v>
      </c>
      <c r="AI542" s="5" t="s">
        <v>248</v>
      </c>
      <c r="AO542" s="5" t="s">
        <v>238</v>
      </c>
      <c r="AP542" s="5" t="s">
        <v>238</v>
      </c>
      <c r="AQ542" s="5" t="s">
        <v>238</v>
      </c>
      <c r="AR542" s="6" t="s">
        <v>238</v>
      </c>
      <c r="AS542" s="6" t="s">
        <v>238</v>
      </c>
      <c r="AT542" s="6" t="s">
        <v>238</v>
      </c>
      <c r="AW542" s="5" t="s">
        <v>304</v>
      </c>
      <c r="AX542" s="5" t="s">
        <v>304</v>
      </c>
      <c r="AY542" s="5" t="s">
        <v>250</v>
      </c>
      <c r="AZ542" s="5" t="s">
        <v>305</v>
      </c>
      <c r="BA542" s="5" t="s">
        <v>251</v>
      </c>
      <c r="BB542" s="5" t="s">
        <v>238</v>
      </c>
      <c r="BC542" s="5" t="s">
        <v>253</v>
      </c>
      <c r="BD542" s="5" t="s">
        <v>238</v>
      </c>
      <c r="BF542" s="5" t="s">
        <v>238</v>
      </c>
      <c r="BH542" s="5" t="s">
        <v>283</v>
      </c>
      <c r="BI542" s="6" t="s">
        <v>293</v>
      </c>
      <c r="BJ542" s="5" t="s">
        <v>294</v>
      </c>
      <c r="BK542" s="5" t="s">
        <v>294</v>
      </c>
      <c r="BL542" s="5" t="s">
        <v>238</v>
      </c>
      <c r="BM542" s="7">
        <f>0</f>
        <v>0</v>
      </c>
      <c r="BN542" s="8">
        <f>-77338</f>
        <v>-77338</v>
      </c>
      <c r="BO542" s="5" t="s">
        <v>257</v>
      </c>
      <c r="BP542" s="5" t="s">
        <v>258</v>
      </c>
      <c r="BQ542" s="5" t="s">
        <v>238</v>
      </c>
      <c r="BR542" s="5" t="s">
        <v>238</v>
      </c>
      <c r="BS542" s="5" t="s">
        <v>238</v>
      </c>
      <c r="BT542" s="5" t="s">
        <v>238</v>
      </c>
      <c r="CC542" s="5" t="s">
        <v>258</v>
      </c>
      <c r="CD542" s="5" t="s">
        <v>238</v>
      </c>
      <c r="CE542" s="5" t="s">
        <v>238</v>
      </c>
      <c r="CI542" s="5" t="s">
        <v>259</v>
      </c>
      <c r="CJ542" s="5" t="s">
        <v>260</v>
      </c>
      <c r="CK542" s="5" t="s">
        <v>238</v>
      </c>
      <c r="CM542" s="5" t="s">
        <v>376</v>
      </c>
      <c r="CN542" s="6" t="s">
        <v>262</v>
      </c>
      <c r="CO542" s="5" t="s">
        <v>263</v>
      </c>
      <c r="CP542" s="5" t="s">
        <v>264</v>
      </c>
      <c r="CQ542" s="5" t="s">
        <v>285</v>
      </c>
      <c r="CR542" s="5" t="s">
        <v>238</v>
      </c>
      <c r="CS542" s="5">
        <v>7.6999999999999999E-2</v>
      </c>
      <c r="CT542" s="5" t="s">
        <v>265</v>
      </c>
      <c r="CU542" s="5" t="s">
        <v>351</v>
      </c>
      <c r="CV542" s="5" t="s">
        <v>3141</v>
      </c>
      <c r="CW542" s="7">
        <f>0</f>
        <v>0</v>
      </c>
      <c r="CX542" s="8">
        <f>1004400</f>
        <v>1004400</v>
      </c>
      <c r="CY542" s="8">
        <f>695048</f>
        <v>695048</v>
      </c>
      <c r="DA542" s="5" t="s">
        <v>238</v>
      </c>
      <c r="DB542" s="5" t="s">
        <v>238</v>
      </c>
      <c r="DD542" s="5" t="s">
        <v>238</v>
      </c>
      <c r="DE542" s="8">
        <f>0</f>
        <v>0</v>
      </c>
      <c r="DG542" s="5" t="s">
        <v>238</v>
      </c>
      <c r="DH542" s="5" t="s">
        <v>238</v>
      </c>
      <c r="DI542" s="5" t="s">
        <v>238</v>
      </c>
      <c r="DJ542" s="5" t="s">
        <v>238</v>
      </c>
      <c r="DK542" s="5" t="s">
        <v>272</v>
      </c>
      <c r="DL542" s="5" t="s">
        <v>272</v>
      </c>
      <c r="DM542" s="8" t="s">
        <v>238</v>
      </c>
      <c r="DN542" s="5" t="s">
        <v>238</v>
      </c>
      <c r="DO542" s="5" t="s">
        <v>238</v>
      </c>
      <c r="DP542" s="5" t="s">
        <v>238</v>
      </c>
      <c r="DQ542" s="5" t="s">
        <v>238</v>
      </c>
      <c r="DT542" s="5" t="s">
        <v>878</v>
      </c>
      <c r="DU542" s="5" t="s">
        <v>389</v>
      </c>
      <c r="GL542" s="5" t="s">
        <v>3142</v>
      </c>
      <c r="HM542" s="5" t="s">
        <v>379</v>
      </c>
      <c r="HP542" s="5" t="s">
        <v>272</v>
      </c>
      <c r="HQ542" s="5" t="s">
        <v>272</v>
      </c>
      <c r="HR542" s="5" t="s">
        <v>238</v>
      </c>
      <c r="HS542" s="5" t="s">
        <v>238</v>
      </c>
      <c r="HT542" s="5" t="s">
        <v>238</v>
      </c>
      <c r="HU542" s="5" t="s">
        <v>238</v>
      </c>
      <c r="HV542" s="5" t="s">
        <v>238</v>
      </c>
      <c r="HW542" s="5" t="s">
        <v>238</v>
      </c>
      <c r="HX542" s="5" t="s">
        <v>238</v>
      </c>
      <c r="HY542" s="5" t="s">
        <v>238</v>
      </c>
      <c r="HZ542" s="5" t="s">
        <v>238</v>
      </c>
      <c r="IA542" s="5" t="s">
        <v>238</v>
      </c>
      <c r="IB542" s="5" t="s">
        <v>238</v>
      </c>
      <c r="IC542" s="5" t="s">
        <v>238</v>
      </c>
      <c r="ID542" s="5" t="s">
        <v>238</v>
      </c>
    </row>
    <row r="543" spans="1:238" x14ac:dyDescent="0.4">
      <c r="A543" s="5">
        <v>579</v>
      </c>
      <c r="B543" s="5">
        <v>1</v>
      </c>
      <c r="C543" s="5">
        <v>4</v>
      </c>
      <c r="D543" s="5" t="s">
        <v>875</v>
      </c>
      <c r="E543" s="5" t="s">
        <v>347</v>
      </c>
      <c r="F543" s="5" t="s">
        <v>282</v>
      </c>
      <c r="G543" s="5" t="s">
        <v>349</v>
      </c>
      <c r="H543" s="6" t="s">
        <v>674</v>
      </c>
      <c r="I543" s="5" t="s">
        <v>3138</v>
      </c>
      <c r="J543" s="7">
        <f>0</f>
        <v>0</v>
      </c>
      <c r="K543" s="5" t="s">
        <v>270</v>
      </c>
      <c r="L543" s="8">
        <f>498056</f>
        <v>498056</v>
      </c>
      <c r="M543" s="8">
        <f>680400</f>
        <v>680400</v>
      </c>
      <c r="N543" s="6" t="s">
        <v>1362</v>
      </c>
      <c r="O543" s="5" t="s">
        <v>268</v>
      </c>
      <c r="P543" s="5" t="s">
        <v>274</v>
      </c>
      <c r="Q543" s="8">
        <f>45586</f>
        <v>45586</v>
      </c>
      <c r="R543" s="8">
        <f>182344</f>
        <v>182344</v>
      </c>
      <c r="S543" s="5" t="s">
        <v>240</v>
      </c>
      <c r="T543" s="5" t="s">
        <v>287</v>
      </c>
      <c r="U543" s="5" t="s">
        <v>238</v>
      </c>
      <c r="V543" s="5" t="s">
        <v>238</v>
      </c>
      <c r="W543" s="5" t="s">
        <v>241</v>
      </c>
      <c r="X543" s="5" t="s">
        <v>238</v>
      </c>
      <c r="Y543" s="5" t="s">
        <v>238</v>
      </c>
      <c r="AB543" s="5" t="s">
        <v>238</v>
      </c>
      <c r="AC543" s="6" t="s">
        <v>238</v>
      </c>
      <c r="AD543" s="6" t="s">
        <v>238</v>
      </c>
      <c r="AF543" s="6" t="s">
        <v>238</v>
      </c>
      <c r="AG543" s="6" t="s">
        <v>246</v>
      </c>
      <c r="AH543" s="5" t="s">
        <v>247</v>
      </c>
      <c r="AI543" s="5" t="s">
        <v>248</v>
      </c>
      <c r="AO543" s="5" t="s">
        <v>238</v>
      </c>
      <c r="AP543" s="5" t="s">
        <v>238</v>
      </c>
      <c r="AQ543" s="5" t="s">
        <v>238</v>
      </c>
      <c r="AR543" s="6" t="s">
        <v>238</v>
      </c>
      <c r="AS543" s="6" t="s">
        <v>238</v>
      </c>
      <c r="AT543" s="6" t="s">
        <v>238</v>
      </c>
      <c r="AW543" s="5" t="s">
        <v>304</v>
      </c>
      <c r="AX543" s="5" t="s">
        <v>304</v>
      </c>
      <c r="AY543" s="5" t="s">
        <v>250</v>
      </c>
      <c r="AZ543" s="5" t="s">
        <v>305</v>
      </c>
      <c r="BA543" s="5" t="s">
        <v>251</v>
      </c>
      <c r="BB543" s="5" t="s">
        <v>238</v>
      </c>
      <c r="BC543" s="5" t="s">
        <v>253</v>
      </c>
      <c r="BD543" s="5" t="s">
        <v>238</v>
      </c>
      <c r="BF543" s="5" t="s">
        <v>238</v>
      </c>
      <c r="BH543" s="5" t="s">
        <v>283</v>
      </c>
      <c r="BI543" s="6" t="s">
        <v>293</v>
      </c>
      <c r="BJ543" s="5" t="s">
        <v>294</v>
      </c>
      <c r="BK543" s="5" t="s">
        <v>294</v>
      </c>
      <c r="BL543" s="5" t="s">
        <v>238</v>
      </c>
      <c r="BM543" s="7">
        <f>0</f>
        <v>0</v>
      </c>
      <c r="BN543" s="8">
        <f>-45586</f>
        <v>-45586</v>
      </c>
      <c r="BO543" s="5" t="s">
        <v>257</v>
      </c>
      <c r="BP543" s="5" t="s">
        <v>258</v>
      </c>
      <c r="BQ543" s="5" t="s">
        <v>238</v>
      </c>
      <c r="BR543" s="5" t="s">
        <v>238</v>
      </c>
      <c r="BS543" s="5" t="s">
        <v>238</v>
      </c>
      <c r="BT543" s="5" t="s">
        <v>238</v>
      </c>
      <c r="CC543" s="5" t="s">
        <v>258</v>
      </c>
      <c r="CD543" s="5" t="s">
        <v>238</v>
      </c>
      <c r="CE543" s="5" t="s">
        <v>238</v>
      </c>
      <c r="CI543" s="5" t="s">
        <v>259</v>
      </c>
      <c r="CJ543" s="5" t="s">
        <v>260</v>
      </c>
      <c r="CK543" s="5" t="s">
        <v>238</v>
      </c>
      <c r="CM543" s="5" t="s">
        <v>402</v>
      </c>
      <c r="CN543" s="6" t="s">
        <v>262</v>
      </c>
      <c r="CO543" s="5" t="s">
        <v>263</v>
      </c>
      <c r="CP543" s="5" t="s">
        <v>264</v>
      </c>
      <c r="CQ543" s="5" t="s">
        <v>285</v>
      </c>
      <c r="CR543" s="5" t="s">
        <v>238</v>
      </c>
      <c r="CS543" s="5">
        <v>6.7000000000000004E-2</v>
      </c>
      <c r="CT543" s="5" t="s">
        <v>265</v>
      </c>
      <c r="CU543" s="5" t="s">
        <v>351</v>
      </c>
      <c r="CV543" s="5" t="s">
        <v>365</v>
      </c>
      <c r="CW543" s="7">
        <f>0</f>
        <v>0</v>
      </c>
      <c r="CX543" s="8">
        <f>680400</f>
        <v>680400</v>
      </c>
      <c r="CY543" s="8">
        <f>543642</f>
        <v>543642</v>
      </c>
      <c r="DA543" s="5" t="s">
        <v>238</v>
      </c>
      <c r="DB543" s="5" t="s">
        <v>238</v>
      </c>
      <c r="DD543" s="5" t="s">
        <v>238</v>
      </c>
      <c r="DE543" s="8">
        <f>0</f>
        <v>0</v>
      </c>
      <c r="DG543" s="5" t="s">
        <v>238</v>
      </c>
      <c r="DH543" s="5" t="s">
        <v>238</v>
      </c>
      <c r="DI543" s="5" t="s">
        <v>238</v>
      </c>
      <c r="DJ543" s="5" t="s">
        <v>238</v>
      </c>
      <c r="DK543" s="5" t="s">
        <v>272</v>
      </c>
      <c r="DL543" s="5" t="s">
        <v>272</v>
      </c>
      <c r="DM543" s="8" t="s">
        <v>238</v>
      </c>
      <c r="DN543" s="5" t="s">
        <v>238</v>
      </c>
      <c r="DO543" s="5" t="s">
        <v>238</v>
      </c>
      <c r="DP543" s="5" t="s">
        <v>238</v>
      </c>
      <c r="DQ543" s="5" t="s">
        <v>238</v>
      </c>
      <c r="DT543" s="5" t="s">
        <v>878</v>
      </c>
      <c r="DU543" s="5" t="s">
        <v>354</v>
      </c>
      <c r="GL543" s="5" t="s">
        <v>3139</v>
      </c>
      <c r="HM543" s="5" t="s">
        <v>310</v>
      </c>
      <c r="HP543" s="5" t="s">
        <v>272</v>
      </c>
      <c r="HQ543" s="5" t="s">
        <v>272</v>
      </c>
      <c r="HR543" s="5" t="s">
        <v>238</v>
      </c>
      <c r="HS543" s="5" t="s">
        <v>238</v>
      </c>
      <c r="HT543" s="5" t="s">
        <v>238</v>
      </c>
      <c r="HU543" s="5" t="s">
        <v>238</v>
      </c>
      <c r="HV543" s="5" t="s">
        <v>238</v>
      </c>
      <c r="HW543" s="5" t="s">
        <v>238</v>
      </c>
      <c r="HX543" s="5" t="s">
        <v>238</v>
      </c>
      <c r="HY543" s="5" t="s">
        <v>238</v>
      </c>
      <c r="HZ543" s="5" t="s">
        <v>238</v>
      </c>
      <c r="IA543" s="5" t="s">
        <v>238</v>
      </c>
      <c r="IB543" s="5" t="s">
        <v>238</v>
      </c>
      <c r="IC543" s="5" t="s">
        <v>238</v>
      </c>
      <c r="ID543" s="5" t="s">
        <v>238</v>
      </c>
    </row>
    <row r="544" spans="1:238" x14ac:dyDescent="0.4">
      <c r="A544" s="5">
        <v>580</v>
      </c>
      <c r="B544" s="5">
        <v>1</v>
      </c>
      <c r="C544" s="5">
        <v>4</v>
      </c>
      <c r="D544" s="5" t="s">
        <v>875</v>
      </c>
      <c r="E544" s="5" t="s">
        <v>347</v>
      </c>
      <c r="F544" s="5" t="s">
        <v>282</v>
      </c>
      <c r="G544" s="5" t="s">
        <v>349</v>
      </c>
      <c r="H544" s="6" t="s">
        <v>674</v>
      </c>
      <c r="I544" s="5" t="s">
        <v>345</v>
      </c>
      <c r="J544" s="7">
        <f>0</f>
        <v>0</v>
      </c>
      <c r="K544" s="5" t="s">
        <v>270</v>
      </c>
      <c r="L544" s="8">
        <f>39356595</f>
        <v>39356595</v>
      </c>
      <c r="M544" s="8">
        <f>51178926</f>
        <v>51178926</v>
      </c>
      <c r="N544" s="6" t="s">
        <v>348</v>
      </c>
      <c r="O544" s="5" t="s">
        <v>319</v>
      </c>
      <c r="P544" s="5" t="s">
        <v>271</v>
      </c>
      <c r="Q544" s="8">
        <f>3940777</f>
        <v>3940777</v>
      </c>
      <c r="R544" s="8">
        <f>11822331</f>
        <v>11822331</v>
      </c>
      <c r="S544" s="5" t="s">
        <v>240</v>
      </c>
      <c r="T544" s="5" t="s">
        <v>287</v>
      </c>
      <c r="U544" s="5" t="s">
        <v>238</v>
      </c>
      <c r="V544" s="5" t="s">
        <v>238</v>
      </c>
      <c r="W544" s="5" t="s">
        <v>241</v>
      </c>
      <c r="X544" s="5" t="s">
        <v>238</v>
      </c>
      <c r="Y544" s="5" t="s">
        <v>238</v>
      </c>
      <c r="AB544" s="5" t="s">
        <v>238</v>
      </c>
      <c r="AC544" s="6" t="s">
        <v>238</v>
      </c>
      <c r="AD544" s="6" t="s">
        <v>238</v>
      </c>
      <c r="AF544" s="6" t="s">
        <v>238</v>
      </c>
      <c r="AG544" s="6" t="s">
        <v>246</v>
      </c>
      <c r="AH544" s="5" t="s">
        <v>247</v>
      </c>
      <c r="AI544" s="5" t="s">
        <v>248</v>
      </c>
      <c r="AO544" s="5" t="s">
        <v>238</v>
      </c>
      <c r="AP544" s="5" t="s">
        <v>238</v>
      </c>
      <c r="AQ544" s="5" t="s">
        <v>238</v>
      </c>
      <c r="AR544" s="6" t="s">
        <v>238</v>
      </c>
      <c r="AS544" s="6" t="s">
        <v>238</v>
      </c>
      <c r="AT544" s="6" t="s">
        <v>238</v>
      </c>
      <c r="AW544" s="5" t="s">
        <v>304</v>
      </c>
      <c r="AX544" s="5" t="s">
        <v>304</v>
      </c>
      <c r="AY544" s="5" t="s">
        <v>250</v>
      </c>
      <c r="AZ544" s="5" t="s">
        <v>305</v>
      </c>
      <c r="BA544" s="5" t="s">
        <v>251</v>
      </c>
      <c r="BB544" s="5" t="s">
        <v>238</v>
      </c>
      <c r="BC544" s="5" t="s">
        <v>253</v>
      </c>
      <c r="BD544" s="5" t="s">
        <v>238</v>
      </c>
      <c r="BF544" s="5" t="s">
        <v>238</v>
      </c>
      <c r="BH544" s="5" t="s">
        <v>283</v>
      </c>
      <c r="BI544" s="6" t="s">
        <v>293</v>
      </c>
      <c r="BJ544" s="5" t="s">
        <v>294</v>
      </c>
      <c r="BK544" s="5" t="s">
        <v>294</v>
      </c>
      <c r="BL544" s="5" t="s">
        <v>238</v>
      </c>
      <c r="BM544" s="7">
        <f>0</f>
        <v>0</v>
      </c>
      <c r="BN544" s="8">
        <f>-3940777</f>
        <v>-3940777</v>
      </c>
      <c r="BO544" s="5" t="s">
        <v>257</v>
      </c>
      <c r="BP544" s="5" t="s">
        <v>258</v>
      </c>
      <c r="BQ544" s="5" t="s">
        <v>238</v>
      </c>
      <c r="BR544" s="5" t="s">
        <v>238</v>
      </c>
      <c r="BS544" s="5" t="s">
        <v>238</v>
      </c>
      <c r="BT544" s="5" t="s">
        <v>238</v>
      </c>
      <c r="CC544" s="5" t="s">
        <v>258</v>
      </c>
      <c r="CD544" s="5" t="s">
        <v>238</v>
      </c>
      <c r="CE544" s="5" t="s">
        <v>238</v>
      </c>
      <c r="CI544" s="5" t="s">
        <v>259</v>
      </c>
      <c r="CJ544" s="5" t="s">
        <v>260</v>
      </c>
      <c r="CK544" s="5" t="s">
        <v>238</v>
      </c>
      <c r="CM544" s="5" t="s">
        <v>291</v>
      </c>
      <c r="CN544" s="6" t="s">
        <v>262</v>
      </c>
      <c r="CO544" s="5" t="s">
        <v>263</v>
      </c>
      <c r="CP544" s="5" t="s">
        <v>264</v>
      </c>
      <c r="CQ544" s="5" t="s">
        <v>285</v>
      </c>
      <c r="CR544" s="5" t="s">
        <v>238</v>
      </c>
      <c r="CS544" s="5">
        <v>7.6999999999999999E-2</v>
      </c>
      <c r="CT544" s="5" t="s">
        <v>265</v>
      </c>
      <c r="CU544" s="5" t="s">
        <v>351</v>
      </c>
      <c r="CV544" s="5" t="s">
        <v>352</v>
      </c>
      <c r="CW544" s="7">
        <f>0</f>
        <v>0</v>
      </c>
      <c r="CX544" s="8">
        <f>51178926</f>
        <v>51178926</v>
      </c>
      <c r="CY544" s="8">
        <f>43297372</f>
        <v>43297372</v>
      </c>
      <c r="DA544" s="5" t="s">
        <v>238</v>
      </c>
      <c r="DB544" s="5" t="s">
        <v>238</v>
      </c>
      <c r="DD544" s="5" t="s">
        <v>238</v>
      </c>
      <c r="DE544" s="8">
        <f>0</f>
        <v>0</v>
      </c>
      <c r="DG544" s="5" t="s">
        <v>238</v>
      </c>
      <c r="DH544" s="5" t="s">
        <v>238</v>
      </c>
      <c r="DI544" s="5" t="s">
        <v>238</v>
      </c>
      <c r="DJ544" s="5" t="s">
        <v>238</v>
      </c>
      <c r="DK544" s="5" t="s">
        <v>272</v>
      </c>
      <c r="DL544" s="5" t="s">
        <v>272</v>
      </c>
      <c r="DM544" s="8" t="s">
        <v>238</v>
      </c>
      <c r="DN544" s="5" t="s">
        <v>238</v>
      </c>
      <c r="DO544" s="5" t="s">
        <v>238</v>
      </c>
      <c r="DP544" s="5" t="s">
        <v>238</v>
      </c>
      <c r="DQ544" s="5" t="s">
        <v>238</v>
      </c>
      <c r="DT544" s="5" t="s">
        <v>878</v>
      </c>
      <c r="DU544" s="5" t="s">
        <v>361</v>
      </c>
      <c r="GL544" s="5" t="s">
        <v>3137</v>
      </c>
      <c r="HM544" s="5" t="s">
        <v>356</v>
      </c>
      <c r="HP544" s="5" t="s">
        <v>272</v>
      </c>
      <c r="HQ544" s="5" t="s">
        <v>272</v>
      </c>
      <c r="HR544" s="5" t="s">
        <v>238</v>
      </c>
      <c r="HS544" s="5" t="s">
        <v>238</v>
      </c>
      <c r="HT544" s="5" t="s">
        <v>238</v>
      </c>
      <c r="HU544" s="5" t="s">
        <v>238</v>
      </c>
      <c r="HV544" s="5" t="s">
        <v>238</v>
      </c>
      <c r="HW544" s="5" t="s">
        <v>238</v>
      </c>
      <c r="HX544" s="5" t="s">
        <v>238</v>
      </c>
      <c r="HY544" s="5" t="s">
        <v>238</v>
      </c>
      <c r="HZ544" s="5" t="s">
        <v>238</v>
      </c>
      <c r="IA544" s="5" t="s">
        <v>238</v>
      </c>
      <c r="IB544" s="5" t="s">
        <v>238</v>
      </c>
      <c r="IC544" s="5" t="s">
        <v>238</v>
      </c>
      <c r="ID544" s="5" t="s">
        <v>238</v>
      </c>
    </row>
    <row r="545" spans="1:238" x14ac:dyDescent="0.4">
      <c r="A545" s="5">
        <v>581</v>
      </c>
      <c r="B545" s="5">
        <v>1</v>
      </c>
      <c r="C545" s="5">
        <v>4</v>
      </c>
      <c r="D545" s="5" t="s">
        <v>875</v>
      </c>
      <c r="E545" s="5" t="s">
        <v>347</v>
      </c>
      <c r="F545" s="5" t="s">
        <v>282</v>
      </c>
      <c r="G545" s="5" t="s">
        <v>349</v>
      </c>
      <c r="H545" s="6" t="s">
        <v>674</v>
      </c>
      <c r="I545" s="5" t="s">
        <v>404</v>
      </c>
      <c r="J545" s="7">
        <f>0</f>
        <v>0</v>
      </c>
      <c r="K545" s="5" t="s">
        <v>270</v>
      </c>
      <c r="L545" s="8">
        <f>1694676</f>
        <v>1694676</v>
      </c>
      <c r="M545" s="8">
        <f>1956900</f>
        <v>1956900</v>
      </c>
      <c r="N545" s="6" t="s">
        <v>3135</v>
      </c>
      <c r="O545" s="5" t="s">
        <v>268</v>
      </c>
      <c r="P545" s="5" t="s">
        <v>272</v>
      </c>
      <c r="Q545" s="8">
        <f>1956899</f>
        <v>1956899</v>
      </c>
      <c r="R545" s="8">
        <f>262224</f>
        <v>262224</v>
      </c>
      <c r="S545" s="5" t="s">
        <v>240</v>
      </c>
      <c r="T545" s="5" t="s">
        <v>287</v>
      </c>
      <c r="U545" s="5" t="s">
        <v>238</v>
      </c>
      <c r="V545" s="5" t="s">
        <v>238</v>
      </c>
      <c r="W545" s="5" t="s">
        <v>241</v>
      </c>
      <c r="X545" s="5" t="s">
        <v>238</v>
      </c>
      <c r="Y545" s="5" t="s">
        <v>238</v>
      </c>
      <c r="AB545" s="5" t="s">
        <v>238</v>
      </c>
      <c r="AC545" s="6" t="s">
        <v>238</v>
      </c>
      <c r="AD545" s="6" t="s">
        <v>238</v>
      </c>
      <c r="AF545" s="6" t="s">
        <v>238</v>
      </c>
      <c r="AG545" s="6" t="s">
        <v>246</v>
      </c>
      <c r="AH545" s="5" t="s">
        <v>247</v>
      </c>
      <c r="AI545" s="5" t="s">
        <v>248</v>
      </c>
      <c r="AO545" s="5" t="s">
        <v>238</v>
      </c>
      <c r="AP545" s="5" t="s">
        <v>238</v>
      </c>
      <c r="AQ545" s="5" t="s">
        <v>238</v>
      </c>
      <c r="AR545" s="6" t="s">
        <v>238</v>
      </c>
      <c r="AS545" s="6" t="s">
        <v>238</v>
      </c>
      <c r="AT545" s="6" t="s">
        <v>238</v>
      </c>
      <c r="AW545" s="5" t="s">
        <v>304</v>
      </c>
      <c r="AX545" s="5" t="s">
        <v>304</v>
      </c>
      <c r="AY545" s="5" t="s">
        <v>250</v>
      </c>
      <c r="AZ545" s="5" t="s">
        <v>305</v>
      </c>
      <c r="BA545" s="5" t="s">
        <v>251</v>
      </c>
      <c r="BB545" s="5" t="s">
        <v>238</v>
      </c>
      <c r="BC545" s="5" t="s">
        <v>253</v>
      </c>
      <c r="BD545" s="5" t="s">
        <v>238</v>
      </c>
      <c r="BF545" s="5" t="s">
        <v>238</v>
      </c>
      <c r="BH545" s="5" t="s">
        <v>283</v>
      </c>
      <c r="BI545" s="6" t="s">
        <v>293</v>
      </c>
      <c r="BJ545" s="5" t="s">
        <v>294</v>
      </c>
      <c r="BK545" s="5" t="s">
        <v>294</v>
      </c>
      <c r="BL545" s="5" t="s">
        <v>238</v>
      </c>
      <c r="BM545" s="7">
        <f>0</f>
        <v>0</v>
      </c>
      <c r="BN545" s="8">
        <f>-131112</f>
        <v>-131112</v>
      </c>
      <c r="BO545" s="5" t="s">
        <v>257</v>
      </c>
      <c r="BP545" s="5" t="s">
        <v>258</v>
      </c>
      <c r="BQ545" s="5" t="s">
        <v>238</v>
      </c>
      <c r="BR545" s="5" t="s">
        <v>238</v>
      </c>
      <c r="BS545" s="5" t="s">
        <v>238</v>
      </c>
      <c r="BT545" s="5" t="s">
        <v>238</v>
      </c>
      <c r="CC545" s="5" t="s">
        <v>258</v>
      </c>
      <c r="CD545" s="5" t="s">
        <v>238</v>
      </c>
      <c r="CE545" s="5" t="s">
        <v>238</v>
      </c>
      <c r="CI545" s="5" t="s">
        <v>259</v>
      </c>
      <c r="CJ545" s="5" t="s">
        <v>260</v>
      </c>
      <c r="CK545" s="5" t="s">
        <v>238</v>
      </c>
      <c r="CM545" s="5" t="s">
        <v>408</v>
      </c>
      <c r="CN545" s="6" t="s">
        <v>262</v>
      </c>
      <c r="CO545" s="5" t="s">
        <v>263</v>
      </c>
      <c r="CP545" s="5" t="s">
        <v>264</v>
      </c>
      <c r="CQ545" s="5" t="s">
        <v>285</v>
      </c>
      <c r="CR545" s="5" t="s">
        <v>238</v>
      </c>
      <c r="CS545" s="5">
        <v>6.7000000000000004E-2</v>
      </c>
      <c r="CT545" s="5" t="s">
        <v>265</v>
      </c>
      <c r="CU545" s="5" t="s">
        <v>351</v>
      </c>
      <c r="CV545" s="5" t="s">
        <v>365</v>
      </c>
      <c r="CW545" s="7">
        <f>0</f>
        <v>0</v>
      </c>
      <c r="CX545" s="8">
        <f>1956900</f>
        <v>1956900</v>
      </c>
      <c r="CY545" s="8">
        <f>1825788</f>
        <v>1825788</v>
      </c>
      <c r="DA545" s="5" t="s">
        <v>238</v>
      </c>
      <c r="DB545" s="5" t="s">
        <v>238</v>
      </c>
      <c r="DD545" s="5" t="s">
        <v>238</v>
      </c>
      <c r="DE545" s="8">
        <f>0</f>
        <v>0</v>
      </c>
      <c r="DG545" s="5" t="s">
        <v>238</v>
      </c>
      <c r="DH545" s="5" t="s">
        <v>238</v>
      </c>
      <c r="DI545" s="5" t="s">
        <v>238</v>
      </c>
      <c r="DJ545" s="5" t="s">
        <v>238</v>
      </c>
      <c r="DK545" s="5" t="s">
        <v>272</v>
      </c>
      <c r="DL545" s="5" t="s">
        <v>272</v>
      </c>
      <c r="DM545" s="8" t="s">
        <v>238</v>
      </c>
      <c r="DN545" s="5" t="s">
        <v>238</v>
      </c>
      <c r="DO545" s="5" t="s">
        <v>238</v>
      </c>
      <c r="DP545" s="5" t="s">
        <v>238</v>
      </c>
      <c r="DQ545" s="5" t="s">
        <v>238</v>
      </c>
      <c r="DT545" s="5" t="s">
        <v>878</v>
      </c>
      <c r="DU545" s="5" t="s">
        <v>377</v>
      </c>
      <c r="GL545" s="5" t="s">
        <v>3136</v>
      </c>
      <c r="HM545" s="5" t="s">
        <v>274</v>
      </c>
      <c r="HP545" s="5" t="s">
        <v>272</v>
      </c>
      <c r="HQ545" s="5" t="s">
        <v>272</v>
      </c>
      <c r="HR545" s="5" t="s">
        <v>238</v>
      </c>
      <c r="HS545" s="5" t="s">
        <v>238</v>
      </c>
      <c r="HT545" s="5" t="s">
        <v>238</v>
      </c>
      <c r="HU545" s="5" t="s">
        <v>238</v>
      </c>
      <c r="HV545" s="5" t="s">
        <v>238</v>
      </c>
      <c r="HW545" s="5" t="s">
        <v>238</v>
      </c>
      <c r="HX545" s="5" t="s">
        <v>238</v>
      </c>
      <c r="HY545" s="5" t="s">
        <v>238</v>
      </c>
      <c r="HZ545" s="5" t="s">
        <v>238</v>
      </c>
      <c r="IA545" s="5" t="s">
        <v>238</v>
      </c>
      <c r="IB545" s="5" t="s">
        <v>238</v>
      </c>
      <c r="IC545" s="5" t="s">
        <v>238</v>
      </c>
      <c r="ID545" s="5" t="s">
        <v>238</v>
      </c>
    </row>
    <row r="546" spans="1:238" x14ac:dyDescent="0.4">
      <c r="A546" s="5">
        <v>582</v>
      </c>
      <c r="B546" s="5">
        <v>1</v>
      </c>
      <c r="C546" s="5">
        <v>1</v>
      </c>
      <c r="D546" s="5" t="s">
        <v>856</v>
      </c>
      <c r="E546" s="5" t="s">
        <v>347</v>
      </c>
      <c r="F546" s="5" t="s">
        <v>282</v>
      </c>
      <c r="G546" s="5" t="s">
        <v>1314</v>
      </c>
      <c r="H546" s="6" t="s">
        <v>858</v>
      </c>
      <c r="I546" s="5" t="s">
        <v>1314</v>
      </c>
      <c r="J546" s="7">
        <f>8301</f>
        <v>8301</v>
      </c>
      <c r="K546" s="5" t="s">
        <v>270</v>
      </c>
      <c r="L546" s="8">
        <f>1</f>
        <v>1</v>
      </c>
      <c r="M546" s="8">
        <f>1120635000</f>
        <v>1120635000</v>
      </c>
      <c r="N546" s="6" t="s">
        <v>857</v>
      </c>
      <c r="O546" s="5" t="s">
        <v>898</v>
      </c>
      <c r="P546" s="5" t="s">
        <v>898</v>
      </c>
      <c r="R546" s="8">
        <f>1120634999</f>
        <v>1120634999</v>
      </c>
      <c r="S546" s="5" t="s">
        <v>240</v>
      </c>
      <c r="T546" s="5" t="s">
        <v>237</v>
      </c>
      <c r="U546" s="5" t="s">
        <v>238</v>
      </c>
      <c r="V546" s="5" t="s">
        <v>238</v>
      </c>
      <c r="W546" s="5" t="s">
        <v>241</v>
      </c>
      <c r="X546" s="5" t="s">
        <v>337</v>
      </c>
      <c r="Y546" s="5" t="s">
        <v>238</v>
      </c>
      <c r="AB546" s="5" t="s">
        <v>238</v>
      </c>
      <c r="AD546" s="6" t="s">
        <v>238</v>
      </c>
      <c r="AG546" s="6" t="s">
        <v>246</v>
      </c>
      <c r="AH546" s="5" t="s">
        <v>247</v>
      </c>
      <c r="AI546" s="5" t="s">
        <v>248</v>
      </c>
      <c r="AY546" s="5" t="s">
        <v>250</v>
      </c>
      <c r="AZ546" s="5" t="s">
        <v>238</v>
      </c>
      <c r="BA546" s="5" t="s">
        <v>251</v>
      </c>
      <c r="BB546" s="5" t="s">
        <v>238</v>
      </c>
      <c r="BC546" s="5" t="s">
        <v>253</v>
      </c>
      <c r="BD546" s="5" t="s">
        <v>238</v>
      </c>
      <c r="BF546" s="5" t="s">
        <v>238</v>
      </c>
      <c r="BH546" s="5" t="s">
        <v>798</v>
      </c>
      <c r="BI546" s="6" t="s">
        <v>799</v>
      </c>
      <c r="BJ546" s="5" t="s">
        <v>255</v>
      </c>
      <c r="BK546" s="5" t="s">
        <v>294</v>
      </c>
      <c r="BL546" s="5" t="s">
        <v>238</v>
      </c>
      <c r="BM546" s="7">
        <f>0</f>
        <v>0</v>
      </c>
      <c r="BN546" s="8">
        <f>0</f>
        <v>0</v>
      </c>
      <c r="BO546" s="5" t="s">
        <v>257</v>
      </c>
      <c r="BP546" s="5" t="s">
        <v>258</v>
      </c>
      <c r="CD546" s="5" t="s">
        <v>238</v>
      </c>
      <c r="CE546" s="5" t="s">
        <v>238</v>
      </c>
      <c r="CI546" s="5" t="s">
        <v>527</v>
      </c>
      <c r="CJ546" s="5" t="s">
        <v>260</v>
      </c>
      <c r="CK546" s="5" t="s">
        <v>238</v>
      </c>
      <c r="CM546" s="5" t="s">
        <v>860</v>
      </c>
      <c r="CN546" s="6" t="s">
        <v>262</v>
      </c>
      <c r="CO546" s="5" t="s">
        <v>263</v>
      </c>
      <c r="CP546" s="5" t="s">
        <v>264</v>
      </c>
      <c r="CQ546" s="5" t="s">
        <v>238</v>
      </c>
      <c r="CR546" s="5" t="s">
        <v>238</v>
      </c>
      <c r="CS546" s="5">
        <v>0</v>
      </c>
      <c r="CT546" s="5" t="s">
        <v>265</v>
      </c>
      <c r="CU546" s="5" t="s">
        <v>1493</v>
      </c>
      <c r="CV546" s="5" t="s">
        <v>308</v>
      </c>
      <c r="CX546" s="8">
        <f>1120635000</f>
        <v>1120635000</v>
      </c>
      <c r="CY546" s="8">
        <f>0</f>
        <v>0</v>
      </c>
      <c r="DA546" s="5" t="s">
        <v>238</v>
      </c>
      <c r="DB546" s="5" t="s">
        <v>238</v>
      </c>
      <c r="DD546" s="5" t="s">
        <v>238</v>
      </c>
      <c r="DG546" s="5" t="s">
        <v>238</v>
      </c>
      <c r="DH546" s="5" t="s">
        <v>238</v>
      </c>
      <c r="DI546" s="5" t="s">
        <v>238</v>
      </c>
      <c r="DJ546" s="5" t="s">
        <v>238</v>
      </c>
      <c r="DK546" s="5" t="s">
        <v>356</v>
      </c>
      <c r="DL546" s="5" t="s">
        <v>272</v>
      </c>
      <c r="DM546" s="7">
        <f>8301</f>
        <v>8301</v>
      </c>
      <c r="DN546" s="5" t="s">
        <v>238</v>
      </c>
      <c r="DO546" s="5" t="s">
        <v>238</v>
      </c>
      <c r="DP546" s="5" t="s">
        <v>238</v>
      </c>
      <c r="DQ546" s="5" t="s">
        <v>238</v>
      </c>
      <c r="DT546" s="5" t="s">
        <v>862</v>
      </c>
      <c r="DU546" s="5" t="s">
        <v>271</v>
      </c>
      <c r="HM546" s="5" t="s">
        <v>313</v>
      </c>
      <c r="HP546" s="5" t="s">
        <v>272</v>
      </c>
      <c r="HQ546" s="5" t="s">
        <v>272</v>
      </c>
    </row>
    <row r="547" spans="1:238" x14ac:dyDescent="0.4">
      <c r="A547" s="5">
        <v>583</v>
      </c>
      <c r="B547" s="5">
        <v>1</v>
      </c>
      <c r="C547" s="5">
        <v>4</v>
      </c>
      <c r="D547" s="5" t="s">
        <v>856</v>
      </c>
      <c r="E547" s="5" t="s">
        <v>347</v>
      </c>
      <c r="F547" s="5" t="s">
        <v>282</v>
      </c>
      <c r="G547" s="5" t="s">
        <v>1499</v>
      </c>
      <c r="H547" s="6" t="s">
        <v>858</v>
      </c>
      <c r="I547" s="5" t="s">
        <v>1314</v>
      </c>
      <c r="J547" s="7">
        <f>38</f>
        <v>38</v>
      </c>
      <c r="K547" s="5" t="s">
        <v>270</v>
      </c>
      <c r="L547" s="8">
        <f>2781600</f>
        <v>2781600</v>
      </c>
      <c r="M547" s="8">
        <f>6954000</f>
        <v>6954000</v>
      </c>
      <c r="N547" s="6" t="s">
        <v>1636</v>
      </c>
      <c r="O547" s="5" t="s">
        <v>755</v>
      </c>
      <c r="P547" s="5" t="s">
        <v>611</v>
      </c>
      <c r="Q547" s="8">
        <f>208620</f>
        <v>208620</v>
      </c>
      <c r="R547" s="8">
        <f>4172400</f>
        <v>4172400</v>
      </c>
      <c r="S547" s="5" t="s">
        <v>240</v>
      </c>
      <c r="T547" s="5" t="s">
        <v>237</v>
      </c>
      <c r="U547" s="5" t="s">
        <v>238</v>
      </c>
      <c r="V547" s="5" t="s">
        <v>238</v>
      </c>
      <c r="W547" s="5" t="s">
        <v>241</v>
      </c>
      <c r="X547" s="5" t="s">
        <v>337</v>
      </c>
      <c r="Y547" s="5" t="s">
        <v>238</v>
      </c>
      <c r="AB547" s="5" t="s">
        <v>238</v>
      </c>
      <c r="AC547" s="6" t="s">
        <v>238</v>
      </c>
      <c r="AD547" s="6" t="s">
        <v>238</v>
      </c>
      <c r="AF547" s="6" t="s">
        <v>238</v>
      </c>
      <c r="AG547" s="6" t="s">
        <v>246</v>
      </c>
      <c r="AH547" s="5" t="s">
        <v>247</v>
      </c>
      <c r="AI547" s="5" t="s">
        <v>248</v>
      </c>
      <c r="AO547" s="5" t="s">
        <v>238</v>
      </c>
      <c r="AP547" s="5" t="s">
        <v>238</v>
      </c>
      <c r="AQ547" s="5" t="s">
        <v>238</v>
      </c>
      <c r="AR547" s="6" t="s">
        <v>238</v>
      </c>
      <c r="AS547" s="6" t="s">
        <v>238</v>
      </c>
      <c r="AT547" s="6" t="s">
        <v>238</v>
      </c>
      <c r="AW547" s="5" t="s">
        <v>304</v>
      </c>
      <c r="AX547" s="5" t="s">
        <v>304</v>
      </c>
      <c r="AY547" s="5" t="s">
        <v>250</v>
      </c>
      <c r="AZ547" s="5" t="s">
        <v>305</v>
      </c>
      <c r="BA547" s="5" t="s">
        <v>251</v>
      </c>
      <c r="BB547" s="5" t="s">
        <v>238</v>
      </c>
      <c r="BC547" s="5" t="s">
        <v>253</v>
      </c>
      <c r="BD547" s="5" t="s">
        <v>238</v>
      </c>
      <c r="BF547" s="5" t="s">
        <v>238</v>
      </c>
      <c r="BH547" s="5" t="s">
        <v>283</v>
      </c>
      <c r="BI547" s="6" t="s">
        <v>293</v>
      </c>
      <c r="BJ547" s="5" t="s">
        <v>294</v>
      </c>
      <c r="BK547" s="5" t="s">
        <v>294</v>
      </c>
      <c r="BL547" s="5" t="s">
        <v>238</v>
      </c>
      <c r="BM547" s="7">
        <f>0</f>
        <v>0</v>
      </c>
      <c r="BN547" s="8">
        <f>-208620</f>
        <v>-208620</v>
      </c>
      <c r="BO547" s="5" t="s">
        <v>257</v>
      </c>
      <c r="BP547" s="5" t="s">
        <v>258</v>
      </c>
      <c r="BQ547" s="5" t="s">
        <v>238</v>
      </c>
      <c r="BR547" s="5" t="s">
        <v>238</v>
      </c>
      <c r="BS547" s="5" t="s">
        <v>238</v>
      </c>
      <c r="BT547" s="5" t="s">
        <v>238</v>
      </c>
      <c r="CC547" s="5" t="s">
        <v>258</v>
      </c>
      <c r="CD547" s="5" t="s">
        <v>238</v>
      </c>
      <c r="CE547" s="5" t="s">
        <v>238</v>
      </c>
      <c r="CI547" s="5" t="s">
        <v>259</v>
      </c>
      <c r="CJ547" s="5" t="s">
        <v>260</v>
      </c>
      <c r="CK547" s="5" t="s">
        <v>238</v>
      </c>
      <c r="CM547" s="5" t="s">
        <v>1357</v>
      </c>
      <c r="CN547" s="6" t="s">
        <v>262</v>
      </c>
      <c r="CO547" s="5" t="s">
        <v>263</v>
      </c>
      <c r="CP547" s="5" t="s">
        <v>264</v>
      </c>
      <c r="CQ547" s="5" t="s">
        <v>285</v>
      </c>
      <c r="CR547" s="5" t="s">
        <v>238</v>
      </c>
      <c r="CS547" s="5">
        <v>0.03</v>
      </c>
      <c r="CT547" s="5" t="s">
        <v>265</v>
      </c>
      <c r="CU547" s="5" t="s">
        <v>1493</v>
      </c>
      <c r="CV547" s="5" t="s">
        <v>649</v>
      </c>
      <c r="CW547" s="7">
        <f>0</f>
        <v>0</v>
      </c>
      <c r="CX547" s="8">
        <f>6954000</f>
        <v>6954000</v>
      </c>
      <c r="CY547" s="8">
        <f>2990220</f>
        <v>2990220</v>
      </c>
      <c r="DA547" s="5" t="s">
        <v>238</v>
      </c>
      <c r="DB547" s="5" t="s">
        <v>238</v>
      </c>
      <c r="DD547" s="5" t="s">
        <v>238</v>
      </c>
      <c r="DE547" s="8">
        <f>0</f>
        <v>0</v>
      </c>
      <c r="DG547" s="5" t="s">
        <v>238</v>
      </c>
      <c r="DH547" s="5" t="s">
        <v>238</v>
      </c>
      <c r="DI547" s="5" t="s">
        <v>238</v>
      </c>
      <c r="DJ547" s="5" t="s">
        <v>238</v>
      </c>
      <c r="DK547" s="5" t="s">
        <v>356</v>
      </c>
      <c r="DL547" s="5" t="s">
        <v>272</v>
      </c>
      <c r="DM547" s="7">
        <f>38</f>
        <v>38</v>
      </c>
      <c r="DN547" s="5" t="s">
        <v>238</v>
      </c>
      <c r="DO547" s="5" t="s">
        <v>238</v>
      </c>
      <c r="DP547" s="5" t="s">
        <v>238</v>
      </c>
      <c r="DQ547" s="5" t="s">
        <v>238</v>
      </c>
      <c r="DT547" s="5" t="s">
        <v>862</v>
      </c>
      <c r="DU547" s="5" t="s">
        <v>274</v>
      </c>
      <c r="GL547" s="5" t="s">
        <v>1637</v>
      </c>
      <c r="HM547" s="5" t="s">
        <v>313</v>
      </c>
      <c r="HP547" s="5" t="s">
        <v>272</v>
      </c>
      <c r="HQ547" s="5" t="s">
        <v>272</v>
      </c>
      <c r="HR547" s="5" t="s">
        <v>238</v>
      </c>
      <c r="HS547" s="5" t="s">
        <v>238</v>
      </c>
      <c r="HT547" s="5" t="s">
        <v>238</v>
      </c>
      <c r="HU547" s="5" t="s">
        <v>238</v>
      </c>
      <c r="HV547" s="5" t="s">
        <v>238</v>
      </c>
      <c r="HW547" s="5" t="s">
        <v>238</v>
      </c>
      <c r="HX547" s="5" t="s">
        <v>238</v>
      </c>
      <c r="HY547" s="5" t="s">
        <v>238</v>
      </c>
      <c r="HZ547" s="5" t="s">
        <v>238</v>
      </c>
      <c r="IA547" s="5" t="s">
        <v>238</v>
      </c>
      <c r="IB547" s="5" t="s">
        <v>238</v>
      </c>
      <c r="IC547" s="5" t="s">
        <v>238</v>
      </c>
      <c r="ID547" s="5" t="s">
        <v>238</v>
      </c>
    </row>
    <row r="548" spans="1:238" x14ac:dyDescent="0.4">
      <c r="A548" s="5">
        <v>584</v>
      </c>
      <c r="B548" s="5">
        <v>1</v>
      </c>
      <c r="C548" s="5">
        <v>1</v>
      </c>
      <c r="D548" s="5" t="s">
        <v>856</v>
      </c>
      <c r="E548" s="5" t="s">
        <v>347</v>
      </c>
      <c r="F548" s="5" t="s">
        <v>282</v>
      </c>
      <c r="G548" s="5" t="s">
        <v>239</v>
      </c>
      <c r="H548" s="6" t="s">
        <v>858</v>
      </c>
      <c r="I548" s="5" t="s">
        <v>239</v>
      </c>
      <c r="J548" s="7">
        <f>10</f>
        <v>10</v>
      </c>
      <c r="K548" s="5" t="s">
        <v>270</v>
      </c>
      <c r="L548" s="8">
        <f>1</f>
        <v>1</v>
      </c>
      <c r="M548" s="8">
        <f>600000</f>
        <v>600000</v>
      </c>
      <c r="N548" s="6" t="s">
        <v>857</v>
      </c>
      <c r="O548" s="5" t="s">
        <v>651</v>
      </c>
      <c r="P548" s="5" t="s">
        <v>861</v>
      </c>
      <c r="R548" s="8">
        <f>599999</f>
        <v>599999</v>
      </c>
      <c r="S548" s="5" t="s">
        <v>240</v>
      </c>
      <c r="T548" s="5" t="s">
        <v>237</v>
      </c>
      <c r="U548" s="5" t="s">
        <v>238</v>
      </c>
      <c r="V548" s="5" t="s">
        <v>238</v>
      </c>
      <c r="W548" s="5" t="s">
        <v>241</v>
      </c>
      <c r="X548" s="5" t="s">
        <v>337</v>
      </c>
      <c r="Y548" s="5" t="s">
        <v>238</v>
      </c>
      <c r="AB548" s="5" t="s">
        <v>238</v>
      </c>
      <c r="AD548" s="6" t="s">
        <v>238</v>
      </c>
      <c r="AG548" s="6" t="s">
        <v>246</v>
      </c>
      <c r="AH548" s="5" t="s">
        <v>247</v>
      </c>
      <c r="AI548" s="5" t="s">
        <v>248</v>
      </c>
      <c r="AY548" s="5" t="s">
        <v>250</v>
      </c>
      <c r="AZ548" s="5" t="s">
        <v>238</v>
      </c>
      <c r="BA548" s="5" t="s">
        <v>251</v>
      </c>
      <c r="BB548" s="5" t="s">
        <v>238</v>
      </c>
      <c r="BC548" s="5" t="s">
        <v>253</v>
      </c>
      <c r="BD548" s="5" t="s">
        <v>238</v>
      </c>
      <c r="BF548" s="5" t="s">
        <v>238</v>
      </c>
      <c r="BH548" s="5" t="s">
        <v>859</v>
      </c>
      <c r="BI548" s="6" t="s">
        <v>368</v>
      </c>
      <c r="BJ548" s="5" t="s">
        <v>255</v>
      </c>
      <c r="BK548" s="5" t="s">
        <v>256</v>
      </c>
      <c r="BL548" s="5" t="s">
        <v>238</v>
      </c>
      <c r="BM548" s="7">
        <f>0</f>
        <v>0</v>
      </c>
      <c r="BN548" s="8">
        <f>0</f>
        <v>0</v>
      </c>
      <c r="BO548" s="5" t="s">
        <v>257</v>
      </c>
      <c r="BP548" s="5" t="s">
        <v>258</v>
      </c>
      <c r="CD548" s="5" t="s">
        <v>238</v>
      </c>
      <c r="CE548" s="5" t="s">
        <v>238</v>
      </c>
      <c r="CI548" s="5" t="s">
        <v>527</v>
      </c>
      <c r="CJ548" s="5" t="s">
        <v>260</v>
      </c>
      <c r="CK548" s="5" t="s">
        <v>238</v>
      </c>
      <c r="CM548" s="5" t="s">
        <v>860</v>
      </c>
      <c r="CN548" s="6" t="s">
        <v>262</v>
      </c>
      <c r="CO548" s="5" t="s">
        <v>263</v>
      </c>
      <c r="CP548" s="5" t="s">
        <v>264</v>
      </c>
      <c r="CQ548" s="5" t="s">
        <v>238</v>
      </c>
      <c r="CR548" s="5" t="s">
        <v>238</v>
      </c>
      <c r="CS548" s="5">
        <v>0</v>
      </c>
      <c r="CT548" s="5" t="s">
        <v>265</v>
      </c>
      <c r="CU548" s="5" t="s">
        <v>266</v>
      </c>
      <c r="CV548" s="5" t="s">
        <v>331</v>
      </c>
      <c r="CX548" s="8">
        <f>600000</f>
        <v>600000</v>
      </c>
      <c r="CY548" s="8">
        <f>0</f>
        <v>0</v>
      </c>
      <c r="DA548" s="5" t="s">
        <v>238</v>
      </c>
      <c r="DB548" s="5" t="s">
        <v>238</v>
      </c>
      <c r="DD548" s="5" t="s">
        <v>238</v>
      </c>
      <c r="DG548" s="5" t="s">
        <v>238</v>
      </c>
      <c r="DH548" s="5" t="s">
        <v>238</v>
      </c>
      <c r="DI548" s="5" t="s">
        <v>238</v>
      </c>
      <c r="DJ548" s="5" t="s">
        <v>238</v>
      </c>
      <c r="DK548" s="5" t="s">
        <v>271</v>
      </c>
      <c r="DL548" s="5" t="s">
        <v>272</v>
      </c>
      <c r="DM548" s="7">
        <f>10</f>
        <v>10</v>
      </c>
      <c r="DN548" s="5" t="s">
        <v>238</v>
      </c>
      <c r="DO548" s="5" t="s">
        <v>238</v>
      </c>
      <c r="DP548" s="5" t="s">
        <v>238</v>
      </c>
      <c r="DQ548" s="5" t="s">
        <v>238</v>
      </c>
      <c r="DT548" s="5" t="s">
        <v>862</v>
      </c>
      <c r="DU548" s="5" t="s">
        <v>356</v>
      </c>
      <c r="HM548" s="5" t="s">
        <v>271</v>
      </c>
      <c r="HP548" s="5" t="s">
        <v>272</v>
      </c>
      <c r="HQ548" s="5" t="s">
        <v>272</v>
      </c>
    </row>
    <row r="549" spans="1:238" x14ac:dyDescent="0.4">
      <c r="A549" s="5">
        <v>585</v>
      </c>
      <c r="B549" s="5">
        <v>1</v>
      </c>
      <c r="C549" s="5">
        <v>1</v>
      </c>
      <c r="D549" s="5" t="s">
        <v>856</v>
      </c>
      <c r="E549" s="5" t="s">
        <v>347</v>
      </c>
      <c r="F549" s="5" t="s">
        <v>282</v>
      </c>
      <c r="G549" s="5" t="s">
        <v>1308</v>
      </c>
      <c r="H549" s="6" t="s">
        <v>858</v>
      </c>
      <c r="I549" s="5" t="s">
        <v>1308</v>
      </c>
      <c r="J549" s="7">
        <f>1597</f>
        <v>1597</v>
      </c>
      <c r="K549" s="5" t="s">
        <v>270</v>
      </c>
      <c r="L549" s="8">
        <f>1</f>
        <v>1</v>
      </c>
      <c r="M549" s="8">
        <f>127760000</f>
        <v>127760000</v>
      </c>
      <c r="N549" s="6" t="s">
        <v>857</v>
      </c>
      <c r="O549" s="5" t="s">
        <v>755</v>
      </c>
      <c r="P549" s="5" t="s">
        <v>861</v>
      </c>
      <c r="R549" s="8">
        <f>127759999</f>
        <v>127759999</v>
      </c>
      <c r="S549" s="5" t="s">
        <v>240</v>
      </c>
      <c r="T549" s="5" t="s">
        <v>237</v>
      </c>
      <c r="U549" s="5" t="s">
        <v>238</v>
      </c>
      <c r="V549" s="5" t="s">
        <v>238</v>
      </c>
      <c r="W549" s="5" t="s">
        <v>241</v>
      </c>
      <c r="X549" s="5" t="s">
        <v>337</v>
      </c>
      <c r="Y549" s="5" t="s">
        <v>238</v>
      </c>
      <c r="AB549" s="5" t="s">
        <v>238</v>
      </c>
      <c r="AD549" s="6" t="s">
        <v>238</v>
      </c>
      <c r="AG549" s="6" t="s">
        <v>246</v>
      </c>
      <c r="AH549" s="5" t="s">
        <v>247</v>
      </c>
      <c r="AI549" s="5" t="s">
        <v>248</v>
      </c>
      <c r="AY549" s="5" t="s">
        <v>250</v>
      </c>
      <c r="AZ549" s="5" t="s">
        <v>238</v>
      </c>
      <c r="BA549" s="5" t="s">
        <v>251</v>
      </c>
      <c r="BB549" s="5" t="s">
        <v>238</v>
      </c>
      <c r="BC549" s="5" t="s">
        <v>253</v>
      </c>
      <c r="BD549" s="5" t="s">
        <v>238</v>
      </c>
      <c r="BF549" s="5" t="s">
        <v>238</v>
      </c>
      <c r="BH549" s="5" t="s">
        <v>697</v>
      </c>
      <c r="BI549" s="6" t="s">
        <v>698</v>
      </c>
      <c r="BJ549" s="5" t="s">
        <v>255</v>
      </c>
      <c r="BK549" s="5" t="s">
        <v>256</v>
      </c>
      <c r="BL549" s="5" t="s">
        <v>238</v>
      </c>
      <c r="BM549" s="7">
        <f>0</f>
        <v>0</v>
      </c>
      <c r="BN549" s="8">
        <f>0</f>
        <v>0</v>
      </c>
      <c r="BO549" s="5" t="s">
        <v>257</v>
      </c>
      <c r="BP549" s="5" t="s">
        <v>258</v>
      </c>
      <c r="CD549" s="5" t="s">
        <v>238</v>
      </c>
      <c r="CE549" s="5" t="s">
        <v>238</v>
      </c>
      <c r="CI549" s="5" t="s">
        <v>527</v>
      </c>
      <c r="CJ549" s="5" t="s">
        <v>260</v>
      </c>
      <c r="CK549" s="5" t="s">
        <v>238</v>
      </c>
      <c r="CM549" s="5" t="s">
        <v>860</v>
      </c>
      <c r="CN549" s="6" t="s">
        <v>262</v>
      </c>
      <c r="CO549" s="5" t="s">
        <v>263</v>
      </c>
      <c r="CP549" s="5" t="s">
        <v>264</v>
      </c>
      <c r="CQ549" s="5" t="s">
        <v>238</v>
      </c>
      <c r="CR549" s="5" t="s">
        <v>238</v>
      </c>
      <c r="CS549" s="5">
        <v>0</v>
      </c>
      <c r="CT549" s="5" t="s">
        <v>265</v>
      </c>
      <c r="CU549" s="5" t="s">
        <v>1330</v>
      </c>
      <c r="CV549" s="5" t="s">
        <v>649</v>
      </c>
      <c r="CX549" s="8">
        <f>127760000</f>
        <v>127760000</v>
      </c>
      <c r="CY549" s="8">
        <f>0</f>
        <v>0</v>
      </c>
      <c r="DA549" s="5" t="s">
        <v>238</v>
      </c>
      <c r="DB549" s="5" t="s">
        <v>238</v>
      </c>
      <c r="DD549" s="5" t="s">
        <v>238</v>
      </c>
      <c r="DG549" s="5" t="s">
        <v>238</v>
      </c>
      <c r="DH549" s="5" t="s">
        <v>238</v>
      </c>
      <c r="DI549" s="5" t="s">
        <v>238</v>
      </c>
      <c r="DJ549" s="5" t="s">
        <v>238</v>
      </c>
      <c r="DK549" s="5" t="s">
        <v>274</v>
      </c>
      <c r="DL549" s="5" t="s">
        <v>272</v>
      </c>
      <c r="DM549" s="7">
        <f>1597</f>
        <v>1597</v>
      </c>
      <c r="DN549" s="5" t="s">
        <v>238</v>
      </c>
      <c r="DO549" s="5" t="s">
        <v>238</v>
      </c>
      <c r="DP549" s="5" t="s">
        <v>238</v>
      </c>
      <c r="DQ549" s="5" t="s">
        <v>238</v>
      </c>
      <c r="DT549" s="5" t="s">
        <v>862</v>
      </c>
      <c r="DU549" s="5" t="s">
        <v>310</v>
      </c>
      <c r="HM549" s="5" t="s">
        <v>271</v>
      </c>
      <c r="HP549" s="5" t="s">
        <v>272</v>
      </c>
      <c r="HQ549" s="5" t="s">
        <v>272</v>
      </c>
    </row>
    <row r="550" spans="1:238" x14ac:dyDescent="0.4">
      <c r="A550" s="5">
        <v>586</v>
      </c>
      <c r="B550" s="5">
        <v>1</v>
      </c>
      <c r="C550" s="5">
        <v>1</v>
      </c>
      <c r="D550" s="5" t="s">
        <v>856</v>
      </c>
      <c r="E550" s="5" t="s">
        <v>347</v>
      </c>
      <c r="F550" s="5" t="s">
        <v>282</v>
      </c>
      <c r="G550" s="5" t="s">
        <v>3027</v>
      </c>
      <c r="H550" s="6" t="s">
        <v>858</v>
      </c>
      <c r="I550" s="5" t="s">
        <v>3027</v>
      </c>
      <c r="J550" s="7">
        <f>170</f>
        <v>170</v>
      </c>
      <c r="K550" s="5" t="s">
        <v>270</v>
      </c>
      <c r="L550" s="8">
        <f>1</f>
        <v>1</v>
      </c>
      <c r="M550" s="8">
        <f>11900000</f>
        <v>11900000</v>
      </c>
      <c r="N550" s="6" t="s">
        <v>963</v>
      </c>
      <c r="O550" s="5" t="s">
        <v>268</v>
      </c>
      <c r="P550" s="5" t="s">
        <v>965</v>
      </c>
      <c r="R550" s="8">
        <f>11899999</f>
        <v>11899999</v>
      </c>
      <c r="S550" s="5" t="s">
        <v>240</v>
      </c>
      <c r="T550" s="5" t="s">
        <v>237</v>
      </c>
      <c r="U550" s="5" t="s">
        <v>238</v>
      </c>
      <c r="V550" s="5" t="s">
        <v>238</v>
      </c>
      <c r="W550" s="5" t="s">
        <v>241</v>
      </c>
      <c r="X550" s="5" t="s">
        <v>337</v>
      </c>
      <c r="Y550" s="5" t="s">
        <v>238</v>
      </c>
      <c r="AB550" s="5" t="s">
        <v>238</v>
      </c>
      <c r="AD550" s="6" t="s">
        <v>238</v>
      </c>
      <c r="AG550" s="6" t="s">
        <v>246</v>
      </c>
      <c r="AH550" s="5" t="s">
        <v>247</v>
      </c>
      <c r="AI550" s="5" t="s">
        <v>248</v>
      </c>
      <c r="AY550" s="5" t="s">
        <v>250</v>
      </c>
      <c r="AZ550" s="5" t="s">
        <v>238</v>
      </c>
      <c r="BA550" s="5" t="s">
        <v>251</v>
      </c>
      <c r="BB550" s="5" t="s">
        <v>238</v>
      </c>
      <c r="BC550" s="5" t="s">
        <v>253</v>
      </c>
      <c r="BD550" s="5" t="s">
        <v>238</v>
      </c>
      <c r="BF550" s="5" t="s">
        <v>238</v>
      </c>
      <c r="BH550" s="5" t="s">
        <v>798</v>
      </c>
      <c r="BI550" s="6" t="s">
        <v>799</v>
      </c>
      <c r="BJ550" s="5" t="s">
        <v>255</v>
      </c>
      <c r="BK550" s="5" t="s">
        <v>256</v>
      </c>
      <c r="BL550" s="5" t="s">
        <v>238</v>
      </c>
      <c r="BM550" s="7">
        <f>0</f>
        <v>0</v>
      </c>
      <c r="BN550" s="8">
        <f>0</f>
        <v>0</v>
      </c>
      <c r="BO550" s="5" t="s">
        <v>257</v>
      </c>
      <c r="BP550" s="5" t="s">
        <v>258</v>
      </c>
      <c r="CD550" s="5" t="s">
        <v>238</v>
      </c>
      <c r="CE550" s="5" t="s">
        <v>238</v>
      </c>
      <c r="CI550" s="5" t="s">
        <v>527</v>
      </c>
      <c r="CJ550" s="5" t="s">
        <v>260</v>
      </c>
      <c r="CK550" s="5" t="s">
        <v>238</v>
      </c>
      <c r="CM550" s="5" t="s">
        <v>964</v>
      </c>
      <c r="CN550" s="6" t="s">
        <v>262</v>
      </c>
      <c r="CO550" s="5" t="s">
        <v>263</v>
      </c>
      <c r="CP550" s="5" t="s">
        <v>264</v>
      </c>
      <c r="CQ550" s="5" t="s">
        <v>238</v>
      </c>
      <c r="CR550" s="5" t="s">
        <v>238</v>
      </c>
      <c r="CS550" s="5">
        <v>0</v>
      </c>
      <c r="CT550" s="5" t="s">
        <v>265</v>
      </c>
      <c r="CU550" s="5" t="s">
        <v>351</v>
      </c>
      <c r="CV550" s="5" t="s">
        <v>394</v>
      </c>
      <c r="CX550" s="8">
        <f>11900000</f>
        <v>11900000</v>
      </c>
      <c r="CY550" s="8">
        <f>0</f>
        <v>0</v>
      </c>
      <c r="DA550" s="5" t="s">
        <v>238</v>
      </c>
      <c r="DB550" s="5" t="s">
        <v>238</v>
      </c>
      <c r="DD550" s="5" t="s">
        <v>238</v>
      </c>
      <c r="DG550" s="5" t="s">
        <v>238</v>
      </c>
      <c r="DH550" s="5" t="s">
        <v>238</v>
      </c>
      <c r="DI550" s="5" t="s">
        <v>238</v>
      </c>
      <c r="DJ550" s="5" t="s">
        <v>238</v>
      </c>
      <c r="DK550" s="5" t="s">
        <v>271</v>
      </c>
      <c r="DL550" s="5" t="s">
        <v>272</v>
      </c>
      <c r="DM550" s="7">
        <f>170</f>
        <v>170</v>
      </c>
      <c r="DN550" s="5" t="s">
        <v>238</v>
      </c>
      <c r="DO550" s="5" t="s">
        <v>238</v>
      </c>
      <c r="DP550" s="5" t="s">
        <v>238</v>
      </c>
      <c r="DQ550" s="5" t="s">
        <v>238</v>
      </c>
      <c r="DT550" s="5" t="s">
        <v>862</v>
      </c>
      <c r="DU550" s="5" t="s">
        <v>379</v>
      </c>
      <c r="HM550" s="5" t="s">
        <v>271</v>
      </c>
      <c r="HP550" s="5" t="s">
        <v>272</v>
      </c>
      <c r="HQ550" s="5" t="s">
        <v>272</v>
      </c>
    </row>
    <row r="551" spans="1:238" x14ac:dyDescent="0.4">
      <c r="A551" s="5">
        <v>587</v>
      </c>
      <c r="B551" s="5">
        <v>1</v>
      </c>
      <c r="C551" s="5">
        <v>1</v>
      </c>
      <c r="D551" s="5" t="s">
        <v>856</v>
      </c>
      <c r="E551" s="5" t="s">
        <v>347</v>
      </c>
      <c r="F551" s="5" t="s">
        <v>282</v>
      </c>
      <c r="G551" s="5" t="s">
        <v>874</v>
      </c>
      <c r="H551" s="6" t="s">
        <v>858</v>
      </c>
      <c r="I551" s="5" t="s">
        <v>874</v>
      </c>
      <c r="J551" s="7">
        <f>208</f>
        <v>208</v>
      </c>
      <c r="K551" s="5" t="s">
        <v>270</v>
      </c>
      <c r="L551" s="8">
        <f>1</f>
        <v>1</v>
      </c>
      <c r="M551" s="8">
        <f>20800000</f>
        <v>20800000</v>
      </c>
      <c r="N551" s="6" t="s">
        <v>963</v>
      </c>
      <c r="O551" s="5" t="s">
        <v>755</v>
      </c>
      <c r="P551" s="5" t="s">
        <v>965</v>
      </c>
      <c r="R551" s="8">
        <f>20799999</f>
        <v>20799999</v>
      </c>
      <c r="S551" s="5" t="s">
        <v>240</v>
      </c>
      <c r="T551" s="5" t="s">
        <v>237</v>
      </c>
      <c r="U551" s="5" t="s">
        <v>238</v>
      </c>
      <c r="V551" s="5" t="s">
        <v>238</v>
      </c>
      <c r="W551" s="5" t="s">
        <v>241</v>
      </c>
      <c r="X551" s="5" t="s">
        <v>337</v>
      </c>
      <c r="Y551" s="5" t="s">
        <v>238</v>
      </c>
      <c r="AB551" s="5" t="s">
        <v>238</v>
      </c>
      <c r="AD551" s="6" t="s">
        <v>238</v>
      </c>
      <c r="AG551" s="6" t="s">
        <v>246</v>
      </c>
      <c r="AH551" s="5" t="s">
        <v>247</v>
      </c>
      <c r="AI551" s="5" t="s">
        <v>248</v>
      </c>
      <c r="AY551" s="5" t="s">
        <v>250</v>
      </c>
      <c r="AZ551" s="5" t="s">
        <v>238</v>
      </c>
      <c r="BA551" s="5" t="s">
        <v>251</v>
      </c>
      <c r="BB551" s="5" t="s">
        <v>238</v>
      </c>
      <c r="BC551" s="5" t="s">
        <v>253</v>
      </c>
      <c r="BD551" s="5" t="s">
        <v>238</v>
      </c>
      <c r="BF551" s="5" t="s">
        <v>238</v>
      </c>
      <c r="BH551" s="5" t="s">
        <v>254</v>
      </c>
      <c r="BI551" s="6" t="s">
        <v>246</v>
      </c>
      <c r="BJ551" s="5" t="s">
        <v>255</v>
      </c>
      <c r="BK551" s="5" t="s">
        <v>256</v>
      </c>
      <c r="BL551" s="5" t="s">
        <v>238</v>
      </c>
      <c r="BM551" s="7">
        <f>0</f>
        <v>0</v>
      </c>
      <c r="BN551" s="8">
        <f>0</f>
        <v>0</v>
      </c>
      <c r="BO551" s="5" t="s">
        <v>257</v>
      </c>
      <c r="BP551" s="5" t="s">
        <v>258</v>
      </c>
      <c r="CD551" s="5" t="s">
        <v>238</v>
      </c>
      <c r="CE551" s="5" t="s">
        <v>238</v>
      </c>
      <c r="CI551" s="5" t="s">
        <v>527</v>
      </c>
      <c r="CJ551" s="5" t="s">
        <v>260</v>
      </c>
      <c r="CK551" s="5" t="s">
        <v>238</v>
      </c>
      <c r="CM551" s="5" t="s">
        <v>964</v>
      </c>
      <c r="CN551" s="6" t="s">
        <v>262</v>
      </c>
      <c r="CO551" s="5" t="s">
        <v>263</v>
      </c>
      <c r="CP551" s="5" t="s">
        <v>264</v>
      </c>
      <c r="CQ551" s="5" t="s">
        <v>238</v>
      </c>
      <c r="CR551" s="5" t="s">
        <v>238</v>
      </c>
      <c r="CS551" s="5">
        <v>0</v>
      </c>
      <c r="CT551" s="5" t="s">
        <v>265</v>
      </c>
      <c r="CU551" s="5" t="s">
        <v>266</v>
      </c>
      <c r="CV551" s="5" t="s">
        <v>754</v>
      </c>
      <c r="CX551" s="8">
        <f>20800000</f>
        <v>20800000</v>
      </c>
      <c r="CY551" s="8">
        <f>0</f>
        <v>0</v>
      </c>
      <c r="DA551" s="5" t="s">
        <v>238</v>
      </c>
      <c r="DB551" s="5" t="s">
        <v>238</v>
      </c>
      <c r="DD551" s="5" t="s">
        <v>238</v>
      </c>
      <c r="DG551" s="5" t="s">
        <v>238</v>
      </c>
      <c r="DH551" s="5" t="s">
        <v>238</v>
      </c>
      <c r="DI551" s="5" t="s">
        <v>238</v>
      </c>
      <c r="DJ551" s="5" t="s">
        <v>238</v>
      </c>
      <c r="DK551" s="5" t="s">
        <v>271</v>
      </c>
      <c r="DL551" s="5" t="s">
        <v>272</v>
      </c>
      <c r="DM551" s="7">
        <f>208</f>
        <v>208</v>
      </c>
      <c r="DN551" s="5" t="s">
        <v>238</v>
      </c>
      <c r="DO551" s="5" t="s">
        <v>238</v>
      </c>
      <c r="DP551" s="5" t="s">
        <v>238</v>
      </c>
      <c r="DQ551" s="5" t="s">
        <v>238</v>
      </c>
      <c r="DT551" s="5" t="s">
        <v>862</v>
      </c>
      <c r="DU551" s="5" t="s">
        <v>313</v>
      </c>
      <c r="HM551" s="5" t="s">
        <v>271</v>
      </c>
      <c r="HP551" s="5" t="s">
        <v>272</v>
      </c>
      <c r="HQ551" s="5" t="s">
        <v>272</v>
      </c>
    </row>
    <row r="552" spans="1:238" x14ac:dyDescent="0.4">
      <c r="A552" s="5">
        <v>588</v>
      </c>
      <c r="B552" s="5">
        <v>1</v>
      </c>
      <c r="C552" s="5">
        <v>4</v>
      </c>
      <c r="D552" s="5" t="s">
        <v>856</v>
      </c>
      <c r="E552" s="5" t="s">
        <v>347</v>
      </c>
      <c r="F552" s="5" t="s">
        <v>282</v>
      </c>
      <c r="G552" s="5" t="s">
        <v>3133</v>
      </c>
      <c r="H552" s="6" t="s">
        <v>858</v>
      </c>
      <c r="I552" s="5" t="s">
        <v>3132</v>
      </c>
      <c r="J552" s="7">
        <f>0</f>
        <v>0</v>
      </c>
      <c r="K552" s="5" t="s">
        <v>270</v>
      </c>
      <c r="L552" s="8">
        <f>1897485</f>
        <v>1897485</v>
      </c>
      <c r="M552" s="8">
        <f>2853360</f>
        <v>2853360</v>
      </c>
      <c r="N552" s="6" t="s">
        <v>1336</v>
      </c>
      <c r="O552" s="5" t="s">
        <v>268</v>
      </c>
      <c r="P552" s="5" t="s">
        <v>356</v>
      </c>
      <c r="Q552" s="8">
        <f>191175</f>
        <v>191175</v>
      </c>
      <c r="R552" s="8">
        <f>955875</f>
        <v>955875</v>
      </c>
      <c r="S552" s="5" t="s">
        <v>240</v>
      </c>
      <c r="T552" s="5" t="s">
        <v>287</v>
      </c>
      <c r="U552" s="5" t="s">
        <v>238</v>
      </c>
      <c r="V552" s="5" t="s">
        <v>238</v>
      </c>
      <c r="W552" s="5" t="s">
        <v>241</v>
      </c>
      <c r="X552" s="5" t="s">
        <v>337</v>
      </c>
      <c r="Y552" s="5" t="s">
        <v>238</v>
      </c>
      <c r="AB552" s="5" t="s">
        <v>238</v>
      </c>
      <c r="AC552" s="6" t="s">
        <v>238</v>
      </c>
      <c r="AD552" s="6" t="s">
        <v>238</v>
      </c>
      <c r="AF552" s="6" t="s">
        <v>238</v>
      </c>
      <c r="AG552" s="6" t="s">
        <v>246</v>
      </c>
      <c r="AH552" s="5" t="s">
        <v>247</v>
      </c>
      <c r="AI552" s="5" t="s">
        <v>248</v>
      </c>
      <c r="AO552" s="5" t="s">
        <v>238</v>
      </c>
      <c r="AP552" s="5" t="s">
        <v>238</v>
      </c>
      <c r="AQ552" s="5" t="s">
        <v>238</v>
      </c>
      <c r="AR552" s="6" t="s">
        <v>238</v>
      </c>
      <c r="AS552" s="6" t="s">
        <v>238</v>
      </c>
      <c r="AT552" s="6" t="s">
        <v>238</v>
      </c>
      <c r="AW552" s="5" t="s">
        <v>304</v>
      </c>
      <c r="AX552" s="5" t="s">
        <v>304</v>
      </c>
      <c r="AY552" s="5" t="s">
        <v>250</v>
      </c>
      <c r="AZ552" s="5" t="s">
        <v>305</v>
      </c>
      <c r="BA552" s="5" t="s">
        <v>251</v>
      </c>
      <c r="BB552" s="5" t="s">
        <v>238</v>
      </c>
      <c r="BC552" s="5" t="s">
        <v>253</v>
      </c>
      <c r="BD552" s="5" t="s">
        <v>238</v>
      </c>
      <c r="BF552" s="5" t="s">
        <v>238</v>
      </c>
      <c r="BH552" s="5" t="s">
        <v>283</v>
      </c>
      <c r="BI552" s="6" t="s">
        <v>293</v>
      </c>
      <c r="BJ552" s="5" t="s">
        <v>294</v>
      </c>
      <c r="BK552" s="5" t="s">
        <v>294</v>
      </c>
      <c r="BL552" s="5" t="s">
        <v>238</v>
      </c>
      <c r="BM552" s="7">
        <f>0</f>
        <v>0</v>
      </c>
      <c r="BN552" s="8">
        <f>-191175</f>
        <v>-191175</v>
      </c>
      <c r="BO552" s="5" t="s">
        <v>257</v>
      </c>
      <c r="BP552" s="5" t="s">
        <v>258</v>
      </c>
      <c r="BQ552" s="5" t="s">
        <v>238</v>
      </c>
      <c r="BR552" s="5" t="s">
        <v>238</v>
      </c>
      <c r="BS552" s="5" t="s">
        <v>238</v>
      </c>
      <c r="BT552" s="5" t="s">
        <v>238</v>
      </c>
      <c r="CC552" s="5" t="s">
        <v>258</v>
      </c>
      <c r="CD552" s="5" t="s">
        <v>238</v>
      </c>
      <c r="CE552" s="5" t="s">
        <v>238</v>
      </c>
      <c r="CI552" s="5" t="s">
        <v>259</v>
      </c>
      <c r="CJ552" s="5" t="s">
        <v>260</v>
      </c>
      <c r="CK552" s="5" t="s">
        <v>238</v>
      </c>
      <c r="CM552" s="5" t="s">
        <v>376</v>
      </c>
      <c r="CN552" s="6" t="s">
        <v>262</v>
      </c>
      <c r="CO552" s="5" t="s">
        <v>263</v>
      </c>
      <c r="CP552" s="5" t="s">
        <v>264</v>
      </c>
      <c r="CQ552" s="5" t="s">
        <v>285</v>
      </c>
      <c r="CR552" s="5" t="s">
        <v>238</v>
      </c>
      <c r="CS552" s="5">
        <v>6.7000000000000004E-2</v>
      </c>
      <c r="CT552" s="5" t="s">
        <v>265</v>
      </c>
      <c r="CU552" s="5" t="s">
        <v>351</v>
      </c>
      <c r="CV552" s="5" t="s">
        <v>394</v>
      </c>
      <c r="CW552" s="7">
        <f>0</f>
        <v>0</v>
      </c>
      <c r="CX552" s="8">
        <f>2853360</f>
        <v>2853360</v>
      </c>
      <c r="CY552" s="8">
        <f>2088660</f>
        <v>2088660</v>
      </c>
      <c r="DA552" s="5" t="s">
        <v>238</v>
      </c>
      <c r="DB552" s="5" t="s">
        <v>238</v>
      </c>
      <c r="DD552" s="5" t="s">
        <v>238</v>
      </c>
      <c r="DE552" s="8">
        <f>0</f>
        <v>0</v>
      </c>
      <c r="DG552" s="5" t="s">
        <v>238</v>
      </c>
      <c r="DH552" s="5" t="s">
        <v>238</v>
      </c>
      <c r="DI552" s="5" t="s">
        <v>238</v>
      </c>
      <c r="DJ552" s="5" t="s">
        <v>238</v>
      </c>
      <c r="DK552" s="5" t="s">
        <v>272</v>
      </c>
      <c r="DL552" s="5" t="s">
        <v>272</v>
      </c>
      <c r="DM552" s="8" t="s">
        <v>238</v>
      </c>
      <c r="DN552" s="5" t="s">
        <v>238</v>
      </c>
      <c r="DO552" s="5" t="s">
        <v>238</v>
      </c>
      <c r="DP552" s="5" t="s">
        <v>238</v>
      </c>
      <c r="DQ552" s="5" t="s">
        <v>238</v>
      </c>
      <c r="DT552" s="5" t="s">
        <v>862</v>
      </c>
      <c r="DU552" s="5" t="s">
        <v>389</v>
      </c>
      <c r="GL552" s="5" t="s">
        <v>3134</v>
      </c>
      <c r="HM552" s="5" t="s">
        <v>379</v>
      </c>
      <c r="HP552" s="5" t="s">
        <v>272</v>
      </c>
      <c r="HQ552" s="5" t="s">
        <v>272</v>
      </c>
      <c r="HR552" s="5" t="s">
        <v>238</v>
      </c>
      <c r="HS552" s="5" t="s">
        <v>238</v>
      </c>
      <c r="HT552" s="5" t="s">
        <v>238</v>
      </c>
      <c r="HU552" s="5" t="s">
        <v>238</v>
      </c>
      <c r="HV552" s="5" t="s">
        <v>238</v>
      </c>
      <c r="HW552" s="5" t="s">
        <v>238</v>
      </c>
      <c r="HX552" s="5" t="s">
        <v>238</v>
      </c>
      <c r="HY552" s="5" t="s">
        <v>238</v>
      </c>
      <c r="HZ552" s="5" t="s">
        <v>238</v>
      </c>
      <c r="IA552" s="5" t="s">
        <v>238</v>
      </c>
      <c r="IB552" s="5" t="s">
        <v>238</v>
      </c>
      <c r="IC552" s="5" t="s">
        <v>238</v>
      </c>
      <c r="ID552" s="5" t="s">
        <v>238</v>
      </c>
    </row>
    <row r="553" spans="1:238" x14ac:dyDescent="0.4">
      <c r="A553" s="5">
        <v>589</v>
      </c>
      <c r="B553" s="5">
        <v>1</v>
      </c>
      <c r="C553" s="5">
        <v>4</v>
      </c>
      <c r="D553" s="5" t="s">
        <v>856</v>
      </c>
      <c r="E553" s="5" t="s">
        <v>347</v>
      </c>
      <c r="F553" s="5" t="s">
        <v>282</v>
      </c>
      <c r="G553" s="5" t="s">
        <v>349</v>
      </c>
      <c r="H553" s="6" t="s">
        <v>858</v>
      </c>
      <c r="I553" s="5" t="s">
        <v>363</v>
      </c>
      <c r="J553" s="7">
        <f>0</f>
        <v>0</v>
      </c>
      <c r="K553" s="5" t="s">
        <v>270</v>
      </c>
      <c r="L553" s="8">
        <f>2400144</f>
        <v>2400144</v>
      </c>
      <c r="M553" s="8">
        <f>3278880</f>
        <v>3278880</v>
      </c>
      <c r="N553" s="6" t="s">
        <v>401</v>
      </c>
      <c r="O553" s="5" t="s">
        <v>268</v>
      </c>
      <c r="P553" s="5" t="s">
        <v>274</v>
      </c>
      <c r="Q553" s="8">
        <f>219684</f>
        <v>219684</v>
      </c>
      <c r="R553" s="8">
        <f>878736</f>
        <v>878736</v>
      </c>
      <c r="S553" s="5" t="s">
        <v>240</v>
      </c>
      <c r="T553" s="5" t="s">
        <v>287</v>
      </c>
      <c r="U553" s="5" t="s">
        <v>238</v>
      </c>
      <c r="V553" s="5" t="s">
        <v>238</v>
      </c>
      <c r="W553" s="5" t="s">
        <v>241</v>
      </c>
      <c r="X553" s="5" t="s">
        <v>238</v>
      </c>
      <c r="Y553" s="5" t="s">
        <v>238</v>
      </c>
      <c r="AB553" s="5" t="s">
        <v>238</v>
      </c>
      <c r="AC553" s="6" t="s">
        <v>238</v>
      </c>
      <c r="AD553" s="6" t="s">
        <v>238</v>
      </c>
      <c r="AF553" s="6" t="s">
        <v>238</v>
      </c>
      <c r="AG553" s="6" t="s">
        <v>246</v>
      </c>
      <c r="AH553" s="5" t="s">
        <v>247</v>
      </c>
      <c r="AI553" s="5" t="s">
        <v>248</v>
      </c>
      <c r="AO553" s="5" t="s">
        <v>238</v>
      </c>
      <c r="AP553" s="5" t="s">
        <v>238</v>
      </c>
      <c r="AQ553" s="5" t="s">
        <v>238</v>
      </c>
      <c r="AR553" s="6" t="s">
        <v>238</v>
      </c>
      <c r="AS553" s="6" t="s">
        <v>238</v>
      </c>
      <c r="AT553" s="6" t="s">
        <v>238</v>
      </c>
      <c r="AW553" s="5" t="s">
        <v>304</v>
      </c>
      <c r="AX553" s="5" t="s">
        <v>304</v>
      </c>
      <c r="AY553" s="5" t="s">
        <v>250</v>
      </c>
      <c r="AZ553" s="5" t="s">
        <v>305</v>
      </c>
      <c r="BA553" s="5" t="s">
        <v>251</v>
      </c>
      <c r="BB553" s="5" t="s">
        <v>238</v>
      </c>
      <c r="BC553" s="5" t="s">
        <v>253</v>
      </c>
      <c r="BD553" s="5" t="s">
        <v>238</v>
      </c>
      <c r="BF553" s="5" t="s">
        <v>238</v>
      </c>
      <c r="BH553" s="5" t="s">
        <v>283</v>
      </c>
      <c r="BI553" s="6" t="s">
        <v>293</v>
      </c>
      <c r="BJ553" s="5" t="s">
        <v>294</v>
      </c>
      <c r="BK553" s="5" t="s">
        <v>294</v>
      </c>
      <c r="BL553" s="5" t="s">
        <v>238</v>
      </c>
      <c r="BM553" s="7">
        <f>0</f>
        <v>0</v>
      </c>
      <c r="BN553" s="8">
        <f>-219684</f>
        <v>-219684</v>
      </c>
      <c r="BO553" s="5" t="s">
        <v>257</v>
      </c>
      <c r="BP553" s="5" t="s">
        <v>258</v>
      </c>
      <c r="BQ553" s="5" t="s">
        <v>238</v>
      </c>
      <c r="BR553" s="5" t="s">
        <v>238</v>
      </c>
      <c r="BS553" s="5" t="s">
        <v>238</v>
      </c>
      <c r="BT553" s="5" t="s">
        <v>238</v>
      </c>
      <c r="CC553" s="5" t="s">
        <v>258</v>
      </c>
      <c r="CD553" s="5" t="s">
        <v>238</v>
      </c>
      <c r="CE553" s="5" t="s">
        <v>238</v>
      </c>
      <c r="CI553" s="5" t="s">
        <v>259</v>
      </c>
      <c r="CJ553" s="5" t="s">
        <v>260</v>
      </c>
      <c r="CK553" s="5" t="s">
        <v>238</v>
      </c>
      <c r="CM553" s="5" t="s">
        <v>402</v>
      </c>
      <c r="CN553" s="6" t="s">
        <v>262</v>
      </c>
      <c r="CO553" s="5" t="s">
        <v>263</v>
      </c>
      <c r="CP553" s="5" t="s">
        <v>264</v>
      </c>
      <c r="CQ553" s="5" t="s">
        <v>285</v>
      </c>
      <c r="CR553" s="5" t="s">
        <v>238</v>
      </c>
      <c r="CS553" s="5">
        <v>6.7000000000000004E-2</v>
      </c>
      <c r="CT553" s="5" t="s">
        <v>265</v>
      </c>
      <c r="CU553" s="5" t="s">
        <v>351</v>
      </c>
      <c r="CV553" s="5" t="s">
        <v>365</v>
      </c>
      <c r="CW553" s="7">
        <f>0</f>
        <v>0</v>
      </c>
      <c r="CX553" s="8">
        <f>3278880</f>
        <v>3278880</v>
      </c>
      <c r="CY553" s="8">
        <f>2619828</f>
        <v>2619828</v>
      </c>
      <c r="DA553" s="5" t="s">
        <v>238</v>
      </c>
      <c r="DB553" s="5" t="s">
        <v>238</v>
      </c>
      <c r="DD553" s="5" t="s">
        <v>238</v>
      </c>
      <c r="DE553" s="8">
        <f>0</f>
        <v>0</v>
      </c>
      <c r="DG553" s="5" t="s">
        <v>238</v>
      </c>
      <c r="DH553" s="5" t="s">
        <v>238</v>
      </c>
      <c r="DI553" s="5" t="s">
        <v>238</v>
      </c>
      <c r="DJ553" s="5" t="s">
        <v>238</v>
      </c>
      <c r="DK553" s="5" t="s">
        <v>272</v>
      </c>
      <c r="DL553" s="5" t="s">
        <v>272</v>
      </c>
      <c r="DM553" s="8" t="s">
        <v>238</v>
      </c>
      <c r="DN553" s="5" t="s">
        <v>238</v>
      </c>
      <c r="DO553" s="5" t="s">
        <v>238</v>
      </c>
      <c r="DP553" s="5" t="s">
        <v>238</v>
      </c>
      <c r="DQ553" s="5" t="s">
        <v>238</v>
      </c>
      <c r="DT553" s="5" t="s">
        <v>862</v>
      </c>
      <c r="DU553" s="5" t="s">
        <v>354</v>
      </c>
      <c r="GL553" s="5" t="s">
        <v>3131</v>
      </c>
      <c r="HM553" s="5" t="s">
        <v>310</v>
      </c>
      <c r="HP553" s="5" t="s">
        <v>272</v>
      </c>
      <c r="HQ553" s="5" t="s">
        <v>272</v>
      </c>
      <c r="HR553" s="5" t="s">
        <v>238</v>
      </c>
      <c r="HS553" s="5" t="s">
        <v>238</v>
      </c>
      <c r="HT553" s="5" t="s">
        <v>238</v>
      </c>
      <c r="HU553" s="5" t="s">
        <v>238</v>
      </c>
      <c r="HV553" s="5" t="s">
        <v>238</v>
      </c>
      <c r="HW553" s="5" t="s">
        <v>238</v>
      </c>
      <c r="HX553" s="5" t="s">
        <v>238</v>
      </c>
      <c r="HY553" s="5" t="s">
        <v>238</v>
      </c>
      <c r="HZ553" s="5" t="s">
        <v>238</v>
      </c>
      <c r="IA553" s="5" t="s">
        <v>238</v>
      </c>
      <c r="IB553" s="5" t="s">
        <v>238</v>
      </c>
      <c r="IC553" s="5" t="s">
        <v>238</v>
      </c>
      <c r="ID553" s="5" t="s">
        <v>238</v>
      </c>
    </row>
    <row r="554" spans="1:238" x14ac:dyDescent="0.4">
      <c r="A554" s="5">
        <v>590</v>
      </c>
      <c r="B554" s="5">
        <v>1</v>
      </c>
      <c r="C554" s="5">
        <v>4</v>
      </c>
      <c r="D554" s="5" t="s">
        <v>856</v>
      </c>
      <c r="E554" s="5" t="s">
        <v>347</v>
      </c>
      <c r="F554" s="5" t="s">
        <v>282</v>
      </c>
      <c r="G554" s="5" t="s">
        <v>349</v>
      </c>
      <c r="H554" s="6" t="s">
        <v>858</v>
      </c>
      <c r="I554" s="5" t="s">
        <v>3129</v>
      </c>
      <c r="J554" s="7">
        <f>0</f>
        <v>0</v>
      </c>
      <c r="K554" s="5" t="s">
        <v>270</v>
      </c>
      <c r="L554" s="8">
        <f>193568</f>
        <v>193568</v>
      </c>
      <c r="M554" s="8">
        <f>279720</f>
        <v>279720</v>
      </c>
      <c r="N554" s="6" t="s">
        <v>447</v>
      </c>
      <c r="O554" s="5" t="s">
        <v>319</v>
      </c>
      <c r="P554" s="5" t="s">
        <v>274</v>
      </c>
      <c r="Q554" s="8">
        <f>21538</f>
        <v>21538</v>
      </c>
      <c r="R554" s="8">
        <f>86152</f>
        <v>86152</v>
      </c>
      <c r="S554" s="5" t="s">
        <v>240</v>
      </c>
      <c r="T554" s="5" t="s">
        <v>287</v>
      </c>
      <c r="U554" s="5" t="s">
        <v>238</v>
      </c>
      <c r="V554" s="5" t="s">
        <v>238</v>
      </c>
      <c r="W554" s="5" t="s">
        <v>241</v>
      </c>
      <c r="X554" s="5" t="s">
        <v>238</v>
      </c>
      <c r="Y554" s="5" t="s">
        <v>238</v>
      </c>
      <c r="AB554" s="5" t="s">
        <v>238</v>
      </c>
      <c r="AC554" s="6" t="s">
        <v>238</v>
      </c>
      <c r="AD554" s="6" t="s">
        <v>238</v>
      </c>
      <c r="AF554" s="6" t="s">
        <v>238</v>
      </c>
      <c r="AG554" s="6" t="s">
        <v>246</v>
      </c>
      <c r="AH554" s="5" t="s">
        <v>247</v>
      </c>
      <c r="AI554" s="5" t="s">
        <v>248</v>
      </c>
      <c r="AO554" s="5" t="s">
        <v>238</v>
      </c>
      <c r="AP554" s="5" t="s">
        <v>238</v>
      </c>
      <c r="AQ554" s="5" t="s">
        <v>238</v>
      </c>
      <c r="AR554" s="6" t="s">
        <v>238</v>
      </c>
      <c r="AS554" s="6" t="s">
        <v>238</v>
      </c>
      <c r="AT554" s="6" t="s">
        <v>238</v>
      </c>
      <c r="AW554" s="5" t="s">
        <v>304</v>
      </c>
      <c r="AX554" s="5" t="s">
        <v>304</v>
      </c>
      <c r="AY554" s="5" t="s">
        <v>250</v>
      </c>
      <c r="AZ554" s="5" t="s">
        <v>305</v>
      </c>
      <c r="BA554" s="5" t="s">
        <v>251</v>
      </c>
      <c r="BB554" s="5" t="s">
        <v>238</v>
      </c>
      <c r="BC554" s="5" t="s">
        <v>253</v>
      </c>
      <c r="BD554" s="5" t="s">
        <v>238</v>
      </c>
      <c r="BF554" s="5" t="s">
        <v>238</v>
      </c>
      <c r="BH554" s="5" t="s">
        <v>283</v>
      </c>
      <c r="BI554" s="6" t="s">
        <v>293</v>
      </c>
      <c r="BJ554" s="5" t="s">
        <v>294</v>
      </c>
      <c r="BK554" s="5" t="s">
        <v>294</v>
      </c>
      <c r="BL554" s="5" t="s">
        <v>238</v>
      </c>
      <c r="BM554" s="7">
        <f>0</f>
        <v>0</v>
      </c>
      <c r="BN554" s="8">
        <f>-21538</f>
        <v>-21538</v>
      </c>
      <c r="BO554" s="5" t="s">
        <v>257</v>
      </c>
      <c r="BP554" s="5" t="s">
        <v>258</v>
      </c>
      <c r="BQ554" s="5" t="s">
        <v>238</v>
      </c>
      <c r="BR554" s="5" t="s">
        <v>238</v>
      </c>
      <c r="BS554" s="5" t="s">
        <v>238</v>
      </c>
      <c r="BT554" s="5" t="s">
        <v>238</v>
      </c>
      <c r="CC554" s="5" t="s">
        <v>258</v>
      </c>
      <c r="CD554" s="5" t="s">
        <v>238</v>
      </c>
      <c r="CE554" s="5" t="s">
        <v>238</v>
      </c>
      <c r="CI554" s="5" t="s">
        <v>259</v>
      </c>
      <c r="CJ554" s="5" t="s">
        <v>260</v>
      </c>
      <c r="CK554" s="5" t="s">
        <v>238</v>
      </c>
      <c r="CM554" s="5" t="s">
        <v>402</v>
      </c>
      <c r="CN554" s="6" t="s">
        <v>262</v>
      </c>
      <c r="CO554" s="5" t="s">
        <v>263</v>
      </c>
      <c r="CP554" s="5" t="s">
        <v>264</v>
      </c>
      <c r="CQ554" s="5" t="s">
        <v>285</v>
      </c>
      <c r="CR554" s="5" t="s">
        <v>238</v>
      </c>
      <c r="CS554" s="5">
        <v>7.6999999999999999E-2</v>
      </c>
      <c r="CT554" s="5" t="s">
        <v>265</v>
      </c>
      <c r="CU554" s="5" t="s">
        <v>351</v>
      </c>
      <c r="CV554" s="5" t="s">
        <v>352</v>
      </c>
      <c r="CW554" s="7">
        <f>0</f>
        <v>0</v>
      </c>
      <c r="CX554" s="8">
        <f>279720</f>
        <v>279720</v>
      </c>
      <c r="CY554" s="8">
        <f>215106</f>
        <v>215106</v>
      </c>
      <c r="DA554" s="5" t="s">
        <v>238</v>
      </c>
      <c r="DB554" s="5" t="s">
        <v>238</v>
      </c>
      <c r="DD554" s="5" t="s">
        <v>238</v>
      </c>
      <c r="DE554" s="8">
        <f>0</f>
        <v>0</v>
      </c>
      <c r="DG554" s="5" t="s">
        <v>238</v>
      </c>
      <c r="DH554" s="5" t="s">
        <v>238</v>
      </c>
      <c r="DI554" s="5" t="s">
        <v>238</v>
      </c>
      <c r="DJ554" s="5" t="s">
        <v>238</v>
      </c>
      <c r="DK554" s="5" t="s">
        <v>272</v>
      </c>
      <c r="DL554" s="5" t="s">
        <v>272</v>
      </c>
      <c r="DM554" s="8" t="s">
        <v>238</v>
      </c>
      <c r="DN554" s="5" t="s">
        <v>238</v>
      </c>
      <c r="DO554" s="5" t="s">
        <v>238</v>
      </c>
      <c r="DP554" s="5" t="s">
        <v>238</v>
      </c>
      <c r="DQ554" s="5" t="s">
        <v>238</v>
      </c>
      <c r="DT554" s="5" t="s">
        <v>862</v>
      </c>
      <c r="DU554" s="5" t="s">
        <v>361</v>
      </c>
      <c r="GL554" s="5" t="s">
        <v>3130</v>
      </c>
      <c r="HM554" s="5" t="s">
        <v>310</v>
      </c>
      <c r="HP554" s="5" t="s">
        <v>272</v>
      </c>
      <c r="HQ554" s="5" t="s">
        <v>272</v>
      </c>
      <c r="HR554" s="5" t="s">
        <v>238</v>
      </c>
      <c r="HS554" s="5" t="s">
        <v>238</v>
      </c>
      <c r="HT554" s="5" t="s">
        <v>238</v>
      </c>
      <c r="HU554" s="5" t="s">
        <v>238</v>
      </c>
      <c r="HV554" s="5" t="s">
        <v>238</v>
      </c>
      <c r="HW554" s="5" t="s">
        <v>238</v>
      </c>
      <c r="HX554" s="5" t="s">
        <v>238</v>
      </c>
      <c r="HY554" s="5" t="s">
        <v>238</v>
      </c>
      <c r="HZ554" s="5" t="s">
        <v>238</v>
      </c>
      <c r="IA554" s="5" t="s">
        <v>238</v>
      </c>
      <c r="IB554" s="5" t="s">
        <v>238</v>
      </c>
      <c r="IC554" s="5" t="s">
        <v>238</v>
      </c>
      <c r="ID554" s="5" t="s">
        <v>238</v>
      </c>
    </row>
    <row r="555" spans="1:238" x14ac:dyDescent="0.4">
      <c r="A555" s="5">
        <v>591</v>
      </c>
      <c r="B555" s="5">
        <v>1</v>
      </c>
      <c r="C555" s="5">
        <v>4</v>
      </c>
      <c r="D555" s="5" t="s">
        <v>856</v>
      </c>
      <c r="E555" s="5" t="s">
        <v>347</v>
      </c>
      <c r="F555" s="5" t="s">
        <v>282</v>
      </c>
      <c r="G555" s="5" t="s">
        <v>349</v>
      </c>
      <c r="H555" s="6" t="s">
        <v>858</v>
      </c>
      <c r="I555" s="5" t="s">
        <v>345</v>
      </c>
      <c r="J555" s="7">
        <f>0</f>
        <v>0</v>
      </c>
      <c r="K555" s="5" t="s">
        <v>270</v>
      </c>
      <c r="L555" s="8">
        <f>47594007</f>
        <v>47594007</v>
      </c>
      <c r="M555" s="8">
        <f>61890774</f>
        <v>61890774</v>
      </c>
      <c r="N555" s="6" t="s">
        <v>348</v>
      </c>
      <c r="O555" s="5" t="s">
        <v>319</v>
      </c>
      <c r="P555" s="5" t="s">
        <v>271</v>
      </c>
      <c r="Q555" s="8">
        <f>4765589</f>
        <v>4765589</v>
      </c>
      <c r="R555" s="8">
        <f>14296767</f>
        <v>14296767</v>
      </c>
      <c r="S555" s="5" t="s">
        <v>240</v>
      </c>
      <c r="T555" s="5" t="s">
        <v>287</v>
      </c>
      <c r="U555" s="5" t="s">
        <v>238</v>
      </c>
      <c r="V555" s="5" t="s">
        <v>238</v>
      </c>
      <c r="W555" s="5" t="s">
        <v>241</v>
      </c>
      <c r="X555" s="5" t="s">
        <v>238</v>
      </c>
      <c r="Y555" s="5" t="s">
        <v>238</v>
      </c>
      <c r="AB555" s="5" t="s">
        <v>238</v>
      </c>
      <c r="AC555" s="6" t="s">
        <v>238</v>
      </c>
      <c r="AD555" s="6" t="s">
        <v>238</v>
      </c>
      <c r="AF555" s="6" t="s">
        <v>238</v>
      </c>
      <c r="AG555" s="6" t="s">
        <v>246</v>
      </c>
      <c r="AH555" s="5" t="s">
        <v>247</v>
      </c>
      <c r="AI555" s="5" t="s">
        <v>248</v>
      </c>
      <c r="AO555" s="5" t="s">
        <v>238</v>
      </c>
      <c r="AP555" s="5" t="s">
        <v>238</v>
      </c>
      <c r="AQ555" s="5" t="s">
        <v>238</v>
      </c>
      <c r="AR555" s="6" t="s">
        <v>238</v>
      </c>
      <c r="AS555" s="6" t="s">
        <v>238</v>
      </c>
      <c r="AT555" s="6" t="s">
        <v>238</v>
      </c>
      <c r="AW555" s="5" t="s">
        <v>304</v>
      </c>
      <c r="AX555" s="5" t="s">
        <v>304</v>
      </c>
      <c r="AY555" s="5" t="s">
        <v>250</v>
      </c>
      <c r="AZ555" s="5" t="s">
        <v>305</v>
      </c>
      <c r="BA555" s="5" t="s">
        <v>251</v>
      </c>
      <c r="BB555" s="5" t="s">
        <v>238</v>
      </c>
      <c r="BC555" s="5" t="s">
        <v>253</v>
      </c>
      <c r="BD555" s="5" t="s">
        <v>238</v>
      </c>
      <c r="BF555" s="5" t="s">
        <v>238</v>
      </c>
      <c r="BH555" s="5" t="s">
        <v>283</v>
      </c>
      <c r="BI555" s="6" t="s">
        <v>293</v>
      </c>
      <c r="BJ555" s="5" t="s">
        <v>294</v>
      </c>
      <c r="BK555" s="5" t="s">
        <v>294</v>
      </c>
      <c r="BL555" s="5" t="s">
        <v>238</v>
      </c>
      <c r="BM555" s="7">
        <f>0</f>
        <v>0</v>
      </c>
      <c r="BN555" s="8">
        <f>-4765589</f>
        <v>-4765589</v>
      </c>
      <c r="BO555" s="5" t="s">
        <v>257</v>
      </c>
      <c r="BP555" s="5" t="s">
        <v>258</v>
      </c>
      <c r="BQ555" s="5" t="s">
        <v>238</v>
      </c>
      <c r="BR555" s="5" t="s">
        <v>238</v>
      </c>
      <c r="BS555" s="5" t="s">
        <v>238</v>
      </c>
      <c r="BT555" s="5" t="s">
        <v>238</v>
      </c>
      <c r="CC555" s="5" t="s">
        <v>258</v>
      </c>
      <c r="CD555" s="5" t="s">
        <v>238</v>
      </c>
      <c r="CE555" s="5" t="s">
        <v>238</v>
      </c>
      <c r="CI555" s="5" t="s">
        <v>259</v>
      </c>
      <c r="CJ555" s="5" t="s">
        <v>260</v>
      </c>
      <c r="CK555" s="5" t="s">
        <v>238</v>
      </c>
      <c r="CM555" s="5" t="s">
        <v>291</v>
      </c>
      <c r="CN555" s="6" t="s">
        <v>262</v>
      </c>
      <c r="CO555" s="5" t="s">
        <v>263</v>
      </c>
      <c r="CP555" s="5" t="s">
        <v>264</v>
      </c>
      <c r="CQ555" s="5" t="s">
        <v>285</v>
      </c>
      <c r="CR555" s="5" t="s">
        <v>238</v>
      </c>
      <c r="CS555" s="5">
        <v>7.6999999999999999E-2</v>
      </c>
      <c r="CT555" s="5" t="s">
        <v>265</v>
      </c>
      <c r="CU555" s="5" t="s">
        <v>351</v>
      </c>
      <c r="CV555" s="5" t="s">
        <v>352</v>
      </c>
      <c r="CW555" s="7">
        <f>0</f>
        <v>0</v>
      </c>
      <c r="CX555" s="8">
        <f>61890774</f>
        <v>61890774</v>
      </c>
      <c r="CY555" s="8">
        <f>52359596</f>
        <v>52359596</v>
      </c>
      <c r="DA555" s="5" t="s">
        <v>238</v>
      </c>
      <c r="DB555" s="5" t="s">
        <v>238</v>
      </c>
      <c r="DD555" s="5" t="s">
        <v>238</v>
      </c>
      <c r="DE555" s="8">
        <f>0</f>
        <v>0</v>
      </c>
      <c r="DG555" s="5" t="s">
        <v>238</v>
      </c>
      <c r="DH555" s="5" t="s">
        <v>238</v>
      </c>
      <c r="DI555" s="5" t="s">
        <v>238</v>
      </c>
      <c r="DJ555" s="5" t="s">
        <v>238</v>
      </c>
      <c r="DK555" s="5" t="s">
        <v>272</v>
      </c>
      <c r="DL555" s="5" t="s">
        <v>272</v>
      </c>
      <c r="DM555" s="8" t="s">
        <v>238</v>
      </c>
      <c r="DN555" s="5" t="s">
        <v>238</v>
      </c>
      <c r="DO555" s="5" t="s">
        <v>238</v>
      </c>
      <c r="DP555" s="5" t="s">
        <v>238</v>
      </c>
      <c r="DQ555" s="5" t="s">
        <v>238</v>
      </c>
      <c r="DT555" s="5" t="s">
        <v>862</v>
      </c>
      <c r="DU555" s="5" t="s">
        <v>377</v>
      </c>
      <c r="GL555" s="5" t="s">
        <v>3128</v>
      </c>
      <c r="HM555" s="5" t="s">
        <v>356</v>
      </c>
      <c r="HP555" s="5" t="s">
        <v>272</v>
      </c>
      <c r="HQ555" s="5" t="s">
        <v>272</v>
      </c>
      <c r="HR555" s="5" t="s">
        <v>238</v>
      </c>
      <c r="HS555" s="5" t="s">
        <v>238</v>
      </c>
      <c r="HT555" s="5" t="s">
        <v>238</v>
      </c>
      <c r="HU555" s="5" t="s">
        <v>238</v>
      </c>
      <c r="HV555" s="5" t="s">
        <v>238</v>
      </c>
      <c r="HW555" s="5" t="s">
        <v>238</v>
      </c>
      <c r="HX555" s="5" t="s">
        <v>238</v>
      </c>
      <c r="HY555" s="5" t="s">
        <v>238</v>
      </c>
      <c r="HZ555" s="5" t="s">
        <v>238</v>
      </c>
      <c r="IA555" s="5" t="s">
        <v>238</v>
      </c>
      <c r="IB555" s="5" t="s">
        <v>238</v>
      </c>
      <c r="IC555" s="5" t="s">
        <v>238</v>
      </c>
      <c r="ID555" s="5" t="s">
        <v>238</v>
      </c>
    </row>
    <row r="556" spans="1:238" x14ac:dyDescent="0.4">
      <c r="A556" s="5">
        <v>592</v>
      </c>
      <c r="B556" s="5">
        <v>1</v>
      </c>
      <c r="C556" s="5">
        <v>4</v>
      </c>
      <c r="D556" s="5" t="s">
        <v>766</v>
      </c>
      <c r="E556" s="5" t="s">
        <v>347</v>
      </c>
      <c r="F556" s="5" t="s">
        <v>282</v>
      </c>
      <c r="G556" s="5" t="s">
        <v>1499</v>
      </c>
      <c r="H556" s="6" t="s">
        <v>413</v>
      </c>
      <c r="I556" s="5" t="s">
        <v>1314</v>
      </c>
      <c r="J556" s="7">
        <f>3710</f>
        <v>3710</v>
      </c>
      <c r="K556" s="5" t="s">
        <v>270</v>
      </c>
      <c r="L556" s="8">
        <f>60102000</f>
        <v>60102000</v>
      </c>
      <c r="M556" s="8">
        <f>500850000</f>
        <v>500850000</v>
      </c>
      <c r="N556" s="6" t="s">
        <v>821</v>
      </c>
      <c r="O556" s="5" t="s">
        <v>898</v>
      </c>
      <c r="P556" s="5" t="s">
        <v>639</v>
      </c>
      <c r="Q556" s="8">
        <f>11018700</f>
        <v>11018700</v>
      </c>
      <c r="R556" s="8">
        <f>440748000</f>
        <v>440748000</v>
      </c>
      <c r="S556" s="5" t="s">
        <v>240</v>
      </c>
      <c r="T556" s="5" t="s">
        <v>237</v>
      </c>
      <c r="U556" s="5" t="s">
        <v>238</v>
      </c>
      <c r="V556" s="5" t="s">
        <v>238</v>
      </c>
      <c r="W556" s="5" t="s">
        <v>241</v>
      </c>
      <c r="X556" s="5" t="s">
        <v>337</v>
      </c>
      <c r="Y556" s="5" t="s">
        <v>238</v>
      </c>
      <c r="AB556" s="5" t="s">
        <v>238</v>
      </c>
      <c r="AC556" s="6" t="s">
        <v>238</v>
      </c>
      <c r="AD556" s="6" t="s">
        <v>238</v>
      </c>
      <c r="AF556" s="6" t="s">
        <v>238</v>
      </c>
      <c r="AG556" s="6" t="s">
        <v>246</v>
      </c>
      <c r="AH556" s="5" t="s">
        <v>247</v>
      </c>
      <c r="AI556" s="5" t="s">
        <v>248</v>
      </c>
      <c r="AO556" s="5" t="s">
        <v>238</v>
      </c>
      <c r="AP556" s="5" t="s">
        <v>238</v>
      </c>
      <c r="AQ556" s="5" t="s">
        <v>238</v>
      </c>
      <c r="AR556" s="6" t="s">
        <v>238</v>
      </c>
      <c r="AS556" s="6" t="s">
        <v>238</v>
      </c>
      <c r="AT556" s="6" t="s">
        <v>238</v>
      </c>
      <c r="AW556" s="5" t="s">
        <v>304</v>
      </c>
      <c r="AX556" s="5" t="s">
        <v>304</v>
      </c>
      <c r="AY556" s="5" t="s">
        <v>250</v>
      </c>
      <c r="AZ556" s="5" t="s">
        <v>305</v>
      </c>
      <c r="BA556" s="5" t="s">
        <v>251</v>
      </c>
      <c r="BB556" s="5" t="s">
        <v>238</v>
      </c>
      <c r="BC556" s="5" t="s">
        <v>253</v>
      </c>
      <c r="BD556" s="5" t="s">
        <v>238</v>
      </c>
      <c r="BF556" s="5" t="s">
        <v>238</v>
      </c>
      <c r="BH556" s="5" t="s">
        <v>283</v>
      </c>
      <c r="BI556" s="6" t="s">
        <v>293</v>
      </c>
      <c r="BJ556" s="5" t="s">
        <v>294</v>
      </c>
      <c r="BK556" s="5" t="s">
        <v>294</v>
      </c>
      <c r="BL556" s="5" t="s">
        <v>238</v>
      </c>
      <c r="BM556" s="7">
        <f>0</f>
        <v>0</v>
      </c>
      <c r="BN556" s="8">
        <f>-11018700</f>
        <v>-11018700</v>
      </c>
      <c r="BO556" s="5" t="s">
        <v>257</v>
      </c>
      <c r="BP556" s="5" t="s">
        <v>258</v>
      </c>
      <c r="BQ556" s="5" t="s">
        <v>238</v>
      </c>
      <c r="BR556" s="5" t="s">
        <v>238</v>
      </c>
      <c r="BS556" s="5" t="s">
        <v>238</v>
      </c>
      <c r="BT556" s="5" t="s">
        <v>238</v>
      </c>
      <c r="CC556" s="5" t="s">
        <v>258</v>
      </c>
      <c r="CD556" s="5" t="s">
        <v>238</v>
      </c>
      <c r="CE556" s="5" t="s">
        <v>238</v>
      </c>
      <c r="CI556" s="5" t="s">
        <v>527</v>
      </c>
      <c r="CJ556" s="5" t="s">
        <v>260</v>
      </c>
      <c r="CK556" s="5" t="s">
        <v>238</v>
      </c>
      <c r="CM556" s="5" t="s">
        <v>822</v>
      </c>
      <c r="CN556" s="6" t="s">
        <v>262</v>
      </c>
      <c r="CO556" s="5" t="s">
        <v>263</v>
      </c>
      <c r="CP556" s="5" t="s">
        <v>264</v>
      </c>
      <c r="CQ556" s="5" t="s">
        <v>285</v>
      </c>
      <c r="CR556" s="5" t="s">
        <v>238</v>
      </c>
      <c r="CS556" s="5">
        <v>2.1999999999999999E-2</v>
      </c>
      <c r="CT556" s="5" t="s">
        <v>265</v>
      </c>
      <c r="CU556" s="5" t="s">
        <v>1493</v>
      </c>
      <c r="CV556" s="5" t="s">
        <v>308</v>
      </c>
      <c r="CW556" s="7">
        <f>0</f>
        <v>0</v>
      </c>
      <c r="CX556" s="8">
        <f>500850000</f>
        <v>500850000</v>
      </c>
      <c r="CY556" s="8">
        <f>71120700</f>
        <v>71120700</v>
      </c>
      <c r="DA556" s="5" t="s">
        <v>238</v>
      </c>
      <c r="DB556" s="5" t="s">
        <v>238</v>
      </c>
      <c r="DD556" s="5" t="s">
        <v>238</v>
      </c>
      <c r="DE556" s="8">
        <f>0</f>
        <v>0</v>
      </c>
      <c r="DG556" s="5" t="s">
        <v>238</v>
      </c>
      <c r="DH556" s="5" t="s">
        <v>238</v>
      </c>
      <c r="DI556" s="5" t="s">
        <v>238</v>
      </c>
      <c r="DJ556" s="5" t="s">
        <v>238</v>
      </c>
      <c r="DK556" s="5" t="s">
        <v>356</v>
      </c>
      <c r="DL556" s="5" t="s">
        <v>272</v>
      </c>
      <c r="DM556" s="7">
        <f>3710</f>
        <v>3710</v>
      </c>
      <c r="DN556" s="5" t="s">
        <v>238</v>
      </c>
      <c r="DO556" s="5" t="s">
        <v>238</v>
      </c>
      <c r="DP556" s="5" t="s">
        <v>238</v>
      </c>
      <c r="DQ556" s="5" t="s">
        <v>238</v>
      </c>
      <c r="DT556" s="5" t="s">
        <v>769</v>
      </c>
      <c r="DU556" s="5" t="s">
        <v>271</v>
      </c>
      <c r="GL556" s="5" t="s">
        <v>1638</v>
      </c>
      <c r="HM556" s="5" t="s">
        <v>313</v>
      </c>
      <c r="HP556" s="5" t="s">
        <v>272</v>
      </c>
      <c r="HQ556" s="5" t="s">
        <v>272</v>
      </c>
      <c r="HR556" s="5" t="s">
        <v>238</v>
      </c>
      <c r="HS556" s="5" t="s">
        <v>238</v>
      </c>
      <c r="HT556" s="5" t="s">
        <v>238</v>
      </c>
      <c r="HU556" s="5" t="s">
        <v>238</v>
      </c>
      <c r="HV556" s="5" t="s">
        <v>238</v>
      </c>
      <c r="HW556" s="5" t="s">
        <v>238</v>
      </c>
      <c r="HX556" s="5" t="s">
        <v>238</v>
      </c>
      <c r="HY556" s="5" t="s">
        <v>238</v>
      </c>
      <c r="HZ556" s="5" t="s">
        <v>238</v>
      </c>
      <c r="IA556" s="5" t="s">
        <v>238</v>
      </c>
      <c r="IB556" s="5" t="s">
        <v>238</v>
      </c>
      <c r="IC556" s="5" t="s">
        <v>238</v>
      </c>
      <c r="ID556" s="5" t="s">
        <v>238</v>
      </c>
    </row>
    <row r="557" spans="1:238" x14ac:dyDescent="0.4">
      <c r="A557" s="5">
        <v>593</v>
      </c>
      <c r="B557" s="5">
        <v>1</v>
      </c>
      <c r="C557" s="5">
        <v>4</v>
      </c>
      <c r="D557" s="5" t="s">
        <v>766</v>
      </c>
      <c r="E557" s="5" t="s">
        <v>347</v>
      </c>
      <c r="F557" s="5" t="s">
        <v>282</v>
      </c>
      <c r="G557" s="5" t="s">
        <v>1666</v>
      </c>
      <c r="H557" s="6" t="s">
        <v>413</v>
      </c>
      <c r="I557" s="5" t="s">
        <v>1308</v>
      </c>
      <c r="J557" s="7">
        <f>1588</f>
        <v>1588</v>
      </c>
      <c r="K557" s="5" t="s">
        <v>270</v>
      </c>
      <c r="L557" s="8">
        <f>92040480</f>
        <v>92040480</v>
      </c>
      <c r="M557" s="8">
        <f>365240000</f>
        <v>365240000</v>
      </c>
      <c r="N557" s="6" t="s">
        <v>1063</v>
      </c>
      <c r="O557" s="5" t="s">
        <v>898</v>
      </c>
      <c r="P557" s="5" t="s">
        <v>991</v>
      </c>
      <c r="Q557" s="8">
        <f>8035280</f>
        <v>8035280</v>
      </c>
      <c r="R557" s="8">
        <f>273199520</f>
        <v>273199520</v>
      </c>
      <c r="S557" s="5" t="s">
        <v>240</v>
      </c>
      <c r="T557" s="5" t="s">
        <v>237</v>
      </c>
      <c r="U557" s="5" t="s">
        <v>238</v>
      </c>
      <c r="V557" s="5" t="s">
        <v>238</v>
      </c>
      <c r="W557" s="5" t="s">
        <v>241</v>
      </c>
      <c r="X557" s="5" t="s">
        <v>337</v>
      </c>
      <c r="Y557" s="5" t="s">
        <v>238</v>
      </c>
      <c r="AB557" s="5" t="s">
        <v>238</v>
      </c>
      <c r="AC557" s="6" t="s">
        <v>238</v>
      </c>
      <c r="AD557" s="6" t="s">
        <v>238</v>
      </c>
      <c r="AF557" s="6" t="s">
        <v>238</v>
      </c>
      <c r="AG557" s="6" t="s">
        <v>246</v>
      </c>
      <c r="AH557" s="5" t="s">
        <v>247</v>
      </c>
      <c r="AI557" s="5" t="s">
        <v>248</v>
      </c>
      <c r="AO557" s="5" t="s">
        <v>238</v>
      </c>
      <c r="AP557" s="5" t="s">
        <v>238</v>
      </c>
      <c r="AQ557" s="5" t="s">
        <v>238</v>
      </c>
      <c r="AR557" s="6" t="s">
        <v>238</v>
      </c>
      <c r="AS557" s="6" t="s">
        <v>238</v>
      </c>
      <c r="AT557" s="6" t="s">
        <v>238</v>
      </c>
      <c r="AW557" s="5" t="s">
        <v>304</v>
      </c>
      <c r="AX557" s="5" t="s">
        <v>304</v>
      </c>
      <c r="AY557" s="5" t="s">
        <v>250</v>
      </c>
      <c r="AZ557" s="5" t="s">
        <v>305</v>
      </c>
      <c r="BA557" s="5" t="s">
        <v>251</v>
      </c>
      <c r="BB557" s="5" t="s">
        <v>238</v>
      </c>
      <c r="BC557" s="5" t="s">
        <v>253</v>
      </c>
      <c r="BD557" s="5" t="s">
        <v>238</v>
      </c>
      <c r="BF557" s="5" t="s">
        <v>238</v>
      </c>
      <c r="BH557" s="5" t="s">
        <v>283</v>
      </c>
      <c r="BI557" s="6" t="s">
        <v>293</v>
      </c>
      <c r="BJ557" s="5" t="s">
        <v>294</v>
      </c>
      <c r="BK557" s="5" t="s">
        <v>294</v>
      </c>
      <c r="BL557" s="5" t="s">
        <v>238</v>
      </c>
      <c r="BM557" s="7">
        <f>0</f>
        <v>0</v>
      </c>
      <c r="BN557" s="8">
        <f>-8035280</f>
        <v>-8035280</v>
      </c>
      <c r="BO557" s="5" t="s">
        <v>257</v>
      </c>
      <c r="BP557" s="5" t="s">
        <v>258</v>
      </c>
      <c r="BQ557" s="5" t="s">
        <v>238</v>
      </c>
      <c r="BR557" s="5" t="s">
        <v>238</v>
      </c>
      <c r="BS557" s="5" t="s">
        <v>238</v>
      </c>
      <c r="BT557" s="5" t="s">
        <v>238</v>
      </c>
      <c r="CC557" s="5" t="s">
        <v>258</v>
      </c>
      <c r="CD557" s="5" t="s">
        <v>238</v>
      </c>
      <c r="CE557" s="5" t="s">
        <v>238</v>
      </c>
      <c r="CI557" s="5" t="s">
        <v>259</v>
      </c>
      <c r="CJ557" s="5" t="s">
        <v>260</v>
      </c>
      <c r="CK557" s="5" t="s">
        <v>238</v>
      </c>
      <c r="CM557" s="5" t="s">
        <v>1064</v>
      </c>
      <c r="CN557" s="6" t="s">
        <v>262</v>
      </c>
      <c r="CO557" s="5" t="s">
        <v>263</v>
      </c>
      <c r="CP557" s="5" t="s">
        <v>264</v>
      </c>
      <c r="CQ557" s="5" t="s">
        <v>285</v>
      </c>
      <c r="CR557" s="5" t="s">
        <v>238</v>
      </c>
      <c r="CS557" s="5">
        <v>2.1999999999999999E-2</v>
      </c>
      <c r="CT557" s="5" t="s">
        <v>265</v>
      </c>
      <c r="CU557" s="5" t="s">
        <v>1330</v>
      </c>
      <c r="CV557" s="5" t="s">
        <v>308</v>
      </c>
      <c r="CW557" s="7">
        <f>0</f>
        <v>0</v>
      </c>
      <c r="CX557" s="8">
        <f>365240000</f>
        <v>365240000</v>
      </c>
      <c r="CY557" s="8">
        <f>100075760</f>
        <v>100075760</v>
      </c>
      <c r="DA557" s="5" t="s">
        <v>238</v>
      </c>
      <c r="DB557" s="5" t="s">
        <v>238</v>
      </c>
      <c r="DD557" s="5" t="s">
        <v>238</v>
      </c>
      <c r="DE557" s="8">
        <f>0</f>
        <v>0</v>
      </c>
      <c r="DG557" s="5" t="s">
        <v>238</v>
      </c>
      <c r="DH557" s="5" t="s">
        <v>238</v>
      </c>
      <c r="DI557" s="5" t="s">
        <v>238</v>
      </c>
      <c r="DJ557" s="5" t="s">
        <v>238</v>
      </c>
      <c r="DK557" s="5" t="s">
        <v>274</v>
      </c>
      <c r="DL557" s="5" t="s">
        <v>272</v>
      </c>
      <c r="DM557" s="7">
        <f>1588</f>
        <v>1588</v>
      </c>
      <c r="DN557" s="5" t="s">
        <v>238</v>
      </c>
      <c r="DO557" s="5" t="s">
        <v>238</v>
      </c>
      <c r="DP557" s="5" t="s">
        <v>238</v>
      </c>
      <c r="DQ557" s="5" t="s">
        <v>238</v>
      </c>
      <c r="DT557" s="5" t="s">
        <v>769</v>
      </c>
      <c r="DU557" s="5" t="s">
        <v>274</v>
      </c>
      <c r="GL557" s="5" t="s">
        <v>1798</v>
      </c>
      <c r="HM557" s="5" t="s">
        <v>313</v>
      </c>
      <c r="HP557" s="5" t="s">
        <v>272</v>
      </c>
      <c r="HQ557" s="5" t="s">
        <v>272</v>
      </c>
      <c r="HR557" s="5" t="s">
        <v>238</v>
      </c>
      <c r="HS557" s="5" t="s">
        <v>238</v>
      </c>
      <c r="HT557" s="5" t="s">
        <v>238</v>
      </c>
      <c r="HU557" s="5" t="s">
        <v>238</v>
      </c>
      <c r="HV557" s="5" t="s">
        <v>238</v>
      </c>
      <c r="HW557" s="5" t="s">
        <v>238</v>
      </c>
      <c r="HX557" s="5" t="s">
        <v>238</v>
      </c>
      <c r="HY557" s="5" t="s">
        <v>238</v>
      </c>
      <c r="HZ557" s="5" t="s">
        <v>238</v>
      </c>
      <c r="IA557" s="5" t="s">
        <v>238</v>
      </c>
      <c r="IB557" s="5" t="s">
        <v>238</v>
      </c>
      <c r="IC557" s="5" t="s">
        <v>238</v>
      </c>
      <c r="ID557" s="5" t="s">
        <v>238</v>
      </c>
    </row>
    <row r="558" spans="1:238" x14ac:dyDescent="0.4">
      <c r="A558" s="5">
        <v>594</v>
      </c>
      <c r="B558" s="5">
        <v>1</v>
      </c>
      <c r="C558" s="5">
        <v>1</v>
      </c>
      <c r="D558" s="5" t="s">
        <v>766</v>
      </c>
      <c r="E558" s="5" t="s">
        <v>347</v>
      </c>
      <c r="F558" s="5" t="s">
        <v>282</v>
      </c>
      <c r="G558" s="5" t="s">
        <v>239</v>
      </c>
      <c r="H558" s="6" t="s">
        <v>413</v>
      </c>
      <c r="I558" s="5" t="s">
        <v>239</v>
      </c>
      <c r="J558" s="7">
        <f>167</f>
        <v>167</v>
      </c>
      <c r="K558" s="5" t="s">
        <v>270</v>
      </c>
      <c r="L558" s="8">
        <f>1</f>
        <v>1</v>
      </c>
      <c r="M558" s="8">
        <f>10020000</f>
        <v>10020000</v>
      </c>
      <c r="N558" s="6" t="s">
        <v>848</v>
      </c>
      <c r="O558" s="5" t="s">
        <v>650</v>
      </c>
      <c r="P558" s="5" t="s">
        <v>850</v>
      </c>
      <c r="R558" s="8">
        <f>10019999</f>
        <v>10019999</v>
      </c>
      <c r="S558" s="5" t="s">
        <v>240</v>
      </c>
      <c r="T558" s="5" t="s">
        <v>237</v>
      </c>
      <c r="U558" s="5" t="s">
        <v>238</v>
      </c>
      <c r="V558" s="5" t="s">
        <v>238</v>
      </c>
      <c r="W558" s="5" t="s">
        <v>241</v>
      </c>
      <c r="X558" s="5" t="s">
        <v>337</v>
      </c>
      <c r="Y558" s="5" t="s">
        <v>238</v>
      </c>
      <c r="AB558" s="5" t="s">
        <v>238</v>
      </c>
      <c r="AD558" s="6" t="s">
        <v>238</v>
      </c>
      <c r="AG558" s="6" t="s">
        <v>246</v>
      </c>
      <c r="AH558" s="5" t="s">
        <v>247</v>
      </c>
      <c r="AI558" s="5" t="s">
        <v>248</v>
      </c>
      <c r="AY558" s="5" t="s">
        <v>250</v>
      </c>
      <c r="AZ558" s="5" t="s">
        <v>238</v>
      </c>
      <c r="BA558" s="5" t="s">
        <v>251</v>
      </c>
      <c r="BB558" s="5" t="s">
        <v>238</v>
      </c>
      <c r="BC558" s="5" t="s">
        <v>253</v>
      </c>
      <c r="BD558" s="5" t="s">
        <v>238</v>
      </c>
      <c r="BF558" s="5" t="s">
        <v>238</v>
      </c>
      <c r="BH558" s="5" t="s">
        <v>697</v>
      </c>
      <c r="BI558" s="6" t="s">
        <v>698</v>
      </c>
      <c r="BJ558" s="5" t="s">
        <v>255</v>
      </c>
      <c r="BK558" s="5" t="s">
        <v>256</v>
      </c>
      <c r="BL558" s="5" t="s">
        <v>238</v>
      </c>
      <c r="BM558" s="7">
        <f>0</f>
        <v>0</v>
      </c>
      <c r="BN558" s="8">
        <f>0</f>
        <v>0</v>
      </c>
      <c r="BO558" s="5" t="s">
        <v>257</v>
      </c>
      <c r="BP558" s="5" t="s">
        <v>258</v>
      </c>
      <c r="CD558" s="5" t="s">
        <v>238</v>
      </c>
      <c r="CE558" s="5" t="s">
        <v>238</v>
      </c>
      <c r="CI558" s="5" t="s">
        <v>527</v>
      </c>
      <c r="CJ558" s="5" t="s">
        <v>260</v>
      </c>
      <c r="CK558" s="5" t="s">
        <v>238</v>
      </c>
      <c r="CM558" s="5" t="s">
        <v>849</v>
      </c>
      <c r="CN558" s="6" t="s">
        <v>262</v>
      </c>
      <c r="CO558" s="5" t="s">
        <v>263</v>
      </c>
      <c r="CP558" s="5" t="s">
        <v>264</v>
      </c>
      <c r="CQ558" s="5" t="s">
        <v>238</v>
      </c>
      <c r="CR558" s="5" t="s">
        <v>238</v>
      </c>
      <c r="CS558" s="5">
        <v>0</v>
      </c>
      <c r="CT558" s="5" t="s">
        <v>265</v>
      </c>
      <c r="CU558" s="5" t="s">
        <v>266</v>
      </c>
      <c r="CV558" s="5" t="s">
        <v>649</v>
      </c>
      <c r="CX558" s="8">
        <f>10020000</f>
        <v>10020000</v>
      </c>
      <c r="CY558" s="8">
        <f>0</f>
        <v>0</v>
      </c>
      <c r="DA558" s="5" t="s">
        <v>238</v>
      </c>
      <c r="DB558" s="5" t="s">
        <v>238</v>
      </c>
      <c r="DD558" s="5" t="s">
        <v>238</v>
      </c>
      <c r="DG558" s="5" t="s">
        <v>238</v>
      </c>
      <c r="DH558" s="5" t="s">
        <v>238</v>
      </c>
      <c r="DI558" s="5" t="s">
        <v>238</v>
      </c>
      <c r="DJ558" s="5" t="s">
        <v>238</v>
      </c>
      <c r="DK558" s="5" t="s">
        <v>271</v>
      </c>
      <c r="DL558" s="5" t="s">
        <v>272</v>
      </c>
      <c r="DM558" s="7">
        <f>167</f>
        <v>167</v>
      </c>
      <c r="DN558" s="5" t="s">
        <v>238</v>
      </c>
      <c r="DO558" s="5" t="s">
        <v>238</v>
      </c>
      <c r="DP558" s="5" t="s">
        <v>238</v>
      </c>
      <c r="DQ558" s="5" t="s">
        <v>238</v>
      </c>
      <c r="DT558" s="5" t="s">
        <v>769</v>
      </c>
      <c r="DU558" s="5" t="s">
        <v>356</v>
      </c>
      <c r="HM558" s="5" t="s">
        <v>271</v>
      </c>
      <c r="HP558" s="5" t="s">
        <v>272</v>
      </c>
      <c r="HQ558" s="5" t="s">
        <v>272</v>
      </c>
    </row>
    <row r="559" spans="1:238" x14ac:dyDescent="0.4">
      <c r="A559" s="5">
        <v>595</v>
      </c>
      <c r="B559" s="5">
        <v>1</v>
      </c>
      <c r="C559" s="5">
        <v>1</v>
      </c>
      <c r="D559" s="5" t="s">
        <v>766</v>
      </c>
      <c r="E559" s="5" t="s">
        <v>347</v>
      </c>
      <c r="F559" s="5" t="s">
        <v>282</v>
      </c>
      <c r="G559" s="5" t="s">
        <v>239</v>
      </c>
      <c r="H559" s="6" t="s">
        <v>413</v>
      </c>
      <c r="I559" s="5" t="s">
        <v>239</v>
      </c>
      <c r="J559" s="7">
        <f>58</f>
        <v>58</v>
      </c>
      <c r="K559" s="5" t="s">
        <v>270</v>
      </c>
      <c r="L559" s="8">
        <f>1</f>
        <v>1</v>
      </c>
      <c r="M559" s="8">
        <f>3480000</f>
        <v>3480000</v>
      </c>
      <c r="N559" s="6" t="s">
        <v>821</v>
      </c>
      <c r="O559" s="5" t="s">
        <v>650</v>
      </c>
      <c r="P559" s="5" t="s">
        <v>309</v>
      </c>
      <c r="R559" s="8">
        <f>3479999</f>
        <v>3479999</v>
      </c>
      <c r="S559" s="5" t="s">
        <v>240</v>
      </c>
      <c r="T559" s="5" t="s">
        <v>237</v>
      </c>
      <c r="U559" s="5" t="s">
        <v>238</v>
      </c>
      <c r="V559" s="5" t="s">
        <v>238</v>
      </c>
      <c r="W559" s="5" t="s">
        <v>241</v>
      </c>
      <c r="X559" s="5" t="s">
        <v>337</v>
      </c>
      <c r="Y559" s="5" t="s">
        <v>238</v>
      </c>
      <c r="AB559" s="5" t="s">
        <v>238</v>
      </c>
      <c r="AD559" s="6" t="s">
        <v>238</v>
      </c>
      <c r="AG559" s="6" t="s">
        <v>246</v>
      </c>
      <c r="AH559" s="5" t="s">
        <v>247</v>
      </c>
      <c r="AI559" s="5" t="s">
        <v>248</v>
      </c>
      <c r="AY559" s="5" t="s">
        <v>250</v>
      </c>
      <c r="AZ559" s="5" t="s">
        <v>238</v>
      </c>
      <c r="BA559" s="5" t="s">
        <v>251</v>
      </c>
      <c r="BB559" s="5" t="s">
        <v>238</v>
      </c>
      <c r="BC559" s="5" t="s">
        <v>253</v>
      </c>
      <c r="BD559" s="5" t="s">
        <v>238</v>
      </c>
      <c r="BF559" s="5" t="s">
        <v>238</v>
      </c>
      <c r="BH559" s="5" t="s">
        <v>798</v>
      </c>
      <c r="BI559" s="6" t="s">
        <v>799</v>
      </c>
      <c r="BJ559" s="5" t="s">
        <v>255</v>
      </c>
      <c r="BK559" s="5" t="s">
        <v>256</v>
      </c>
      <c r="BL559" s="5" t="s">
        <v>238</v>
      </c>
      <c r="BM559" s="7">
        <f>0</f>
        <v>0</v>
      </c>
      <c r="BN559" s="8">
        <f>0</f>
        <v>0</v>
      </c>
      <c r="BO559" s="5" t="s">
        <v>257</v>
      </c>
      <c r="BP559" s="5" t="s">
        <v>258</v>
      </c>
      <c r="CD559" s="5" t="s">
        <v>238</v>
      </c>
      <c r="CE559" s="5" t="s">
        <v>238</v>
      </c>
      <c r="CI559" s="5" t="s">
        <v>527</v>
      </c>
      <c r="CJ559" s="5" t="s">
        <v>260</v>
      </c>
      <c r="CK559" s="5" t="s">
        <v>238</v>
      </c>
      <c r="CM559" s="5" t="s">
        <v>822</v>
      </c>
      <c r="CN559" s="6" t="s">
        <v>262</v>
      </c>
      <c r="CO559" s="5" t="s">
        <v>263</v>
      </c>
      <c r="CP559" s="5" t="s">
        <v>264</v>
      </c>
      <c r="CQ559" s="5" t="s">
        <v>238</v>
      </c>
      <c r="CR559" s="5" t="s">
        <v>238</v>
      </c>
      <c r="CS559" s="5">
        <v>0</v>
      </c>
      <c r="CT559" s="5" t="s">
        <v>265</v>
      </c>
      <c r="CU559" s="5" t="s">
        <v>266</v>
      </c>
      <c r="CV559" s="5" t="s">
        <v>649</v>
      </c>
      <c r="CX559" s="8">
        <f>3480000</f>
        <v>3480000</v>
      </c>
      <c r="CY559" s="8">
        <f>0</f>
        <v>0</v>
      </c>
      <c r="DA559" s="5" t="s">
        <v>238</v>
      </c>
      <c r="DB559" s="5" t="s">
        <v>238</v>
      </c>
      <c r="DD559" s="5" t="s">
        <v>238</v>
      </c>
      <c r="DG559" s="5" t="s">
        <v>238</v>
      </c>
      <c r="DH559" s="5" t="s">
        <v>238</v>
      </c>
      <c r="DI559" s="5" t="s">
        <v>238</v>
      </c>
      <c r="DJ559" s="5" t="s">
        <v>238</v>
      </c>
      <c r="DK559" s="5" t="s">
        <v>271</v>
      </c>
      <c r="DL559" s="5" t="s">
        <v>272</v>
      </c>
      <c r="DM559" s="7">
        <f>58</f>
        <v>58</v>
      </c>
      <c r="DN559" s="5" t="s">
        <v>238</v>
      </c>
      <c r="DO559" s="5" t="s">
        <v>238</v>
      </c>
      <c r="DP559" s="5" t="s">
        <v>238</v>
      </c>
      <c r="DQ559" s="5" t="s">
        <v>238</v>
      </c>
      <c r="DT559" s="5" t="s">
        <v>769</v>
      </c>
      <c r="DU559" s="5" t="s">
        <v>310</v>
      </c>
      <c r="HM559" s="5" t="s">
        <v>271</v>
      </c>
      <c r="HP559" s="5" t="s">
        <v>272</v>
      </c>
      <c r="HQ559" s="5" t="s">
        <v>272</v>
      </c>
    </row>
    <row r="560" spans="1:238" x14ac:dyDescent="0.4">
      <c r="A560" s="5">
        <v>596</v>
      </c>
      <c r="B560" s="5">
        <v>1</v>
      </c>
      <c r="C560" s="5">
        <v>1</v>
      </c>
      <c r="D560" s="5" t="s">
        <v>766</v>
      </c>
      <c r="E560" s="5" t="s">
        <v>347</v>
      </c>
      <c r="F560" s="5" t="s">
        <v>282</v>
      </c>
      <c r="G560" s="5" t="s">
        <v>239</v>
      </c>
      <c r="H560" s="6" t="s">
        <v>413</v>
      </c>
      <c r="I560" s="5" t="s">
        <v>239</v>
      </c>
      <c r="J560" s="7">
        <f>14</f>
        <v>14</v>
      </c>
      <c r="K560" s="5" t="s">
        <v>270</v>
      </c>
      <c r="L560" s="8">
        <f>1</f>
        <v>1</v>
      </c>
      <c r="M560" s="8">
        <f>1330000</f>
        <v>1330000</v>
      </c>
      <c r="N560" s="6" t="s">
        <v>767</v>
      </c>
      <c r="O560" s="5" t="s">
        <v>651</v>
      </c>
      <c r="P560" s="5" t="s">
        <v>651</v>
      </c>
      <c r="R560" s="8">
        <f>1329999</f>
        <v>1329999</v>
      </c>
      <c r="S560" s="5" t="s">
        <v>240</v>
      </c>
      <c r="T560" s="5" t="s">
        <v>237</v>
      </c>
      <c r="U560" s="5" t="s">
        <v>238</v>
      </c>
      <c r="V560" s="5" t="s">
        <v>238</v>
      </c>
      <c r="W560" s="5" t="s">
        <v>241</v>
      </c>
      <c r="X560" s="5" t="s">
        <v>337</v>
      </c>
      <c r="Y560" s="5" t="s">
        <v>238</v>
      </c>
      <c r="AB560" s="5" t="s">
        <v>238</v>
      </c>
      <c r="AD560" s="6" t="s">
        <v>238</v>
      </c>
      <c r="AG560" s="6" t="s">
        <v>246</v>
      </c>
      <c r="AH560" s="5" t="s">
        <v>247</v>
      </c>
      <c r="AI560" s="5" t="s">
        <v>248</v>
      </c>
      <c r="AY560" s="5" t="s">
        <v>250</v>
      </c>
      <c r="AZ560" s="5" t="s">
        <v>238</v>
      </c>
      <c r="BA560" s="5" t="s">
        <v>251</v>
      </c>
      <c r="BB560" s="5" t="s">
        <v>238</v>
      </c>
      <c r="BC560" s="5" t="s">
        <v>253</v>
      </c>
      <c r="BD560" s="5" t="s">
        <v>238</v>
      </c>
      <c r="BF560" s="5" t="s">
        <v>238</v>
      </c>
      <c r="BH560" s="5" t="s">
        <v>254</v>
      </c>
      <c r="BI560" s="6" t="s">
        <v>246</v>
      </c>
      <c r="BJ560" s="5" t="s">
        <v>255</v>
      </c>
      <c r="BK560" s="5" t="s">
        <v>256</v>
      </c>
      <c r="BL560" s="5" t="s">
        <v>238</v>
      </c>
      <c r="BM560" s="7">
        <f>0</f>
        <v>0</v>
      </c>
      <c r="BN560" s="8">
        <f>0</f>
        <v>0</v>
      </c>
      <c r="BO560" s="5" t="s">
        <v>257</v>
      </c>
      <c r="BP560" s="5" t="s">
        <v>258</v>
      </c>
      <c r="CD560" s="5" t="s">
        <v>238</v>
      </c>
      <c r="CE560" s="5" t="s">
        <v>238</v>
      </c>
      <c r="CI560" s="5" t="s">
        <v>259</v>
      </c>
      <c r="CJ560" s="5" t="s">
        <v>260</v>
      </c>
      <c r="CK560" s="5" t="s">
        <v>238</v>
      </c>
      <c r="CM560" s="5" t="s">
        <v>768</v>
      </c>
      <c r="CN560" s="6" t="s">
        <v>262</v>
      </c>
      <c r="CO560" s="5" t="s">
        <v>263</v>
      </c>
      <c r="CP560" s="5" t="s">
        <v>264</v>
      </c>
      <c r="CQ560" s="5" t="s">
        <v>238</v>
      </c>
      <c r="CR560" s="5" t="s">
        <v>238</v>
      </c>
      <c r="CS560" s="5">
        <v>0</v>
      </c>
      <c r="CT560" s="5" t="s">
        <v>265</v>
      </c>
      <c r="CU560" s="5" t="s">
        <v>266</v>
      </c>
      <c r="CV560" s="5" t="s">
        <v>331</v>
      </c>
      <c r="CX560" s="8">
        <f>1330000</f>
        <v>1330000</v>
      </c>
      <c r="CY560" s="8">
        <f>0</f>
        <v>0</v>
      </c>
      <c r="DA560" s="5" t="s">
        <v>238</v>
      </c>
      <c r="DB560" s="5" t="s">
        <v>238</v>
      </c>
      <c r="DD560" s="5" t="s">
        <v>238</v>
      </c>
      <c r="DG560" s="5" t="s">
        <v>238</v>
      </c>
      <c r="DH560" s="5" t="s">
        <v>238</v>
      </c>
      <c r="DI560" s="5" t="s">
        <v>238</v>
      </c>
      <c r="DJ560" s="5" t="s">
        <v>238</v>
      </c>
      <c r="DK560" s="5" t="s">
        <v>271</v>
      </c>
      <c r="DL560" s="5" t="s">
        <v>272</v>
      </c>
      <c r="DM560" s="7">
        <f>14</f>
        <v>14</v>
      </c>
      <c r="DN560" s="5" t="s">
        <v>238</v>
      </c>
      <c r="DO560" s="5" t="s">
        <v>238</v>
      </c>
      <c r="DP560" s="5" t="s">
        <v>238</v>
      </c>
      <c r="DQ560" s="5" t="s">
        <v>238</v>
      </c>
      <c r="DT560" s="5" t="s">
        <v>769</v>
      </c>
      <c r="DU560" s="5" t="s">
        <v>379</v>
      </c>
      <c r="HM560" s="5" t="s">
        <v>271</v>
      </c>
      <c r="HP560" s="5" t="s">
        <v>272</v>
      </c>
      <c r="HQ560" s="5" t="s">
        <v>272</v>
      </c>
    </row>
    <row r="561" spans="1:238" x14ac:dyDescent="0.4">
      <c r="A561" s="5">
        <v>597</v>
      </c>
      <c r="B561" s="5">
        <v>1</v>
      </c>
      <c r="C561" s="5">
        <v>1</v>
      </c>
      <c r="D561" s="5" t="s">
        <v>766</v>
      </c>
      <c r="E561" s="5" t="s">
        <v>347</v>
      </c>
      <c r="F561" s="5" t="s">
        <v>282</v>
      </c>
      <c r="G561" s="5" t="s">
        <v>239</v>
      </c>
      <c r="H561" s="6" t="s">
        <v>413</v>
      </c>
      <c r="I561" s="5" t="s">
        <v>239</v>
      </c>
      <c r="J561" s="7">
        <f>14</f>
        <v>14</v>
      </c>
      <c r="K561" s="5" t="s">
        <v>270</v>
      </c>
      <c r="L561" s="8">
        <f>1</f>
        <v>1</v>
      </c>
      <c r="M561" s="8">
        <f>1330000</f>
        <v>1330000</v>
      </c>
      <c r="N561" s="6" t="s">
        <v>767</v>
      </c>
      <c r="O561" s="5" t="s">
        <v>651</v>
      </c>
      <c r="P561" s="5" t="s">
        <v>651</v>
      </c>
      <c r="R561" s="8">
        <f>1329999</f>
        <v>1329999</v>
      </c>
      <c r="S561" s="5" t="s">
        <v>240</v>
      </c>
      <c r="T561" s="5" t="s">
        <v>237</v>
      </c>
      <c r="U561" s="5" t="s">
        <v>238</v>
      </c>
      <c r="V561" s="5" t="s">
        <v>238</v>
      </c>
      <c r="W561" s="5" t="s">
        <v>241</v>
      </c>
      <c r="X561" s="5" t="s">
        <v>337</v>
      </c>
      <c r="Y561" s="5" t="s">
        <v>238</v>
      </c>
      <c r="AB561" s="5" t="s">
        <v>238</v>
      </c>
      <c r="AD561" s="6" t="s">
        <v>238</v>
      </c>
      <c r="AG561" s="6" t="s">
        <v>246</v>
      </c>
      <c r="AH561" s="5" t="s">
        <v>247</v>
      </c>
      <c r="AI561" s="5" t="s">
        <v>248</v>
      </c>
      <c r="AY561" s="5" t="s">
        <v>250</v>
      </c>
      <c r="AZ561" s="5" t="s">
        <v>238</v>
      </c>
      <c r="BA561" s="5" t="s">
        <v>251</v>
      </c>
      <c r="BB561" s="5" t="s">
        <v>238</v>
      </c>
      <c r="BC561" s="5" t="s">
        <v>253</v>
      </c>
      <c r="BD561" s="5" t="s">
        <v>238</v>
      </c>
      <c r="BF561" s="5" t="s">
        <v>770</v>
      </c>
      <c r="BH561" s="5" t="s">
        <v>254</v>
      </c>
      <c r="BI561" s="6" t="s">
        <v>246</v>
      </c>
      <c r="BJ561" s="5" t="s">
        <v>255</v>
      </c>
      <c r="BK561" s="5" t="s">
        <v>256</v>
      </c>
      <c r="BL561" s="5" t="s">
        <v>238</v>
      </c>
      <c r="BM561" s="7">
        <f>0</f>
        <v>0</v>
      </c>
      <c r="BN561" s="8">
        <f>0</f>
        <v>0</v>
      </c>
      <c r="BO561" s="5" t="s">
        <v>257</v>
      </c>
      <c r="BP561" s="5" t="s">
        <v>258</v>
      </c>
      <c r="CD561" s="5" t="s">
        <v>238</v>
      </c>
      <c r="CE561" s="5" t="s">
        <v>238</v>
      </c>
      <c r="CI561" s="5" t="s">
        <v>259</v>
      </c>
      <c r="CJ561" s="5" t="s">
        <v>260</v>
      </c>
      <c r="CK561" s="5" t="s">
        <v>238</v>
      </c>
      <c r="CM561" s="5" t="s">
        <v>768</v>
      </c>
      <c r="CN561" s="6" t="s">
        <v>262</v>
      </c>
      <c r="CO561" s="5" t="s">
        <v>263</v>
      </c>
      <c r="CP561" s="5" t="s">
        <v>264</v>
      </c>
      <c r="CQ561" s="5" t="s">
        <v>238</v>
      </c>
      <c r="CR561" s="5" t="s">
        <v>238</v>
      </c>
      <c r="CS561" s="5">
        <v>0</v>
      </c>
      <c r="CT561" s="5" t="s">
        <v>265</v>
      </c>
      <c r="CU561" s="5" t="s">
        <v>266</v>
      </c>
      <c r="CV561" s="5" t="s">
        <v>331</v>
      </c>
      <c r="CX561" s="8">
        <f>1330000</f>
        <v>1330000</v>
      </c>
      <c r="CY561" s="8">
        <f>0</f>
        <v>0</v>
      </c>
      <c r="DA561" s="5" t="s">
        <v>238</v>
      </c>
      <c r="DB561" s="5" t="s">
        <v>238</v>
      </c>
      <c r="DD561" s="5" t="s">
        <v>238</v>
      </c>
      <c r="DG561" s="5" t="s">
        <v>238</v>
      </c>
      <c r="DH561" s="5" t="s">
        <v>238</v>
      </c>
      <c r="DI561" s="5" t="s">
        <v>238</v>
      </c>
      <c r="DJ561" s="5" t="s">
        <v>238</v>
      </c>
      <c r="DK561" s="5" t="s">
        <v>271</v>
      </c>
      <c r="DL561" s="5" t="s">
        <v>272</v>
      </c>
      <c r="DM561" s="7">
        <f>14</f>
        <v>14</v>
      </c>
      <c r="DN561" s="5" t="s">
        <v>238</v>
      </c>
      <c r="DO561" s="5" t="s">
        <v>238</v>
      </c>
      <c r="DP561" s="5" t="s">
        <v>238</v>
      </c>
      <c r="DQ561" s="5" t="s">
        <v>238</v>
      </c>
      <c r="DT561" s="5" t="s">
        <v>769</v>
      </c>
      <c r="DU561" s="5" t="s">
        <v>313</v>
      </c>
      <c r="HM561" s="5" t="s">
        <v>271</v>
      </c>
      <c r="HP561" s="5" t="s">
        <v>272</v>
      </c>
      <c r="HQ561" s="5" t="s">
        <v>272</v>
      </c>
    </row>
    <row r="562" spans="1:238" x14ac:dyDescent="0.4">
      <c r="A562" s="5">
        <v>598</v>
      </c>
      <c r="B562" s="5">
        <v>1</v>
      </c>
      <c r="C562" s="5">
        <v>1</v>
      </c>
      <c r="D562" s="5" t="s">
        <v>766</v>
      </c>
      <c r="E562" s="5" t="s">
        <v>347</v>
      </c>
      <c r="F562" s="5" t="s">
        <v>282</v>
      </c>
      <c r="G562" s="5" t="s">
        <v>239</v>
      </c>
      <c r="H562" s="6" t="s">
        <v>413</v>
      </c>
      <c r="I562" s="5" t="s">
        <v>239</v>
      </c>
      <c r="J562" s="7">
        <f>14</f>
        <v>14</v>
      </c>
      <c r="K562" s="5" t="s">
        <v>270</v>
      </c>
      <c r="L562" s="8">
        <f>1</f>
        <v>1</v>
      </c>
      <c r="M562" s="8">
        <f>1330000</f>
        <v>1330000</v>
      </c>
      <c r="N562" s="6" t="s">
        <v>767</v>
      </c>
      <c r="O562" s="5" t="s">
        <v>651</v>
      </c>
      <c r="P562" s="5" t="s">
        <v>651</v>
      </c>
      <c r="R562" s="8">
        <f>1329999</f>
        <v>1329999</v>
      </c>
      <c r="S562" s="5" t="s">
        <v>240</v>
      </c>
      <c r="T562" s="5" t="s">
        <v>237</v>
      </c>
      <c r="U562" s="5" t="s">
        <v>238</v>
      </c>
      <c r="V562" s="5" t="s">
        <v>238</v>
      </c>
      <c r="W562" s="5" t="s">
        <v>241</v>
      </c>
      <c r="X562" s="5" t="s">
        <v>337</v>
      </c>
      <c r="Y562" s="5" t="s">
        <v>238</v>
      </c>
      <c r="AB562" s="5" t="s">
        <v>238</v>
      </c>
      <c r="AD562" s="6" t="s">
        <v>238</v>
      </c>
      <c r="AG562" s="6" t="s">
        <v>246</v>
      </c>
      <c r="AH562" s="5" t="s">
        <v>247</v>
      </c>
      <c r="AI562" s="5" t="s">
        <v>248</v>
      </c>
      <c r="AY562" s="5" t="s">
        <v>250</v>
      </c>
      <c r="AZ562" s="5" t="s">
        <v>238</v>
      </c>
      <c r="BA562" s="5" t="s">
        <v>251</v>
      </c>
      <c r="BB562" s="5" t="s">
        <v>238</v>
      </c>
      <c r="BC562" s="5" t="s">
        <v>253</v>
      </c>
      <c r="BD562" s="5" t="s">
        <v>238</v>
      </c>
      <c r="BF562" s="5" t="s">
        <v>238</v>
      </c>
      <c r="BH562" s="5" t="s">
        <v>254</v>
      </c>
      <c r="BI562" s="6" t="s">
        <v>246</v>
      </c>
      <c r="BJ562" s="5" t="s">
        <v>255</v>
      </c>
      <c r="BK562" s="5" t="s">
        <v>256</v>
      </c>
      <c r="BL562" s="5" t="s">
        <v>238</v>
      </c>
      <c r="BM562" s="7">
        <f>0</f>
        <v>0</v>
      </c>
      <c r="BN562" s="8">
        <f>0</f>
        <v>0</v>
      </c>
      <c r="BO562" s="5" t="s">
        <v>257</v>
      </c>
      <c r="BP562" s="5" t="s">
        <v>258</v>
      </c>
      <c r="CD562" s="5" t="s">
        <v>238</v>
      </c>
      <c r="CE562" s="5" t="s">
        <v>238</v>
      </c>
      <c r="CI562" s="5" t="s">
        <v>259</v>
      </c>
      <c r="CJ562" s="5" t="s">
        <v>260</v>
      </c>
      <c r="CK562" s="5" t="s">
        <v>238</v>
      </c>
      <c r="CM562" s="5" t="s">
        <v>768</v>
      </c>
      <c r="CN562" s="6" t="s">
        <v>262</v>
      </c>
      <c r="CO562" s="5" t="s">
        <v>263</v>
      </c>
      <c r="CP562" s="5" t="s">
        <v>264</v>
      </c>
      <c r="CQ562" s="5" t="s">
        <v>238</v>
      </c>
      <c r="CR562" s="5" t="s">
        <v>238</v>
      </c>
      <c r="CS562" s="5">
        <v>0</v>
      </c>
      <c r="CT562" s="5" t="s">
        <v>265</v>
      </c>
      <c r="CU562" s="5" t="s">
        <v>266</v>
      </c>
      <c r="CV562" s="5" t="s">
        <v>331</v>
      </c>
      <c r="CX562" s="8">
        <f>1330000</f>
        <v>1330000</v>
      </c>
      <c r="CY562" s="8">
        <f>0</f>
        <v>0</v>
      </c>
      <c r="DA562" s="5" t="s">
        <v>238</v>
      </c>
      <c r="DB562" s="5" t="s">
        <v>238</v>
      </c>
      <c r="DD562" s="5" t="s">
        <v>238</v>
      </c>
      <c r="DG562" s="5" t="s">
        <v>238</v>
      </c>
      <c r="DH562" s="5" t="s">
        <v>238</v>
      </c>
      <c r="DI562" s="5" t="s">
        <v>238</v>
      </c>
      <c r="DJ562" s="5" t="s">
        <v>238</v>
      </c>
      <c r="DK562" s="5" t="s">
        <v>271</v>
      </c>
      <c r="DL562" s="5" t="s">
        <v>272</v>
      </c>
      <c r="DM562" s="7">
        <f>14</f>
        <v>14</v>
      </c>
      <c r="DN562" s="5" t="s">
        <v>238</v>
      </c>
      <c r="DO562" s="5" t="s">
        <v>238</v>
      </c>
      <c r="DP562" s="5" t="s">
        <v>238</v>
      </c>
      <c r="DQ562" s="5" t="s">
        <v>238</v>
      </c>
      <c r="DT562" s="5" t="s">
        <v>769</v>
      </c>
      <c r="DU562" s="5" t="s">
        <v>389</v>
      </c>
      <c r="HM562" s="5" t="s">
        <v>271</v>
      </c>
      <c r="HP562" s="5" t="s">
        <v>272</v>
      </c>
      <c r="HQ562" s="5" t="s">
        <v>272</v>
      </c>
    </row>
    <row r="563" spans="1:238" x14ac:dyDescent="0.4">
      <c r="A563" s="5">
        <v>599</v>
      </c>
      <c r="B563" s="5">
        <v>1</v>
      </c>
      <c r="C563" s="5">
        <v>1</v>
      </c>
      <c r="D563" s="5" t="s">
        <v>766</v>
      </c>
      <c r="E563" s="5" t="s">
        <v>347</v>
      </c>
      <c r="F563" s="5" t="s">
        <v>282</v>
      </c>
      <c r="G563" s="5" t="s">
        <v>695</v>
      </c>
      <c r="H563" s="6" t="s">
        <v>413</v>
      </c>
      <c r="I563" s="5" t="s">
        <v>695</v>
      </c>
      <c r="J563" s="7">
        <f>31</f>
        <v>31</v>
      </c>
      <c r="K563" s="5" t="s">
        <v>270</v>
      </c>
      <c r="L563" s="8">
        <f>1</f>
        <v>1</v>
      </c>
      <c r="M563" s="8">
        <f>4030000</f>
        <v>4030000</v>
      </c>
      <c r="N563" s="6" t="s">
        <v>821</v>
      </c>
      <c r="O563" s="5" t="s">
        <v>268</v>
      </c>
      <c r="P563" s="5" t="s">
        <v>309</v>
      </c>
      <c r="R563" s="8">
        <f>4029999</f>
        <v>4029999</v>
      </c>
      <c r="S563" s="5" t="s">
        <v>240</v>
      </c>
      <c r="T563" s="5" t="s">
        <v>237</v>
      </c>
      <c r="U563" s="5" t="s">
        <v>238</v>
      </c>
      <c r="V563" s="5" t="s">
        <v>238</v>
      </c>
      <c r="W563" s="5" t="s">
        <v>241</v>
      </c>
      <c r="X563" s="5" t="s">
        <v>337</v>
      </c>
      <c r="Y563" s="5" t="s">
        <v>238</v>
      </c>
      <c r="AB563" s="5" t="s">
        <v>238</v>
      </c>
      <c r="AD563" s="6" t="s">
        <v>238</v>
      </c>
      <c r="AG563" s="6" t="s">
        <v>246</v>
      </c>
      <c r="AH563" s="5" t="s">
        <v>247</v>
      </c>
      <c r="AI563" s="5" t="s">
        <v>248</v>
      </c>
      <c r="AY563" s="5" t="s">
        <v>250</v>
      </c>
      <c r="AZ563" s="5" t="s">
        <v>238</v>
      </c>
      <c r="BA563" s="5" t="s">
        <v>251</v>
      </c>
      <c r="BB563" s="5" t="s">
        <v>238</v>
      </c>
      <c r="BC563" s="5" t="s">
        <v>253</v>
      </c>
      <c r="BD563" s="5" t="s">
        <v>238</v>
      </c>
      <c r="BF563" s="5" t="s">
        <v>238</v>
      </c>
      <c r="BH563" s="5" t="s">
        <v>254</v>
      </c>
      <c r="BI563" s="6" t="s">
        <v>246</v>
      </c>
      <c r="BJ563" s="5" t="s">
        <v>255</v>
      </c>
      <c r="BK563" s="5" t="s">
        <v>256</v>
      </c>
      <c r="BL563" s="5" t="s">
        <v>238</v>
      </c>
      <c r="BM563" s="7">
        <f>0</f>
        <v>0</v>
      </c>
      <c r="BN563" s="8">
        <f>0</f>
        <v>0</v>
      </c>
      <c r="BO563" s="5" t="s">
        <v>257</v>
      </c>
      <c r="BP563" s="5" t="s">
        <v>258</v>
      </c>
      <c r="CD563" s="5" t="s">
        <v>238</v>
      </c>
      <c r="CE563" s="5" t="s">
        <v>238</v>
      </c>
      <c r="CI563" s="5" t="s">
        <v>527</v>
      </c>
      <c r="CJ563" s="5" t="s">
        <v>260</v>
      </c>
      <c r="CK563" s="5" t="s">
        <v>238</v>
      </c>
      <c r="CM563" s="5" t="s">
        <v>822</v>
      </c>
      <c r="CN563" s="6" t="s">
        <v>262</v>
      </c>
      <c r="CO563" s="5" t="s">
        <v>263</v>
      </c>
      <c r="CP563" s="5" t="s">
        <v>264</v>
      </c>
      <c r="CQ563" s="5" t="s">
        <v>238</v>
      </c>
      <c r="CR563" s="5" t="s">
        <v>238</v>
      </c>
      <c r="CS563" s="5">
        <v>0</v>
      </c>
      <c r="CT563" s="5" t="s">
        <v>265</v>
      </c>
      <c r="CU563" s="5" t="s">
        <v>351</v>
      </c>
      <c r="CV563" s="5" t="s">
        <v>394</v>
      </c>
      <c r="CX563" s="8">
        <f>4030000</f>
        <v>4030000</v>
      </c>
      <c r="CY563" s="8">
        <f>0</f>
        <v>0</v>
      </c>
      <c r="DA563" s="5" t="s">
        <v>238</v>
      </c>
      <c r="DB563" s="5" t="s">
        <v>238</v>
      </c>
      <c r="DD563" s="5" t="s">
        <v>238</v>
      </c>
      <c r="DG563" s="5" t="s">
        <v>238</v>
      </c>
      <c r="DH563" s="5" t="s">
        <v>238</v>
      </c>
      <c r="DI563" s="5" t="s">
        <v>238</v>
      </c>
      <c r="DJ563" s="5" t="s">
        <v>238</v>
      </c>
      <c r="DK563" s="5" t="s">
        <v>271</v>
      </c>
      <c r="DL563" s="5" t="s">
        <v>272</v>
      </c>
      <c r="DM563" s="7">
        <f>31</f>
        <v>31</v>
      </c>
      <c r="DN563" s="5" t="s">
        <v>238</v>
      </c>
      <c r="DO563" s="5" t="s">
        <v>238</v>
      </c>
      <c r="DP563" s="5" t="s">
        <v>238</v>
      </c>
      <c r="DQ563" s="5" t="s">
        <v>238</v>
      </c>
      <c r="DT563" s="5" t="s">
        <v>769</v>
      </c>
      <c r="DU563" s="5" t="s">
        <v>354</v>
      </c>
      <c r="HM563" s="5" t="s">
        <v>271</v>
      </c>
      <c r="HP563" s="5" t="s">
        <v>272</v>
      </c>
      <c r="HQ563" s="5" t="s">
        <v>272</v>
      </c>
    </row>
    <row r="564" spans="1:238" x14ac:dyDescent="0.4">
      <c r="A564" s="5">
        <v>600</v>
      </c>
      <c r="B564" s="5">
        <v>1</v>
      </c>
      <c r="C564" s="5">
        <v>1</v>
      </c>
      <c r="D564" s="5" t="s">
        <v>766</v>
      </c>
      <c r="E564" s="5" t="s">
        <v>347</v>
      </c>
      <c r="F564" s="5" t="s">
        <v>282</v>
      </c>
      <c r="G564" s="5" t="s">
        <v>1309</v>
      </c>
      <c r="H564" s="6" t="s">
        <v>413</v>
      </c>
      <c r="I564" s="5" t="s">
        <v>1309</v>
      </c>
      <c r="J564" s="7">
        <f>9</f>
        <v>9</v>
      </c>
      <c r="K564" s="5" t="s">
        <v>270</v>
      </c>
      <c r="L564" s="8">
        <f>1</f>
        <v>1</v>
      </c>
      <c r="M564" s="8">
        <f>3213000</f>
        <v>3213000</v>
      </c>
      <c r="N564" s="6" t="s">
        <v>1107</v>
      </c>
      <c r="O564" s="5" t="s">
        <v>268</v>
      </c>
      <c r="P564" s="5" t="s">
        <v>651</v>
      </c>
      <c r="R564" s="8">
        <f>3212999</f>
        <v>3212999</v>
      </c>
      <c r="S564" s="5" t="s">
        <v>240</v>
      </c>
      <c r="T564" s="5" t="s">
        <v>237</v>
      </c>
      <c r="U564" s="5" t="s">
        <v>238</v>
      </c>
      <c r="V564" s="5" t="s">
        <v>238</v>
      </c>
      <c r="W564" s="5" t="s">
        <v>241</v>
      </c>
      <c r="X564" s="5" t="s">
        <v>337</v>
      </c>
      <c r="Y564" s="5" t="s">
        <v>238</v>
      </c>
      <c r="AB564" s="5" t="s">
        <v>238</v>
      </c>
      <c r="AD564" s="6" t="s">
        <v>238</v>
      </c>
      <c r="AG564" s="6" t="s">
        <v>246</v>
      </c>
      <c r="AH564" s="5" t="s">
        <v>247</v>
      </c>
      <c r="AI564" s="5" t="s">
        <v>248</v>
      </c>
      <c r="AY564" s="5" t="s">
        <v>250</v>
      </c>
      <c r="AZ564" s="5" t="s">
        <v>238</v>
      </c>
      <c r="BA564" s="5" t="s">
        <v>251</v>
      </c>
      <c r="BB564" s="5" t="s">
        <v>238</v>
      </c>
      <c r="BC564" s="5" t="s">
        <v>253</v>
      </c>
      <c r="BD564" s="5" t="s">
        <v>238</v>
      </c>
      <c r="BF564" s="5" t="s">
        <v>238</v>
      </c>
      <c r="BH564" s="5" t="s">
        <v>254</v>
      </c>
      <c r="BI564" s="6" t="s">
        <v>246</v>
      </c>
      <c r="BJ564" s="5" t="s">
        <v>255</v>
      </c>
      <c r="BK564" s="5" t="s">
        <v>256</v>
      </c>
      <c r="BL564" s="5" t="s">
        <v>238</v>
      </c>
      <c r="BM564" s="7">
        <f>0</f>
        <v>0</v>
      </c>
      <c r="BN564" s="8">
        <f>0</f>
        <v>0</v>
      </c>
      <c r="BO564" s="5" t="s">
        <v>257</v>
      </c>
      <c r="BP564" s="5" t="s">
        <v>258</v>
      </c>
      <c r="CD564" s="5" t="s">
        <v>238</v>
      </c>
      <c r="CE564" s="5" t="s">
        <v>238</v>
      </c>
      <c r="CI564" s="5" t="s">
        <v>259</v>
      </c>
      <c r="CJ564" s="5" t="s">
        <v>260</v>
      </c>
      <c r="CK564" s="5" t="s">
        <v>238</v>
      </c>
      <c r="CM564" s="5" t="s">
        <v>768</v>
      </c>
      <c r="CN564" s="6" t="s">
        <v>262</v>
      </c>
      <c r="CO564" s="5" t="s">
        <v>263</v>
      </c>
      <c r="CP564" s="5" t="s">
        <v>264</v>
      </c>
      <c r="CQ564" s="5" t="s">
        <v>238</v>
      </c>
      <c r="CR564" s="5" t="s">
        <v>238</v>
      </c>
      <c r="CS564" s="5">
        <v>0</v>
      </c>
      <c r="CT564" s="5" t="s">
        <v>265</v>
      </c>
      <c r="CU564" s="5" t="s">
        <v>1342</v>
      </c>
      <c r="CV564" s="5" t="s">
        <v>267</v>
      </c>
      <c r="CX564" s="8">
        <f>3213000</f>
        <v>3213000</v>
      </c>
      <c r="CY564" s="8">
        <f>0</f>
        <v>0</v>
      </c>
      <c r="DA564" s="5" t="s">
        <v>238</v>
      </c>
      <c r="DB564" s="5" t="s">
        <v>238</v>
      </c>
      <c r="DD564" s="5" t="s">
        <v>238</v>
      </c>
      <c r="DG564" s="5" t="s">
        <v>238</v>
      </c>
      <c r="DH564" s="5" t="s">
        <v>238</v>
      </c>
      <c r="DI564" s="5" t="s">
        <v>238</v>
      </c>
      <c r="DJ564" s="5" t="s">
        <v>238</v>
      </c>
      <c r="DK564" s="5" t="s">
        <v>271</v>
      </c>
      <c r="DL564" s="5" t="s">
        <v>272</v>
      </c>
      <c r="DM564" s="7">
        <f>9</f>
        <v>9</v>
      </c>
      <c r="DN564" s="5" t="s">
        <v>238</v>
      </c>
      <c r="DO564" s="5" t="s">
        <v>238</v>
      </c>
      <c r="DP564" s="5" t="s">
        <v>238</v>
      </c>
      <c r="DQ564" s="5" t="s">
        <v>238</v>
      </c>
      <c r="DT564" s="5" t="s">
        <v>769</v>
      </c>
      <c r="DU564" s="5" t="s">
        <v>361</v>
      </c>
      <c r="HM564" s="5" t="s">
        <v>271</v>
      </c>
      <c r="HP564" s="5" t="s">
        <v>272</v>
      </c>
      <c r="HQ564" s="5" t="s">
        <v>272</v>
      </c>
    </row>
    <row r="565" spans="1:238" x14ac:dyDescent="0.4">
      <c r="A565" s="5">
        <v>601</v>
      </c>
      <c r="B565" s="5">
        <v>1</v>
      </c>
      <c r="C565" s="5">
        <v>4</v>
      </c>
      <c r="D565" s="5" t="s">
        <v>766</v>
      </c>
      <c r="E565" s="5" t="s">
        <v>347</v>
      </c>
      <c r="F565" s="5" t="s">
        <v>282</v>
      </c>
      <c r="G565" s="5" t="s">
        <v>349</v>
      </c>
      <c r="H565" s="6" t="s">
        <v>413</v>
      </c>
      <c r="I565" s="5" t="s">
        <v>345</v>
      </c>
      <c r="J565" s="7">
        <f>0</f>
        <v>0</v>
      </c>
      <c r="K565" s="5" t="s">
        <v>270</v>
      </c>
      <c r="L565" s="8">
        <f>29241751</f>
        <v>29241751</v>
      </c>
      <c r="M565" s="8">
        <f>38025682</f>
        <v>38025682</v>
      </c>
      <c r="N565" s="6" t="s">
        <v>348</v>
      </c>
      <c r="O565" s="5" t="s">
        <v>319</v>
      </c>
      <c r="P565" s="5" t="s">
        <v>271</v>
      </c>
      <c r="Q565" s="8">
        <f>2927977</f>
        <v>2927977</v>
      </c>
      <c r="R565" s="8">
        <f>8783931</f>
        <v>8783931</v>
      </c>
      <c r="S565" s="5" t="s">
        <v>240</v>
      </c>
      <c r="T565" s="5" t="s">
        <v>287</v>
      </c>
      <c r="U565" s="5" t="s">
        <v>238</v>
      </c>
      <c r="V565" s="5" t="s">
        <v>238</v>
      </c>
      <c r="W565" s="5" t="s">
        <v>241</v>
      </c>
      <c r="X565" s="5" t="s">
        <v>238</v>
      </c>
      <c r="Y565" s="5" t="s">
        <v>238</v>
      </c>
      <c r="AB565" s="5" t="s">
        <v>238</v>
      </c>
      <c r="AC565" s="6" t="s">
        <v>238</v>
      </c>
      <c r="AD565" s="6" t="s">
        <v>238</v>
      </c>
      <c r="AF565" s="6" t="s">
        <v>238</v>
      </c>
      <c r="AG565" s="6" t="s">
        <v>1574</v>
      </c>
      <c r="AH565" s="5" t="s">
        <v>247</v>
      </c>
      <c r="AI565" s="5" t="s">
        <v>248</v>
      </c>
      <c r="AO565" s="5" t="s">
        <v>238</v>
      </c>
      <c r="AP565" s="5" t="s">
        <v>238</v>
      </c>
      <c r="AQ565" s="5" t="s">
        <v>238</v>
      </c>
      <c r="AR565" s="6" t="s">
        <v>238</v>
      </c>
      <c r="AS565" s="6" t="s">
        <v>238</v>
      </c>
      <c r="AT565" s="6" t="s">
        <v>238</v>
      </c>
      <c r="AW565" s="5" t="s">
        <v>304</v>
      </c>
      <c r="AX565" s="5" t="s">
        <v>304</v>
      </c>
      <c r="AY565" s="5" t="s">
        <v>250</v>
      </c>
      <c r="AZ565" s="5" t="s">
        <v>305</v>
      </c>
      <c r="BA565" s="5" t="s">
        <v>251</v>
      </c>
      <c r="BB565" s="5" t="s">
        <v>238</v>
      </c>
      <c r="BC565" s="5" t="s">
        <v>253</v>
      </c>
      <c r="BD565" s="5" t="s">
        <v>238</v>
      </c>
      <c r="BF565" s="5" t="s">
        <v>238</v>
      </c>
      <c r="BH565" s="5" t="s">
        <v>283</v>
      </c>
      <c r="BI565" s="6" t="s">
        <v>293</v>
      </c>
      <c r="BJ565" s="5" t="s">
        <v>294</v>
      </c>
      <c r="BK565" s="5" t="s">
        <v>294</v>
      </c>
      <c r="BL565" s="5" t="s">
        <v>238</v>
      </c>
      <c r="BM565" s="7">
        <f>0</f>
        <v>0</v>
      </c>
      <c r="BN565" s="8">
        <f>-2927977</f>
        <v>-2927977</v>
      </c>
      <c r="BO565" s="5" t="s">
        <v>257</v>
      </c>
      <c r="BP565" s="5" t="s">
        <v>258</v>
      </c>
      <c r="BQ565" s="5" t="s">
        <v>238</v>
      </c>
      <c r="BR565" s="5" t="s">
        <v>238</v>
      </c>
      <c r="BS565" s="5" t="s">
        <v>238</v>
      </c>
      <c r="BT565" s="5" t="s">
        <v>238</v>
      </c>
      <c r="CC565" s="5" t="s">
        <v>258</v>
      </c>
      <c r="CD565" s="5" t="s">
        <v>238</v>
      </c>
      <c r="CE565" s="5" t="s">
        <v>238</v>
      </c>
      <c r="CI565" s="5" t="s">
        <v>259</v>
      </c>
      <c r="CJ565" s="5" t="s">
        <v>260</v>
      </c>
      <c r="CK565" s="5" t="s">
        <v>238</v>
      </c>
      <c r="CM565" s="5" t="s">
        <v>291</v>
      </c>
      <c r="CN565" s="6" t="s">
        <v>262</v>
      </c>
      <c r="CO565" s="5" t="s">
        <v>263</v>
      </c>
      <c r="CP565" s="5" t="s">
        <v>264</v>
      </c>
      <c r="CQ565" s="5" t="s">
        <v>285</v>
      </c>
      <c r="CR565" s="5" t="s">
        <v>238</v>
      </c>
      <c r="CS565" s="5">
        <v>7.6999999999999999E-2</v>
      </c>
      <c r="CT565" s="5" t="s">
        <v>265</v>
      </c>
      <c r="CU565" s="5" t="s">
        <v>351</v>
      </c>
      <c r="CV565" s="5" t="s">
        <v>352</v>
      </c>
      <c r="CW565" s="7">
        <f>0</f>
        <v>0</v>
      </c>
      <c r="CX565" s="8">
        <f>38025682</f>
        <v>38025682</v>
      </c>
      <c r="CY565" s="8">
        <f>32169728</f>
        <v>32169728</v>
      </c>
      <c r="DA565" s="5" t="s">
        <v>238</v>
      </c>
      <c r="DB565" s="5" t="s">
        <v>238</v>
      </c>
      <c r="DD565" s="5" t="s">
        <v>238</v>
      </c>
      <c r="DE565" s="8">
        <f>0</f>
        <v>0</v>
      </c>
      <c r="DG565" s="5" t="s">
        <v>238</v>
      </c>
      <c r="DH565" s="5" t="s">
        <v>238</v>
      </c>
      <c r="DI565" s="5" t="s">
        <v>238</v>
      </c>
      <c r="DJ565" s="5" t="s">
        <v>238</v>
      </c>
      <c r="DK565" s="5" t="s">
        <v>272</v>
      </c>
      <c r="DL565" s="5" t="s">
        <v>272</v>
      </c>
      <c r="DM565" s="8" t="s">
        <v>238</v>
      </c>
      <c r="DN565" s="5" t="s">
        <v>238</v>
      </c>
      <c r="DO565" s="5" t="s">
        <v>238</v>
      </c>
      <c r="DP565" s="5" t="s">
        <v>238</v>
      </c>
      <c r="DQ565" s="5" t="s">
        <v>238</v>
      </c>
      <c r="DT565" s="5" t="s">
        <v>769</v>
      </c>
      <c r="DU565" s="5" t="s">
        <v>377</v>
      </c>
      <c r="GL565" s="5" t="s">
        <v>3127</v>
      </c>
      <c r="HM565" s="5" t="s">
        <v>356</v>
      </c>
      <c r="HP565" s="5" t="s">
        <v>272</v>
      </c>
      <c r="HQ565" s="5" t="s">
        <v>272</v>
      </c>
      <c r="HR565" s="5" t="s">
        <v>238</v>
      </c>
      <c r="HS565" s="5" t="s">
        <v>238</v>
      </c>
      <c r="HT565" s="5" t="s">
        <v>238</v>
      </c>
      <c r="HU565" s="5" t="s">
        <v>238</v>
      </c>
      <c r="HV565" s="5" t="s">
        <v>238</v>
      </c>
      <c r="HW565" s="5" t="s">
        <v>238</v>
      </c>
      <c r="HX565" s="5" t="s">
        <v>238</v>
      </c>
      <c r="HY565" s="5" t="s">
        <v>238</v>
      </c>
      <c r="HZ565" s="5" t="s">
        <v>238</v>
      </c>
      <c r="IA565" s="5" t="s">
        <v>238</v>
      </c>
      <c r="IB565" s="5" t="s">
        <v>238</v>
      </c>
      <c r="IC565" s="5" t="s">
        <v>238</v>
      </c>
      <c r="ID565" s="5" t="s">
        <v>238</v>
      </c>
    </row>
    <row r="566" spans="1:238" x14ac:dyDescent="0.4">
      <c r="A566" s="5">
        <v>602</v>
      </c>
      <c r="B566" s="5">
        <v>1</v>
      </c>
      <c r="C566" s="5">
        <v>1</v>
      </c>
      <c r="D566" s="5" t="s">
        <v>1123</v>
      </c>
      <c r="E566" s="5" t="s">
        <v>347</v>
      </c>
      <c r="F566" s="5" t="s">
        <v>282</v>
      </c>
      <c r="G566" s="5" t="s">
        <v>3027</v>
      </c>
      <c r="H566" s="6" t="s">
        <v>1125</v>
      </c>
      <c r="I566" s="5" t="s">
        <v>3027</v>
      </c>
      <c r="J566" s="7">
        <f>28</f>
        <v>28</v>
      </c>
      <c r="K566" s="5" t="s">
        <v>270</v>
      </c>
      <c r="L566" s="8">
        <f>1</f>
        <v>1</v>
      </c>
      <c r="M566" s="8">
        <f>1680000</f>
        <v>1680000</v>
      </c>
      <c r="N566" s="6" t="s">
        <v>3095</v>
      </c>
      <c r="O566" s="5" t="s">
        <v>268</v>
      </c>
      <c r="P566" s="5" t="s">
        <v>996</v>
      </c>
      <c r="R566" s="8">
        <f>1679999</f>
        <v>1679999</v>
      </c>
      <c r="S566" s="5" t="s">
        <v>240</v>
      </c>
      <c r="T566" s="5" t="s">
        <v>237</v>
      </c>
      <c r="U566" s="5" t="s">
        <v>238</v>
      </c>
      <c r="V566" s="5" t="s">
        <v>238</v>
      </c>
      <c r="W566" s="5" t="s">
        <v>241</v>
      </c>
      <c r="X566" s="5" t="s">
        <v>337</v>
      </c>
      <c r="Y566" s="5" t="s">
        <v>238</v>
      </c>
      <c r="AB566" s="5" t="s">
        <v>238</v>
      </c>
      <c r="AD566" s="6" t="s">
        <v>238</v>
      </c>
      <c r="AG566" s="6" t="s">
        <v>1574</v>
      </c>
      <c r="AH566" s="5" t="s">
        <v>247</v>
      </c>
      <c r="AI566" s="5" t="s">
        <v>248</v>
      </c>
      <c r="AY566" s="5" t="s">
        <v>250</v>
      </c>
      <c r="AZ566" s="5" t="s">
        <v>238</v>
      </c>
      <c r="BA566" s="5" t="s">
        <v>251</v>
      </c>
      <c r="BB566" s="5" t="s">
        <v>238</v>
      </c>
      <c r="BC566" s="5" t="s">
        <v>253</v>
      </c>
      <c r="BD566" s="5" t="s">
        <v>238</v>
      </c>
      <c r="BF566" s="5" t="s">
        <v>770</v>
      </c>
      <c r="BH566" s="5" t="s">
        <v>697</v>
      </c>
      <c r="BI566" s="6" t="s">
        <v>698</v>
      </c>
      <c r="BJ566" s="5" t="s">
        <v>255</v>
      </c>
      <c r="BK566" s="5" t="s">
        <v>256</v>
      </c>
      <c r="BL566" s="5" t="s">
        <v>238</v>
      </c>
      <c r="BM566" s="7">
        <f>0</f>
        <v>0</v>
      </c>
      <c r="BN566" s="8">
        <f>0</f>
        <v>0</v>
      </c>
      <c r="BO566" s="5" t="s">
        <v>257</v>
      </c>
      <c r="BP566" s="5" t="s">
        <v>258</v>
      </c>
      <c r="CD566" s="5" t="s">
        <v>238</v>
      </c>
      <c r="CE566" s="5" t="s">
        <v>238</v>
      </c>
      <c r="CI566" s="5" t="s">
        <v>527</v>
      </c>
      <c r="CJ566" s="5" t="s">
        <v>260</v>
      </c>
      <c r="CK566" s="5" t="s">
        <v>238</v>
      </c>
      <c r="CM566" s="5" t="s">
        <v>995</v>
      </c>
      <c r="CN566" s="6" t="s">
        <v>262</v>
      </c>
      <c r="CO566" s="5" t="s">
        <v>263</v>
      </c>
      <c r="CP566" s="5" t="s">
        <v>264</v>
      </c>
      <c r="CQ566" s="5" t="s">
        <v>238</v>
      </c>
      <c r="CR566" s="5" t="s">
        <v>238</v>
      </c>
      <c r="CS566" s="5">
        <v>0</v>
      </c>
      <c r="CT566" s="5" t="s">
        <v>265</v>
      </c>
      <c r="CU566" s="5" t="s">
        <v>351</v>
      </c>
      <c r="CV566" s="5" t="s">
        <v>394</v>
      </c>
      <c r="CX566" s="8">
        <f>1680000</f>
        <v>1680000</v>
      </c>
      <c r="CY566" s="8">
        <f>0</f>
        <v>0</v>
      </c>
      <c r="DA566" s="5" t="s">
        <v>238</v>
      </c>
      <c r="DB566" s="5" t="s">
        <v>238</v>
      </c>
      <c r="DD566" s="5" t="s">
        <v>238</v>
      </c>
      <c r="DG566" s="5" t="s">
        <v>238</v>
      </c>
      <c r="DH566" s="5" t="s">
        <v>238</v>
      </c>
      <c r="DI566" s="5" t="s">
        <v>238</v>
      </c>
      <c r="DJ566" s="5" t="s">
        <v>238</v>
      </c>
      <c r="DK566" s="5" t="s">
        <v>271</v>
      </c>
      <c r="DL566" s="5" t="s">
        <v>272</v>
      </c>
      <c r="DM566" s="7">
        <f>28</f>
        <v>28</v>
      </c>
      <c r="DN566" s="5" t="s">
        <v>238</v>
      </c>
      <c r="DO566" s="5" t="s">
        <v>238</v>
      </c>
      <c r="DP566" s="5" t="s">
        <v>238</v>
      </c>
      <c r="DQ566" s="5" t="s">
        <v>238</v>
      </c>
      <c r="DT566" s="5" t="s">
        <v>1126</v>
      </c>
      <c r="DU566" s="5" t="s">
        <v>271</v>
      </c>
      <c r="HM566" s="5" t="s">
        <v>271</v>
      </c>
      <c r="HP566" s="5" t="s">
        <v>272</v>
      </c>
      <c r="HQ566" s="5" t="s">
        <v>272</v>
      </c>
    </row>
    <row r="567" spans="1:238" x14ac:dyDescent="0.4">
      <c r="A567" s="5">
        <v>603</v>
      </c>
      <c r="B567" s="5">
        <v>1</v>
      </c>
      <c r="C567" s="5">
        <v>1</v>
      </c>
      <c r="D567" s="5" t="s">
        <v>1123</v>
      </c>
      <c r="E567" s="5" t="s">
        <v>347</v>
      </c>
      <c r="F567" s="5" t="s">
        <v>282</v>
      </c>
      <c r="G567" s="5" t="s">
        <v>1314</v>
      </c>
      <c r="H567" s="6" t="s">
        <v>1125</v>
      </c>
      <c r="I567" s="5" t="s">
        <v>1314</v>
      </c>
      <c r="J567" s="7">
        <f>5665</f>
        <v>5665</v>
      </c>
      <c r="K567" s="5" t="s">
        <v>270</v>
      </c>
      <c r="L567" s="8">
        <f>1</f>
        <v>1</v>
      </c>
      <c r="M567" s="8">
        <f>764775000</f>
        <v>764775000</v>
      </c>
      <c r="N567" s="6" t="s">
        <v>1573</v>
      </c>
      <c r="O567" s="5" t="s">
        <v>898</v>
      </c>
      <c r="P567" s="5" t="s">
        <v>279</v>
      </c>
      <c r="R567" s="8">
        <f>764774999</f>
        <v>764774999</v>
      </c>
      <c r="S567" s="5" t="s">
        <v>240</v>
      </c>
      <c r="T567" s="5" t="s">
        <v>237</v>
      </c>
      <c r="U567" s="5" t="s">
        <v>238</v>
      </c>
      <c r="V567" s="5" t="s">
        <v>238</v>
      </c>
      <c r="W567" s="5" t="s">
        <v>241</v>
      </c>
      <c r="X567" s="5" t="s">
        <v>337</v>
      </c>
      <c r="Y567" s="5" t="s">
        <v>238</v>
      </c>
      <c r="AB567" s="5" t="s">
        <v>238</v>
      </c>
      <c r="AD567" s="6" t="s">
        <v>238</v>
      </c>
      <c r="AG567" s="6" t="s">
        <v>1574</v>
      </c>
      <c r="AH567" s="5" t="s">
        <v>247</v>
      </c>
      <c r="AI567" s="5" t="s">
        <v>248</v>
      </c>
      <c r="AY567" s="5" t="s">
        <v>250</v>
      </c>
      <c r="AZ567" s="5" t="s">
        <v>238</v>
      </c>
      <c r="BA567" s="5" t="s">
        <v>251</v>
      </c>
      <c r="BB567" s="5" t="s">
        <v>238</v>
      </c>
      <c r="BC567" s="5" t="s">
        <v>253</v>
      </c>
      <c r="BD567" s="5" t="s">
        <v>238</v>
      </c>
      <c r="BF567" s="5" t="s">
        <v>238</v>
      </c>
      <c r="BH567" s="5" t="s">
        <v>798</v>
      </c>
      <c r="BI567" s="6" t="s">
        <v>799</v>
      </c>
      <c r="BJ567" s="5" t="s">
        <v>255</v>
      </c>
      <c r="BK567" s="5" t="s">
        <v>256</v>
      </c>
      <c r="BL567" s="5" t="s">
        <v>238</v>
      </c>
      <c r="BM567" s="7">
        <f>0</f>
        <v>0</v>
      </c>
      <c r="BN567" s="8">
        <f>0</f>
        <v>0</v>
      </c>
      <c r="BO567" s="5" t="s">
        <v>257</v>
      </c>
      <c r="BP567" s="5" t="s">
        <v>258</v>
      </c>
      <c r="CD567" s="5" t="s">
        <v>238</v>
      </c>
      <c r="CE567" s="5" t="s">
        <v>238</v>
      </c>
      <c r="CI567" s="5" t="s">
        <v>527</v>
      </c>
      <c r="CJ567" s="5" t="s">
        <v>260</v>
      </c>
      <c r="CK567" s="5" t="s">
        <v>238</v>
      </c>
      <c r="CM567" s="5" t="s">
        <v>1050</v>
      </c>
      <c r="CN567" s="6" t="s">
        <v>262</v>
      </c>
      <c r="CO567" s="5" t="s">
        <v>263</v>
      </c>
      <c r="CP567" s="5" t="s">
        <v>264</v>
      </c>
      <c r="CQ567" s="5" t="s">
        <v>238</v>
      </c>
      <c r="CR567" s="5" t="s">
        <v>238</v>
      </c>
      <c r="CS567" s="5">
        <v>0</v>
      </c>
      <c r="CT567" s="5" t="s">
        <v>265</v>
      </c>
      <c r="CU567" s="5" t="s">
        <v>1493</v>
      </c>
      <c r="CV567" s="5" t="s">
        <v>308</v>
      </c>
      <c r="CX567" s="8">
        <f>764775000</f>
        <v>764775000</v>
      </c>
      <c r="CY567" s="8">
        <f>0</f>
        <v>0</v>
      </c>
      <c r="DA567" s="5" t="s">
        <v>238</v>
      </c>
      <c r="DB567" s="5" t="s">
        <v>238</v>
      </c>
      <c r="DD567" s="5" t="s">
        <v>238</v>
      </c>
      <c r="DG567" s="5" t="s">
        <v>238</v>
      </c>
      <c r="DH567" s="5" t="s">
        <v>238</v>
      </c>
      <c r="DI567" s="5" t="s">
        <v>238</v>
      </c>
      <c r="DJ567" s="5" t="s">
        <v>238</v>
      </c>
      <c r="DK567" s="5" t="s">
        <v>356</v>
      </c>
      <c r="DL567" s="5" t="s">
        <v>272</v>
      </c>
      <c r="DM567" s="7">
        <f>5665</f>
        <v>5665</v>
      </c>
      <c r="DN567" s="5" t="s">
        <v>238</v>
      </c>
      <c r="DO567" s="5" t="s">
        <v>238</v>
      </c>
      <c r="DP567" s="5" t="s">
        <v>238</v>
      </c>
      <c r="DQ567" s="5" t="s">
        <v>238</v>
      </c>
      <c r="DT567" s="5" t="s">
        <v>1126</v>
      </c>
      <c r="DU567" s="5" t="s">
        <v>274</v>
      </c>
      <c r="HM567" s="5" t="s">
        <v>271</v>
      </c>
      <c r="HP567" s="5" t="s">
        <v>272</v>
      </c>
      <c r="HQ567" s="5" t="s">
        <v>272</v>
      </c>
    </row>
    <row r="568" spans="1:238" x14ac:dyDescent="0.4">
      <c r="A568" s="5">
        <v>604</v>
      </c>
      <c r="B568" s="5">
        <v>1</v>
      </c>
      <c r="C568" s="5">
        <v>1</v>
      </c>
      <c r="D568" s="5" t="s">
        <v>1123</v>
      </c>
      <c r="E568" s="5" t="s">
        <v>347</v>
      </c>
      <c r="F568" s="5" t="s">
        <v>282</v>
      </c>
      <c r="G568" s="5" t="s">
        <v>1308</v>
      </c>
      <c r="H568" s="6" t="s">
        <v>1125</v>
      </c>
      <c r="I568" s="5" t="s">
        <v>1308</v>
      </c>
      <c r="J568" s="7">
        <f>1282</f>
        <v>1282</v>
      </c>
      <c r="K568" s="5" t="s">
        <v>270</v>
      </c>
      <c r="L568" s="8">
        <f>1</f>
        <v>1</v>
      </c>
      <c r="M568" s="8">
        <f>102560000</f>
        <v>102560000</v>
      </c>
      <c r="N568" s="6" t="s">
        <v>1751</v>
      </c>
      <c r="O568" s="5" t="s">
        <v>755</v>
      </c>
      <c r="P568" s="5" t="s">
        <v>850</v>
      </c>
      <c r="R568" s="8">
        <f>102559999</f>
        <v>102559999</v>
      </c>
      <c r="S568" s="5" t="s">
        <v>240</v>
      </c>
      <c r="T568" s="5" t="s">
        <v>237</v>
      </c>
      <c r="U568" s="5" t="s">
        <v>238</v>
      </c>
      <c r="V568" s="5" t="s">
        <v>238</v>
      </c>
      <c r="W568" s="5" t="s">
        <v>241</v>
      </c>
      <c r="X568" s="5" t="s">
        <v>337</v>
      </c>
      <c r="Y568" s="5" t="s">
        <v>238</v>
      </c>
      <c r="AB568" s="5" t="s">
        <v>238</v>
      </c>
      <c r="AD568" s="6" t="s">
        <v>238</v>
      </c>
      <c r="AG568" s="6" t="s">
        <v>1732</v>
      </c>
      <c r="AH568" s="5" t="s">
        <v>247</v>
      </c>
      <c r="AI568" s="5" t="s">
        <v>248</v>
      </c>
      <c r="AY568" s="5" t="s">
        <v>250</v>
      </c>
      <c r="AZ568" s="5" t="s">
        <v>238</v>
      </c>
      <c r="BA568" s="5" t="s">
        <v>251</v>
      </c>
      <c r="BB568" s="5" t="s">
        <v>238</v>
      </c>
      <c r="BC568" s="5" t="s">
        <v>253</v>
      </c>
      <c r="BD568" s="5" t="s">
        <v>238</v>
      </c>
      <c r="BF568" s="5" t="s">
        <v>238</v>
      </c>
      <c r="BH568" s="5" t="s">
        <v>798</v>
      </c>
      <c r="BI568" s="6" t="s">
        <v>1732</v>
      </c>
      <c r="BJ568" s="5" t="s">
        <v>255</v>
      </c>
      <c r="BK568" s="5" t="s">
        <v>256</v>
      </c>
      <c r="BL568" s="5" t="s">
        <v>238</v>
      </c>
      <c r="BM568" s="7">
        <f>0</f>
        <v>0</v>
      </c>
      <c r="BN568" s="8">
        <f>0</f>
        <v>0</v>
      </c>
      <c r="BO568" s="5" t="s">
        <v>257</v>
      </c>
      <c r="BP568" s="5" t="s">
        <v>258</v>
      </c>
      <c r="CD568" s="5" t="s">
        <v>238</v>
      </c>
      <c r="CE568" s="5" t="s">
        <v>238</v>
      </c>
      <c r="CI568" s="5" t="s">
        <v>527</v>
      </c>
      <c r="CJ568" s="5" t="s">
        <v>260</v>
      </c>
      <c r="CK568" s="5" t="s">
        <v>238</v>
      </c>
      <c r="CM568" s="5" t="s">
        <v>849</v>
      </c>
      <c r="CN568" s="6" t="s">
        <v>262</v>
      </c>
      <c r="CO568" s="5" t="s">
        <v>263</v>
      </c>
      <c r="CP568" s="5" t="s">
        <v>264</v>
      </c>
      <c r="CQ568" s="5" t="s">
        <v>238</v>
      </c>
      <c r="CR568" s="5" t="s">
        <v>238</v>
      </c>
      <c r="CS568" s="5">
        <v>0</v>
      </c>
      <c r="CT568" s="5" t="s">
        <v>265</v>
      </c>
      <c r="CU568" s="5" t="s">
        <v>1330</v>
      </c>
      <c r="CV568" s="5" t="s">
        <v>649</v>
      </c>
      <c r="CX568" s="8">
        <f>102560000</f>
        <v>102560000</v>
      </c>
      <c r="CY568" s="8">
        <f>0</f>
        <v>0</v>
      </c>
      <c r="DA568" s="5" t="s">
        <v>238</v>
      </c>
      <c r="DB568" s="5" t="s">
        <v>238</v>
      </c>
      <c r="DD568" s="5" t="s">
        <v>238</v>
      </c>
      <c r="DG568" s="5" t="s">
        <v>238</v>
      </c>
      <c r="DH568" s="5" t="s">
        <v>238</v>
      </c>
      <c r="DI568" s="5" t="s">
        <v>238</v>
      </c>
      <c r="DJ568" s="5" t="s">
        <v>238</v>
      </c>
      <c r="DK568" s="5" t="s">
        <v>274</v>
      </c>
      <c r="DL568" s="5" t="s">
        <v>272</v>
      </c>
      <c r="DM568" s="7">
        <f>1282</f>
        <v>1282</v>
      </c>
      <c r="DN568" s="5" t="s">
        <v>238</v>
      </c>
      <c r="DO568" s="5" t="s">
        <v>238</v>
      </c>
      <c r="DP568" s="5" t="s">
        <v>238</v>
      </c>
      <c r="DQ568" s="5" t="s">
        <v>238</v>
      </c>
      <c r="DT568" s="5" t="s">
        <v>1126</v>
      </c>
      <c r="DU568" s="5" t="s">
        <v>356</v>
      </c>
      <c r="HM568" s="5" t="s">
        <v>271</v>
      </c>
      <c r="HP568" s="5" t="s">
        <v>272</v>
      </c>
      <c r="HQ568" s="5" t="s">
        <v>272</v>
      </c>
    </row>
    <row r="569" spans="1:238" x14ac:dyDescent="0.4">
      <c r="A569" s="5">
        <v>605</v>
      </c>
      <c r="B569" s="5">
        <v>1</v>
      </c>
      <c r="C569" s="5">
        <v>4</v>
      </c>
      <c r="D569" s="5" t="s">
        <v>1123</v>
      </c>
      <c r="E569" s="5" t="s">
        <v>347</v>
      </c>
      <c r="F569" s="5" t="s">
        <v>282</v>
      </c>
      <c r="G569" s="5" t="s">
        <v>1691</v>
      </c>
      <c r="H569" s="6" t="s">
        <v>1125</v>
      </c>
      <c r="I569" s="5" t="s">
        <v>1670</v>
      </c>
      <c r="J569" s="7">
        <f>1239</f>
        <v>1239</v>
      </c>
      <c r="K569" s="5" t="s">
        <v>270</v>
      </c>
      <c r="L569" s="8">
        <f>1</f>
        <v>1</v>
      </c>
      <c r="M569" s="8">
        <f>216825000</f>
        <v>216825000</v>
      </c>
      <c r="N569" s="6" t="s">
        <v>1731</v>
      </c>
      <c r="O569" s="5" t="s">
        <v>755</v>
      </c>
      <c r="P569" s="5" t="s">
        <v>991</v>
      </c>
      <c r="Q569" s="8">
        <f>6504750</f>
        <v>6504750</v>
      </c>
      <c r="R569" s="8">
        <f>216824999</f>
        <v>216824999</v>
      </c>
      <c r="S569" s="5" t="s">
        <v>240</v>
      </c>
      <c r="T569" s="5" t="s">
        <v>237</v>
      </c>
      <c r="U569" s="5" t="s">
        <v>238</v>
      </c>
      <c r="V569" s="5" t="s">
        <v>238</v>
      </c>
      <c r="W569" s="5" t="s">
        <v>241</v>
      </c>
      <c r="X569" s="5" t="s">
        <v>337</v>
      </c>
      <c r="Y569" s="5" t="s">
        <v>238</v>
      </c>
      <c r="AB569" s="5" t="s">
        <v>238</v>
      </c>
      <c r="AC569" s="6" t="s">
        <v>238</v>
      </c>
      <c r="AD569" s="6" t="s">
        <v>238</v>
      </c>
      <c r="AF569" s="6" t="s">
        <v>238</v>
      </c>
      <c r="AG569" s="6" t="s">
        <v>1732</v>
      </c>
      <c r="AH569" s="5" t="s">
        <v>247</v>
      </c>
      <c r="AI569" s="5" t="s">
        <v>248</v>
      </c>
      <c r="AO569" s="5" t="s">
        <v>238</v>
      </c>
      <c r="AP569" s="5" t="s">
        <v>238</v>
      </c>
      <c r="AQ569" s="5" t="s">
        <v>238</v>
      </c>
      <c r="AR569" s="6" t="s">
        <v>238</v>
      </c>
      <c r="AS569" s="6" t="s">
        <v>238</v>
      </c>
      <c r="AT569" s="6" t="s">
        <v>238</v>
      </c>
      <c r="AW569" s="5" t="s">
        <v>304</v>
      </c>
      <c r="AX569" s="5" t="s">
        <v>304</v>
      </c>
      <c r="AY569" s="5" t="s">
        <v>250</v>
      </c>
      <c r="AZ569" s="5" t="s">
        <v>305</v>
      </c>
      <c r="BA569" s="5" t="s">
        <v>251</v>
      </c>
      <c r="BB569" s="5" t="s">
        <v>238</v>
      </c>
      <c r="BC569" s="5" t="s">
        <v>253</v>
      </c>
      <c r="BD569" s="5" t="s">
        <v>238</v>
      </c>
      <c r="BF569" s="5" t="s">
        <v>238</v>
      </c>
      <c r="BH569" s="5" t="s">
        <v>283</v>
      </c>
      <c r="BI569" s="6" t="s">
        <v>293</v>
      </c>
      <c r="BJ569" s="5" t="s">
        <v>294</v>
      </c>
      <c r="BK569" s="5" t="s">
        <v>294</v>
      </c>
      <c r="BL569" s="5" t="s">
        <v>238</v>
      </c>
      <c r="BM569" s="7">
        <f>0</f>
        <v>0</v>
      </c>
      <c r="BN569" s="8">
        <f>-2168249</f>
        <v>-2168249</v>
      </c>
      <c r="BO569" s="5" t="s">
        <v>257</v>
      </c>
      <c r="BP569" s="5" t="s">
        <v>258</v>
      </c>
      <c r="BQ569" s="5" t="s">
        <v>238</v>
      </c>
      <c r="BR569" s="5" t="s">
        <v>238</v>
      </c>
      <c r="BS569" s="5" t="s">
        <v>238</v>
      </c>
      <c r="BT569" s="5" t="s">
        <v>238</v>
      </c>
      <c r="CC569" s="5" t="s">
        <v>258</v>
      </c>
      <c r="CD569" s="5" t="s">
        <v>238</v>
      </c>
      <c r="CE569" s="5" t="s">
        <v>238</v>
      </c>
      <c r="CI569" s="5" t="s">
        <v>259</v>
      </c>
      <c r="CJ569" s="5" t="s">
        <v>260</v>
      </c>
      <c r="CK569" s="5" t="s">
        <v>238</v>
      </c>
      <c r="CM569" s="5" t="s">
        <v>1064</v>
      </c>
      <c r="CN569" s="6" t="s">
        <v>262</v>
      </c>
      <c r="CO569" s="5" t="s">
        <v>263</v>
      </c>
      <c r="CP569" s="5" t="s">
        <v>264</v>
      </c>
      <c r="CQ569" s="5" t="s">
        <v>285</v>
      </c>
      <c r="CR569" s="5" t="s">
        <v>238</v>
      </c>
      <c r="CS569" s="5">
        <v>0.03</v>
      </c>
      <c r="CT569" s="5" t="s">
        <v>265</v>
      </c>
      <c r="CU569" s="5" t="s">
        <v>1330</v>
      </c>
      <c r="CV569" s="5" t="s">
        <v>649</v>
      </c>
      <c r="CW569" s="7">
        <f>0</f>
        <v>0</v>
      </c>
      <c r="CX569" s="8">
        <f>216825000</f>
        <v>216825000</v>
      </c>
      <c r="CY569" s="8">
        <f>2168250</f>
        <v>2168250</v>
      </c>
      <c r="DA569" s="5" t="s">
        <v>238</v>
      </c>
      <c r="DB569" s="5" t="s">
        <v>238</v>
      </c>
      <c r="DD569" s="5" t="s">
        <v>238</v>
      </c>
      <c r="DE569" s="8">
        <f>0</f>
        <v>0</v>
      </c>
      <c r="DG569" s="5" t="s">
        <v>238</v>
      </c>
      <c r="DH569" s="5" t="s">
        <v>238</v>
      </c>
      <c r="DI569" s="5" t="s">
        <v>238</v>
      </c>
      <c r="DJ569" s="5" t="s">
        <v>238</v>
      </c>
      <c r="DK569" s="5" t="s">
        <v>274</v>
      </c>
      <c r="DL569" s="5" t="s">
        <v>272</v>
      </c>
      <c r="DM569" s="7">
        <f>1239</f>
        <v>1239</v>
      </c>
      <c r="DN569" s="5" t="s">
        <v>238</v>
      </c>
      <c r="DO569" s="5" t="s">
        <v>238</v>
      </c>
      <c r="DP569" s="5" t="s">
        <v>238</v>
      </c>
      <c r="DQ569" s="5" t="s">
        <v>238</v>
      </c>
      <c r="DT569" s="5" t="s">
        <v>1126</v>
      </c>
      <c r="DU569" s="5" t="s">
        <v>310</v>
      </c>
      <c r="GL569" s="5" t="s">
        <v>1733</v>
      </c>
      <c r="HM569" s="5" t="s">
        <v>313</v>
      </c>
      <c r="HP569" s="5" t="s">
        <v>272</v>
      </c>
      <c r="HQ569" s="5" t="s">
        <v>272</v>
      </c>
      <c r="HR569" s="5" t="s">
        <v>238</v>
      </c>
      <c r="HS569" s="5" t="s">
        <v>238</v>
      </c>
      <c r="HT569" s="5" t="s">
        <v>238</v>
      </c>
      <c r="HU569" s="5" t="s">
        <v>238</v>
      </c>
      <c r="HV569" s="5" t="s">
        <v>238</v>
      </c>
      <c r="HW569" s="5" t="s">
        <v>238</v>
      </c>
      <c r="HX569" s="5" t="s">
        <v>238</v>
      </c>
      <c r="HY569" s="5" t="s">
        <v>238</v>
      </c>
      <c r="HZ569" s="5" t="s">
        <v>238</v>
      </c>
      <c r="IA569" s="5" t="s">
        <v>238</v>
      </c>
      <c r="IB569" s="5" t="s">
        <v>238</v>
      </c>
      <c r="IC569" s="5" t="s">
        <v>238</v>
      </c>
      <c r="ID569" s="5" t="s">
        <v>238</v>
      </c>
    </row>
    <row r="570" spans="1:238" x14ac:dyDescent="0.4">
      <c r="A570" s="5">
        <v>606</v>
      </c>
      <c r="B570" s="5">
        <v>1</v>
      </c>
      <c r="C570" s="5">
        <v>1</v>
      </c>
      <c r="D570" s="5" t="s">
        <v>1123</v>
      </c>
      <c r="E570" s="5" t="s">
        <v>347</v>
      </c>
      <c r="F570" s="5" t="s">
        <v>282</v>
      </c>
      <c r="G570" s="5" t="s">
        <v>1308</v>
      </c>
      <c r="H570" s="6" t="s">
        <v>1125</v>
      </c>
      <c r="I570" s="5" t="s">
        <v>1688</v>
      </c>
      <c r="J570" s="7">
        <f>343</f>
        <v>343</v>
      </c>
      <c r="K570" s="5" t="s">
        <v>270</v>
      </c>
      <c r="L570" s="8">
        <f>1</f>
        <v>1</v>
      </c>
      <c r="M570" s="8">
        <f>27440000</f>
        <v>27440000</v>
      </c>
      <c r="N570" s="6" t="s">
        <v>1689</v>
      </c>
      <c r="O570" s="5" t="s">
        <v>755</v>
      </c>
      <c r="P570" s="5" t="s">
        <v>922</v>
      </c>
      <c r="R570" s="8">
        <f>27439999</f>
        <v>27439999</v>
      </c>
      <c r="S570" s="5" t="s">
        <v>240</v>
      </c>
      <c r="T570" s="5" t="s">
        <v>237</v>
      </c>
      <c r="U570" s="5" t="s">
        <v>238</v>
      </c>
      <c r="V570" s="5" t="s">
        <v>238</v>
      </c>
      <c r="W570" s="5" t="s">
        <v>241</v>
      </c>
      <c r="X570" s="5" t="s">
        <v>337</v>
      </c>
      <c r="Y570" s="5" t="s">
        <v>238</v>
      </c>
      <c r="AB570" s="5" t="s">
        <v>238</v>
      </c>
      <c r="AD570" s="6" t="s">
        <v>238</v>
      </c>
      <c r="AG570" s="6" t="s">
        <v>246</v>
      </c>
      <c r="AH570" s="5" t="s">
        <v>247</v>
      </c>
      <c r="AI570" s="5" t="s">
        <v>248</v>
      </c>
      <c r="AY570" s="5" t="s">
        <v>250</v>
      </c>
      <c r="AZ570" s="5" t="s">
        <v>238</v>
      </c>
      <c r="BA570" s="5" t="s">
        <v>251</v>
      </c>
      <c r="BB570" s="5" t="s">
        <v>238</v>
      </c>
      <c r="BC570" s="5" t="s">
        <v>253</v>
      </c>
      <c r="BD570" s="5" t="s">
        <v>238</v>
      </c>
      <c r="BF570" s="5" t="s">
        <v>238</v>
      </c>
      <c r="BH570" s="5" t="s">
        <v>254</v>
      </c>
      <c r="BI570" s="6" t="s">
        <v>246</v>
      </c>
      <c r="BJ570" s="5" t="s">
        <v>255</v>
      </c>
      <c r="BK570" s="5" t="s">
        <v>256</v>
      </c>
      <c r="BL570" s="5" t="s">
        <v>238</v>
      </c>
      <c r="BM570" s="7">
        <f>0</f>
        <v>0</v>
      </c>
      <c r="BN570" s="8">
        <f>0</f>
        <v>0</v>
      </c>
      <c r="BO570" s="5" t="s">
        <v>257</v>
      </c>
      <c r="BP570" s="5" t="s">
        <v>258</v>
      </c>
      <c r="CD570" s="5" t="s">
        <v>238</v>
      </c>
      <c r="CE570" s="5" t="s">
        <v>238</v>
      </c>
      <c r="CI570" s="5" t="s">
        <v>527</v>
      </c>
      <c r="CJ570" s="5" t="s">
        <v>260</v>
      </c>
      <c r="CK570" s="5" t="s">
        <v>238</v>
      </c>
      <c r="CM570" s="5" t="s">
        <v>921</v>
      </c>
      <c r="CN570" s="6" t="s">
        <v>262</v>
      </c>
      <c r="CO570" s="5" t="s">
        <v>263</v>
      </c>
      <c r="CP570" s="5" t="s">
        <v>264</v>
      </c>
      <c r="CQ570" s="5" t="s">
        <v>238</v>
      </c>
      <c r="CR570" s="5" t="s">
        <v>238</v>
      </c>
      <c r="CS570" s="5">
        <v>0</v>
      </c>
      <c r="CT570" s="5" t="s">
        <v>265</v>
      </c>
      <c r="CU570" s="5" t="s">
        <v>1330</v>
      </c>
      <c r="CV570" s="5" t="s">
        <v>649</v>
      </c>
      <c r="CX570" s="8">
        <f>27440000</f>
        <v>27440000</v>
      </c>
      <c r="CY570" s="8">
        <f>0</f>
        <v>0</v>
      </c>
      <c r="DA570" s="5" t="s">
        <v>238</v>
      </c>
      <c r="DB570" s="5" t="s">
        <v>238</v>
      </c>
      <c r="DD570" s="5" t="s">
        <v>238</v>
      </c>
      <c r="DG570" s="5" t="s">
        <v>238</v>
      </c>
      <c r="DH570" s="5" t="s">
        <v>238</v>
      </c>
      <c r="DI570" s="5" t="s">
        <v>238</v>
      </c>
      <c r="DJ570" s="5" t="s">
        <v>238</v>
      </c>
      <c r="DK570" s="5" t="s">
        <v>271</v>
      </c>
      <c r="DL570" s="5" t="s">
        <v>272</v>
      </c>
      <c r="DM570" s="7">
        <f>343</f>
        <v>343</v>
      </c>
      <c r="DN570" s="5" t="s">
        <v>238</v>
      </c>
      <c r="DO570" s="5" t="s">
        <v>238</v>
      </c>
      <c r="DP570" s="5" t="s">
        <v>238</v>
      </c>
      <c r="DQ570" s="5" t="s">
        <v>238</v>
      </c>
      <c r="DT570" s="5" t="s">
        <v>1126</v>
      </c>
      <c r="DU570" s="5" t="s">
        <v>379</v>
      </c>
      <c r="HM570" s="5" t="s">
        <v>271</v>
      </c>
      <c r="HP570" s="5" t="s">
        <v>272</v>
      </c>
      <c r="HQ570" s="5" t="s">
        <v>272</v>
      </c>
    </row>
    <row r="571" spans="1:238" x14ac:dyDescent="0.4">
      <c r="A571" s="5">
        <v>607</v>
      </c>
      <c r="B571" s="5">
        <v>1</v>
      </c>
      <c r="C571" s="5">
        <v>1</v>
      </c>
      <c r="D571" s="5" t="s">
        <v>1123</v>
      </c>
      <c r="E571" s="5" t="s">
        <v>347</v>
      </c>
      <c r="F571" s="5" t="s">
        <v>282</v>
      </c>
      <c r="G571" s="5" t="s">
        <v>874</v>
      </c>
      <c r="H571" s="6" t="s">
        <v>1125</v>
      </c>
      <c r="I571" s="5" t="s">
        <v>874</v>
      </c>
      <c r="J571" s="7">
        <f>66</f>
        <v>66</v>
      </c>
      <c r="K571" s="5" t="s">
        <v>270</v>
      </c>
      <c r="L571" s="8">
        <f>1</f>
        <v>1</v>
      </c>
      <c r="M571" s="8">
        <f>5280000</f>
        <v>5280000</v>
      </c>
      <c r="N571" s="6" t="s">
        <v>1124</v>
      </c>
      <c r="O571" s="5" t="s">
        <v>650</v>
      </c>
      <c r="P571" s="5" t="s">
        <v>996</v>
      </c>
      <c r="R571" s="8">
        <f>5279999</f>
        <v>5279999</v>
      </c>
      <c r="S571" s="5" t="s">
        <v>240</v>
      </c>
      <c r="T571" s="5" t="s">
        <v>237</v>
      </c>
      <c r="U571" s="5" t="s">
        <v>238</v>
      </c>
      <c r="V571" s="5" t="s">
        <v>238</v>
      </c>
      <c r="W571" s="5" t="s">
        <v>241</v>
      </c>
      <c r="X571" s="5" t="s">
        <v>337</v>
      </c>
      <c r="Y571" s="5" t="s">
        <v>238</v>
      </c>
      <c r="AB571" s="5" t="s">
        <v>238</v>
      </c>
      <c r="AD571" s="6" t="s">
        <v>238</v>
      </c>
      <c r="AG571" s="6" t="s">
        <v>246</v>
      </c>
      <c r="AH571" s="5" t="s">
        <v>247</v>
      </c>
      <c r="AI571" s="5" t="s">
        <v>248</v>
      </c>
      <c r="AY571" s="5" t="s">
        <v>250</v>
      </c>
      <c r="AZ571" s="5" t="s">
        <v>238</v>
      </c>
      <c r="BA571" s="5" t="s">
        <v>251</v>
      </c>
      <c r="BB571" s="5" t="s">
        <v>238</v>
      </c>
      <c r="BC571" s="5" t="s">
        <v>253</v>
      </c>
      <c r="BD571" s="5" t="s">
        <v>238</v>
      </c>
      <c r="BF571" s="5" t="s">
        <v>238</v>
      </c>
      <c r="BH571" s="5" t="s">
        <v>254</v>
      </c>
      <c r="BI571" s="6" t="s">
        <v>246</v>
      </c>
      <c r="BJ571" s="5" t="s">
        <v>255</v>
      </c>
      <c r="BK571" s="5" t="s">
        <v>256</v>
      </c>
      <c r="BL571" s="5" t="s">
        <v>238</v>
      </c>
      <c r="BM571" s="7">
        <f>0</f>
        <v>0</v>
      </c>
      <c r="BN571" s="8">
        <f>0</f>
        <v>0</v>
      </c>
      <c r="BO571" s="5" t="s">
        <v>257</v>
      </c>
      <c r="BP571" s="5" t="s">
        <v>258</v>
      </c>
      <c r="CD571" s="5" t="s">
        <v>238</v>
      </c>
      <c r="CE571" s="5" t="s">
        <v>238</v>
      </c>
      <c r="CI571" s="5" t="s">
        <v>527</v>
      </c>
      <c r="CJ571" s="5" t="s">
        <v>260</v>
      </c>
      <c r="CK571" s="5" t="s">
        <v>238</v>
      </c>
      <c r="CM571" s="5" t="s">
        <v>995</v>
      </c>
      <c r="CN571" s="6" t="s">
        <v>262</v>
      </c>
      <c r="CO571" s="5" t="s">
        <v>263</v>
      </c>
      <c r="CP571" s="5" t="s">
        <v>264</v>
      </c>
      <c r="CQ571" s="5" t="s">
        <v>238</v>
      </c>
      <c r="CR571" s="5" t="s">
        <v>238</v>
      </c>
      <c r="CS571" s="5">
        <v>0</v>
      </c>
      <c r="CT571" s="5" t="s">
        <v>265</v>
      </c>
      <c r="CU571" s="5" t="s">
        <v>266</v>
      </c>
      <c r="CV571" s="5" t="s">
        <v>649</v>
      </c>
      <c r="CX571" s="8">
        <f>5280000</f>
        <v>5280000</v>
      </c>
      <c r="CY571" s="8">
        <f>0</f>
        <v>0</v>
      </c>
      <c r="DA571" s="5" t="s">
        <v>238</v>
      </c>
      <c r="DB571" s="5" t="s">
        <v>238</v>
      </c>
      <c r="DD571" s="5" t="s">
        <v>238</v>
      </c>
      <c r="DG571" s="5" t="s">
        <v>238</v>
      </c>
      <c r="DH571" s="5" t="s">
        <v>238</v>
      </c>
      <c r="DI571" s="5" t="s">
        <v>238</v>
      </c>
      <c r="DJ571" s="5" t="s">
        <v>238</v>
      </c>
      <c r="DK571" s="5" t="s">
        <v>271</v>
      </c>
      <c r="DL571" s="5" t="s">
        <v>272</v>
      </c>
      <c r="DM571" s="7">
        <f>66</f>
        <v>66</v>
      </c>
      <c r="DN571" s="5" t="s">
        <v>238</v>
      </c>
      <c r="DO571" s="5" t="s">
        <v>238</v>
      </c>
      <c r="DP571" s="5" t="s">
        <v>238</v>
      </c>
      <c r="DQ571" s="5" t="s">
        <v>238</v>
      </c>
      <c r="DT571" s="5" t="s">
        <v>1126</v>
      </c>
      <c r="DU571" s="5" t="s">
        <v>313</v>
      </c>
      <c r="HM571" s="5" t="s">
        <v>271</v>
      </c>
      <c r="HP571" s="5" t="s">
        <v>272</v>
      </c>
      <c r="HQ571" s="5" t="s">
        <v>272</v>
      </c>
    </row>
    <row r="572" spans="1:238" x14ac:dyDescent="0.4">
      <c r="A572" s="5">
        <v>608</v>
      </c>
      <c r="B572" s="5">
        <v>1</v>
      </c>
      <c r="C572" s="5">
        <v>1</v>
      </c>
      <c r="D572" s="5" t="s">
        <v>1123</v>
      </c>
      <c r="E572" s="5" t="s">
        <v>347</v>
      </c>
      <c r="F572" s="5" t="s">
        <v>282</v>
      </c>
      <c r="G572" s="5" t="s">
        <v>695</v>
      </c>
      <c r="H572" s="6" t="s">
        <v>1125</v>
      </c>
      <c r="I572" s="5" t="s">
        <v>695</v>
      </c>
      <c r="J572" s="7">
        <f>59</f>
        <v>59</v>
      </c>
      <c r="K572" s="5" t="s">
        <v>270</v>
      </c>
      <c r="L572" s="8">
        <f>1</f>
        <v>1</v>
      </c>
      <c r="M572" s="8">
        <f>3540000</f>
        <v>3540000</v>
      </c>
      <c r="N572" s="6" t="s">
        <v>1791</v>
      </c>
      <c r="O572" s="5" t="s">
        <v>268</v>
      </c>
      <c r="P572" s="5" t="s">
        <v>1793</v>
      </c>
      <c r="R572" s="8">
        <f>3539999</f>
        <v>3539999</v>
      </c>
      <c r="S572" s="5" t="s">
        <v>240</v>
      </c>
      <c r="T572" s="5" t="s">
        <v>237</v>
      </c>
      <c r="U572" s="5" t="s">
        <v>238</v>
      </c>
      <c r="V572" s="5" t="s">
        <v>238</v>
      </c>
      <c r="W572" s="5" t="s">
        <v>241</v>
      </c>
      <c r="X572" s="5" t="s">
        <v>337</v>
      </c>
      <c r="Y572" s="5" t="s">
        <v>238</v>
      </c>
      <c r="AB572" s="5" t="s">
        <v>238</v>
      </c>
      <c r="AD572" s="6" t="s">
        <v>238</v>
      </c>
      <c r="AG572" s="6" t="s">
        <v>246</v>
      </c>
      <c r="AH572" s="5" t="s">
        <v>247</v>
      </c>
      <c r="AI572" s="5" t="s">
        <v>248</v>
      </c>
      <c r="AY572" s="5" t="s">
        <v>250</v>
      </c>
      <c r="AZ572" s="5" t="s">
        <v>238</v>
      </c>
      <c r="BA572" s="5" t="s">
        <v>251</v>
      </c>
      <c r="BB572" s="5" t="s">
        <v>238</v>
      </c>
      <c r="BC572" s="5" t="s">
        <v>253</v>
      </c>
      <c r="BD572" s="5" t="s">
        <v>238</v>
      </c>
      <c r="BF572" s="5" t="s">
        <v>238</v>
      </c>
      <c r="BH572" s="5" t="s">
        <v>254</v>
      </c>
      <c r="BI572" s="6" t="s">
        <v>246</v>
      </c>
      <c r="BJ572" s="5" t="s">
        <v>255</v>
      </c>
      <c r="BK572" s="5" t="s">
        <v>256</v>
      </c>
      <c r="BL572" s="5" t="s">
        <v>238</v>
      </c>
      <c r="BM572" s="7">
        <f>0</f>
        <v>0</v>
      </c>
      <c r="BN572" s="8">
        <f>0</f>
        <v>0</v>
      </c>
      <c r="BO572" s="5" t="s">
        <v>257</v>
      </c>
      <c r="BP572" s="5" t="s">
        <v>258</v>
      </c>
      <c r="CD572" s="5" t="s">
        <v>238</v>
      </c>
      <c r="CE572" s="5" t="s">
        <v>238</v>
      </c>
      <c r="CI572" s="5" t="s">
        <v>527</v>
      </c>
      <c r="CJ572" s="5" t="s">
        <v>260</v>
      </c>
      <c r="CK572" s="5" t="s">
        <v>238</v>
      </c>
      <c r="CM572" s="5" t="s">
        <v>1792</v>
      </c>
      <c r="CN572" s="6" t="s">
        <v>262</v>
      </c>
      <c r="CO572" s="5" t="s">
        <v>263</v>
      </c>
      <c r="CP572" s="5" t="s">
        <v>264</v>
      </c>
      <c r="CQ572" s="5" t="s">
        <v>238</v>
      </c>
      <c r="CR572" s="5" t="s">
        <v>238</v>
      </c>
      <c r="CS572" s="5">
        <v>0</v>
      </c>
      <c r="CT572" s="5" t="s">
        <v>265</v>
      </c>
      <c r="CU572" s="5" t="s">
        <v>351</v>
      </c>
      <c r="CV572" s="5" t="s">
        <v>394</v>
      </c>
      <c r="CX572" s="8">
        <f>3540000</f>
        <v>3540000</v>
      </c>
      <c r="CY572" s="8">
        <f>0</f>
        <v>0</v>
      </c>
      <c r="DA572" s="5" t="s">
        <v>238</v>
      </c>
      <c r="DB572" s="5" t="s">
        <v>238</v>
      </c>
      <c r="DD572" s="5" t="s">
        <v>238</v>
      </c>
      <c r="DG572" s="5" t="s">
        <v>238</v>
      </c>
      <c r="DH572" s="5" t="s">
        <v>238</v>
      </c>
      <c r="DI572" s="5" t="s">
        <v>238</v>
      </c>
      <c r="DJ572" s="5" t="s">
        <v>238</v>
      </c>
      <c r="DK572" s="5" t="s">
        <v>271</v>
      </c>
      <c r="DL572" s="5" t="s">
        <v>272</v>
      </c>
      <c r="DM572" s="7">
        <f>59</f>
        <v>59</v>
      </c>
      <c r="DN572" s="5" t="s">
        <v>238</v>
      </c>
      <c r="DO572" s="5" t="s">
        <v>238</v>
      </c>
      <c r="DP572" s="5" t="s">
        <v>238</v>
      </c>
      <c r="DQ572" s="5" t="s">
        <v>238</v>
      </c>
      <c r="DT572" s="5" t="s">
        <v>1126</v>
      </c>
      <c r="DU572" s="5" t="s">
        <v>389</v>
      </c>
      <c r="HM572" s="5" t="s">
        <v>271</v>
      </c>
      <c r="HP572" s="5" t="s">
        <v>272</v>
      </c>
      <c r="HQ572" s="5" t="s">
        <v>272</v>
      </c>
    </row>
    <row r="573" spans="1:238" x14ac:dyDescent="0.4">
      <c r="A573" s="5">
        <v>609</v>
      </c>
      <c r="B573" s="5">
        <v>1</v>
      </c>
      <c r="C573" s="5">
        <v>4</v>
      </c>
      <c r="D573" s="5" t="s">
        <v>1123</v>
      </c>
      <c r="E573" s="5" t="s">
        <v>347</v>
      </c>
      <c r="F573" s="5" t="s">
        <v>282</v>
      </c>
      <c r="G573" s="5" t="s">
        <v>375</v>
      </c>
      <c r="H573" s="6" t="s">
        <v>1125</v>
      </c>
      <c r="I573" s="5" t="s">
        <v>373</v>
      </c>
      <c r="J573" s="7">
        <f>0</f>
        <v>0</v>
      </c>
      <c r="K573" s="5" t="s">
        <v>270</v>
      </c>
      <c r="L573" s="8">
        <f>472435</f>
        <v>472435</v>
      </c>
      <c r="M573" s="8">
        <f>710425</f>
        <v>710425</v>
      </c>
      <c r="N573" s="6" t="s">
        <v>374</v>
      </c>
      <c r="O573" s="5" t="s">
        <v>268</v>
      </c>
      <c r="P573" s="5" t="s">
        <v>356</v>
      </c>
      <c r="Q573" s="8">
        <f>47598</f>
        <v>47598</v>
      </c>
      <c r="R573" s="8">
        <f>237990</f>
        <v>237990</v>
      </c>
      <c r="S573" s="5" t="s">
        <v>240</v>
      </c>
      <c r="T573" s="5" t="s">
        <v>287</v>
      </c>
      <c r="U573" s="5" t="s">
        <v>238</v>
      </c>
      <c r="V573" s="5" t="s">
        <v>238</v>
      </c>
      <c r="W573" s="5" t="s">
        <v>241</v>
      </c>
      <c r="X573" s="5" t="s">
        <v>337</v>
      </c>
      <c r="Y573" s="5" t="s">
        <v>238</v>
      </c>
      <c r="AB573" s="5" t="s">
        <v>238</v>
      </c>
      <c r="AC573" s="6" t="s">
        <v>238</v>
      </c>
      <c r="AD573" s="6" t="s">
        <v>238</v>
      </c>
      <c r="AF573" s="6" t="s">
        <v>238</v>
      </c>
      <c r="AG573" s="6" t="s">
        <v>246</v>
      </c>
      <c r="AH573" s="5" t="s">
        <v>247</v>
      </c>
      <c r="AI573" s="5" t="s">
        <v>248</v>
      </c>
      <c r="AO573" s="5" t="s">
        <v>238</v>
      </c>
      <c r="AP573" s="5" t="s">
        <v>238</v>
      </c>
      <c r="AQ573" s="5" t="s">
        <v>238</v>
      </c>
      <c r="AR573" s="6" t="s">
        <v>238</v>
      </c>
      <c r="AS573" s="6" t="s">
        <v>238</v>
      </c>
      <c r="AT573" s="6" t="s">
        <v>238</v>
      </c>
      <c r="AW573" s="5" t="s">
        <v>304</v>
      </c>
      <c r="AX573" s="5" t="s">
        <v>304</v>
      </c>
      <c r="AY573" s="5" t="s">
        <v>250</v>
      </c>
      <c r="AZ573" s="5" t="s">
        <v>305</v>
      </c>
      <c r="BA573" s="5" t="s">
        <v>251</v>
      </c>
      <c r="BB573" s="5" t="s">
        <v>238</v>
      </c>
      <c r="BC573" s="5" t="s">
        <v>253</v>
      </c>
      <c r="BD573" s="5" t="s">
        <v>238</v>
      </c>
      <c r="BF573" s="5" t="s">
        <v>238</v>
      </c>
      <c r="BH573" s="5" t="s">
        <v>283</v>
      </c>
      <c r="BI573" s="6" t="s">
        <v>293</v>
      </c>
      <c r="BJ573" s="5" t="s">
        <v>294</v>
      </c>
      <c r="BK573" s="5" t="s">
        <v>294</v>
      </c>
      <c r="BL573" s="5" t="s">
        <v>238</v>
      </c>
      <c r="BM573" s="7">
        <f>0</f>
        <v>0</v>
      </c>
      <c r="BN573" s="8">
        <f>-47598</f>
        <v>-47598</v>
      </c>
      <c r="BO573" s="5" t="s">
        <v>257</v>
      </c>
      <c r="BP573" s="5" t="s">
        <v>258</v>
      </c>
      <c r="BQ573" s="5" t="s">
        <v>238</v>
      </c>
      <c r="BR573" s="5" t="s">
        <v>238</v>
      </c>
      <c r="BS573" s="5" t="s">
        <v>238</v>
      </c>
      <c r="BT573" s="5" t="s">
        <v>238</v>
      </c>
      <c r="CC573" s="5" t="s">
        <v>258</v>
      </c>
      <c r="CD573" s="5" t="s">
        <v>238</v>
      </c>
      <c r="CE573" s="5" t="s">
        <v>238</v>
      </c>
      <c r="CI573" s="5" t="s">
        <v>259</v>
      </c>
      <c r="CJ573" s="5" t="s">
        <v>260</v>
      </c>
      <c r="CK573" s="5" t="s">
        <v>238</v>
      </c>
      <c r="CM573" s="5" t="s">
        <v>376</v>
      </c>
      <c r="CN573" s="6" t="s">
        <v>262</v>
      </c>
      <c r="CO573" s="5" t="s">
        <v>263</v>
      </c>
      <c r="CP573" s="5" t="s">
        <v>264</v>
      </c>
      <c r="CQ573" s="5" t="s">
        <v>285</v>
      </c>
      <c r="CR573" s="5" t="s">
        <v>238</v>
      </c>
      <c r="CS573" s="5">
        <v>6.7000000000000004E-2</v>
      </c>
      <c r="CT573" s="5" t="s">
        <v>265</v>
      </c>
      <c r="CU573" s="5" t="s">
        <v>351</v>
      </c>
      <c r="CV573" s="5" t="s">
        <v>365</v>
      </c>
      <c r="CW573" s="7">
        <f>0</f>
        <v>0</v>
      </c>
      <c r="CX573" s="8">
        <f>710425</f>
        <v>710425</v>
      </c>
      <c r="CY573" s="8">
        <f>520033</f>
        <v>520033</v>
      </c>
      <c r="DA573" s="5" t="s">
        <v>238</v>
      </c>
      <c r="DB573" s="5" t="s">
        <v>238</v>
      </c>
      <c r="DD573" s="5" t="s">
        <v>238</v>
      </c>
      <c r="DE573" s="8">
        <f>0</f>
        <v>0</v>
      </c>
      <c r="DG573" s="5" t="s">
        <v>238</v>
      </c>
      <c r="DH573" s="5" t="s">
        <v>238</v>
      </c>
      <c r="DI573" s="5" t="s">
        <v>238</v>
      </c>
      <c r="DJ573" s="5" t="s">
        <v>238</v>
      </c>
      <c r="DK573" s="5" t="s">
        <v>272</v>
      </c>
      <c r="DL573" s="5" t="s">
        <v>272</v>
      </c>
      <c r="DM573" s="8" t="s">
        <v>238</v>
      </c>
      <c r="DN573" s="5" t="s">
        <v>238</v>
      </c>
      <c r="DO573" s="5" t="s">
        <v>238</v>
      </c>
      <c r="DP573" s="5" t="s">
        <v>238</v>
      </c>
      <c r="DQ573" s="5" t="s">
        <v>238</v>
      </c>
      <c r="DT573" s="5" t="s">
        <v>1126</v>
      </c>
      <c r="DU573" s="5" t="s">
        <v>354</v>
      </c>
      <c r="GL573" s="5" t="s">
        <v>3126</v>
      </c>
      <c r="HM573" s="5" t="s">
        <v>379</v>
      </c>
      <c r="HP573" s="5" t="s">
        <v>272</v>
      </c>
      <c r="HQ573" s="5" t="s">
        <v>272</v>
      </c>
      <c r="HR573" s="5" t="s">
        <v>238</v>
      </c>
      <c r="HS573" s="5" t="s">
        <v>238</v>
      </c>
      <c r="HT573" s="5" t="s">
        <v>238</v>
      </c>
      <c r="HU573" s="5" t="s">
        <v>238</v>
      </c>
      <c r="HV573" s="5" t="s">
        <v>238</v>
      </c>
      <c r="HW573" s="5" t="s">
        <v>238</v>
      </c>
      <c r="HX573" s="5" t="s">
        <v>238</v>
      </c>
      <c r="HY573" s="5" t="s">
        <v>238</v>
      </c>
      <c r="HZ573" s="5" t="s">
        <v>238</v>
      </c>
      <c r="IA573" s="5" t="s">
        <v>238</v>
      </c>
      <c r="IB573" s="5" t="s">
        <v>238</v>
      </c>
      <c r="IC573" s="5" t="s">
        <v>238</v>
      </c>
      <c r="ID573" s="5" t="s">
        <v>238</v>
      </c>
    </row>
    <row r="574" spans="1:238" x14ac:dyDescent="0.4">
      <c r="A574" s="5">
        <v>610</v>
      </c>
      <c r="B574" s="5">
        <v>1</v>
      </c>
      <c r="C574" s="5">
        <v>4</v>
      </c>
      <c r="D574" s="5" t="s">
        <v>1123</v>
      </c>
      <c r="E574" s="5" t="s">
        <v>347</v>
      </c>
      <c r="F574" s="5" t="s">
        <v>282</v>
      </c>
      <c r="G574" s="5" t="s">
        <v>349</v>
      </c>
      <c r="H574" s="6" t="s">
        <v>1125</v>
      </c>
      <c r="I574" s="5" t="s">
        <v>1643</v>
      </c>
      <c r="J574" s="7">
        <f>0</f>
        <v>0</v>
      </c>
      <c r="K574" s="5" t="s">
        <v>270</v>
      </c>
      <c r="L574" s="8">
        <f>145776</f>
        <v>145776</v>
      </c>
      <c r="M574" s="8">
        <f>159840</f>
        <v>159840</v>
      </c>
      <c r="N574" s="6" t="s">
        <v>1644</v>
      </c>
      <c r="O574" s="5" t="s">
        <v>898</v>
      </c>
      <c r="P574" s="5" t="s">
        <v>274</v>
      </c>
      <c r="Q574" s="8">
        <f>3516</f>
        <v>3516</v>
      </c>
      <c r="R574" s="8">
        <f>14064</f>
        <v>14064</v>
      </c>
      <c r="S574" s="5" t="s">
        <v>240</v>
      </c>
      <c r="T574" s="5" t="s">
        <v>287</v>
      </c>
      <c r="U574" s="5" t="s">
        <v>238</v>
      </c>
      <c r="V574" s="5" t="s">
        <v>238</v>
      </c>
      <c r="W574" s="5" t="s">
        <v>241</v>
      </c>
      <c r="X574" s="5" t="s">
        <v>238</v>
      </c>
      <c r="Y574" s="5" t="s">
        <v>238</v>
      </c>
      <c r="AB574" s="5" t="s">
        <v>238</v>
      </c>
      <c r="AC574" s="6" t="s">
        <v>238</v>
      </c>
      <c r="AD574" s="6" t="s">
        <v>238</v>
      </c>
      <c r="AF574" s="6" t="s">
        <v>238</v>
      </c>
      <c r="AG574" s="6" t="s">
        <v>246</v>
      </c>
      <c r="AH574" s="5" t="s">
        <v>247</v>
      </c>
      <c r="AI574" s="5" t="s">
        <v>248</v>
      </c>
      <c r="AO574" s="5" t="s">
        <v>238</v>
      </c>
      <c r="AP574" s="5" t="s">
        <v>238</v>
      </c>
      <c r="AQ574" s="5" t="s">
        <v>238</v>
      </c>
      <c r="AR574" s="6" t="s">
        <v>238</v>
      </c>
      <c r="AS574" s="6" t="s">
        <v>238</v>
      </c>
      <c r="AT574" s="6" t="s">
        <v>238</v>
      </c>
      <c r="AW574" s="5" t="s">
        <v>304</v>
      </c>
      <c r="AX574" s="5" t="s">
        <v>304</v>
      </c>
      <c r="AY574" s="5" t="s">
        <v>250</v>
      </c>
      <c r="AZ574" s="5" t="s">
        <v>305</v>
      </c>
      <c r="BA574" s="5" t="s">
        <v>251</v>
      </c>
      <c r="BB574" s="5" t="s">
        <v>238</v>
      </c>
      <c r="BC574" s="5" t="s">
        <v>253</v>
      </c>
      <c r="BD574" s="5" t="s">
        <v>238</v>
      </c>
      <c r="BF574" s="5" t="s">
        <v>238</v>
      </c>
      <c r="BH574" s="5" t="s">
        <v>283</v>
      </c>
      <c r="BI574" s="6" t="s">
        <v>293</v>
      </c>
      <c r="BJ574" s="5" t="s">
        <v>294</v>
      </c>
      <c r="BK574" s="5" t="s">
        <v>294</v>
      </c>
      <c r="BL574" s="5" t="s">
        <v>238</v>
      </c>
      <c r="BM574" s="7">
        <f>0</f>
        <v>0</v>
      </c>
      <c r="BN574" s="8">
        <f>-3516</f>
        <v>-3516</v>
      </c>
      <c r="BO574" s="5" t="s">
        <v>257</v>
      </c>
      <c r="BP574" s="5" t="s">
        <v>258</v>
      </c>
      <c r="BQ574" s="5" t="s">
        <v>238</v>
      </c>
      <c r="BR574" s="5" t="s">
        <v>238</v>
      </c>
      <c r="BS574" s="5" t="s">
        <v>238</v>
      </c>
      <c r="BT574" s="5" t="s">
        <v>238</v>
      </c>
      <c r="CC574" s="5" t="s">
        <v>258</v>
      </c>
      <c r="CD574" s="5" t="s">
        <v>238</v>
      </c>
      <c r="CE574" s="5" t="s">
        <v>238</v>
      </c>
      <c r="CI574" s="5" t="s">
        <v>259</v>
      </c>
      <c r="CJ574" s="5" t="s">
        <v>260</v>
      </c>
      <c r="CK574" s="5" t="s">
        <v>238</v>
      </c>
      <c r="CM574" s="5" t="s">
        <v>402</v>
      </c>
      <c r="CN574" s="6" t="s">
        <v>262</v>
      </c>
      <c r="CO574" s="5" t="s">
        <v>263</v>
      </c>
      <c r="CP574" s="5" t="s">
        <v>264</v>
      </c>
      <c r="CQ574" s="5" t="s">
        <v>285</v>
      </c>
      <c r="CR574" s="5" t="s">
        <v>238</v>
      </c>
      <c r="CS574" s="5">
        <v>2.1999999999999999E-2</v>
      </c>
      <c r="CT574" s="5" t="s">
        <v>265</v>
      </c>
      <c r="CU574" s="5" t="s">
        <v>1493</v>
      </c>
      <c r="CV574" s="5" t="s">
        <v>308</v>
      </c>
      <c r="CW574" s="7">
        <f>0</f>
        <v>0</v>
      </c>
      <c r="CX574" s="8">
        <f>159840</f>
        <v>159840</v>
      </c>
      <c r="CY574" s="8">
        <f>149292</f>
        <v>149292</v>
      </c>
      <c r="DA574" s="5" t="s">
        <v>238</v>
      </c>
      <c r="DB574" s="5" t="s">
        <v>238</v>
      </c>
      <c r="DD574" s="5" t="s">
        <v>238</v>
      </c>
      <c r="DE574" s="8">
        <f>0</f>
        <v>0</v>
      </c>
      <c r="DG574" s="5" t="s">
        <v>238</v>
      </c>
      <c r="DH574" s="5" t="s">
        <v>238</v>
      </c>
      <c r="DI574" s="5" t="s">
        <v>238</v>
      </c>
      <c r="DJ574" s="5" t="s">
        <v>238</v>
      </c>
      <c r="DK574" s="5" t="s">
        <v>272</v>
      </c>
      <c r="DL574" s="5" t="s">
        <v>272</v>
      </c>
      <c r="DM574" s="8" t="s">
        <v>238</v>
      </c>
      <c r="DN574" s="5" t="s">
        <v>238</v>
      </c>
      <c r="DO574" s="5" t="s">
        <v>238</v>
      </c>
      <c r="DP574" s="5" t="s">
        <v>238</v>
      </c>
      <c r="DQ574" s="5" t="s">
        <v>238</v>
      </c>
      <c r="DT574" s="5" t="s">
        <v>1126</v>
      </c>
      <c r="DU574" s="5" t="s">
        <v>361</v>
      </c>
      <c r="GL574" s="5" t="s">
        <v>1645</v>
      </c>
      <c r="HM574" s="5" t="s">
        <v>310</v>
      </c>
      <c r="HP574" s="5" t="s">
        <v>272</v>
      </c>
      <c r="HQ574" s="5" t="s">
        <v>272</v>
      </c>
      <c r="HR574" s="5" t="s">
        <v>238</v>
      </c>
      <c r="HS574" s="5" t="s">
        <v>238</v>
      </c>
      <c r="HT574" s="5" t="s">
        <v>238</v>
      </c>
      <c r="HU574" s="5" t="s">
        <v>238</v>
      </c>
      <c r="HV574" s="5" t="s">
        <v>238</v>
      </c>
      <c r="HW574" s="5" t="s">
        <v>238</v>
      </c>
      <c r="HX574" s="5" t="s">
        <v>238</v>
      </c>
      <c r="HY574" s="5" t="s">
        <v>238</v>
      </c>
      <c r="HZ574" s="5" t="s">
        <v>238</v>
      </c>
      <c r="IA574" s="5" t="s">
        <v>238</v>
      </c>
      <c r="IB574" s="5" t="s">
        <v>238</v>
      </c>
      <c r="IC574" s="5" t="s">
        <v>238</v>
      </c>
      <c r="ID574" s="5" t="s">
        <v>238</v>
      </c>
    </row>
    <row r="575" spans="1:238" x14ac:dyDescent="0.4">
      <c r="A575" s="5">
        <v>611</v>
      </c>
      <c r="B575" s="5">
        <v>1</v>
      </c>
      <c r="C575" s="5">
        <v>4</v>
      </c>
      <c r="D575" s="5" t="s">
        <v>1123</v>
      </c>
      <c r="E575" s="5" t="s">
        <v>347</v>
      </c>
      <c r="F575" s="5" t="s">
        <v>282</v>
      </c>
      <c r="G575" s="5" t="s">
        <v>349</v>
      </c>
      <c r="H575" s="6" t="s">
        <v>1125</v>
      </c>
      <c r="I575" s="5" t="s">
        <v>345</v>
      </c>
      <c r="J575" s="7">
        <f>0</f>
        <v>0</v>
      </c>
      <c r="K575" s="5" t="s">
        <v>270</v>
      </c>
      <c r="L575" s="8">
        <f>38879001</f>
        <v>38879001</v>
      </c>
      <c r="M575" s="8">
        <f>50557866</f>
        <v>50557866</v>
      </c>
      <c r="N575" s="6" t="s">
        <v>348</v>
      </c>
      <c r="O575" s="5" t="s">
        <v>319</v>
      </c>
      <c r="P575" s="5" t="s">
        <v>271</v>
      </c>
      <c r="Q575" s="8">
        <f>3892955</f>
        <v>3892955</v>
      </c>
      <c r="R575" s="8">
        <f>11678865</f>
        <v>11678865</v>
      </c>
      <c r="S575" s="5" t="s">
        <v>240</v>
      </c>
      <c r="T575" s="5" t="s">
        <v>287</v>
      </c>
      <c r="U575" s="5" t="s">
        <v>238</v>
      </c>
      <c r="V575" s="5" t="s">
        <v>238</v>
      </c>
      <c r="W575" s="5" t="s">
        <v>241</v>
      </c>
      <c r="X575" s="5" t="s">
        <v>238</v>
      </c>
      <c r="Y575" s="5" t="s">
        <v>238</v>
      </c>
      <c r="AB575" s="5" t="s">
        <v>238</v>
      </c>
      <c r="AC575" s="6" t="s">
        <v>238</v>
      </c>
      <c r="AD575" s="6" t="s">
        <v>238</v>
      </c>
      <c r="AF575" s="6" t="s">
        <v>238</v>
      </c>
      <c r="AG575" s="6" t="s">
        <v>246</v>
      </c>
      <c r="AH575" s="5" t="s">
        <v>247</v>
      </c>
      <c r="AI575" s="5" t="s">
        <v>248</v>
      </c>
      <c r="AO575" s="5" t="s">
        <v>238</v>
      </c>
      <c r="AP575" s="5" t="s">
        <v>238</v>
      </c>
      <c r="AQ575" s="5" t="s">
        <v>238</v>
      </c>
      <c r="AR575" s="6" t="s">
        <v>238</v>
      </c>
      <c r="AS575" s="6" t="s">
        <v>238</v>
      </c>
      <c r="AT575" s="6" t="s">
        <v>238</v>
      </c>
      <c r="AW575" s="5" t="s">
        <v>304</v>
      </c>
      <c r="AX575" s="5" t="s">
        <v>304</v>
      </c>
      <c r="AY575" s="5" t="s">
        <v>250</v>
      </c>
      <c r="AZ575" s="5" t="s">
        <v>305</v>
      </c>
      <c r="BA575" s="5" t="s">
        <v>251</v>
      </c>
      <c r="BB575" s="5" t="s">
        <v>238</v>
      </c>
      <c r="BC575" s="5" t="s">
        <v>253</v>
      </c>
      <c r="BD575" s="5" t="s">
        <v>238</v>
      </c>
      <c r="BF575" s="5" t="s">
        <v>238</v>
      </c>
      <c r="BH575" s="5" t="s">
        <v>283</v>
      </c>
      <c r="BI575" s="6" t="s">
        <v>293</v>
      </c>
      <c r="BJ575" s="5" t="s">
        <v>294</v>
      </c>
      <c r="BK575" s="5" t="s">
        <v>294</v>
      </c>
      <c r="BL575" s="5" t="s">
        <v>238</v>
      </c>
      <c r="BM575" s="7">
        <f>0</f>
        <v>0</v>
      </c>
      <c r="BN575" s="8">
        <f>-3892955</f>
        <v>-3892955</v>
      </c>
      <c r="BO575" s="5" t="s">
        <v>257</v>
      </c>
      <c r="BP575" s="5" t="s">
        <v>258</v>
      </c>
      <c r="BQ575" s="5" t="s">
        <v>238</v>
      </c>
      <c r="BR575" s="5" t="s">
        <v>238</v>
      </c>
      <c r="BS575" s="5" t="s">
        <v>238</v>
      </c>
      <c r="BT575" s="5" t="s">
        <v>238</v>
      </c>
      <c r="CC575" s="5" t="s">
        <v>258</v>
      </c>
      <c r="CD575" s="5" t="s">
        <v>238</v>
      </c>
      <c r="CE575" s="5" t="s">
        <v>238</v>
      </c>
      <c r="CI575" s="5" t="s">
        <v>259</v>
      </c>
      <c r="CJ575" s="5" t="s">
        <v>260</v>
      </c>
      <c r="CK575" s="5" t="s">
        <v>238</v>
      </c>
      <c r="CM575" s="5" t="s">
        <v>291</v>
      </c>
      <c r="CN575" s="6" t="s">
        <v>262</v>
      </c>
      <c r="CO575" s="5" t="s">
        <v>263</v>
      </c>
      <c r="CP575" s="5" t="s">
        <v>264</v>
      </c>
      <c r="CQ575" s="5" t="s">
        <v>285</v>
      </c>
      <c r="CR575" s="5" t="s">
        <v>238</v>
      </c>
      <c r="CS575" s="5">
        <v>7.6999999999999999E-2</v>
      </c>
      <c r="CT575" s="5" t="s">
        <v>265</v>
      </c>
      <c r="CU575" s="5" t="s">
        <v>351</v>
      </c>
      <c r="CV575" s="5" t="s">
        <v>352</v>
      </c>
      <c r="CW575" s="7">
        <f>0</f>
        <v>0</v>
      </c>
      <c r="CX575" s="8">
        <f>50557866</f>
        <v>50557866</v>
      </c>
      <c r="CY575" s="8">
        <f>42771956</f>
        <v>42771956</v>
      </c>
      <c r="DA575" s="5" t="s">
        <v>238</v>
      </c>
      <c r="DB575" s="5" t="s">
        <v>238</v>
      </c>
      <c r="DD575" s="5" t="s">
        <v>238</v>
      </c>
      <c r="DE575" s="8">
        <f>0</f>
        <v>0</v>
      </c>
      <c r="DG575" s="5" t="s">
        <v>238</v>
      </c>
      <c r="DH575" s="5" t="s">
        <v>238</v>
      </c>
      <c r="DI575" s="5" t="s">
        <v>238</v>
      </c>
      <c r="DJ575" s="5" t="s">
        <v>238</v>
      </c>
      <c r="DK575" s="5" t="s">
        <v>272</v>
      </c>
      <c r="DL575" s="5" t="s">
        <v>272</v>
      </c>
      <c r="DM575" s="8" t="s">
        <v>238</v>
      </c>
      <c r="DN575" s="5" t="s">
        <v>238</v>
      </c>
      <c r="DO575" s="5" t="s">
        <v>238</v>
      </c>
      <c r="DP575" s="5" t="s">
        <v>238</v>
      </c>
      <c r="DQ575" s="5" t="s">
        <v>238</v>
      </c>
      <c r="DT575" s="5" t="s">
        <v>1126</v>
      </c>
      <c r="DU575" s="5" t="s">
        <v>377</v>
      </c>
      <c r="GL575" s="5" t="s">
        <v>3125</v>
      </c>
      <c r="HM575" s="5" t="s">
        <v>356</v>
      </c>
      <c r="HP575" s="5" t="s">
        <v>272</v>
      </c>
      <c r="HQ575" s="5" t="s">
        <v>272</v>
      </c>
      <c r="HR575" s="5" t="s">
        <v>238</v>
      </c>
      <c r="HS575" s="5" t="s">
        <v>238</v>
      </c>
      <c r="HT575" s="5" t="s">
        <v>238</v>
      </c>
      <c r="HU575" s="5" t="s">
        <v>238</v>
      </c>
      <c r="HV575" s="5" t="s">
        <v>238</v>
      </c>
      <c r="HW575" s="5" t="s">
        <v>238</v>
      </c>
      <c r="HX575" s="5" t="s">
        <v>238</v>
      </c>
      <c r="HY575" s="5" t="s">
        <v>238</v>
      </c>
      <c r="HZ575" s="5" t="s">
        <v>238</v>
      </c>
      <c r="IA575" s="5" t="s">
        <v>238</v>
      </c>
      <c r="IB575" s="5" t="s">
        <v>238</v>
      </c>
      <c r="IC575" s="5" t="s">
        <v>238</v>
      </c>
      <c r="ID575" s="5" t="s">
        <v>238</v>
      </c>
    </row>
    <row r="576" spans="1:238" x14ac:dyDescent="0.4">
      <c r="A576" s="5">
        <v>612</v>
      </c>
      <c r="B576" s="5">
        <v>1</v>
      </c>
      <c r="C576" s="5">
        <v>1</v>
      </c>
      <c r="D576" s="5" t="s">
        <v>1646</v>
      </c>
      <c r="E576" s="5" t="s">
        <v>347</v>
      </c>
      <c r="F576" s="5" t="s">
        <v>282</v>
      </c>
      <c r="G576" s="5" t="s">
        <v>1670</v>
      </c>
      <c r="H576" s="6" t="s">
        <v>1648</v>
      </c>
      <c r="I576" s="5" t="s">
        <v>1670</v>
      </c>
      <c r="J576" s="7">
        <f>481</f>
        <v>481</v>
      </c>
      <c r="K576" s="5" t="s">
        <v>270</v>
      </c>
      <c r="L576" s="8">
        <f>1</f>
        <v>1</v>
      </c>
      <c r="M576" s="8">
        <f>38480000</f>
        <v>38480000</v>
      </c>
      <c r="N576" s="6" t="s">
        <v>1571</v>
      </c>
      <c r="O576" s="5" t="s">
        <v>755</v>
      </c>
      <c r="P576" s="5" t="s">
        <v>1042</v>
      </c>
      <c r="R576" s="8">
        <f>38479999</f>
        <v>38479999</v>
      </c>
      <c r="S576" s="5" t="s">
        <v>240</v>
      </c>
      <c r="T576" s="5" t="s">
        <v>237</v>
      </c>
      <c r="U576" s="5" t="s">
        <v>238</v>
      </c>
      <c r="V576" s="5" t="s">
        <v>238</v>
      </c>
      <c r="W576" s="5" t="s">
        <v>241</v>
      </c>
      <c r="X576" s="5" t="s">
        <v>337</v>
      </c>
      <c r="Y576" s="5" t="s">
        <v>238</v>
      </c>
      <c r="AB576" s="5" t="s">
        <v>238</v>
      </c>
      <c r="AD576" s="6" t="s">
        <v>238</v>
      </c>
      <c r="AG576" s="6" t="s">
        <v>246</v>
      </c>
      <c r="AH576" s="5" t="s">
        <v>247</v>
      </c>
      <c r="AI576" s="5" t="s">
        <v>248</v>
      </c>
      <c r="AY576" s="5" t="s">
        <v>250</v>
      </c>
      <c r="AZ576" s="5" t="s">
        <v>238</v>
      </c>
      <c r="BA576" s="5" t="s">
        <v>251</v>
      </c>
      <c r="BB576" s="5" t="s">
        <v>238</v>
      </c>
      <c r="BC576" s="5" t="s">
        <v>253</v>
      </c>
      <c r="BD576" s="5" t="s">
        <v>238</v>
      </c>
      <c r="BF576" s="5" t="s">
        <v>238</v>
      </c>
      <c r="BH576" s="5" t="s">
        <v>254</v>
      </c>
      <c r="BI576" s="6" t="s">
        <v>246</v>
      </c>
      <c r="BJ576" s="5" t="s">
        <v>255</v>
      </c>
      <c r="BK576" s="5" t="s">
        <v>256</v>
      </c>
      <c r="BL576" s="5" t="s">
        <v>238</v>
      </c>
      <c r="BM576" s="7">
        <f>0</f>
        <v>0</v>
      </c>
      <c r="BN576" s="8">
        <f>0</f>
        <v>0</v>
      </c>
      <c r="BO576" s="5" t="s">
        <v>257</v>
      </c>
      <c r="BP576" s="5" t="s">
        <v>258</v>
      </c>
      <c r="CD576" s="5" t="s">
        <v>238</v>
      </c>
      <c r="CE576" s="5" t="s">
        <v>238</v>
      </c>
      <c r="CI576" s="5" t="s">
        <v>527</v>
      </c>
      <c r="CJ576" s="5" t="s">
        <v>260</v>
      </c>
      <c r="CK576" s="5" t="s">
        <v>238</v>
      </c>
      <c r="CM576" s="5" t="s">
        <v>699</v>
      </c>
      <c r="CN576" s="6" t="s">
        <v>262</v>
      </c>
      <c r="CO576" s="5" t="s">
        <v>263</v>
      </c>
      <c r="CP576" s="5" t="s">
        <v>264</v>
      </c>
      <c r="CQ576" s="5" t="s">
        <v>238</v>
      </c>
      <c r="CR576" s="5" t="s">
        <v>238</v>
      </c>
      <c r="CS576" s="5">
        <v>0</v>
      </c>
      <c r="CT576" s="5" t="s">
        <v>265</v>
      </c>
      <c r="CU576" s="5" t="s">
        <v>1330</v>
      </c>
      <c r="CV576" s="5" t="s">
        <v>649</v>
      </c>
      <c r="CX576" s="8">
        <f>38480000</f>
        <v>38480000</v>
      </c>
      <c r="CY576" s="8">
        <f>0</f>
        <v>0</v>
      </c>
      <c r="DA576" s="5" t="s">
        <v>238</v>
      </c>
      <c r="DB576" s="5" t="s">
        <v>238</v>
      </c>
      <c r="DD576" s="5" t="s">
        <v>238</v>
      </c>
      <c r="DG576" s="5" t="s">
        <v>238</v>
      </c>
      <c r="DH576" s="5" t="s">
        <v>238</v>
      </c>
      <c r="DI576" s="5" t="s">
        <v>238</v>
      </c>
      <c r="DJ576" s="5" t="s">
        <v>238</v>
      </c>
      <c r="DK576" s="5" t="s">
        <v>271</v>
      </c>
      <c r="DL576" s="5" t="s">
        <v>272</v>
      </c>
      <c r="DM576" s="7">
        <f>481</f>
        <v>481</v>
      </c>
      <c r="DN576" s="5" t="s">
        <v>238</v>
      </c>
      <c r="DO576" s="5" t="s">
        <v>238</v>
      </c>
      <c r="DP576" s="5" t="s">
        <v>238</v>
      </c>
      <c r="DQ576" s="5" t="s">
        <v>238</v>
      </c>
      <c r="DT576" s="5" t="s">
        <v>1650</v>
      </c>
      <c r="DU576" s="5" t="s">
        <v>271</v>
      </c>
      <c r="HM576" s="5" t="s">
        <v>271</v>
      </c>
      <c r="HP576" s="5" t="s">
        <v>272</v>
      </c>
      <c r="HQ576" s="5" t="s">
        <v>272</v>
      </c>
    </row>
    <row r="577" spans="1:238" x14ac:dyDescent="0.4">
      <c r="A577" s="5">
        <v>613</v>
      </c>
      <c r="B577" s="5">
        <v>1</v>
      </c>
      <c r="C577" s="5">
        <v>3</v>
      </c>
      <c r="D577" s="5" t="s">
        <v>1646</v>
      </c>
      <c r="E577" s="5" t="s">
        <v>347</v>
      </c>
      <c r="F577" s="5" t="s">
        <v>282</v>
      </c>
      <c r="G577" s="5" t="s">
        <v>3027</v>
      </c>
      <c r="H577" s="6" t="s">
        <v>1648</v>
      </c>
      <c r="I577" s="5" t="s">
        <v>3027</v>
      </c>
      <c r="J577" s="7">
        <f>87</f>
        <v>87</v>
      </c>
      <c r="K577" s="5" t="s">
        <v>270</v>
      </c>
      <c r="L577" s="8">
        <f>1</f>
        <v>1</v>
      </c>
      <c r="M577" s="8">
        <f>14181000</f>
        <v>14181000</v>
      </c>
      <c r="N577" s="6" t="s">
        <v>1111</v>
      </c>
      <c r="O577" s="5" t="s">
        <v>268</v>
      </c>
      <c r="P577" s="5" t="s">
        <v>1114</v>
      </c>
      <c r="Q577" s="8">
        <f>879221</f>
        <v>879221</v>
      </c>
      <c r="R577" s="8">
        <f>14180999</f>
        <v>14180999</v>
      </c>
      <c r="S577" s="5" t="s">
        <v>240</v>
      </c>
      <c r="T577" s="5" t="s">
        <v>237</v>
      </c>
      <c r="U577" s="5" t="s">
        <v>238</v>
      </c>
      <c r="V577" s="5" t="s">
        <v>238</v>
      </c>
      <c r="W577" s="5" t="s">
        <v>241</v>
      </c>
      <c r="X577" s="5" t="s">
        <v>337</v>
      </c>
      <c r="Y577" s="5" t="s">
        <v>238</v>
      </c>
      <c r="AB577" s="5" t="s">
        <v>238</v>
      </c>
      <c r="AC577" s="6" t="s">
        <v>238</v>
      </c>
      <c r="AD577" s="6" t="s">
        <v>238</v>
      </c>
      <c r="AF577" s="6" t="s">
        <v>238</v>
      </c>
      <c r="AG577" s="6" t="s">
        <v>246</v>
      </c>
      <c r="AH577" s="5" t="s">
        <v>247</v>
      </c>
      <c r="AI577" s="5" t="s">
        <v>248</v>
      </c>
      <c r="AO577" s="5" t="s">
        <v>238</v>
      </c>
      <c r="AP577" s="5" t="s">
        <v>238</v>
      </c>
      <c r="AQ577" s="5" t="s">
        <v>238</v>
      </c>
      <c r="AR577" s="6" t="s">
        <v>238</v>
      </c>
      <c r="AS577" s="6" t="s">
        <v>238</v>
      </c>
      <c r="AT577" s="6" t="s">
        <v>238</v>
      </c>
      <c r="AW577" s="5" t="s">
        <v>304</v>
      </c>
      <c r="AX577" s="5" t="s">
        <v>304</v>
      </c>
      <c r="AY577" s="5" t="s">
        <v>250</v>
      </c>
      <c r="AZ577" s="5" t="s">
        <v>305</v>
      </c>
      <c r="BA577" s="5" t="s">
        <v>251</v>
      </c>
      <c r="BB577" s="5" t="s">
        <v>238</v>
      </c>
      <c r="BC577" s="5" t="s">
        <v>253</v>
      </c>
      <c r="BD577" s="5" t="s">
        <v>238</v>
      </c>
      <c r="BF577" s="5" t="s">
        <v>238</v>
      </c>
      <c r="BH577" s="5" t="s">
        <v>1076</v>
      </c>
      <c r="BI577" s="6" t="s">
        <v>1077</v>
      </c>
      <c r="BJ577" s="5" t="s">
        <v>294</v>
      </c>
      <c r="BK577" s="5" t="s">
        <v>294</v>
      </c>
      <c r="BL577" s="5" t="s">
        <v>238</v>
      </c>
      <c r="BM577" s="7">
        <f>0</f>
        <v>0</v>
      </c>
      <c r="BN577" s="8">
        <f>-879221</f>
        <v>-879221</v>
      </c>
      <c r="BO577" s="5" t="s">
        <v>257</v>
      </c>
      <c r="BP577" s="5" t="s">
        <v>258</v>
      </c>
      <c r="BQ577" s="5" t="s">
        <v>238</v>
      </c>
      <c r="BR577" s="5" t="s">
        <v>238</v>
      </c>
      <c r="BS577" s="5" t="s">
        <v>238</v>
      </c>
      <c r="BT577" s="5" t="s">
        <v>238</v>
      </c>
      <c r="CC577" s="5" t="s">
        <v>258</v>
      </c>
      <c r="CD577" s="5" t="s">
        <v>238</v>
      </c>
      <c r="CE577" s="5" t="s">
        <v>238</v>
      </c>
      <c r="CI577" s="5" t="s">
        <v>259</v>
      </c>
      <c r="CJ577" s="5" t="s">
        <v>260</v>
      </c>
      <c r="CK577" s="5" t="s">
        <v>238</v>
      </c>
      <c r="CM577" s="5" t="s">
        <v>1113</v>
      </c>
      <c r="CN577" s="6" t="s">
        <v>262</v>
      </c>
      <c r="CO577" s="5" t="s">
        <v>263</v>
      </c>
      <c r="CP577" s="5" t="s">
        <v>264</v>
      </c>
      <c r="CQ577" s="5" t="s">
        <v>285</v>
      </c>
      <c r="CR577" s="5" t="s">
        <v>238</v>
      </c>
      <c r="CS577" s="5">
        <v>6.7000000000000004E-2</v>
      </c>
      <c r="CT577" s="5" t="s">
        <v>265</v>
      </c>
      <c r="CU577" s="5" t="s">
        <v>351</v>
      </c>
      <c r="CV577" s="5" t="s">
        <v>394</v>
      </c>
      <c r="CW577" s="7">
        <f>0</f>
        <v>0</v>
      </c>
      <c r="CX577" s="8">
        <f>14181000</f>
        <v>14181000</v>
      </c>
      <c r="CY577" s="8">
        <f>1</f>
        <v>1</v>
      </c>
      <c r="DA577" s="5" t="s">
        <v>238</v>
      </c>
      <c r="DB577" s="5" t="s">
        <v>238</v>
      </c>
      <c r="DD577" s="5" t="s">
        <v>238</v>
      </c>
      <c r="DE577" s="8">
        <f>0</f>
        <v>0</v>
      </c>
      <c r="DG577" s="5" t="s">
        <v>238</v>
      </c>
      <c r="DH577" s="5" t="s">
        <v>238</v>
      </c>
      <c r="DI577" s="5" t="s">
        <v>238</v>
      </c>
      <c r="DJ577" s="5" t="s">
        <v>238</v>
      </c>
      <c r="DK577" s="5" t="s">
        <v>271</v>
      </c>
      <c r="DL577" s="5" t="s">
        <v>272</v>
      </c>
      <c r="DM577" s="7">
        <f>87</f>
        <v>87</v>
      </c>
      <c r="DN577" s="5" t="s">
        <v>238</v>
      </c>
      <c r="DO577" s="5" t="s">
        <v>238</v>
      </c>
      <c r="DP577" s="5" t="s">
        <v>238</v>
      </c>
      <c r="DQ577" s="5" t="s">
        <v>238</v>
      </c>
      <c r="DT577" s="5" t="s">
        <v>1650</v>
      </c>
      <c r="DU577" s="5" t="s">
        <v>274</v>
      </c>
      <c r="GL577" s="5" t="s">
        <v>3077</v>
      </c>
      <c r="HM577" s="5" t="s">
        <v>313</v>
      </c>
      <c r="HP577" s="5" t="s">
        <v>272</v>
      </c>
      <c r="HQ577" s="5" t="s">
        <v>272</v>
      </c>
      <c r="HR577" s="5" t="s">
        <v>238</v>
      </c>
      <c r="HS577" s="5" t="s">
        <v>238</v>
      </c>
      <c r="HT577" s="5" t="s">
        <v>238</v>
      </c>
      <c r="HU577" s="5" t="s">
        <v>238</v>
      </c>
      <c r="HV577" s="5" t="s">
        <v>238</v>
      </c>
      <c r="HW577" s="5" t="s">
        <v>238</v>
      </c>
      <c r="HX577" s="5" t="s">
        <v>238</v>
      </c>
      <c r="HY577" s="5" t="s">
        <v>238</v>
      </c>
      <c r="HZ577" s="5" t="s">
        <v>238</v>
      </c>
      <c r="IA577" s="5" t="s">
        <v>238</v>
      </c>
      <c r="IB577" s="5" t="s">
        <v>238</v>
      </c>
      <c r="IC577" s="5" t="s">
        <v>238</v>
      </c>
      <c r="ID577" s="5" t="s">
        <v>238</v>
      </c>
    </row>
    <row r="578" spans="1:238" x14ac:dyDescent="0.4">
      <c r="A578" s="5">
        <v>614</v>
      </c>
      <c r="B578" s="5">
        <v>1</v>
      </c>
      <c r="C578" s="5">
        <v>4</v>
      </c>
      <c r="D578" s="5" t="s">
        <v>1646</v>
      </c>
      <c r="E578" s="5" t="s">
        <v>347</v>
      </c>
      <c r="F578" s="5" t="s">
        <v>282</v>
      </c>
      <c r="G578" s="5" t="s">
        <v>1499</v>
      </c>
      <c r="H578" s="6" t="s">
        <v>1648</v>
      </c>
      <c r="I578" s="5" t="s">
        <v>1314</v>
      </c>
      <c r="J578" s="7">
        <f>2946</f>
        <v>2946</v>
      </c>
      <c r="K578" s="5" t="s">
        <v>270</v>
      </c>
      <c r="L578" s="8">
        <f>593335239</f>
        <v>593335239</v>
      </c>
      <c r="M578" s="8">
        <f>739819500</f>
        <v>739819500</v>
      </c>
      <c r="N578" s="6" t="s">
        <v>1647</v>
      </c>
      <c r="O578" s="5" t="s">
        <v>898</v>
      </c>
      <c r="P578" s="5" t="s">
        <v>389</v>
      </c>
      <c r="Q578" s="8">
        <f>16276029</f>
        <v>16276029</v>
      </c>
      <c r="R578" s="8">
        <f>146484261</f>
        <v>146484261</v>
      </c>
      <c r="S578" s="5" t="s">
        <v>240</v>
      </c>
      <c r="T578" s="5" t="s">
        <v>237</v>
      </c>
      <c r="U578" s="5" t="s">
        <v>238</v>
      </c>
      <c r="V578" s="5" t="s">
        <v>238</v>
      </c>
      <c r="W578" s="5" t="s">
        <v>241</v>
      </c>
      <c r="X578" s="5" t="s">
        <v>337</v>
      </c>
      <c r="Y578" s="5" t="s">
        <v>238</v>
      </c>
      <c r="AB578" s="5" t="s">
        <v>238</v>
      </c>
      <c r="AC578" s="6" t="s">
        <v>238</v>
      </c>
      <c r="AD578" s="6" t="s">
        <v>238</v>
      </c>
      <c r="AF578" s="6" t="s">
        <v>238</v>
      </c>
      <c r="AG578" s="6" t="s">
        <v>246</v>
      </c>
      <c r="AH578" s="5" t="s">
        <v>247</v>
      </c>
      <c r="AI578" s="5" t="s">
        <v>248</v>
      </c>
      <c r="AO578" s="5" t="s">
        <v>238</v>
      </c>
      <c r="AP578" s="5" t="s">
        <v>238</v>
      </c>
      <c r="AQ578" s="5" t="s">
        <v>238</v>
      </c>
      <c r="AR578" s="6" t="s">
        <v>238</v>
      </c>
      <c r="AS578" s="6" t="s">
        <v>238</v>
      </c>
      <c r="AT578" s="6" t="s">
        <v>238</v>
      </c>
      <c r="AW578" s="5" t="s">
        <v>304</v>
      </c>
      <c r="AX578" s="5" t="s">
        <v>304</v>
      </c>
      <c r="AY578" s="5" t="s">
        <v>250</v>
      </c>
      <c r="AZ578" s="5" t="s">
        <v>305</v>
      </c>
      <c r="BA578" s="5" t="s">
        <v>251</v>
      </c>
      <c r="BB578" s="5" t="s">
        <v>238</v>
      </c>
      <c r="BC578" s="5" t="s">
        <v>253</v>
      </c>
      <c r="BD578" s="5" t="s">
        <v>238</v>
      </c>
      <c r="BF578" s="5" t="s">
        <v>238</v>
      </c>
      <c r="BH578" s="5" t="s">
        <v>283</v>
      </c>
      <c r="BI578" s="6" t="s">
        <v>293</v>
      </c>
      <c r="BJ578" s="5" t="s">
        <v>294</v>
      </c>
      <c r="BK578" s="5" t="s">
        <v>294</v>
      </c>
      <c r="BL578" s="5" t="s">
        <v>238</v>
      </c>
      <c r="BM578" s="7">
        <f>0</f>
        <v>0</v>
      </c>
      <c r="BN578" s="8">
        <f>-16276029</f>
        <v>-16276029</v>
      </c>
      <c r="BO578" s="5" t="s">
        <v>257</v>
      </c>
      <c r="BP578" s="5" t="s">
        <v>258</v>
      </c>
      <c r="BQ578" s="5" t="s">
        <v>238</v>
      </c>
      <c r="BR578" s="5" t="s">
        <v>238</v>
      </c>
      <c r="BS578" s="5" t="s">
        <v>238</v>
      </c>
      <c r="BT578" s="5" t="s">
        <v>238</v>
      </c>
      <c r="CC578" s="5" t="s">
        <v>258</v>
      </c>
      <c r="CD578" s="5" t="s">
        <v>238</v>
      </c>
      <c r="CE578" s="5" t="s">
        <v>238</v>
      </c>
      <c r="CI578" s="5" t="s">
        <v>259</v>
      </c>
      <c r="CJ578" s="5" t="s">
        <v>260</v>
      </c>
      <c r="CK578" s="5" t="s">
        <v>238</v>
      </c>
      <c r="CM578" s="5" t="s">
        <v>1649</v>
      </c>
      <c r="CN578" s="6" t="s">
        <v>262</v>
      </c>
      <c r="CO578" s="5" t="s">
        <v>263</v>
      </c>
      <c r="CP578" s="5" t="s">
        <v>264</v>
      </c>
      <c r="CQ578" s="5" t="s">
        <v>285</v>
      </c>
      <c r="CR578" s="5" t="s">
        <v>238</v>
      </c>
      <c r="CS578" s="5">
        <v>2.1999999999999999E-2</v>
      </c>
      <c r="CT578" s="5" t="s">
        <v>265</v>
      </c>
      <c r="CU578" s="5" t="s">
        <v>1493</v>
      </c>
      <c r="CV578" s="5" t="s">
        <v>308</v>
      </c>
      <c r="CW578" s="7">
        <f>0</f>
        <v>0</v>
      </c>
      <c r="CX578" s="8">
        <f>739819500</f>
        <v>739819500</v>
      </c>
      <c r="CY578" s="8">
        <f>609611268</f>
        <v>609611268</v>
      </c>
      <c r="DA578" s="5" t="s">
        <v>238</v>
      </c>
      <c r="DB578" s="5" t="s">
        <v>238</v>
      </c>
      <c r="DD578" s="5" t="s">
        <v>238</v>
      </c>
      <c r="DE578" s="8">
        <f>0</f>
        <v>0</v>
      </c>
      <c r="DG578" s="5" t="s">
        <v>238</v>
      </c>
      <c r="DH578" s="5" t="s">
        <v>238</v>
      </c>
      <c r="DI578" s="5" t="s">
        <v>238</v>
      </c>
      <c r="DJ578" s="5" t="s">
        <v>238</v>
      </c>
      <c r="DK578" s="5" t="s">
        <v>356</v>
      </c>
      <c r="DL578" s="5" t="s">
        <v>272</v>
      </c>
      <c r="DM578" s="7">
        <f>2946</f>
        <v>2946</v>
      </c>
      <c r="DN578" s="5" t="s">
        <v>238</v>
      </c>
      <c r="DO578" s="5" t="s">
        <v>238</v>
      </c>
      <c r="DP578" s="5" t="s">
        <v>238</v>
      </c>
      <c r="DQ578" s="5" t="s">
        <v>238</v>
      </c>
      <c r="DT578" s="5" t="s">
        <v>1650</v>
      </c>
      <c r="DU578" s="5" t="s">
        <v>356</v>
      </c>
      <c r="GL578" s="5" t="s">
        <v>1651</v>
      </c>
      <c r="HM578" s="5" t="s">
        <v>313</v>
      </c>
      <c r="HP578" s="5" t="s">
        <v>272</v>
      </c>
      <c r="HQ578" s="5" t="s">
        <v>272</v>
      </c>
      <c r="HR578" s="5" t="s">
        <v>238</v>
      </c>
      <c r="HS578" s="5" t="s">
        <v>238</v>
      </c>
      <c r="HT578" s="5" t="s">
        <v>238</v>
      </c>
      <c r="HU578" s="5" t="s">
        <v>238</v>
      </c>
      <c r="HV578" s="5" t="s">
        <v>238</v>
      </c>
      <c r="HW578" s="5" t="s">
        <v>238</v>
      </c>
      <c r="HX578" s="5" t="s">
        <v>238</v>
      </c>
      <c r="HY578" s="5" t="s">
        <v>238</v>
      </c>
      <c r="HZ578" s="5" t="s">
        <v>238</v>
      </c>
      <c r="IA578" s="5" t="s">
        <v>238</v>
      </c>
      <c r="IB578" s="5" t="s">
        <v>238</v>
      </c>
      <c r="IC578" s="5" t="s">
        <v>238</v>
      </c>
      <c r="ID578" s="5" t="s">
        <v>238</v>
      </c>
    </row>
    <row r="579" spans="1:238" x14ac:dyDescent="0.4">
      <c r="A579" s="5">
        <v>615</v>
      </c>
      <c r="B579" s="5">
        <v>1</v>
      </c>
      <c r="C579" s="5">
        <v>4</v>
      </c>
      <c r="D579" s="5" t="s">
        <v>1646</v>
      </c>
      <c r="E579" s="5" t="s">
        <v>347</v>
      </c>
      <c r="F579" s="5" t="s">
        <v>282</v>
      </c>
      <c r="G579" s="5" t="s">
        <v>1666</v>
      </c>
      <c r="H579" s="6" t="s">
        <v>1648</v>
      </c>
      <c r="I579" s="5" t="s">
        <v>1308</v>
      </c>
      <c r="J579" s="7">
        <f>1428</f>
        <v>1428</v>
      </c>
      <c r="K579" s="5" t="s">
        <v>270</v>
      </c>
      <c r="L579" s="8">
        <f>329496888</f>
        <v>329496888</v>
      </c>
      <c r="M579" s="8">
        <f>410844000</f>
        <v>410844000</v>
      </c>
      <c r="N579" s="6" t="s">
        <v>1647</v>
      </c>
      <c r="O579" s="5" t="s">
        <v>898</v>
      </c>
      <c r="P579" s="5" t="s">
        <v>389</v>
      </c>
      <c r="Q579" s="8">
        <f>9038568</f>
        <v>9038568</v>
      </c>
      <c r="R579" s="8">
        <f>81347112</f>
        <v>81347112</v>
      </c>
      <c r="S579" s="5" t="s">
        <v>240</v>
      </c>
      <c r="T579" s="5" t="s">
        <v>237</v>
      </c>
      <c r="U579" s="5" t="s">
        <v>238</v>
      </c>
      <c r="V579" s="5" t="s">
        <v>238</v>
      </c>
      <c r="W579" s="5" t="s">
        <v>241</v>
      </c>
      <c r="X579" s="5" t="s">
        <v>337</v>
      </c>
      <c r="Y579" s="5" t="s">
        <v>238</v>
      </c>
      <c r="AB579" s="5" t="s">
        <v>238</v>
      </c>
      <c r="AC579" s="6" t="s">
        <v>238</v>
      </c>
      <c r="AD579" s="6" t="s">
        <v>238</v>
      </c>
      <c r="AF579" s="6" t="s">
        <v>238</v>
      </c>
      <c r="AG579" s="6" t="s">
        <v>246</v>
      </c>
      <c r="AH579" s="5" t="s">
        <v>247</v>
      </c>
      <c r="AI579" s="5" t="s">
        <v>248</v>
      </c>
      <c r="AO579" s="5" t="s">
        <v>238</v>
      </c>
      <c r="AP579" s="5" t="s">
        <v>238</v>
      </c>
      <c r="AQ579" s="5" t="s">
        <v>238</v>
      </c>
      <c r="AR579" s="6" t="s">
        <v>238</v>
      </c>
      <c r="AS579" s="6" t="s">
        <v>238</v>
      </c>
      <c r="AT579" s="6" t="s">
        <v>238</v>
      </c>
      <c r="AW579" s="5" t="s">
        <v>304</v>
      </c>
      <c r="AX579" s="5" t="s">
        <v>304</v>
      </c>
      <c r="AY579" s="5" t="s">
        <v>250</v>
      </c>
      <c r="AZ579" s="5" t="s">
        <v>305</v>
      </c>
      <c r="BA579" s="5" t="s">
        <v>251</v>
      </c>
      <c r="BB579" s="5" t="s">
        <v>238</v>
      </c>
      <c r="BC579" s="5" t="s">
        <v>253</v>
      </c>
      <c r="BD579" s="5" t="s">
        <v>238</v>
      </c>
      <c r="BF579" s="5" t="s">
        <v>238</v>
      </c>
      <c r="BH579" s="5" t="s">
        <v>283</v>
      </c>
      <c r="BI579" s="6" t="s">
        <v>293</v>
      </c>
      <c r="BJ579" s="5" t="s">
        <v>294</v>
      </c>
      <c r="BK579" s="5" t="s">
        <v>294</v>
      </c>
      <c r="BL579" s="5" t="s">
        <v>238</v>
      </c>
      <c r="BM579" s="7">
        <f>0</f>
        <v>0</v>
      </c>
      <c r="BN579" s="8">
        <f>-9038568</f>
        <v>-9038568</v>
      </c>
      <c r="BO579" s="5" t="s">
        <v>257</v>
      </c>
      <c r="BP579" s="5" t="s">
        <v>258</v>
      </c>
      <c r="BQ579" s="5" t="s">
        <v>238</v>
      </c>
      <c r="BR579" s="5" t="s">
        <v>238</v>
      </c>
      <c r="BS579" s="5" t="s">
        <v>238</v>
      </c>
      <c r="BT579" s="5" t="s">
        <v>238</v>
      </c>
      <c r="CC579" s="5" t="s">
        <v>258</v>
      </c>
      <c r="CD579" s="5" t="s">
        <v>238</v>
      </c>
      <c r="CE579" s="5" t="s">
        <v>238</v>
      </c>
      <c r="CI579" s="5" t="s">
        <v>259</v>
      </c>
      <c r="CJ579" s="5" t="s">
        <v>260</v>
      </c>
      <c r="CK579" s="5" t="s">
        <v>238</v>
      </c>
      <c r="CM579" s="5" t="s">
        <v>1649</v>
      </c>
      <c r="CN579" s="6" t="s">
        <v>262</v>
      </c>
      <c r="CO579" s="5" t="s">
        <v>263</v>
      </c>
      <c r="CP579" s="5" t="s">
        <v>264</v>
      </c>
      <c r="CQ579" s="5" t="s">
        <v>285</v>
      </c>
      <c r="CR579" s="5" t="s">
        <v>238</v>
      </c>
      <c r="CS579" s="5">
        <v>2.1999999999999999E-2</v>
      </c>
      <c r="CT579" s="5" t="s">
        <v>265</v>
      </c>
      <c r="CU579" s="5" t="s">
        <v>1330</v>
      </c>
      <c r="CV579" s="5" t="s">
        <v>308</v>
      </c>
      <c r="CW579" s="7">
        <f>0</f>
        <v>0</v>
      </c>
      <c r="CX579" s="8">
        <f>410844000</f>
        <v>410844000</v>
      </c>
      <c r="CY579" s="8">
        <f>338535456</f>
        <v>338535456</v>
      </c>
      <c r="DA579" s="5" t="s">
        <v>238</v>
      </c>
      <c r="DB579" s="5" t="s">
        <v>238</v>
      </c>
      <c r="DD579" s="5" t="s">
        <v>238</v>
      </c>
      <c r="DE579" s="8">
        <f>0</f>
        <v>0</v>
      </c>
      <c r="DG579" s="5" t="s">
        <v>238</v>
      </c>
      <c r="DH579" s="5" t="s">
        <v>238</v>
      </c>
      <c r="DI579" s="5" t="s">
        <v>238</v>
      </c>
      <c r="DJ579" s="5" t="s">
        <v>238</v>
      </c>
      <c r="DK579" s="5" t="s">
        <v>274</v>
      </c>
      <c r="DL579" s="5" t="s">
        <v>272</v>
      </c>
      <c r="DM579" s="7">
        <f>1428</f>
        <v>1428</v>
      </c>
      <c r="DN579" s="5" t="s">
        <v>238</v>
      </c>
      <c r="DO579" s="5" t="s">
        <v>238</v>
      </c>
      <c r="DP579" s="5" t="s">
        <v>238</v>
      </c>
      <c r="DQ579" s="5" t="s">
        <v>238</v>
      </c>
      <c r="DT579" s="5" t="s">
        <v>1650</v>
      </c>
      <c r="DU579" s="5" t="s">
        <v>310</v>
      </c>
      <c r="GL579" s="5" t="s">
        <v>1739</v>
      </c>
      <c r="HM579" s="5" t="s">
        <v>313</v>
      </c>
      <c r="HP579" s="5" t="s">
        <v>272</v>
      </c>
      <c r="HQ579" s="5" t="s">
        <v>272</v>
      </c>
      <c r="HR579" s="5" t="s">
        <v>238</v>
      </c>
      <c r="HS579" s="5" t="s">
        <v>238</v>
      </c>
      <c r="HT579" s="5" t="s">
        <v>238</v>
      </c>
      <c r="HU579" s="5" t="s">
        <v>238</v>
      </c>
      <c r="HV579" s="5" t="s">
        <v>238</v>
      </c>
      <c r="HW579" s="5" t="s">
        <v>238</v>
      </c>
      <c r="HX579" s="5" t="s">
        <v>238</v>
      </c>
      <c r="HY579" s="5" t="s">
        <v>238</v>
      </c>
      <c r="HZ579" s="5" t="s">
        <v>238</v>
      </c>
      <c r="IA579" s="5" t="s">
        <v>238</v>
      </c>
      <c r="IB579" s="5" t="s">
        <v>238</v>
      </c>
      <c r="IC579" s="5" t="s">
        <v>238</v>
      </c>
      <c r="ID579" s="5" t="s">
        <v>238</v>
      </c>
    </row>
    <row r="580" spans="1:238" x14ac:dyDescent="0.4">
      <c r="A580" s="5">
        <v>616</v>
      </c>
      <c r="B580" s="5">
        <v>1</v>
      </c>
      <c r="C580" s="5">
        <v>4</v>
      </c>
      <c r="D580" s="5" t="s">
        <v>1646</v>
      </c>
      <c r="E580" s="5" t="s">
        <v>347</v>
      </c>
      <c r="F580" s="5" t="s">
        <v>282</v>
      </c>
      <c r="G580" s="5" t="s">
        <v>349</v>
      </c>
      <c r="H580" s="6" t="s">
        <v>1648</v>
      </c>
      <c r="I580" s="5" t="s">
        <v>345</v>
      </c>
      <c r="J580" s="7">
        <f>0</f>
        <v>0</v>
      </c>
      <c r="K580" s="5" t="s">
        <v>270</v>
      </c>
      <c r="L580" s="8">
        <f>19737755</f>
        <v>19737755</v>
      </c>
      <c r="M580" s="8">
        <f>25666781</f>
        <v>25666781</v>
      </c>
      <c r="N580" s="6" t="s">
        <v>348</v>
      </c>
      <c r="O580" s="5" t="s">
        <v>319</v>
      </c>
      <c r="P580" s="5" t="s">
        <v>271</v>
      </c>
      <c r="Q580" s="8">
        <f>1976342</f>
        <v>1976342</v>
      </c>
      <c r="R580" s="8">
        <f>5929026</f>
        <v>5929026</v>
      </c>
      <c r="S580" s="5" t="s">
        <v>240</v>
      </c>
      <c r="T580" s="5" t="s">
        <v>287</v>
      </c>
      <c r="U580" s="5" t="s">
        <v>238</v>
      </c>
      <c r="V580" s="5" t="s">
        <v>238</v>
      </c>
      <c r="W580" s="5" t="s">
        <v>241</v>
      </c>
      <c r="X580" s="5" t="s">
        <v>238</v>
      </c>
      <c r="Y580" s="5" t="s">
        <v>238</v>
      </c>
      <c r="AB580" s="5" t="s">
        <v>238</v>
      </c>
      <c r="AC580" s="6" t="s">
        <v>238</v>
      </c>
      <c r="AD580" s="6" t="s">
        <v>238</v>
      </c>
      <c r="AF580" s="6" t="s">
        <v>238</v>
      </c>
      <c r="AG580" s="6" t="s">
        <v>246</v>
      </c>
      <c r="AH580" s="5" t="s">
        <v>247</v>
      </c>
      <c r="AI580" s="5" t="s">
        <v>248</v>
      </c>
      <c r="AO580" s="5" t="s">
        <v>238</v>
      </c>
      <c r="AP580" s="5" t="s">
        <v>238</v>
      </c>
      <c r="AQ580" s="5" t="s">
        <v>238</v>
      </c>
      <c r="AR580" s="6" t="s">
        <v>238</v>
      </c>
      <c r="AS580" s="6" t="s">
        <v>238</v>
      </c>
      <c r="AT580" s="6" t="s">
        <v>238</v>
      </c>
      <c r="AW580" s="5" t="s">
        <v>304</v>
      </c>
      <c r="AX580" s="5" t="s">
        <v>304</v>
      </c>
      <c r="AY580" s="5" t="s">
        <v>250</v>
      </c>
      <c r="AZ580" s="5" t="s">
        <v>305</v>
      </c>
      <c r="BA580" s="5" t="s">
        <v>251</v>
      </c>
      <c r="BB580" s="5" t="s">
        <v>238</v>
      </c>
      <c r="BC580" s="5" t="s">
        <v>253</v>
      </c>
      <c r="BD580" s="5" t="s">
        <v>238</v>
      </c>
      <c r="BF580" s="5" t="s">
        <v>238</v>
      </c>
      <c r="BH580" s="5" t="s">
        <v>283</v>
      </c>
      <c r="BI580" s="6" t="s">
        <v>293</v>
      </c>
      <c r="BJ580" s="5" t="s">
        <v>294</v>
      </c>
      <c r="BK580" s="5" t="s">
        <v>294</v>
      </c>
      <c r="BL580" s="5" t="s">
        <v>238</v>
      </c>
      <c r="BM580" s="7">
        <f>0</f>
        <v>0</v>
      </c>
      <c r="BN580" s="8">
        <f>-1976342</f>
        <v>-1976342</v>
      </c>
      <c r="BO580" s="5" t="s">
        <v>257</v>
      </c>
      <c r="BP580" s="5" t="s">
        <v>258</v>
      </c>
      <c r="BQ580" s="5" t="s">
        <v>238</v>
      </c>
      <c r="BR580" s="5" t="s">
        <v>238</v>
      </c>
      <c r="BS580" s="5" t="s">
        <v>238</v>
      </c>
      <c r="BT580" s="5" t="s">
        <v>238</v>
      </c>
      <c r="CC580" s="5" t="s">
        <v>258</v>
      </c>
      <c r="CD580" s="5" t="s">
        <v>238</v>
      </c>
      <c r="CE580" s="5" t="s">
        <v>238</v>
      </c>
      <c r="CI580" s="5" t="s">
        <v>259</v>
      </c>
      <c r="CJ580" s="5" t="s">
        <v>260</v>
      </c>
      <c r="CK580" s="5" t="s">
        <v>238</v>
      </c>
      <c r="CM580" s="5" t="s">
        <v>291</v>
      </c>
      <c r="CN580" s="6" t="s">
        <v>262</v>
      </c>
      <c r="CO580" s="5" t="s">
        <v>263</v>
      </c>
      <c r="CP580" s="5" t="s">
        <v>264</v>
      </c>
      <c r="CQ580" s="5" t="s">
        <v>285</v>
      </c>
      <c r="CR580" s="5" t="s">
        <v>238</v>
      </c>
      <c r="CS580" s="5">
        <v>7.6999999999999999E-2</v>
      </c>
      <c r="CT580" s="5" t="s">
        <v>265</v>
      </c>
      <c r="CU580" s="5" t="s">
        <v>351</v>
      </c>
      <c r="CV580" s="5" t="s">
        <v>352</v>
      </c>
      <c r="CW580" s="7">
        <f>0</f>
        <v>0</v>
      </c>
      <c r="CX580" s="8">
        <f>25666781</f>
        <v>25666781</v>
      </c>
      <c r="CY580" s="8">
        <f>21714097</f>
        <v>21714097</v>
      </c>
      <c r="DA580" s="5" t="s">
        <v>238</v>
      </c>
      <c r="DB580" s="5" t="s">
        <v>238</v>
      </c>
      <c r="DD580" s="5" t="s">
        <v>238</v>
      </c>
      <c r="DE580" s="8">
        <f>0</f>
        <v>0</v>
      </c>
      <c r="DG580" s="5" t="s">
        <v>238</v>
      </c>
      <c r="DH580" s="5" t="s">
        <v>238</v>
      </c>
      <c r="DI580" s="5" t="s">
        <v>238</v>
      </c>
      <c r="DJ580" s="5" t="s">
        <v>238</v>
      </c>
      <c r="DK580" s="5" t="s">
        <v>272</v>
      </c>
      <c r="DL580" s="5" t="s">
        <v>272</v>
      </c>
      <c r="DM580" s="8" t="s">
        <v>238</v>
      </c>
      <c r="DN580" s="5" t="s">
        <v>238</v>
      </c>
      <c r="DO580" s="5" t="s">
        <v>238</v>
      </c>
      <c r="DP580" s="5" t="s">
        <v>238</v>
      </c>
      <c r="DQ580" s="5" t="s">
        <v>238</v>
      </c>
      <c r="DT580" s="5" t="s">
        <v>1650</v>
      </c>
      <c r="DU580" s="5" t="s">
        <v>379</v>
      </c>
      <c r="GL580" s="5" t="s">
        <v>3124</v>
      </c>
      <c r="HM580" s="5" t="s">
        <v>356</v>
      </c>
      <c r="HP580" s="5" t="s">
        <v>272</v>
      </c>
      <c r="HQ580" s="5" t="s">
        <v>272</v>
      </c>
      <c r="HR580" s="5" t="s">
        <v>238</v>
      </c>
      <c r="HS580" s="5" t="s">
        <v>238</v>
      </c>
      <c r="HT580" s="5" t="s">
        <v>238</v>
      </c>
      <c r="HU580" s="5" t="s">
        <v>238</v>
      </c>
      <c r="HV580" s="5" t="s">
        <v>238</v>
      </c>
      <c r="HW580" s="5" t="s">
        <v>238</v>
      </c>
      <c r="HX580" s="5" t="s">
        <v>238</v>
      </c>
      <c r="HY580" s="5" t="s">
        <v>238</v>
      </c>
      <c r="HZ580" s="5" t="s">
        <v>238</v>
      </c>
      <c r="IA580" s="5" t="s">
        <v>238</v>
      </c>
      <c r="IB580" s="5" t="s">
        <v>238</v>
      </c>
      <c r="IC580" s="5" t="s">
        <v>238</v>
      </c>
      <c r="ID580" s="5" t="s">
        <v>238</v>
      </c>
    </row>
    <row r="581" spans="1:238" x14ac:dyDescent="0.4">
      <c r="A581" s="5">
        <v>617</v>
      </c>
      <c r="B581" s="5">
        <v>1</v>
      </c>
      <c r="C581" s="5">
        <v>4</v>
      </c>
      <c r="D581" s="5" t="s">
        <v>1106</v>
      </c>
      <c r="E581" s="5" t="s">
        <v>347</v>
      </c>
      <c r="F581" s="5" t="s">
        <v>282</v>
      </c>
      <c r="G581" s="5" t="s">
        <v>1499</v>
      </c>
      <c r="H581" s="6" t="s">
        <v>1108</v>
      </c>
      <c r="I581" s="5" t="s">
        <v>1314</v>
      </c>
      <c r="J581" s="7">
        <f>3566</f>
        <v>3566</v>
      </c>
      <c r="K581" s="5" t="s">
        <v>270</v>
      </c>
      <c r="L581" s="8">
        <f>1</f>
        <v>1</v>
      </c>
      <c r="M581" s="8">
        <f>481410000</f>
        <v>481410000</v>
      </c>
      <c r="N581" s="6" t="s">
        <v>1658</v>
      </c>
      <c r="O581" s="5" t="s">
        <v>898</v>
      </c>
      <c r="P581" s="5" t="s">
        <v>1098</v>
      </c>
      <c r="Q581" s="8">
        <f>10591020</f>
        <v>10591020</v>
      </c>
      <c r="R581" s="8">
        <f>481409999</f>
        <v>481409999</v>
      </c>
      <c r="S581" s="5" t="s">
        <v>240</v>
      </c>
      <c r="T581" s="5" t="s">
        <v>237</v>
      </c>
      <c r="U581" s="5" t="s">
        <v>238</v>
      </c>
      <c r="V581" s="5" t="s">
        <v>238</v>
      </c>
      <c r="W581" s="5" t="s">
        <v>241</v>
      </c>
      <c r="X581" s="5" t="s">
        <v>337</v>
      </c>
      <c r="Y581" s="5" t="s">
        <v>238</v>
      </c>
      <c r="AB581" s="5" t="s">
        <v>238</v>
      </c>
      <c r="AC581" s="6" t="s">
        <v>238</v>
      </c>
      <c r="AD581" s="6" t="s">
        <v>238</v>
      </c>
      <c r="AF581" s="6" t="s">
        <v>238</v>
      </c>
      <c r="AG581" s="6" t="s">
        <v>1498</v>
      </c>
      <c r="AH581" s="5" t="s">
        <v>247</v>
      </c>
      <c r="AI581" s="5" t="s">
        <v>248</v>
      </c>
      <c r="AO581" s="5" t="s">
        <v>238</v>
      </c>
      <c r="AP581" s="5" t="s">
        <v>238</v>
      </c>
      <c r="AQ581" s="5" t="s">
        <v>238</v>
      </c>
      <c r="AR581" s="6" t="s">
        <v>238</v>
      </c>
      <c r="AS581" s="6" t="s">
        <v>238</v>
      </c>
      <c r="AT581" s="6" t="s">
        <v>238</v>
      </c>
      <c r="AW581" s="5" t="s">
        <v>304</v>
      </c>
      <c r="AX581" s="5" t="s">
        <v>304</v>
      </c>
      <c r="AY581" s="5" t="s">
        <v>250</v>
      </c>
      <c r="AZ581" s="5" t="s">
        <v>305</v>
      </c>
      <c r="BA581" s="5" t="s">
        <v>251</v>
      </c>
      <c r="BB581" s="5" t="s">
        <v>238</v>
      </c>
      <c r="BC581" s="5" t="s">
        <v>253</v>
      </c>
      <c r="BD581" s="5" t="s">
        <v>238</v>
      </c>
      <c r="BF581" s="5" t="s">
        <v>238</v>
      </c>
      <c r="BH581" s="5" t="s">
        <v>283</v>
      </c>
      <c r="BI581" s="6" t="s">
        <v>293</v>
      </c>
      <c r="BJ581" s="5" t="s">
        <v>294</v>
      </c>
      <c r="BK581" s="5" t="s">
        <v>294</v>
      </c>
      <c r="BL581" s="5" t="s">
        <v>238</v>
      </c>
      <c r="BM581" s="7">
        <f>0</f>
        <v>0</v>
      </c>
      <c r="BN581" s="8">
        <f>-4814099</f>
        <v>-4814099</v>
      </c>
      <c r="BO581" s="5" t="s">
        <v>257</v>
      </c>
      <c r="BP581" s="5" t="s">
        <v>258</v>
      </c>
      <c r="BQ581" s="5" t="s">
        <v>238</v>
      </c>
      <c r="BR581" s="5" t="s">
        <v>238</v>
      </c>
      <c r="BS581" s="5" t="s">
        <v>238</v>
      </c>
      <c r="BT581" s="5" t="s">
        <v>238</v>
      </c>
      <c r="CC581" s="5" t="s">
        <v>258</v>
      </c>
      <c r="CD581" s="5" t="s">
        <v>238</v>
      </c>
      <c r="CE581" s="5" t="s">
        <v>238</v>
      </c>
      <c r="CI581" s="5" t="s">
        <v>527</v>
      </c>
      <c r="CJ581" s="5" t="s">
        <v>260</v>
      </c>
      <c r="CK581" s="5" t="s">
        <v>238</v>
      </c>
      <c r="CM581" s="5" t="s">
        <v>974</v>
      </c>
      <c r="CN581" s="6" t="s">
        <v>262</v>
      </c>
      <c r="CO581" s="5" t="s">
        <v>263</v>
      </c>
      <c r="CP581" s="5" t="s">
        <v>264</v>
      </c>
      <c r="CQ581" s="5" t="s">
        <v>285</v>
      </c>
      <c r="CR581" s="5" t="s">
        <v>238</v>
      </c>
      <c r="CS581" s="5">
        <v>2.1999999999999999E-2</v>
      </c>
      <c r="CT581" s="5" t="s">
        <v>265</v>
      </c>
      <c r="CU581" s="5" t="s">
        <v>1493</v>
      </c>
      <c r="CV581" s="5" t="s">
        <v>308</v>
      </c>
      <c r="CW581" s="7">
        <f>0</f>
        <v>0</v>
      </c>
      <c r="CX581" s="8">
        <f>481410000</f>
        <v>481410000</v>
      </c>
      <c r="CY581" s="8">
        <f>4814100</f>
        <v>4814100</v>
      </c>
      <c r="DA581" s="5" t="s">
        <v>238</v>
      </c>
      <c r="DB581" s="5" t="s">
        <v>238</v>
      </c>
      <c r="DD581" s="5" t="s">
        <v>238</v>
      </c>
      <c r="DE581" s="8">
        <f>0</f>
        <v>0</v>
      </c>
      <c r="DG581" s="5" t="s">
        <v>238</v>
      </c>
      <c r="DH581" s="5" t="s">
        <v>238</v>
      </c>
      <c r="DI581" s="5" t="s">
        <v>238</v>
      </c>
      <c r="DJ581" s="5" t="s">
        <v>238</v>
      </c>
      <c r="DK581" s="5" t="s">
        <v>356</v>
      </c>
      <c r="DL581" s="5" t="s">
        <v>272</v>
      </c>
      <c r="DM581" s="7">
        <f>3566</f>
        <v>3566</v>
      </c>
      <c r="DN581" s="5" t="s">
        <v>238</v>
      </c>
      <c r="DO581" s="5" t="s">
        <v>238</v>
      </c>
      <c r="DP581" s="5" t="s">
        <v>238</v>
      </c>
      <c r="DQ581" s="5" t="s">
        <v>238</v>
      </c>
      <c r="DT581" s="5" t="s">
        <v>1109</v>
      </c>
      <c r="DU581" s="5" t="s">
        <v>271</v>
      </c>
      <c r="GL581" s="5" t="s">
        <v>1659</v>
      </c>
      <c r="HM581" s="5" t="s">
        <v>313</v>
      </c>
      <c r="HP581" s="5" t="s">
        <v>272</v>
      </c>
      <c r="HQ581" s="5" t="s">
        <v>272</v>
      </c>
      <c r="HR581" s="5" t="s">
        <v>238</v>
      </c>
      <c r="HS581" s="5" t="s">
        <v>238</v>
      </c>
      <c r="HT581" s="5" t="s">
        <v>238</v>
      </c>
      <c r="HU581" s="5" t="s">
        <v>238</v>
      </c>
      <c r="HV581" s="5" t="s">
        <v>238</v>
      </c>
      <c r="HW581" s="5" t="s">
        <v>238</v>
      </c>
      <c r="HX581" s="5" t="s">
        <v>238</v>
      </c>
      <c r="HY581" s="5" t="s">
        <v>238</v>
      </c>
      <c r="HZ581" s="5" t="s">
        <v>238</v>
      </c>
      <c r="IA581" s="5" t="s">
        <v>238</v>
      </c>
      <c r="IB581" s="5" t="s">
        <v>238</v>
      </c>
      <c r="IC581" s="5" t="s">
        <v>238</v>
      </c>
      <c r="ID581" s="5" t="s">
        <v>238</v>
      </c>
    </row>
    <row r="582" spans="1:238" x14ac:dyDescent="0.4">
      <c r="A582" s="5">
        <v>618</v>
      </c>
      <c r="B582" s="5">
        <v>1</v>
      </c>
      <c r="C582" s="5">
        <v>4</v>
      </c>
      <c r="D582" s="5" t="s">
        <v>1106</v>
      </c>
      <c r="E582" s="5" t="s">
        <v>347</v>
      </c>
      <c r="F582" s="5" t="s">
        <v>282</v>
      </c>
      <c r="G582" s="5" t="s">
        <v>1499</v>
      </c>
      <c r="H582" s="6" t="s">
        <v>1108</v>
      </c>
      <c r="I582" s="5" t="s">
        <v>1314</v>
      </c>
      <c r="J582" s="7">
        <f>160</f>
        <v>160</v>
      </c>
      <c r="K582" s="5" t="s">
        <v>270</v>
      </c>
      <c r="L582" s="8">
        <f>2049600</f>
        <v>2049600</v>
      </c>
      <c r="M582" s="8">
        <f>29280000</f>
        <v>29280000</v>
      </c>
      <c r="N582" s="6" t="s">
        <v>1107</v>
      </c>
      <c r="O582" s="5" t="s">
        <v>755</v>
      </c>
      <c r="P582" s="5" t="s">
        <v>690</v>
      </c>
      <c r="Q582" s="8">
        <f>878400</f>
        <v>878400</v>
      </c>
      <c r="R582" s="8">
        <f>27230400</f>
        <v>27230400</v>
      </c>
      <c r="S582" s="5" t="s">
        <v>240</v>
      </c>
      <c r="T582" s="5" t="s">
        <v>237</v>
      </c>
      <c r="U582" s="5" t="s">
        <v>238</v>
      </c>
      <c r="V582" s="5" t="s">
        <v>238</v>
      </c>
      <c r="W582" s="5" t="s">
        <v>241</v>
      </c>
      <c r="X582" s="5" t="s">
        <v>337</v>
      </c>
      <c r="Y582" s="5" t="s">
        <v>238</v>
      </c>
      <c r="AB582" s="5" t="s">
        <v>238</v>
      </c>
      <c r="AC582" s="6" t="s">
        <v>238</v>
      </c>
      <c r="AD582" s="6" t="s">
        <v>238</v>
      </c>
      <c r="AF582" s="6" t="s">
        <v>238</v>
      </c>
      <c r="AG582" s="6" t="s">
        <v>1498</v>
      </c>
      <c r="AH582" s="5" t="s">
        <v>247</v>
      </c>
      <c r="AI582" s="5" t="s">
        <v>248</v>
      </c>
      <c r="AO582" s="5" t="s">
        <v>238</v>
      </c>
      <c r="AP582" s="5" t="s">
        <v>238</v>
      </c>
      <c r="AQ582" s="5" t="s">
        <v>238</v>
      </c>
      <c r="AR582" s="6" t="s">
        <v>238</v>
      </c>
      <c r="AS582" s="6" t="s">
        <v>238</v>
      </c>
      <c r="AT582" s="6" t="s">
        <v>238</v>
      </c>
      <c r="AW582" s="5" t="s">
        <v>304</v>
      </c>
      <c r="AX582" s="5" t="s">
        <v>304</v>
      </c>
      <c r="AY582" s="5" t="s">
        <v>250</v>
      </c>
      <c r="AZ582" s="5" t="s">
        <v>305</v>
      </c>
      <c r="BA582" s="5" t="s">
        <v>251</v>
      </c>
      <c r="BB582" s="5" t="s">
        <v>238</v>
      </c>
      <c r="BC582" s="5" t="s">
        <v>253</v>
      </c>
      <c r="BD582" s="5" t="s">
        <v>238</v>
      </c>
      <c r="BF582" s="5" t="s">
        <v>238</v>
      </c>
      <c r="BH582" s="5" t="s">
        <v>283</v>
      </c>
      <c r="BI582" s="6" t="s">
        <v>293</v>
      </c>
      <c r="BJ582" s="5" t="s">
        <v>294</v>
      </c>
      <c r="BK582" s="5" t="s">
        <v>294</v>
      </c>
      <c r="BL582" s="5" t="s">
        <v>238</v>
      </c>
      <c r="BM582" s="7">
        <f>0</f>
        <v>0</v>
      </c>
      <c r="BN582" s="8">
        <f>-878400</f>
        <v>-878400</v>
      </c>
      <c r="BO582" s="5" t="s">
        <v>257</v>
      </c>
      <c r="BP582" s="5" t="s">
        <v>258</v>
      </c>
      <c r="BQ582" s="5" t="s">
        <v>238</v>
      </c>
      <c r="BR582" s="5" t="s">
        <v>238</v>
      </c>
      <c r="BS582" s="5" t="s">
        <v>238</v>
      </c>
      <c r="BT582" s="5" t="s">
        <v>238</v>
      </c>
      <c r="CC582" s="5" t="s">
        <v>258</v>
      </c>
      <c r="CD582" s="5" t="s">
        <v>238</v>
      </c>
      <c r="CE582" s="5" t="s">
        <v>238</v>
      </c>
      <c r="CI582" s="5" t="s">
        <v>259</v>
      </c>
      <c r="CJ582" s="5" t="s">
        <v>260</v>
      </c>
      <c r="CK582" s="5" t="s">
        <v>238</v>
      </c>
      <c r="CM582" s="5" t="s">
        <v>768</v>
      </c>
      <c r="CN582" s="6" t="s">
        <v>262</v>
      </c>
      <c r="CO582" s="5" t="s">
        <v>263</v>
      </c>
      <c r="CP582" s="5" t="s">
        <v>264</v>
      </c>
      <c r="CQ582" s="5" t="s">
        <v>285</v>
      </c>
      <c r="CR582" s="5" t="s">
        <v>238</v>
      </c>
      <c r="CS582" s="5">
        <v>0.03</v>
      </c>
      <c r="CT582" s="5" t="s">
        <v>265</v>
      </c>
      <c r="CU582" s="5" t="s">
        <v>1493</v>
      </c>
      <c r="CV582" s="5" t="s">
        <v>649</v>
      </c>
      <c r="CW582" s="7">
        <f>0</f>
        <v>0</v>
      </c>
      <c r="CX582" s="8">
        <f>29280000</f>
        <v>29280000</v>
      </c>
      <c r="CY582" s="8">
        <f>2928000</f>
        <v>2928000</v>
      </c>
      <c r="DA582" s="5" t="s">
        <v>238</v>
      </c>
      <c r="DB582" s="5" t="s">
        <v>238</v>
      </c>
      <c r="DD582" s="5" t="s">
        <v>238</v>
      </c>
      <c r="DE582" s="8">
        <f>0</f>
        <v>0</v>
      </c>
      <c r="DG582" s="5" t="s">
        <v>238</v>
      </c>
      <c r="DH582" s="5" t="s">
        <v>238</v>
      </c>
      <c r="DI582" s="5" t="s">
        <v>238</v>
      </c>
      <c r="DJ582" s="5" t="s">
        <v>238</v>
      </c>
      <c r="DK582" s="5" t="s">
        <v>274</v>
      </c>
      <c r="DL582" s="5" t="s">
        <v>272</v>
      </c>
      <c r="DM582" s="7">
        <f>160</f>
        <v>160</v>
      </c>
      <c r="DN582" s="5" t="s">
        <v>238</v>
      </c>
      <c r="DO582" s="5" t="s">
        <v>238</v>
      </c>
      <c r="DP582" s="5" t="s">
        <v>238</v>
      </c>
      <c r="DQ582" s="5" t="s">
        <v>238</v>
      </c>
      <c r="DT582" s="5" t="s">
        <v>1109</v>
      </c>
      <c r="DU582" s="5" t="s">
        <v>274</v>
      </c>
      <c r="GL582" s="5" t="s">
        <v>1500</v>
      </c>
      <c r="HM582" s="5" t="s">
        <v>313</v>
      </c>
      <c r="HP582" s="5" t="s">
        <v>272</v>
      </c>
      <c r="HQ582" s="5" t="s">
        <v>272</v>
      </c>
      <c r="HR582" s="5" t="s">
        <v>238</v>
      </c>
      <c r="HS582" s="5" t="s">
        <v>238</v>
      </c>
      <c r="HT582" s="5" t="s">
        <v>238</v>
      </c>
      <c r="HU582" s="5" t="s">
        <v>238</v>
      </c>
      <c r="HV582" s="5" t="s">
        <v>238</v>
      </c>
      <c r="HW582" s="5" t="s">
        <v>238</v>
      </c>
      <c r="HX582" s="5" t="s">
        <v>238</v>
      </c>
      <c r="HY582" s="5" t="s">
        <v>238</v>
      </c>
      <c r="HZ582" s="5" t="s">
        <v>238</v>
      </c>
      <c r="IA582" s="5" t="s">
        <v>238</v>
      </c>
      <c r="IB582" s="5" t="s">
        <v>238</v>
      </c>
      <c r="IC582" s="5" t="s">
        <v>238</v>
      </c>
      <c r="ID582" s="5" t="s">
        <v>238</v>
      </c>
    </row>
    <row r="583" spans="1:238" x14ac:dyDescent="0.4">
      <c r="A583" s="5">
        <v>619</v>
      </c>
      <c r="B583" s="5">
        <v>1</v>
      </c>
      <c r="C583" s="5">
        <v>1</v>
      </c>
      <c r="D583" s="5" t="s">
        <v>1106</v>
      </c>
      <c r="E583" s="5" t="s">
        <v>347</v>
      </c>
      <c r="F583" s="5" t="s">
        <v>282</v>
      </c>
      <c r="G583" s="5" t="s">
        <v>1308</v>
      </c>
      <c r="H583" s="6" t="s">
        <v>1108</v>
      </c>
      <c r="I583" s="5" t="s">
        <v>1308</v>
      </c>
      <c r="J583" s="7">
        <f>1054</f>
        <v>1054</v>
      </c>
      <c r="K583" s="5" t="s">
        <v>270</v>
      </c>
      <c r="L583" s="8">
        <f>1</f>
        <v>1</v>
      </c>
      <c r="M583" s="8">
        <f>84320000</f>
        <v>84320000</v>
      </c>
      <c r="N583" s="6" t="s">
        <v>1740</v>
      </c>
      <c r="O583" s="5" t="s">
        <v>755</v>
      </c>
      <c r="P583" s="5" t="s">
        <v>971</v>
      </c>
      <c r="R583" s="8">
        <f>84319999</f>
        <v>84319999</v>
      </c>
      <c r="S583" s="5" t="s">
        <v>240</v>
      </c>
      <c r="T583" s="5" t="s">
        <v>237</v>
      </c>
      <c r="U583" s="5" t="s">
        <v>238</v>
      </c>
      <c r="V583" s="5" t="s">
        <v>238</v>
      </c>
      <c r="W583" s="5" t="s">
        <v>241</v>
      </c>
      <c r="X583" s="5" t="s">
        <v>337</v>
      </c>
      <c r="Y583" s="5" t="s">
        <v>238</v>
      </c>
      <c r="AB583" s="5" t="s">
        <v>238</v>
      </c>
      <c r="AD583" s="6" t="s">
        <v>238</v>
      </c>
      <c r="AG583" s="6" t="s">
        <v>1498</v>
      </c>
      <c r="AH583" s="5" t="s">
        <v>247</v>
      </c>
      <c r="AI583" s="5" t="s">
        <v>248</v>
      </c>
      <c r="AY583" s="5" t="s">
        <v>250</v>
      </c>
      <c r="AZ583" s="5" t="s">
        <v>238</v>
      </c>
      <c r="BA583" s="5" t="s">
        <v>251</v>
      </c>
      <c r="BB583" s="5" t="s">
        <v>238</v>
      </c>
      <c r="BC583" s="5" t="s">
        <v>253</v>
      </c>
      <c r="BD583" s="5" t="s">
        <v>238</v>
      </c>
      <c r="BF583" s="5" t="s">
        <v>238</v>
      </c>
      <c r="BH583" s="5" t="s">
        <v>798</v>
      </c>
      <c r="BI583" s="6" t="s">
        <v>799</v>
      </c>
      <c r="BJ583" s="5" t="s">
        <v>255</v>
      </c>
      <c r="BK583" s="5" t="s">
        <v>256</v>
      </c>
      <c r="BL583" s="5" t="s">
        <v>238</v>
      </c>
      <c r="BM583" s="7">
        <f>0</f>
        <v>0</v>
      </c>
      <c r="BN583" s="8">
        <f>0</f>
        <v>0</v>
      </c>
      <c r="BO583" s="5" t="s">
        <v>257</v>
      </c>
      <c r="BP583" s="5" t="s">
        <v>258</v>
      </c>
      <c r="CD583" s="5" t="s">
        <v>238</v>
      </c>
      <c r="CE583" s="5" t="s">
        <v>238</v>
      </c>
      <c r="CI583" s="5" t="s">
        <v>527</v>
      </c>
      <c r="CJ583" s="5" t="s">
        <v>260</v>
      </c>
      <c r="CK583" s="5" t="s">
        <v>238</v>
      </c>
      <c r="CM583" s="5" t="s">
        <v>970</v>
      </c>
      <c r="CN583" s="6" t="s">
        <v>262</v>
      </c>
      <c r="CO583" s="5" t="s">
        <v>263</v>
      </c>
      <c r="CP583" s="5" t="s">
        <v>264</v>
      </c>
      <c r="CQ583" s="5" t="s">
        <v>238</v>
      </c>
      <c r="CR583" s="5" t="s">
        <v>238</v>
      </c>
      <c r="CS583" s="5">
        <v>0</v>
      </c>
      <c r="CT583" s="5" t="s">
        <v>265</v>
      </c>
      <c r="CU583" s="5" t="s">
        <v>1330</v>
      </c>
      <c r="CV583" s="5" t="s">
        <v>649</v>
      </c>
      <c r="CX583" s="8">
        <f>84320000</f>
        <v>84320000</v>
      </c>
      <c r="CY583" s="8">
        <f>0</f>
        <v>0</v>
      </c>
      <c r="DA583" s="5" t="s">
        <v>238</v>
      </c>
      <c r="DB583" s="5" t="s">
        <v>238</v>
      </c>
      <c r="DD583" s="5" t="s">
        <v>238</v>
      </c>
      <c r="DG583" s="5" t="s">
        <v>238</v>
      </c>
      <c r="DH583" s="5" t="s">
        <v>238</v>
      </c>
      <c r="DI583" s="5" t="s">
        <v>238</v>
      </c>
      <c r="DJ583" s="5" t="s">
        <v>238</v>
      </c>
      <c r="DK583" s="5" t="s">
        <v>274</v>
      </c>
      <c r="DL583" s="5" t="s">
        <v>272</v>
      </c>
      <c r="DM583" s="7">
        <f>1054</f>
        <v>1054</v>
      </c>
      <c r="DN583" s="5" t="s">
        <v>238</v>
      </c>
      <c r="DO583" s="5" t="s">
        <v>238</v>
      </c>
      <c r="DP583" s="5" t="s">
        <v>238</v>
      </c>
      <c r="DQ583" s="5" t="s">
        <v>238</v>
      </c>
      <c r="DT583" s="5" t="s">
        <v>1109</v>
      </c>
      <c r="DU583" s="5" t="s">
        <v>356</v>
      </c>
      <c r="HM583" s="5" t="s">
        <v>271</v>
      </c>
      <c r="HP583" s="5" t="s">
        <v>272</v>
      </c>
      <c r="HQ583" s="5" t="s">
        <v>272</v>
      </c>
    </row>
    <row r="584" spans="1:238" x14ac:dyDescent="0.4">
      <c r="A584" s="5">
        <v>620</v>
      </c>
      <c r="B584" s="5">
        <v>1</v>
      </c>
      <c r="C584" s="5">
        <v>1</v>
      </c>
      <c r="D584" s="5" t="s">
        <v>1106</v>
      </c>
      <c r="E584" s="5" t="s">
        <v>347</v>
      </c>
      <c r="F584" s="5" t="s">
        <v>282</v>
      </c>
      <c r="G584" s="5" t="s">
        <v>3027</v>
      </c>
      <c r="H584" s="6" t="s">
        <v>1108</v>
      </c>
      <c r="I584" s="5" t="s">
        <v>3027</v>
      </c>
      <c r="J584" s="7">
        <f>90</f>
        <v>90</v>
      </c>
      <c r="K584" s="5" t="s">
        <v>270</v>
      </c>
      <c r="L584" s="8">
        <f>1</f>
        <v>1</v>
      </c>
      <c r="M584" s="8">
        <f>14670000</f>
        <v>14670000</v>
      </c>
      <c r="N584" s="6" t="s">
        <v>3065</v>
      </c>
      <c r="O584" s="5" t="s">
        <v>268</v>
      </c>
      <c r="P584" s="5" t="s">
        <v>690</v>
      </c>
      <c r="R584" s="8">
        <f>14669999</f>
        <v>14669999</v>
      </c>
      <c r="S584" s="5" t="s">
        <v>240</v>
      </c>
      <c r="T584" s="5" t="s">
        <v>237</v>
      </c>
      <c r="U584" s="5" t="s">
        <v>238</v>
      </c>
      <c r="V584" s="5" t="s">
        <v>238</v>
      </c>
      <c r="W584" s="5" t="s">
        <v>241</v>
      </c>
      <c r="X584" s="5" t="s">
        <v>337</v>
      </c>
      <c r="Y584" s="5" t="s">
        <v>238</v>
      </c>
      <c r="AB584" s="5" t="s">
        <v>238</v>
      </c>
      <c r="AD584" s="6" t="s">
        <v>238</v>
      </c>
      <c r="AG584" s="6" t="s">
        <v>246</v>
      </c>
      <c r="AH584" s="5" t="s">
        <v>247</v>
      </c>
      <c r="AI584" s="5" t="s">
        <v>248</v>
      </c>
      <c r="AY584" s="5" t="s">
        <v>250</v>
      </c>
      <c r="AZ584" s="5" t="s">
        <v>238</v>
      </c>
      <c r="BA584" s="5" t="s">
        <v>251</v>
      </c>
      <c r="BB584" s="5" t="s">
        <v>238</v>
      </c>
      <c r="BC584" s="5" t="s">
        <v>253</v>
      </c>
      <c r="BD584" s="5" t="s">
        <v>238</v>
      </c>
      <c r="BF584" s="5" t="s">
        <v>238</v>
      </c>
      <c r="BH584" s="5" t="s">
        <v>254</v>
      </c>
      <c r="BI584" s="6" t="s">
        <v>246</v>
      </c>
      <c r="BJ584" s="5" t="s">
        <v>255</v>
      </c>
      <c r="BK584" s="5" t="s">
        <v>256</v>
      </c>
      <c r="BL584" s="5" t="s">
        <v>238</v>
      </c>
      <c r="BM584" s="7">
        <f>0</f>
        <v>0</v>
      </c>
      <c r="BN584" s="8">
        <f>0</f>
        <v>0</v>
      </c>
      <c r="BO584" s="5" t="s">
        <v>257</v>
      </c>
      <c r="BP584" s="5" t="s">
        <v>258</v>
      </c>
      <c r="CD584" s="5" t="s">
        <v>238</v>
      </c>
      <c r="CE584" s="5" t="s">
        <v>238</v>
      </c>
      <c r="CI584" s="5" t="s">
        <v>259</v>
      </c>
      <c r="CJ584" s="5" t="s">
        <v>260</v>
      </c>
      <c r="CK584" s="5" t="s">
        <v>238</v>
      </c>
      <c r="CM584" s="5" t="s">
        <v>689</v>
      </c>
      <c r="CN584" s="6" t="s">
        <v>262</v>
      </c>
      <c r="CO584" s="5" t="s">
        <v>263</v>
      </c>
      <c r="CP584" s="5" t="s">
        <v>264</v>
      </c>
      <c r="CQ584" s="5" t="s">
        <v>238</v>
      </c>
      <c r="CR584" s="5" t="s">
        <v>238</v>
      </c>
      <c r="CS584" s="5">
        <v>0</v>
      </c>
      <c r="CT584" s="5" t="s">
        <v>265</v>
      </c>
      <c r="CU584" s="5" t="s">
        <v>351</v>
      </c>
      <c r="CV584" s="5" t="s">
        <v>394</v>
      </c>
      <c r="CX584" s="8">
        <f>14670000</f>
        <v>14670000</v>
      </c>
      <c r="CY584" s="8">
        <f>0</f>
        <v>0</v>
      </c>
      <c r="DA584" s="5" t="s">
        <v>238</v>
      </c>
      <c r="DB584" s="5" t="s">
        <v>238</v>
      </c>
      <c r="DD584" s="5" t="s">
        <v>238</v>
      </c>
      <c r="DG584" s="5" t="s">
        <v>238</v>
      </c>
      <c r="DH584" s="5" t="s">
        <v>238</v>
      </c>
      <c r="DI584" s="5" t="s">
        <v>238</v>
      </c>
      <c r="DJ584" s="5" t="s">
        <v>238</v>
      </c>
      <c r="DK584" s="5" t="s">
        <v>271</v>
      </c>
      <c r="DL584" s="5" t="s">
        <v>272</v>
      </c>
      <c r="DM584" s="7">
        <f>90</f>
        <v>90</v>
      </c>
      <c r="DN584" s="5" t="s">
        <v>238</v>
      </c>
      <c r="DO584" s="5" t="s">
        <v>238</v>
      </c>
      <c r="DP584" s="5" t="s">
        <v>238</v>
      </c>
      <c r="DQ584" s="5" t="s">
        <v>238</v>
      </c>
      <c r="DT584" s="5" t="s">
        <v>1109</v>
      </c>
      <c r="DU584" s="5" t="s">
        <v>310</v>
      </c>
      <c r="HM584" s="5" t="s">
        <v>271</v>
      </c>
      <c r="HP584" s="5" t="s">
        <v>272</v>
      </c>
      <c r="HQ584" s="5" t="s">
        <v>272</v>
      </c>
    </row>
    <row r="585" spans="1:238" x14ac:dyDescent="0.4">
      <c r="A585" s="5">
        <v>621</v>
      </c>
      <c r="B585" s="5">
        <v>1</v>
      </c>
      <c r="C585" s="5">
        <v>1</v>
      </c>
      <c r="D585" s="5" t="s">
        <v>1106</v>
      </c>
      <c r="E585" s="5" t="s">
        <v>347</v>
      </c>
      <c r="F585" s="5" t="s">
        <v>282</v>
      </c>
      <c r="G585" s="5" t="s">
        <v>1670</v>
      </c>
      <c r="H585" s="6" t="s">
        <v>1108</v>
      </c>
      <c r="I585" s="5" t="s">
        <v>1670</v>
      </c>
      <c r="J585" s="7">
        <f>178</f>
        <v>178</v>
      </c>
      <c r="K585" s="5" t="s">
        <v>270</v>
      </c>
      <c r="L585" s="8">
        <f>1</f>
        <v>1</v>
      </c>
      <c r="M585" s="8">
        <f>16020000</f>
        <v>16020000</v>
      </c>
      <c r="N585" s="6" t="s">
        <v>1730</v>
      </c>
      <c r="O585" s="5" t="s">
        <v>286</v>
      </c>
      <c r="P585" s="5" t="s">
        <v>991</v>
      </c>
      <c r="R585" s="8">
        <f>16019999</f>
        <v>16019999</v>
      </c>
      <c r="S585" s="5" t="s">
        <v>240</v>
      </c>
      <c r="T585" s="5" t="s">
        <v>237</v>
      </c>
      <c r="U585" s="5" t="s">
        <v>238</v>
      </c>
      <c r="V585" s="5" t="s">
        <v>238</v>
      </c>
      <c r="W585" s="5" t="s">
        <v>241</v>
      </c>
      <c r="X585" s="5" t="s">
        <v>337</v>
      </c>
      <c r="Y585" s="5" t="s">
        <v>238</v>
      </c>
      <c r="AB585" s="5" t="s">
        <v>238</v>
      </c>
      <c r="AD585" s="6" t="s">
        <v>238</v>
      </c>
      <c r="AG585" s="6" t="s">
        <v>246</v>
      </c>
      <c r="AH585" s="5" t="s">
        <v>247</v>
      </c>
      <c r="AI585" s="5" t="s">
        <v>248</v>
      </c>
      <c r="AY585" s="5" t="s">
        <v>250</v>
      </c>
      <c r="AZ585" s="5" t="s">
        <v>238</v>
      </c>
      <c r="BA585" s="5" t="s">
        <v>251</v>
      </c>
      <c r="BB585" s="5" t="s">
        <v>238</v>
      </c>
      <c r="BC585" s="5" t="s">
        <v>253</v>
      </c>
      <c r="BD585" s="5" t="s">
        <v>238</v>
      </c>
      <c r="BF585" s="5" t="s">
        <v>238</v>
      </c>
      <c r="BH585" s="5" t="s">
        <v>859</v>
      </c>
      <c r="BI585" s="6" t="s">
        <v>368</v>
      </c>
      <c r="BJ585" s="5" t="s">
        <v>255</v>
      </c>
      <c r="BK585" s="5" t="s">
        <v>256</v>
      </c>
      <c r="BL585" s="5" t="s">
        <v>238</v>
      </c>
      <c r="BM585" s="7">
        <f>0</f>
        <v>0</v>
      </c>
      <c r="BN585" s="8">
        <f>0</f>
        <v>0</v>
      </c>
      <c r="BO585" s="5" t="s">
        <v>257</v>
      </c>
      <c r="BP585" s="5" t="s">
        <v>258</v>
      </c>
      <c r="CD585" s="5" t="s">
        <v>238</v>
      </c>
      <c r="CE585" s="5" t="s">
        <v>238</v>
      </c>
      <c r="CI585" s="5" t="s">
        <v>527</v>
      </c>
      <c r="CJ585" s="5" t="s">
        <v>260</v>
      </c>
      <c r="CK585" s="5" t="s">
        <v>238</v>
      </c>
      <c r="CM585" s="5" t="s">
        <v>990</v>
      </c>
      <c r="CN585" s="6" t="s">
        <v>262</v>
      </c>
      <c r="CO585" s="5" t="s">
        <v>263</v>
      </c>
      <c r="CP585" s="5" t="s">
        <v>264</v>
      </c>
      <c r="CQ585" s="5" t="s">
        <v>238</v>
      </c>
      <c r="CR585" s="5" t="s">
        <v>238</v>
      </c>
      <c r="CS585" s="5">
        <v>0</v>
      </c>
      <c r="CT585" s="5" t="s">
        <v>265</v>
      </c>
      <c r="CU585" s="5" t="s">
        <v>1330</v>
      </c>
      <c r="CV585" s="5" t="s">
        <v>267</v>
      </c>
      <c r="CX585" s="8">
        <f>16020000</f>
        <v>16020000</v>
      </c>
      <c r="CY585" s="8">
        <f>0</f>
        <v>0</v>
      </c>
      <c r="DA585" s="5" t="s">
        <v>238</v>
      </c>
      <c r="DB585" s="5" t="s">
        <v>238</v>
      </c>
      <c r="DD585" s="5" t="s">
        <v>238</v>
      </c>
      <c r="DG585" s="5" t="s">
        <v>238</v>
      </c>
      <c r="DH585" s="5" t="s">
        <v>238</v>
      </c>
      <c r="DI585" s="5" t="s">
        <v>238</v>
      </c>
      <c r="DJ585" s="5" t="s">
        <v>238</v>
      </c>
      <c r="DK585" s="5" t="s">
        <v>271</v>
      </c>
      <c r="DL585" s="5" t="s">
        <v>272</v>
      </c>
      <c r="DM585" s="7">
        <f>178</f>
        <v>178</v>
      </c>
      <c r="DN585" s="5" t="s">
        <v>238</v>
      </c>
      <c r="DO585" s="5" t="s">
        <v>238</v>
      </c>
      <c r="DP585" s="5" t="s">
        <v>238</v>
      </c>
      <c r="DQ585" s="5" t="s">
        <v>238</v>
      </c>
      <c r="DT585" s="5" t="s">
        <v>1109</v>
      </c>
      <c r="DU585" s="5" t="s">
        <v>379</v>
      </c>
      <c r="HM585" s="5" t="s">
        <v>271</v>
      </c>
      <c r="HP585" s="5" t="s">
        <v>272</v>
      </c>
      <c r="HQ585" s="5" t="s">
        <v>272</v>
      </c>
    </row>
    <row r="586" spans="1:238" x14ac:dyDescent="0.4">
      <c r="A586" s="5">
        <v>622</v>
      </c>
      <c r="B586" s="5">
        <v>1</v>
      </c>
      <c r="C586" s="5">
        <v>1</v>
      </c>
      <c r="D586" s="5" t="s">
        <v>1106</v>
      </c>
      <c r="E586" s="5" t="s">
        <v>347</v>
      </c>
      <c r="F586" s="5" t="s">
        <v>282</v>
      </c>
      <c r="G586" s="5" t="s">
        <v>239</v>
      </c>
      <c r="H586" s="6" t="s">
        <v>1108</v>
      </c>
      <c r="I586" s="5" t="s">
        <v>239</v>
      </c>
      <c r="J586" s="7">
        <f>84</f>
        <v>84</v>
      </c>
      <c r="K586" s="5" t="s">
        <v>270</v>
      </c>
      <c r="L586" s="8">
        <f>1</f>
        <v>1</v>
      </c>
      <c r="M586" s="8">
        <f>7644000</f>
        <v>7644000</v>
      </c>
      <c r="N586" s="6" t="s">
        <v>1107</v>
      </c>
      <c r="O586" s="5" t="s">
        <v>268</v>
      </c>
      <c r="P586" s="5" t="s">
        <v>651</v>
      </c>
      <c r="R586" s="8">
        <f>7643999</f>
        <v>7643999</v>
      </c>
      <c r="S586" s="5" t="s">
        <v>240</v>
      </c>
      <c r="T586" s="5" t="s">
        <v>237</v>
      </c>
      <c r="U586" s="5" t="s">
        <v>238</v>
      </c>
      <c r="V586" s="5" t="s">
        <v>238</v>
      </c>
      <c r="W586" s="5" t="s">
        <v>241</v>
      </c>
      <c r="X586" s="5" t="s">
        <v>337</v>
      </c>
      <c r="Y586" s="5" t="s">
        <v>238</v>
      </c>
      <c r="AB586" s="5" t="s">
        <v>238</v>
      </c>
      <c r="AD586" s="6" t="s">
        <v>238</v>
      </c>
      <c r="AG586" s="6" t="s">
        <v>246</v>
      </c>
      <c r="AH586" s="5" t="s">
        <v>247</v>
      </c>
      <c r="AI586" s="5" t="s">
        <v>248</v>
      </c>
      <c r="AY586" s="5" t="s">
        <v>250</v>
      </c>
      <c r="AZ586" s="5" t="s">
        <v>238</v>
      </c>
      <c r="BA586" s="5" t="s">
        <v>251</v>
      </c>
      <c r="BB586" s="5" t="s">
        <v>238</v>
      </c>
      <c r="BC586" s="5" t="s">
        <v>253</v>
      </c>
      <c r="BD586" s="5" t="s">
        <v>238</v>
      </c>
      <c r="BF586" s="5" t="s">
        <v>238</v>
      </c>
      <c r="BH586" s="5" t="s">
        <v>697</v>
      </c>
      <c r="BI586" s="6" t="s">
        <v>698</v>
      </c>
      <c r="BJ586" s="5" t="s">
        <v>255</v>
      </c>
      <c r="BK586" s="5" t="s">
        <v>256</v>
      </c>
      <c r="BL586" s="5" t="s">
        <v>238</v>
      </c>
      <c r="BM586" s="7">
        <f>0</f>
        <v>0</v>
      </c>
      <c r="BN586" s="8">
        <f>0</f>
        <v>0</v>
      </c>
      <c r="BO586" s="5" t="s">
        <v>257</v>
      </c>
      <c r="BP586" s="5" t="s">
        <v>258</v>
      </c>
      <c r="CD586" s="5" t="s">
        <v>238</v>
      </c>
      <c r="CE586" s="5" t="s">
        <v>238</v>
      </c>
      <c r="CI586" s="5" t="s">
        <v>259</v>
      </c>
      <c r="CJ586" s="5" t="s">
        <v>260</v>
      </c>
      <c r="CK586" s="5" t="s">
        <v>238</v>
      </c>
      <c r="CM586" s="5" t="s">
        <v>768</v>
      </c>
      <c r="CN586" s="6" t="s">
        <v>262</v>
      </c>
      <c r="CO586" s="5" t="s">
        <v>263</v>
      </c>
      <c r="CP586" s="5" t="s">
        <v>264</v>
      </c>
      <c r="CQ586" s="5" t="s">
        <v>238</v>
      </c>
      <c r="CR586" s="5" t="s">
        <v>238</v>
      </c>
      <c r="CS586" s="5">
        <v>0</v>
      </c>
      <c r="CT586" s="5" t="s">
        <v>265</v>
      </c>
      <c r="CU586" s="5" t="s">
        <v>266</v>
      </c>
      <c r="CV586" s="5" t="s">
        <v>267</v>
      </c>
      <c r="CX586" s="8">
        <f>7644000</f>
        <v>7644000</v>
      </c>
      <c r="CY586" s="8">
        <f>0</f>
        <v>0</v>
      </c>
      <c r="DA586" s="5" t="s">
        <v>238</v>
      </c>
      <c r="DB586" s="5" t="s">
        <v>238</v>
      </c>
      <c r="DD586" s="5" t="s">
        <v>238</v>
      </c>
      <c r="DG586" s="5" t="s">
        <v>238</v>
      </c>
      <c r="DH586" s="5" t="s">
        <v>238</v>
      </c>
      <c r="DI586" s="5" t="s">
        <v>238</v>
      </c>
      <c r="DJ586" s="5" t="s">
        <v>238</v>
      </c>
      <c r="DK586" s="5" t="s">
        <v>271</v>
      </c>
      <c r="DL586" s="5" t="s">
        <v>272</v>
      </c>
      <c r="DM586" s="7">
        <f>84</f>
        <v>84</v>
      </c>
      <c r="DN586" s="5" t="s">
        <v>238</v>
      </c>
      <c r="DO586" s="5" t="s">
        <v>238</v>
      </c>
      <c r="DP586" s="5" t="s">
        <v>238</v>
      </c>
      <c r="DQ586" s="5" t="s">
        <v>238</v>
      </c>
      <c r="DT586" s="5" t="s">
        <v>1109</v>
      </c>
      <c r="DU586" s="5" t="s">
        <v>313</v>
      </c>
      <c r="HM586" s="5" t="s">
        <v>271</v>
      </c>
      <c r="HP586" s="5" t="s">
        <v>272</v>
      </c>
      <c r="HQ586" s="5" t="s">
        <v>272</v>
      </c>
    </row>
    <row r="587" spans="1:238" x14ac:dyDescent="0.4">
      <c r="A587" s="5">
        <v>623</v>
      </c>
      <c r="B587" s="5">
        <v>1</v>
      </c>
      <c r="C587" s="5">
        <v>4</v>
      </c>
      <c r="D587" s="5" t="s">
        <v>1106</v>
      </c>
      <c r="E587" s="5" t="s">
        <v>347</v>
      </c>
      <c r="F587" s="5" t="s">
        <v>282</v>
      </c>
      <c r="G587" s="5" t="s">
        <v>349</v>
      </c>
      <c r="H587" s="6" t="s">
        <v>1108</v>
      </c>
      <c r="I587" s="5" t="s">
        <v>3121</v>
      </c>
      <c r="J587" s="7">
        <f>0</f>
        <v>0</v>
      </c>
      <c r="K587" s="5" t="s">
        <v>270</v>
      </c>
      <c r="L587" s="8">
        <f>197754</f>
        <v>197754</v>
      </c>
      <c r="M587" s="8">
        <f>247500</f>
        <v>247500</v>
      </c>
      <c r="N587" s="6" t="s">
        <v>3122</v>
      </c>
      <c r="O587" s="5" t="s">
        <v>268</v>
      </c>
      <c r="P587" s="5" t="s">
        <v>271</v>
      </c>
      <c r="Q587" s="8">
        <f>16582</f>
        <v>16582</v>
      </c>
      <c r="R587" s="8">
        <f>49746</f>
        <v>49746</v>
      </c>
      <c r="S587" s="5" t="s">
        <v>240</v>
      </c>
      <c r="T587" s="5" t="s">
        <v>287</v>
      </c>
      <c r="U587" s="5" t="s">
        <v>238</v>
      </c>
      <c r="V587" s="5" t="s">
        <v>238</v>
      </c>
      <c r="W587" s="5" t="s">
        <v>241</v>
      </c>
      <c r="X587" s="5" t="s">
        <v>238</v>
      </c>
      <c r="Y587" s="5" t="s">
        <v>238</v>
      </c>
      <c r="AB587" s="5" t="s">
        <v>238</v>
      </c>
      <c r="AC587" s="6" t="s">
        <v>238</v>
      </c>
      <c r="AD587" s="6" t="s">
        <v>238</v>
      </c>
      <c r="AF587" s="6" t="s">
        <v>238</v>
      </c>
      <c r="AG587" s="6" t="s">
        <v>246</v>
      </c>
      <c r="AH587" s="5" t="s">
        <v>247</v>
      </c>
      <c r="AI587" s="5" t="s">
        <v>248</v>
      </c>
      <c r="AO587" s="5" t="s">
        <v>238</v>
      </c>
      <c r="AP587" s="5" t="s">
        <v>238</v>
      </c>
      <c r="AQ587" s="5" t="s">
        <v>238</v>
      </c>
      <c r="AR587" s="6" t="s">
        <v>238</v>
      </c>
      <c r="AS587" s="6" t="s">
        <v>238</v>
      </c>
      <c r="AT587" s="6" t="s">
        <v>238</v>
      </c>
      <c r="AW587" s="5" t="s">
        <v>304</v>
      </c>
      <c r="AX587" s="5" t="s">
        <v>304</v>
      </c>
      <c r="AY587" s="5" t="s">
        <v>250</v>
      </c>
      <c r="AZ587" s="5" t="s">
        <v>305</v>
      </c>
      <c r="BA587" s="5" t="s">
        <v>251</v>
      </c>
      <c r="BB587" s="5" t="s">
        <v>238</v>
      </c>
      <c r="BC587" s="5" t="s">
        <v>253</v>
      </c>
      <c r="BD587" s="5" t="s">
        <v>238</v>
      </c>
      <c r="BF587" s="5" t="s">
        <v>238</v>
      </c>
      <c r="BH587" s="5" t="s">
        <v>283</v>
      </c>
      <c r="BI587" s="6" t="s">
        <v>293</v>
      </c>
      <c r="BJ587" s="5" t="s">
        <v>294</v>
      </c>
      <c r="BK587" s="5" t="s">
        <v>294</v>
      </c>
      <c r="BL587" s="5" t="s">
        <v>238</v>
      </c>
      <c r="BM587" s="7">
        <f>0</f>
        <v>0</v>
      </c>
      <c r="BN587" s="8">
        <f>-16582</f>
        <v>-16582</v>
      </c>
      <c r="BO587" s="5" t="s">
        <v>257</v>
      </c>
      <c r="BP587" s="5" t="s">
        <v>258</v>
      </c>
      <c r="BQ587" s="5" t="s">
        <v>238</v>
      </c>
      <c r="BR587" s="5" t="s">
        <v>238</v>
      </c>
      <c r="BS587" s="5" t="s">
        <v>238</v>
      </c>
      <c r="BT587" s="5" t="s">
        <v>238</v>
      </c>
      <c r="CC587" s="5" t="s">
        <v>258</v>
      </c>
      <c r="CD587" s="5" t="s">
        <v>238</v>
      </c>
      <c r="CE587" s="5" t="s">
        <v>238</v>
      </c>
      <c r="CI587" s="5" t="s">
        <v>259</v>
      </c>
      <c r="CJ587" s="5" t="s">
        <v>260</v>
      </c>
      <c r="CK587" s="5" t="s">
        <v>238</v>
      </c>
      <c r="CM587" s="5" t="s">
        <v>291</v>
      </c>
      <c r="CN587" s="6" t="s">
        <v>262</v>
      </c>
      <c r="CO587" s="5" t="s">
        <v>263</v>
      </c>
      <c r="CP587" s="5" t="s">
        <v>264</v>
      </c>
      <c r="CQ587" s="5" t="s">
        <v>285</v>
      </c>
      <c r="CR587" s="5" t="s">
        <v>238</v>
      </c>
      <c r="CS587" s="5">
        <v>6.7000000000000004E-2</v>
      </c>
      <c r="CT587" s="5" t="s">
        <v>265</v>
      </c>
      <c r="CU587" s="5" t="s">
        <v>351</v>
      </c>
      <c r="CV587" s="5" t="s">
        <v>394</v>
      </c>
      <c r="CW587" s="7">
        <f>0</f>
        <v>0</v>
      </c>
      <c r="CX587" s="8">
        <f>247500</f>
        <v>247500</v>
      </c>
      <c r="CY587" s="8">
        <f>214336</f>
        <v>214336</v>
      </c>
      <c r="DA587" s="5" t="s">
        <v>238</v>
      </c>
      <c r="DB587" s="5" t="s">
        <v>238</v>
      </c>
      <c r="DD587" s="5" t="s">
        <v>238</v>
      </c>
      <c r="DE587" s="8">
        <f>0</f>
        <v>0</v>
      </c>
      <c r="DG587" s="5" t="s">
        <v>238</v>
      </c>
      <c r="DH587" s="5" t="s">
        <v>238</v>
      </c>
      <c r="DI587" s="5" t="s">
        <v>238</v>
      </c>
      <c r="DJ587" s="5" t="s">
        <v>238</v>
      </c>
      <c r="DK587" s="5" t="s">
        <v>272</v>
      </c>
      <c r="DL587" s="5" t="s">
        <v>272</v>
      </c>
      <c r="DM587" s="8" t="s">
        <v>238</v>
      </c>
      <c r="DN587" s="5" t="s">
        <v>238</v>
      </c>
      <c r="DO587" s="5" t="s">
        <v>238</v>
      </c>
      <c r="DP587" s="5" t="s">
        <v>238</v>
      </c>
      <c r="DQ587" s="5" t="s">
        <v>238</v>
      </c>
      <c r="DT587" s="5" t="s">
        <v>1109</v>
      </c>
      <c r="DU587" s="5" t="s">
        <v>389</v>
      </c>
      <c r="GL587" s="5" t="s">
        <v>3123</v>
      </c>
      <c r="HM587" s="5" t="s">
        <v>356</v>
      </c>
      <c r="HP587" s="5" t="s">
        <v>272</v>
      </c>
      <c r="HQ587" s="5" t="s">
        <v>272</v>
      </c>
      <c r="HR587" s="5" t="s">
        <v>238</v>
      </c>
      <c r="HS587" s="5" t="s">
        <v>238</v>
      </c>
      <c r="HT587" s="5" t="s">
        <v>238</v>
      </c>
      <c r="HU587" s="5" t="s">
        <v>238</v>
      </c>
      <c r="HV587" s="5" t="s">
        <v>238</v>
      </c>
      <c r="HW587" s="5" t="s">
        <v>238</v>
      </c>
      <c r="HX587" s="5" t="s">
        <v>238</v>
      </c>
      <c r="HY587" s="5" t="s">
        <v>238</v>
      </c>
      <c r="HZ587" s="5" t="s">
        <v>238</v>
      </c>
      <c r="IA587" s="5" t="s">
        <v>238</v>
      </c>
      <c r="IB587" s="5" t="s">
        <v>238</v>
      </c>
      <c r="IC587" s="5" t="s">
        <v>238</v>
      </c>
      <c r="ID587" s="5" t="s">
        <v>238</v>
      </c>
    </row>
    <row r="588" spans="1:238" x14ac:dyDescent="0.4">
      <c r="A588" s="5">
        <v>624</v>
      </c>
      <c r="B588" s="5">
        <v>1</v>
      </c>
      <c r="C588" s="5">
        <v>4</v>
      </c>
      <c r="D588" s="5" t="s">
        <v>1106</v>
      </c>
      <c r="E588" s="5" t="s">
        <v>347</v>
      </c>
      <c r="F588" s="5" t="s">
        <v>282</v>
      </c>
      <c r="G588" s="5" t="s">
        <v>349</v>
      </c>
      <c r="H588" s="6" t="s">
        <v>1108</v>
      </c>
      <c r="I588" s="5" t="s">
        <v>345</v>
      </c>
      <c r="J588" s="7">
        <f>0</f>
        <v>0</v>
      </c>
      <c r="K588" s="5" t="s">
        <v>270</v>
      </c>
      <c r="L588" s="8">
        <f>28007540</f>
        <v>28007540</v>
      </c>
      <c r="M588" s="8">
        <f>36420728</f>
        <v>36420728</v>
      </c>
      <c r="N588" s="6" t="s">
        <v>348</v>
      </c>
      <c r="O588" s="5" t="s">
        <v>319</v>
      </c>
      <c r="P588" s="5" t="s">
        <v>271</v>
      </c>
      <c r="Q588" s="8">
        <f>2804396</f>
        <v>2804396</v>
      </c>
      <c r="R588" s="8">
        <f>8413188</f>
        <v>8413188</v>
      </c>
      <c r="S588" s="5" t="s">
        <v>240</v>
      </c>
      <c r="T588" s="5" t="s">
        <v>287</v>
      </c>
      <c r="U588" s="5" t="s">
        <v>238</v>
      </c>
      <c r="V588" s="5" t="s">
        <v>238</v>
      </c>
      <c r="W588" s="5" t="s">
        <v>241</v>
      </c>
      <c r="X588" s="5" t="s">
        <v>238</v>
      </c>
      <c r="Y588" s="5" t="s">
        <v>238</v>
      </c>
      <c r="AB588" s="5" t="s">
        <v>238</v>
      </c>
      <c r="AC588" s="6" t="s">
        <v>238</v>
      </c>
      <c r="AD588" s="6" t="s">
        <v>238</v>
      </c>
      <c r="AF588" s="6" t="s">
        <v>238</v>
      </c>
      <c r="AG588" s="6" t="s">
        <v>246</v>
      </c>
      <c r="AH588" s="5" t="s">
        <v>247</v>
      </c>
      <c r="AI588" s="5" t="s">
        <v>248</v>
      </c>
      <c r="AO588" s="5" t="s">
        <v>238</v>
      </c>
      <c r="AP588" s="5" t="s">
        <v>238</v>
      </c>
      <c r="AQ588" s="5" t="s">
        <v>238</v>
      </c>
      <c r="AR588" s="6" t="s">
        <v>238</v>
      </c>
      <c r="AS588" s="6" t="s">
        <v>238</v>
      </c>
      <c r="AT588" s="6" t="s">
        <v>238</v>
      </c>
      <c r="AW588" s="5" t="s">
        <v>304</v>
      </c>
      <c r="AX588" s="5" t="s">
        <v>304</v>
      </c>
      <c r="AY588" s="5" t="s">
        <v>250</v>
      </c>
      <c r="AZ588" s="5" t="s">
        <v>305</v>
      </c>
      <c r="BA588" s="5" t="s">
        <v>251</v>
      </c>
      <c r="BB588" s="5" t="s">
        <v>238</v>
      </c>
      <c r="BC588" s="5" t="s">
        <v>253</v>
      </c>
      <c r="BD588" s="5" t="s">
        <v>238</v>
      </c>
      <c r="BF588" s="5" t="s">
        <v>238</v>
      </c>
      <c r="BH588" s="5" t="s">
        <v>283</v>
      </c>
      <c r="BI588" s="6" t="s">
        <v>293</v>
      </c>
      <c r="BJ588" s="5" t="s">
        <v>294</v>
      </c>
      <c r="BK588" s="5" t="s">
        <v>294</v>
      </c>
      <c r="BL588" s="5" t="s">
        <v>238</v>
      </c>
      <c r="BM588" s="7">
        <f>0</f>
        <v>0</v>
      </c>
      <c r="BN588" s="8">
        <f>-2804396</f>
        <v>-2804396</v>
      </c>
      <c r="BO588" s="5" t="s">
        <v>257</v>
      </c>
      <c r="BP588" s="5" t="s">
        <v>258</v>
      </c>
      <c r="BQ588" s="5" t="s">
        <v>238</v>
      </c>
      <c r="BR588" s="5" t="s">
        <v>238</v>
      </c>
      <c r="BS588" s="5" t="s">
        <v>238</v>
      </c>
      <c r="BT588" s="5" t="s">
        <v>238</v>
      </c>
      <c r="CC588" s="5" t="s">
        <v>258</v>
      </c>
      <c r="CD588" s="5" t="s">
        <v>238</v>
      </c>
      <c r="CE588" s="5" t="s">
        <v>238</v>
      </c>
      <c r="CI588" s="5" t="s">
        <v>259</v>
      </c>
      <c r="CJ588" s="5" t="s">
        <v>260</v>
      </c>
      <c r="CK588" s="5" t="s">
        <v>238</v>
      </c>
      <c r="CM588" s="5" t="s">
        <v>291</v>
      </c>
      <c r="CN588" s="6" t="s">
        <v>262</v>
      </c>
      <c r="CO588" s="5" t="s">
        <v>263</v>
      </c>
      <c r="CP588" s="5" t="s">
        <v>264</v>
      </c>
      <c r="CQ588" s="5" t="s">
        <v>285</v>
      </c>
      <c r="CR588" s="5" t="s">
        <v>238</v>
      </c>
      <c r="CS588" s="5">
        <v>7.6999999999999999E-2</v>
      </c>
      <c r="CT588" s="5" t="s">
        <v>265</v>
      </c>
      <c r="CU588" s="5" t="s">
        <v>351</v>
      </c>
      <c r="CV588" s="5" t="s">
        <v>352</v>
      </c>
      <c r="CW588" s="7">
        <f>0</f>
        <v>0</v>
      </c>
      <c r="CX588" s="8">
        <f>36420728</f>
        <v>36420728</v>
      </c>
      <c r="CY588" s="8">
        <f>30811936</f>
        <v>30811936</v>
      </c>
      <c r="DA588" s="5" t="s">
        <v>238</v>
      </c>
      <c r="DB588" s="5" t="s">
        <v>238</v>
      </c>
      <c r="DD588" s="5" t="s">
        <v>238</v>
      </c>
      <c r="DE588" s="8">
        <f>0</f>
        <v>0</v>
      </c>
      <c r="DG588" s="5" t="s">
        <v>238</v>
      </c>
      <c r="DH588" s="5" t="s">
        <v>238</v>
      </c>
      <c r="DI588" s="5" t="s">
        <v>238</v>
      </c>
      <c r="DJ588" s="5" t="s">
        <v>238</v>
      </c>
      <c r="DK588" s="5" t="s">
        <v>272</v>
      </c>
      <c r="DL588" s="5" t="s">
        <v>272</v>
      </c>
      <c r="DM588" s="8" t="s">
        <v>238</v>
      </c>
      <c r="DN588" s="5" t="s">
        <v>238</v>
      </c>
      <c r="DO588" s="5" t="s">
        <v>238</v>
      </c>
      <c r="DP588" s="5" t="s">
        <v>238</v>
      </c>
      <c r="DQ588" s="5" t="s">
        <v>238</v>
      </c>
      <c r="DT588" s="5" t="s">
        <v>1109</v>
      </c>
      <c r="DU588" s="5" t="s">
        <v>354</v>
      </c>
      <c r="GL588" s="5" t="s">
        <v>3120</v>
      </c>
      <c r="HM588" s="5" t="s">
        <v>356</v>
      </c>
      <c r="HP588" s="5" t="s">
        <v>272</v>
      </c>
      <c r="HQ588" s="5" t="s">
        <v>272</v>
      </c>
      <c r="HR588" s="5" t="s">
        <v>238</v>
      </c>
      <c r="HS588" s="5" t="s">
        <v>238</v>
      </c>
      <c r="HT588" s="5" t="s">
        <v>238</v>
      </c>
      <c r="HU588" s="5" t="s">
        <v>238</v>
      </c>
      <c r="HV588" s="5" t="s">
        <v>238</v>
      </c>
      <c r="HW588" s="5" t="s">
        <v>238</v>
      </c>
      <c r="HX588" s="5" t="s">
        <v>238</v>
      </c>
      <c r="HY588" s="5" t="s">
        <v>238</v>
      </c>
      <c r="HZ588" s="5" t="s">
        <v>238</v>
      </c>
      <c r="IA588" s="5" t="s">
        <v>238</v>
      </c>
      <c r="IB588" s="5" t="s">
        <v>238</v>
      </c>
      <c r="IC588" s="5" t="s">
        <v>238</v>
      </c>
      <c r="ID588" s="5" t="s">
        <v>238</v>
      </c>
    </row>
    <row r="589" spans="1:238" x14ac:dyDescent="0.4">
      <c r="A589" s="5">
        <v>625</v>
      </c>
      <c r="B589" s="5">
        <v>1</v>
      </c>
      <c r="C589" s="5">
        <v>1</v>
      </c>
      <c r="D589" s="5" t="s">
        <v>1639</v>
      </c>
      <c r="E589" s="5" t="s">
        <v>347</v>
      </c>
      <c r="F589" s="5" t="s">
        <v>282</v>
      </c>
      <c r="G589" s="5" t="s">
        <v>1314</v>
      </c>
      <c r="H589" s="6" t="s">
        <v>1641</v>
      </c>
      <c r="I589" s="5" t="s">
        <v>1314</v>
      </c>
      <c r="J589" s="7">
        <f>3488</f>
        <v>3488</v>
      </c>
      <c r="K589" s="5" t="s">
        <v>270</v>
      </c>
      <c r="L589" s="8">
        <f>1</f>
        <v>1</v>
      </c>
      <c r="M589" s="8">
        <f>470880000</f>
        <v>470880000</v>
      </c>
      <c r="N589" s="6" t="s">
        <v>1640</v>
      </c>
      <c r="O589" s="5" t="s">
        <v>898</v>
      </c>
      <c r="P589" s="5" t="s">
        <v>996</v>
      </c>
      <c r="R589" s="8">
        <f>470879999</f>
        <v>470879999</v>
      </c>
      <c r="S589" s="5" t="s">
        <v>240</v>
      </c>
      <c r="T589" s="5" t="s">
        <v>237</v>
      </c>
      <c r="U589" s="5" t="s">
        <v>238</v>
      </c>
      <c r="V589" s="5" t="s">
        <v>238</v>
      </c>
      <c r="W589" s="5" t="s">
        <v>241</v>
      </c>
      <c r="X589" s="5" t="s">
        <v>337</v>
      </c>
      <c r="Y589" s="5" t="s">
        <v>238</v>
      </c>
      <c r="AB589" s="5" t="s">
        <v>238</v>
      </c>
      <c r="AD589" s="6" t="s">
        <v>238</v>
      </c>
      <c r="AG589" s="6" t="s">
        <v>246</v>
      </c>
      <c r="AH589" s="5" t="s">
        <v>247</v>
      </c>
      <c r="AI589" s="5" t="s">
        <v>248</v>
      </c>
      <c r="AY589" s="5" t="s">
        <v>250</v>
      </c>
      <c r="AZ589" s="5" t="s">
        <v>238</v>
      </c>
      <c r="BA589" s="5" t="s">
        <v>251</v>
      </c>
      <c r="BB589" s="5" t="s">
        <v>238</v>
      </c>
      <c r="BC589" s="5" t="s">
        <v>253</v>
      </c>
      <c r="BD589" s="5" t="s">
        <v>238</v>
      </c>
      <c r="BF589" s="5" t="s">
        <v>238</v>
      </c>
      <c r="BH589" s="5" t="s">
        <v>859</v>
      </c>
      <c r="BI589" s="6" t="s">
        <v>368</v>
      </c>
      <c r="BJ589" s="5" t="s">
        <v>255</v>
      </c>
      <c r="BK589" s="5" t="s">
        <v>294</v>
      </c>
      <c r="BL589" s="5" t="s">
        <v>238</v>
      </c>
      <c r="BM589" s="7">
        <f>0</f>
        <v>0</v>
      </c>
      <c r="BN589" s="8">
        <f>0</f>
        <v>0</v>
      </c>
      <c r="BO589" s="5" t="s">
        <v>257</v>
      </c>
      <c r="BP589" s="5" t="s">
        <v>258</v>
      </c>
      <c r="CD589" s="5" t="s">
        <v>238</v>
      </c>
      <c r="CE589" s="5" t="s">
        <v>238</v>
      </c>
      <c r="CI589" s="5" t="s">
        <v>527</v>
      </c>
      <c r="CJ589" s="5" t="s">
        <v>260</v>
      </c>
      <c r="CK589" s="5" t="s">
        <v>238</v>
      </c>
      <c r="CM589" s="5" t="s">
        <v>964</v>
      </c>
      <c r="CN589" s="6" t="s">
        <v>262</v>
      </c>
      <c r="CO589" s="5" t="s">
        <v>263</v>
      </c>
      <c r="CP589" s="5" t="s">
        <v>264</v>
      </c>
      <c r="CQ589" s="5" t="s">
        <v>238</v>
      </c>
      <c r="CR589" s="5" t="s">
        <v>238</v>
      </c>
      <c r="CS589" s="5">
        <v>0</v>
      </c>
      <c r="CT589" s="5" t="s">
        <v>265</v>
      </c>
      <c r="CU589" s="5" t="s">
        <v>1493</v>
      </c>
      <c r="CV589" s="5" t="s">
        <v>308</v>
      </c>
      <c r="CX589" s="8">
        <f>470880000</f>
        <v>470880000</v>
      </c>
      <c r="CY589" s="8">
        <f>0</f>
        <v>0</v>
      </c>
      <c r="DA589" s="5" t="s">
        <v>238</v>
      </c>
      <c r="DB589" s="5" t="s">
        <v>238</v>
      </c>
      <c r="DD589" s="5" t="s">
        <v>238</v>
      </c>
      <c r="DG589" s="5" t="s">
        <v>238</v>
      </c>
      <c r="DH589" s="5" t="s">
        <v>238</v>
      </c>
      <c r="DI589" s="5" t="s">
        <v>238</v>
      </c>
      <c r="DJ589" s="5" t="s">
        <v>238</v>
      </c>
      <c r="DK589" s="5" t="s">
        <v>356</v>
      </c>
      <c r="DL589" s="5" t="s">
        <v>272</v>
      </c>
      <c r="DM589" s="7">
        <f>3488</f>
        <v>3488</v>
      </c>
      <c r="DN589" s="5" t="s">
        <v>238</v>
      </c>
      <c r="DO589" s="5" t="s">
        <v>238</v>
      </c>
      <c r="DP589" s="5" t="s">
        <v>238</v>
      </c>
      <c r="DQ589" s="5" t="s">
        <v>238</v>
      </c>
      <c r="DT589" s="5" t="s">
        <v>1642</v>
      </c>
      <c r="DU589" s="5" t="s">
        <v>271</v>
      </c>
      <c r="HM589" s="5" t="s">
        <v>313</v>
      </c>
      <c r="HP589" s="5" t="s">
        <v>272</v>
      </c>
      <c r="HQ589" s="5" t="s">
        <v>272</v>
      </c>
    </row>
    <row r="590" spans="1:238" x14ac:dyDescent="0.4">
      <c r="A590" s="5">
        <v>626</v>
      </c>
      <c r="B590" s="5">
        <v>1</v>
      </c>
      <c r="C590" s="5">
        <v>1</v>
      </c>
      <c r="D590" s="5" t="s">
        <v>1639</v>
      </c>
      <c r="E590" s="5" t="s">
        <v>347</v>
      </c>
      <c r="F590" s="5" t="s">
        <v>282</v>
      </c>
      <c r="G590" s="5" t="s">
        <v>1308</v>
      </c>
      <c r="H590" s="6" t="s">
        <v>1641</v>
      </c>
      <c r="I590" s="5" t="s">
        <v>1308</v>
      </c>
      <c r="J590" s="7">
        <f>1180</f>
        <v>1180</v>
      </c>
      <c r="K590" s="5" t="s">
        <v>270</v>
      </c>
      <c r="L590" s="8">
        <f>1</f>
        <v>1</v>
      </c>
      <c r="M590" s="8">
        <f>159300000</f>
        <v>159300000</v>
      </c>
      <c r="N590" s="6" t="s">
        <v>1734</v>
      </c>
      <c r="O590" s="5" t="s">
        <v>898</v>
      </c>
      <c r="P590" s="5" t="s">
        <v>996</v>
      </c>
      <c r="R590" s="8">
        <f>159299999</f>
        <v>159299999</v>
      </c>
      <c r="S590" s="5" t="s">
        <v>240</v>
      </c>
      <c r="T590" s="5" t="s">
        <v>237</v>
      </c>
      <c r="U590" s="5" t="s">
        <v>238</v>
      </c>
      <c r="V590" s="5" t="s">
        <v>238</v>
      </c>
      <c r="W590" s="5" t="s">
        <v>241</v>
      </c>
      <c r="X590" s="5" t="s">
        <v>337</v>
      </c>
      <c r="Y590" s="5" t="s">
        <v>238</v>
      </c>
      <c r="AB590" s="5" t="s">
        <v>238</v>
      </c>
      <c r="AD590" s="6" t="s">
        <v>238</v>
      </c>
      <c r="AG590" s="6" t="s">
        <v>246</v>
      </c>
      <c r="AH590" s="5" t="s">
        <v>247</v>
      </c>
      <c r="AI590" s="5" t="s">
        <v>248</v>
      </c>
      <c r="AY590" s="5" t="s">
        <v>250</v>
      </c>
      <c r="AZ590" s="5" t="s">
        <v>238</v>
      </c>
      <c r="BA590" s="5" t="s">
        <v>251</v>
      </c>
      <c r="BB590" s="5" t="s">
        <v>238</v>
      </c>
      <c r="BC590" s="5" t="s">
        <v>253</v>
      </c>
      <c r="BD590" s="5" t="s">
        <v>238</v>
      </c>
      <c r="BF590" s="5" t="s">
        <v>238</v>
      </c>
      <c r="BH590" s="5" t="s">
        <v>697</v>
      </c>
      <c r="BI590" s="6" t="s">
        <v>698</v>
      </c>
      <c r="BJ590" s="5" t="s">
        <v>255</v>
      </c>
      <c r="BK590" s="5" t="s">
        <v>294</v>
      </c>
      <c r="BL590" s="5" t="s">
        <v>238</v>
      </c>
      <c r="BM590" s="7">
        <f>0</f>
        <v>0</v>
      </c>
      <c r="BN590" s="8">
        <f>0</f>
        <v>0</v>
      </c>
      <c r="BO590" s="5" t="s">
        <v>257</v>
      </c>
      <c r="BP590" s="5" t="s">
        <v>258</v>
      </c>
      <c r="CD590" s="5" t="s">
        <v>238</v>
      </c>
      <c r="CE590" s="5" t="s">
        <v>238</v>
      </c>
      <c r="CI590" s="5" t="s">
        <v>527</v>
      </c>
      <c r="CJ590" s="5" t="s">
        <v>260</v>
      </c>
      <c r="CK590" s="5" t="s">
        <v>238</v>
      </c>
      <c r="CM590" s="5" t="s">
        <v>964</v>
      </c>
      <c r="CN590" s="6" t="s">
        <v>262</v>
      </c>
      <c r="CO590" s="5" t="s">
        <v>263</v>
      </c>
      <c r="CP590" s="5" t="s">
        <v>264</v>
      </c>
      <c r="CQ590" s="5" t="s">
        <v>238</v>
      </c>
      <c r="CR590" s="5" t="s">
        <v>238</v>
      </c>
      <c r="CS590" s="5">
        <v>0</v>
      </c>
      <c r="CT590" s="5" t="s">
        <v>265</v>
      </c>
      <c r="CU590" s="5" t="s">
        <v>1330</v>
      </c>
      <c r="CV590" s="5" t="s">
        <v>308</v>
      </c>
      <c r="CX590" s="8">
        <f>159300000</f>
        <v>159300000</v>
      </c>
      <c r="CY590" s="8">
        <f>0</f>
        <v>0</v>
      </c>
      <c r="DA590" s="5" t="s">
        <v>238</v>
      </c>
      <c r="DB590" s="5" t="s">
        <v>238</v>
      </c>
      <c r="DD590" s="5" t="s">
        <v>238</v>
      </c>
      <c r="DG590" s="5" t="s">
        <v>238</v>
      </c>
      <c r="DH590" s="5" t="s">
        <v>238</v>
      </c>
      <c r="DI590" s="5" t="s">
        <v>238</v>
      </c>
      <c r="DJ590" s="5" t="s">
        <v>238</v>
      </c>
      <c r="DK590" s="5" t="s">
        <v>274</v>
      </c>
      <c r="DL590" s="5" t="s">
        <v>272</v>
      </c>
      <c r="DM590" s="7">
        <f>1180</f>
        <v>1180</v>
      </c>
      <c r="DN590" s="5" t="s">
        <v>238</v>
      </c>
      <c r="DO590" s="5" t="s">
        <v>238</v>
      </c>
      <c r="DP590" s="5" t="s">
        <v>238</v>
      </c>
      <c r="DQ590" s="5" t="s">
        <v>238</v>
      </c>
      <c r="DT590" s="5" t="s">
        <v>1642</v>
      </c>
      <c r="DU590" s="5" t="s">
        <v>274</v>
      </c>
      <c r="HM590" s="5" t="s">
        <v>313</v>
      </c>
      <c r="HP590" s="5" t="s">
        <v>272</v>
      </c>
      <c r="HQ590" s="5" t="s">
        <v>272</v>
      </c>
    </row>
    <row r="591" spans="1:238" x14ac:dyDescent="0.4">
      <c r="A591" s="5">
        <v>627</v>
      </c>
      <c r="B591" s="5">
        <v>1</v>
      </c>
      <c r="C591" s="5">
        <v>1</v>
      </c>
      <c r="D591" s="5" t="s">
        <v>1639</v>
      </c>
      <c r="E591" s="5" t="s">
        <v>347</v>
      </c>
      <c r="F591" s="5" t="s">
        <v>282</v>
      </c>
      <c r="G591" s="5" t="s">
        <v>3027</v>
      </c>
      <c r="H591" s="6" t="s">
        <v>1641</v>
      </c>
      <c r="I591" s="5" t="s">
        <v>3027</v>
      </c>
      <c r="J591" s="7">
        <f>36</f>
        <v>36</v>
      </c>
      <c r="K591" s="5" t="s">
        <v>270</v>
      </c>
      <c r="L591" s="8">
        <f>1</f>
        <v>1</v>
      </c>
      <c r="M591" s="8">
        <f>2160000</f>
        <v>2160000</v>
      </c>
      <c r="N591" s="6" t="s">
        <v>1353</v>
      </c>
      <c r="O591" s="5" t="s">
        <v>268</v>
      </c>
      <c r="P591" s="5" t="s">
        <v>965</v>
      </c>
      <c r="R591" s="8">
        <f>2159999</f>
        <v>2159999</v>
      </c>
      <c r="S591" s="5" t="s">
        <v>240</v>
      </c>
      <c r="T591" s="5" t="s">
        <v>237</v>
      </c>
      <c r="U591" s="5" t="s">
        <v>238</v>
      </c>
      <c r="V591" s="5" t="s">
        <v>238</v>
      </c>
      <c r="W591" s="5" t="s">
        <v>241</v>
      </c>
      <c r="X591" s="5" t="s">
        <v>337</v>
      </c>
      <c r="Y591" s="5" t="s">
        <v>238</v>
      </c>
      <c r="AB591" s="5" t="s">
        <v>238</v>
      </c>
      <c r="AD591" s="6" t="s">
        <v>238</v>
      </c>
      <c r="AG591" s="6" t="s">
        <v>246</v>
      </c>
      <c r="AH591" s="5" t="s">
        <v>247</v>
      </c>
      <c r="AI591" s="5" t="s">
        <v>248</v>
      </c>
      <c r="AY591" s="5" t="s">
        <v>250</v>
      </c>
      <c r="AZ591" s="5" t="s">
        <v>238</v>
      </c>
      <c r="BA591" s="5" t="s">
        <v>251</v>
      </c>
      <c r="BB591" s="5" t="s">
        <v>238</v>
      </c>
      <c r="BC591" s="5" t="s">
        <v>253</v>
      </c>
      <c r="BD591" s="5" t="s">
        <v>238</v>
      </c>
      <c r="BF591" s="5" t="s">
        <v>238</v>
      </c>
      <c r="BH591" s="5" t="s">
        <v>798</v>
      </c>
      <c r="BI591" s="6" t="s">
        <v>799</v>
      </c>
      <c r="BJ591" s="5" t="s">
        <v>255</v>
      </c>
      <c r="BK591" s="5" t="s">
        <v>256</v>
      </c>
      <c r="BL591" s="5" t="s">
        <v>238</v>
      </c>
      <c r="BM591" s="7">
        <f>0</f>
        <v>0</v>
      </c>
      <c r="BN591" s="8">
        <f>0</f>
        <v>0</v>
      </c>
      <c r="BO591" s="5" t="s">
        <v>257</v>
      </c>
      <c r="BP591" s="5" t="s">
        <v>258</v>
      </c>
      <c r="CD591" s="5" t="s">
        <v>238</v>
      </c>
      <c r="CE591" s="5" t="s">
        <v>238</v>
      </c>
      <c r="CI591" s="5" t="s">
        <v>527</v>
      </c>
      <c r="CJ591" s="5" t="s">
        <v>260</v>
      </c>
      <c r="CK591" s="5" t="s">
        <v>238</v>
      </c>
      <c r="CM591" s="5" t="s">
        <v>964</v>
      </c>
      <c r="CN591" s="6" t="s">
        <v>262</v>
      </c>
      <c r="CO591" s="5" t="s">
        <v>263</v>
      </c>
      <c r="CP591" s="5" t="s">
        <v>264</v>
      </c>
      <c r="CQ591" s="5" t="s">
        <v>238</v>
      </c>
      <c r="CR591" s="5" t="s">
        <v>238</v>
      </c>
      <c r="CS591" s="5">
        <v>0</v>
      </c>
      <c r="CT591" s="5" t="s">
        <v>265</v>
      </c>
      <c r="CU591" s="5" t="s">
        <v>351</v>
      </c>
      <c r="CV591" s="5" t="s">
        <v>394</v>
      </c>
      <c r="CX591" s="8">
        <f>2160000</f>
        <v>2160000</v>
      </c>
      <c r="CY591" s="8">
        <f>0</f>
        <v>0</v>
      </c>
      <c r="DA591" s="5" t="s">
        <v>238</v>
      </c>
      <c r="DB591" s="5" t="s">
        <v>238</v>
      </c>
      <c r="DD591" s="5" t="s">
        <v>238</v>
      </c>
      <c r="DG591" s="5" t="s">
        <v>238</v>
      </c>
      <c r="DH591" s="5" t="s">
        <v>238</v>
      </c>
      <c r="DI591" s="5" t="s">
        <v>238</v>
      </c>
      <c r="DJ591" s="5" t="s">
        <v>238</v>
      </c>
      <c r="DK591" s="5" t="s">
        <v>271</v>
      </c>
      <c r="DL591" s="5" t="s">
        <v>272</v>
      </c>
      <c r="DM591" s="7">
        <f>36</f>
        <v>36</v>
      </c>
      <c r="DN591" s="5" t="s">
        <v>238</v>
      </c>
      <c r="DO591" s="5" t="s">
        <v>238</v>
      </c>
      <c r="DP591" s="5" t="s">
        <v>238</v>
      </c>
      <c r="DQ591" s="5" t="s">
        <v>238</v>
      </c>
      <c r="DT591" s="5" t="s">
        <v>1642</v>
      </c>
      <c r="DU591" s="5" t="s">
        <v>356</v>
      </c>
      <c r="HM591" s="5" t="s">
        <v>271</v>
      </c>
      <c r="HP591" s="5" t="s">
        <v>272</v>
      </c>
      <c r="HQ591" s="5" t="s">
        <v>272</v>
      </c>
    </row>
    <row r="592" spans="1:238" x14ac:dyDescent="0.4">
      <c r="A592" s="5">
        <v>628</v>
      </c>
      <c r="B592" s="5">
        <v>1</v>
      </c>
      <c r="C592" s="5">
        <v>4</v>
      </c>
      <c r="D592" s="5" t="s">
        <v>1639</v>
      </c>
      <c r="E592" s="5" t="s">
        <v>347</v>
      </c>
      <c r="F592" s="5" t="s">
        <v>282</v>
      </c>
      <c r="G592" s="5" t="s">
        <v>3118</v>
      </c>
      <c r="H592" s="6" t="s">
        <v>1641</v>
      </c>
      <c r="I592" s="5" t="s">
        <v>3117</v>
      </c>
      <c r="J592" s="7">
        <f>0</f>
        <v>0</v>
      </c>
      <c r="K592" s="5" t="s">
        <v>270</v>
      </c>
      <c r="L592" s="8">
        <f>721135</f>
        <v>721135</v>
      </c>
      <c r="M592" s="8">
        <f>1442270</f>
        <v>1442270</v>
      </c>
      <c r="N592" s="6" t="s">
        <v>1348</v>
      </c>
      <c r="O592" s="5" t="s">
        <v>377</v>
      </c>
      <c r="P592" s="5" t="s">
        <v>356</v>
      </c>
      <c r="Q592" s="8">
        <f>144227</f>
        <v>144227</v>
      </c>
      <c r="R592" s="8">
        <f>721135</f>
        <v>721135</v>
      </c>
      <c r="S592" s="5" t="s">
        <v>240</v>
      </c>
      <c r="T592" s="5" t="s">
        <v>287</v>
      </c>
      <c r="U592" s="5" t="s">
        <v>238</v>
      </c>
      <c r="V592" s="5" t="s">
        <v>238</v>
      </c>
      <c r="W592" s="5" t="s">
        <v>241</v>
      </c>
      <c r="X592" s="5" t="s">
        <v>337</v>
      </c>
      <c r="Y592" s="5" t="s">
        <v>238</v>
      </c>
      <c r="AB592" s="5" t="s">
        <v>238</v>
      </c>
      <c r="AC592" s="6" t="s">
        <v>238</v>
      </c>
      <c r="AD592" s="6" t="s">
        <v>238</v>
      </c>
      <c r="AF592" s="6" t="s">
        <v>238</v>
      </c>
      <c r="AG592" s="6" t="s">
        <v>246</v>
      </c>
      <c r="AH592" s="5" t="s">
        <v>247</v>
      </c>
      <c r="AI592" s="5" t="s">
        <v>248</v>
      </c>
      <c r="AO592" s="5" t="s">
        <v>238</v>
      </c>
      <c r="AP592" s="5" t="s">
        <v>238</v>
      </c>
      <c r="AQ592" s="5" t="s">
        <v>238</v>
      </c>
      <c r="AR592" s="6" t="s">
        <v>238</v>
      </c>
      <c r="AS592" s="6" t="s">
        <v>238</v>
      </c>
      <c r="AT592" s="6" t="s">
        <v>238</v>
      </c>
      <c r="AW592" s="5" t="s">
        <v>304</v>
      </c>
      <c r="AX592" s="5" t="s">
        <v>304</v>
      </c>
      <c r="AY592" s="5" t="s">
        <v>250</v>
      </c>
      <c r="AZ592" s="5" t="s">
        <v>305</v>
      </c>
      <c r="BA592" s="5" t="s">
        <v>251</v>
      </c>
      <c r="BB592" s="5" t="s">
        <v>238</v>
      </c>
      <c r="BC592" s="5" t="s">
        <v>253</v>
      </c>
      <c r="BD592" s="5" t="s">
        <v>238</v>
      </c>
      <c r="BF592" s="5" t="s">
        <v>238</v>
      </c>
      <c r="BH592" s="5" t="s">
        <v>283</v>
      </c>
      <c r="BI592" s="6" t="s">
        <v>293</v>
      </c>
      <c r="BJ592" s="5" t="s">
        <v>294</v>
      </c>
      <c r="BK592" s="5" t="s">
        <v>294</v>
      </c>
      <c r="BL592" s="5" t="s">
        <v>238</v>
      </c>
      <c r="BM592" s="7">
        <f>0</f>
        <v>0</v>
      </c>
      <c r="BN592" s="8">
        <f>-144227</f>
        <v>-144227</v>
      </c>
      <c r="BO592" s="5" t="s">
        <v>257</v>
      </c>
      <c r="BP592" s="5" t="s">
        <v>258</v>
      </c>
      <c r="BQ592" s="5" t="s">
        <v>238</v>
      </c>
      <c r="BR592" s="5" t="s">
        <v>238</v>
      </c>
      <c r="BS592" s="5" t="s">
        <v>238</v>
      </c>
      <c r="BT592" s="5" t="s">
        <v>238</v>
      </c>
      <c r="CC592" s="5" t="s">
        <v>258</v>
      </c>
      <c r="CD592" s="5" t="s">
        <v>238</v>
      </c>
      <c r="CE592" s="5" t="s">
        <v>238</v>
      </c>
      <c r="CI592" s="5" t="s">
        <v>259</v>
      </c>
      <c r="CJ592" s="5" t="s">
        <v>260</v>
      </c>
      <c r="CK592" s="5" t="s">
        <v>238</v>
      </c>
      <c r="CM592" s="5" t="s">
        <v>376</v>
      </c>
      <c r="CN592" s="6" t="s">
        <v>262</v>
      </c>
      <c r="CO592" s="5" t="s">
        <v>263</v>
      </c>
      <c r="CP592" s="5" t="s">
        <v>264</v>
      </c>
      <c r="CQ592" s="5" t="s">
        <v>285</v>
      </c>
      <c r="CR592" s="5" t="s">
        <v>238</v>
      </c>
      <c r="CS592" s="5">
        <v>0.1</v>
      </c>
      <c r="CT592" s="5" t="s">
        <v>265</v>
      </c>
      <c r="CU592" s="5" t="s">
        <v>351</v>
      </c>
      <c r="CV592" s="5" t="s">
        <v>458</v>
      </c>
      <c r="CW592" s="7">
        <f>0</f>
        <v>0</v>
      </c>
      <c r="CX592" s="8">
        <f>1442270</f>
        <v>1442270</v>
      </c>
      <c r="CY592" s="8">
        <f>865362</f>
        <v>865362</v>
      </c>
      <c r="DA592" s="5" t="s">
        <v>238</v>
      </c>
      <c r="DB592" s="5" t="s">
        <v>238</v>
      </c>
      <c r="DD592" s="5" t="s">
        <v>238</v>
      </c>
      <c r="DE592" s="8">
        <f>0</f>
        <v>0</v>
      </c>
      <c r="DG592" s="5" t="s">
        <v>238</v>
      </c>
      <c r="DH592" s="5" t="s">
        <v>238</v>
      </c>
      <c r="DI592" s="5" t="s">
        <v>238</v>
      </c>
      <c r="DJ592" s="5" t="s">
        <v>238</v>
      </c>
      <c r="DK592" s="5" t="s">
        <v>272</v>
      </c>
      <c r="DL592" s="5" t="s">
        <v>272</v>
      </c>
      <c r="DM592" s="8" t="s">
        <v>238</v>
      </c>
      <c r="DN592" s="5" t="s">
        <v>238</v>
      </c>
      <c r="DO592" s="5" t="s">
        <v>238</v>
      </c>
      <c r="DP592" s="5" t="s">
        <v>238</v>
      </c>
      <c r="DQ592" s="5" t="s">
        <v>238</v>
      </c>
      <c r="DT592" s="5" t="s">
        <v>1642</v>
      </c>
      <c r="DU592" s="5" t="s">
        <v>310</v>
      </c>
      <c r="GL592" s="5" t="s">
        <v>3119</v>
      </c>
      <c r="HM592" s="5" t="s">
        <v>379</v>
      </c>
      <c r="HP592" s="5" t="s">
        <v>272</v>
      </c>
      <c r="HQ592" s="5" t="s">
        <v>272</v>
      </c>
      <c r="HR592" s="5" t="s">
        <v>238</v>
      </c>
      <c r="HS592" s="5" t="s">
        <v>238</v>
      </c>
      <c r="HT592" s="5" t="s">
        <v>238</v>
      </c>
      <c r="HU592" s="5" t="s">
        <v>238</v>
      </c>
      <c r="HV592" s="5" t="s">
        <v>238</v>
      </c>
      <c r="HW592" s="5" t="s">
        <v>238</v>
      </c>
      <c r="HX592" s="5" t="s">
        <v>238</v>
      </c>
      <c r="HY592" s="5" t="s">
        <v>238</v>
      </c>
      <c r="HZ592" s="5" t="s">
        <v>238</v>
      </c>
      <c r="IA592" s="5" t="s">
        <v>238</v>
      </c>
      <c r="IB592" s="5" t="s">
        <v>238</v>
      </c>
      <c r="IC592" s="5" t="s">
        <v>238</v>
      </c>
      <c r="ID592" s="5" t="s">
        <v>238</v>
      </c>
    </row>
    <row r="593" spans="1:238" x14ac:dyDescent="0.4">
      <c r="A593" s="5">
        <v>629</v>
      </c>
      <c r="B593" s="5">
        <v>1</v>
      </c>
      <c r="C593" s="5">
        <v>4</v>
      </c>
      <c r="D593" s="5" t="s">
        <v>1639</v>
      </c>
      <c r="E593" s="5" t="s">
        <v>347</v>
      </c>
      <c r="F593" s="5" t="s">
        <v>282</v>
      </c>
      <c r="G593" s="5" t="s">
        <v>349</v>
      </c>
      <c r="H593" s="6" t="s">
        <v>1641</v>
      </c>
      <c r="I593" s="5" t="s">
        <v>363</v>
      </c>
      <c r="J593" s="7">
        <f>0</f>
        <v>0</v>
      </c>
      <c r="K593" s="5" t="s">
        <v>270</v>
      </c>
      <c r="L593" s="8">
        <f>722457</f>
        <v>722457</v>
      </c>
      <c r="M593" s="8">
        <f>904200</f>
        <v>904200</v>
      </c>
      <c r="N593" s="6" t="s">
        <v>2238</v>
      </c>
      <c r="O593" s="5" t="s">
        <v>268</v>
      </c>
      <c r="P593" s="5" t="s">
        <v>271</v>
      </c>
      <c r="Q593" s="8">
        <f>60581</f>
        <v>60581</v>
      </c>
      <c r="R593" s="8">
        <f>181743</f>
        <v>181743</v>
      </c>
      <c r="S593" s="5" t="s">
        <v>240</v>
      </c>
      <c r="T593" s="5" t="s">
        <v>287</v>
      </c>
      <c r="U593" s="5" t="s">
        <v>238</v>
      </c>
      <c r="V593" s="5" t="s">
        <v>238</v>
      </c>
      <c r="W593" s="5" t="s">
        <v>241</v>
      </c>
      <c r="X593" s="5" t="s">
        <v>238</v>
      </c>
      <c r="Y593" s="5" t="s">
        <v>238</v>
      </c>
      <c r="AB593" s="5" t="s">
        <v>238</v>
      </c>
      <c r="AC593" s="6" t="s">
        <v>238</v>
      </c>
      <c r="AD593" s="6" t="s">
        <v>238</v>
      </c>
      <c r="AF593" s="6" t="s">
        <v>238</v>
      </c>
      <c r="AG593" s="6" t="s">
        <v>246</v>
      </c>
      <c r="AH593" s="5" t="s">
        <v>247</v>
      </c>
      <c r="AI593" s="5" t="s">
        <v>248</v>
      </c>
      <c r="AO593" s="5" t="s">
        <v>238</v>
      </c>
      <c r="AP593" s="5" t="s">
        <v>238</v>
      </c>
      <c r="AQ593" s="5" t="s">
        <v>238</v>
      </c>
      <c r="AR593" s="6" t="s">
        <v>238</v>
      </c>
      <c r="AS593" s="6" t="s">
        <v>238</v>
      </c>
      <c r="AT593" s="6" t="s">
        <v>238</v>
      </c>
      <c r="AW593" s="5" t="s">
        <v>304</v>
      </c>
      <c r="AX593" s="5" t="s">
        <v>304</v>
      </c>
      <c r="AY593" s="5" t="s">
        <v>250</v>
      </c>
      <c r="AZ593" s="5" t="s">
        <v>305</v>
      </c>
      <c r="BA593" s="5" t="s">
        <v>251</v>
      </c>
      <c r="BB593" s="5" t="s">
        <v>238</v>
      </c>
      <c r="BC593" s="5" t="s">
        <v>253</v>
      </c>
      <c r="BD593" s="5" t="s">
        <v>238</v>
      </c>
      <c r="BF593" s="5" t="s">
        <v>238</v>
      </c>
      <c r="BH593" s="5" t="s">
        <v>283</v>
      </c>
      <c r="BI593" s="6" t="s">
        <v>293</v>
      </c>
      <c r="BJ593" s="5" t="s">
        <v>294</v>
      </c>
      <c r="BK593" s="5" t="s">
        <v>294</v>
      </c>
      <c r="BL593" s="5" t="s">
        <v>238</v>
      </c>
      <c r="BM593" s="7">
        <f>0</f>
        <v>0</v>
      </c>
      <c r="BN593" s="8">
        <f>-60581</f>
        <v>-60581</v>
      </c>
      <c r="BO593" s="5" t="s">
        <v>257</v>
      </c>
      <c r="BP593" s="5" t="s">
        <v>258</v>
      </c>
      <c r="BQ593" s="5" t="s">
        <v>238</v>
      </c>
      <c r="BR593" s="5" t="s">
        <v>238</v>
      </c>
      <c r="BS593" s="5" t="s">
        <v>238</v>
      </c>
      <c r="BT593" s="5" t="s">
        <v>238</v>
      </c>
      <c r="CC593" s="5" t="s">
        <v>258</v>
      </c>
      <c r="CD593" s="5" t="s">
        <v>238</v>
      </c>
      <c r="CE593" s="5" t="s">
        <v>238</v>
      </c>
      <c r="CI593" s="5" t="s">
        <v>259</v>
      </c>
      <c r="CJ593" s="5" t="s">
        <v>260</v>
      </c>
      <c r="CK593" s="5" t="s">
        <v>238</v>
      </c>
      <c r="CM593" s="5" t="s">
        <v>291</v>
      </c>
      <c r="CN593" s="6" t="s">
        <v>262</v>
      </c>
      <c r="CO593" s="5" t="s">
        <v>263</v>
      </c>
      <c r="CP593" s="5" t="s">
        <v>264</v>
      </c>
      <c r="CQ593" s="5" t="s">
        <v>285</v>
      </c>
      <c r="CR593" s="5" t="s">
        <v>238</v>
      </c>
      <c r="CS593" s="5">
        <v>6.7000000000000004E-2</v>
      </c>
      <c r="CT593" s="5" t="s">
        <v>265</v>
      </c>
      <c r="CU593" s="5" t="s">
        <v>351</v>
      </c>
      <c r="CV593" s="5" t="s">
        <v>365</v>
      </c>
      <c r="CW593" s="7">
        <f>0</f>
        <v>0</v>
      </c>
      <c r="CX593" s="8">
        <f>904200</f>
        <v>904200</v>
      </c>
      <c r="CY593" s="8">
        <f>783038</f>
        <v>783038</v>
      </c>
      <c r="DA593" s="5" t="s">
        <v>238</v>
      </c>
      <c r="DB593" s="5" t="s">
        <v>238</v>
      </c>
      <c r="DD593" s="5" t="s">
        <v>238</v>
      </c>
      <c r="DE593" s="8">
        <f>0</f>
        <v>0</v>
      </c>
      <c r="DG593" s="5" t="s">
        <v>238</v>
      </c>
      <c r="DH593" s="5" t="s">
        <v>238</v>
      </c>
      <c r="DI593" s="5" t="s">
        <v>238</v>
      </c>
      <c r="DJ593" s="5" t="s">
        <v>238</v>
      </c>
      <c r="DK593" s="5" t="s">
        <v>272</v>
      </c>
      <c r="DL593" s="5" t="s">
        <v>272</v>
      </c>
      <c r="DM593" s="8" t="s">
        <v>238</v>
      </c>
      <c r="DN593" s="5" t="s">
        <v>238</v>
      </c>
      <c r="DO593" s="5" t="s">
        <v>238</v>
      </c>
      <c r="DP593" s="5" t="s">
        <v>238</v>
      </c>
      <c r="DQ593" s="5" t="s">
        <v>238</v>
      </c>
      <c r="DT593" s="5" t="s">
        <v>1642</v>
      </c>
      <c r="DU593" s="5" t="s">
        <v>379</v>
      </c>
      <c r="GL593" s="5" t="s">
        <v>3116</v>
      </c>
      <c r="HM593" s="5" t="s">
        <v>356</v>
      </c>
      <c r="HP593" s="5" t="s">
        <v>272</v>
      </c>
      <c r="HQ593" s="5" t="s">
        <v>272</v>
      </c>
      <c r="HR593" s="5" t="s">
        <v>238</v>
      </c>
      <c r="HS593" s="5" t="s">
        <v>238</v>
      </c>
      <c r="HT593" s="5" t="s">
        <v>238</v>
      </c>
      <c r="HU593" s="5" t="s">
        <v>238</v>
      </c>
      <c r="HV593" s="5" t="s">
        <v>238</v>
      </c>
      <c r="HW593" s="5" t="s">
        <v>238</v>
      </c>
      <c r="HX593" s="5" t="s">
        <v>238</v>
      </c>
      <c r="HY593" s="5" t="s">
        <v>238</v>
      </c>
      <c r="HZ593" s="5" t="s">
        <v>238</v>
      </c>
      <c r="IA593" s="5" t="s">
        <v>238</v>
      </c>
      <c r="IB593" s="5" t="s">
        <v>238</v>
      </c>
      <c r="IC593" s="5" t="s">
        <v>238</v>
      </c>
      <c r="ID593" s="5" t="s">
        <v>238</v>
      </c>
    </row>
    <row r="594" spans="1:238" x14ac:dyDescent="0.4">
      <c r="A594" s="5">
        <v>630</v>
      </c>
      <c r="B594" s="5">
        <v>1</v>
      </c>
      <c r="C594" s="5">
        <v>4</v>
      </c>
      <c r="D594" s="5" t="s">
        <v>1639</v>
      </c>
      <c r="E594" s="5" t="s">
        <v>347</v>
      </c>
      <c r="F594" s="5" t="s">
        <v>282</v>
      </c>
      <c r="G594" s="5" t="s">
        <v>349</v>
      </c>
      <c r="H594" s="6" t="s">
        <v>1641</v>
      </c>
      <c r="I594" s="5" t="s">
        <v>345</v>
      </c>
      <c r="J594" s="7">
        <f>0</f>
        <v>0</v>
      </c>
      <c r="K594" s="5" t="s">
        <v>270</v>
      </c>
      <c r="L594" s="8">
        <f>16781413</f>
        <v>16781413</v>
      </c>
      <c r="M594" s="8">
        <f>21822382</f>
        <v>21822382</v>
      </c>
      <c r="N594" s="6" t="s">
        <v>348</v>
      </c>
      <c r="O594" s="5" t="s">
        <v>319</v>
      </c>
      <c r="P594" s="5" t="s">
        <v>271</v>
      </c>
      <c r="Q594" s="8">
        <f>1680323</f>
        <v>1680323</v>
      </c>
      <c r="R594" s="8">
        <f>5040969</f>
        <v>5040969</v>
      </c>
      <c r="S594" s="5" t="s">
        <v>240</v>
      </c>
      <c r="T594" s="5" t="s">
        <v>287</v>
      </c>
      <c r="U594" s="5" t="s">
        <v>238</v>
      </c>
      <c r="V594" s="5" t="s">
        <v>238</v>
      </c>
      <c r="W594" s="5" t="s">
        <v>241</v>
      </c>
      <c r="X594" s="5" t="s">
        <v>238</v>
      </c>
      <c r="Y594" s="5" t="s">
        <v>238</v>
      </c>
      <c r="AB594" s="5" t="s">
        <v>238</v>
      </c>
      <c r="AC594" s="6" t="s">
        <v>238</v>
      </c>
      <c r="AD594" s="6" t="s">
        <v>238</v>
      </c>
      <c r="AF594" s="6" t="s">
        <v>238</v>
      </c>
      <c r="AG594" s="6" t="s">
        <v>246</v>
      </c>
      <c r="AH594" s="5" t="s">
        <v>247</v>
      </c>
      <c r="AI594" s="5" t="s">
        <v>248</v>
      </c>
      <c r="AO594" s="5" t="s">
        <v>238</v>
      </c>
      <c r="AP594" s="5" t="s">
        <v>238</v>
      </c>
      <c r="AQ594" s="5" t="s">
        <v>238</v>
      </c>
      <c r="AR594" s="6" t="s">
        <v>238</v>
      </c>
      <c r="AS594" s="6" t="s">
        <v>238</v>
      </c>
      <c r="AT594" s="6" t="s">
        <v>238</v>
      </c>
      <c r="AW594" s="5" t="s">
        <v>304</v>
      </c>
      <c r="AX594" s="5" t="s">
        <v>304</v>
      </c>
      <c r="AY594" s="5" t="s">
        <v>250</v>
      </c>
      <c r="AZ594" s="5" t="s">
        <v>305</v>
      </c>
      <c r="BA594" s="5" t="s">
        <v>251</v>
      </c>
      <c r="BB594" s="5" t="s">
        <v>238</v>
      </c>
      <c r="BC594" s="5" t="s">
        <v>253</v>
      </c>
      <c r="BD594" s="5" t="s">
        <v>238</v>
      </c>
      <c r="BF594" s="5" t="s">
        <v>238</v>
      </c>
      <c r="BH594" s="5" t="s">
        <v>283</v>
      </c>
      <c r="BI594" s="6" t="s">
        <v>293</v>
      </c>
      <c r="BJ594" s="5" t="s">
        <v>294</v>
      </c>
      <c r="BK594" s="5" t="s">
        <v>294</v>
      </c>
      <c r="BL594" s="5" t="s">
        <v>238</v>
      </c>
      <c r="BM594" s="7">
        <f>0</f>
        <v>0</v>
      </c>
      <c r="BN594" s="8">
        <f>-1680323</f>
        <v>-1680323</v>
      </c>
      <c r="BO594" s="5" t="s">
        <v>257</v>
      </c>
      <c r="BP594" s="5" t="s">
        <v>258</v>
      </c>
      <c r="BQ594" s="5" t="s">
        <v>238</v>
      </c>
      <c r="BR594" s="5" t="s">
        <v>238</v>
      </c>
      <c r="BS594" s="5" t="s">
        <v>238</v>
      </c>
      <c r="BT594" s="5" t="s">
        <v>238</v>
      </c>
      <c r="CC594" s="5" t="s">
        <v>258</v>
      </c>
      <c r="CD594" s="5" t="s">
        <v>238</v>
      </c>
      <c r="CE594" s="5" t="s">
        <v>238</v>
      </c>
      <c r="CI594" s="5" t="s">
        <v>259</v>
      </c>
      <c r="CJ594" s="5" t="s">
        <v>260</v>
      </c>
      <c r="CK594" s="5" t="s">
        <v>238</v>
      </c>
      <c r="CM594" s="5" t="s">
        <v>291</v>
      </c>
      <c r="CN594" s="6" t="s">
        <v>262</v>
      </c>
      <c r="CO594" s="5" t="s">
        <v>263</v>
      </c>
      <c r="CP594" s="5" t="s">
        <v>264</v>
      </c>
      <c r="CQ594" s="5" t="s">
        <v>285</v>
      </c>
      <c r="CR594" s="5" t="s">
        <v>238</v>
      </c>
      <c r="CS594" s="5">
        <v>7.6999999999999999E-2</v>
      </c>
      <c r="CT594" s="5" t="s">
        <v>265</v>
      </c>
      <c r="CU594" s="5" t="s">
        <v>351</v>
      </c>
      <c r="CV594" s="5" t="s">
        <v>352</v>
      </c>
      <c r="CW594" s="7">
        <f>0</f>
        <v>0</v>
      </c>
      <c r="CX594" s="8">
        <f>21822382</f>
        <v>21822382</v>
      </c>
      <c r="CY594" s="8">
        <f>18461736</f>
        <v>18461736</v>
      </c>
      <c r="DA594" s="5" t="s">
        <v>238</v>
      </c>
      <c r="DB594" s="5" t="s">
        <v>238</v>
      </c>
      <c r="DD594" s="5" t="s">
        <v>238</v>
      </c>
      <c r="DE594" s="8">
        <f>0</f>
        <v>0</v>
      </c>
      <c r="DG594" s="5" t="s">
        <v>238</v>
      </c>
      <c r="DH594" s="5" t="s">
        <v>238</v>
      </c>
      <c r="DI594" s="5" t="s">
        <v>238</v>
      </c>
      <c r="DJ594" s="5" t="s">
        <v>238</v>
      </c>
      <c r="DK594" s="5" t="s">
        <v>272</v>
      </c>
      <c r="DL594" s="5" t="s">
        <v>272</v>
      </c>
      <c r="DM594" s="8" t="s">
        <v>238</v>
      </c>
      <c r="DN594" s="5" t="s">
        <v>238</v>
      </c>
      <c r="DO594" s="5" t="s">
        <v>238</v>
      </c>
      <c r="DP594" s="5" t="s">
        <v>238</v>
      </c>
      <c r="DQ594" s="5" t="s">
        <v>238</v>
      </c>
      <c r="DT594" s="5" t="s">
        <v>1642</v>
      </c>
      <c r="DU594" s="5" t="s">
        <v>313</v>
      </c>
      <c r="GL594" s="5" t="s">
        <v>3115</v>
      </c>
      <c r="HM594" s="5" t="s">
        <v>356</v>
      </c>
      <c r="HP594" s="5" t="s">
        <v>272</v>
      </c>
      <c r="HQ594" s="5" t="s">
        <v>272</v>
      </c>
      <c r="HR594" s="5" t="s">
        <v>238</v>
      </c>
      <c r="HS594" s="5" t="s">
        <v>238</v>
      </c>
      <c r="HT594" s="5" t="s">
        <v>238</v>
      </c>
      <c r="HU594" s="5" t="s">
        <v>238</v>
      </c>
      <c r="HV594" s="5" t="s">
        <v>238</v>
      </c>
      <c r="HW594" s="5" t="s">
        <v>238</v>
      </c>
      <c r="HX594" s="5" t="s">
        <v>238</v>
      </c>
      <c r="HY594" s="5" t="s">
        <v>238</v>
      </c>
      <c r="HZ594" s="5" t="s">
        <v>238</v>
      </c>
      <c r="IA594" s="5" t="s">
        <v>238</v>
      </c>
      <c r="IB594" s="5" t="s">
        <v>238</v>
      </c>
      <c r="IC594" s="5" t="s">
        <v>238</v>
      </c>
      <c r="ID594" s="5" t="s">
        <v>238</v>
      </c>
    </row>
    <row r="595" spans="1:238" x14ac:dyDescent="0.4">
      <c r="A595" s="5">
        <v>631</v>
      </c>
      <c r="B595" s="5">
        <v>1</v>
      </c>
      <c r="C595" s="5">
        <v>4</v>
      </c>
      <c r="D595" s="5" t="s">
        <v>1639</v>
      </c>
      <c r="E595" s="5" t="s">
        <v>347</v>
      </c>
      <c r="F595" s="5" t="s">
        <v>282</v>
      </c>
      <c r="G595" s="5" t="s">
        <v>349</v>
      </c>
      <c r="H595" s="6" t="s">
        <v>1641</v>
      </c>
      <c r="I595" s="5" t="s">
        <v>469</v>
      </c>
      <c r="J595" s="7">
        <f>0</f>
        <v>0</v>
      </c>
      <c r="K595" s="5" t="s">
        <v>270</v>
      </c>
      <c r="L595" s="8">
        <f>1488960</f>
        <v>1488960</v>
      </c>
      <c r="M595" s="8">
        <f>1760000</f>
        <v>1760000</v>
      </c>
      <c r="N595" s="6" t="s">
        <v>3113</v>
      </c>
      <c r="O595" s="5" t="s">
        <v>319</v>
      </c>
      <c r="P595" s="5" t="s">
        <v>272</v>
      </c>
      <c r="Q595" s="8">
        <f>1759999</f>
        <v>1759999</v>
      </c>
      <c r="R595" s="8">
        <f>271040</f>
        <v>271040</v>
      </c>
      <c r="S595" s="5" t="s">
        <v>240</v>
      </c>
      <c r="T595" s="5" t="s">
        <v>287</v>
      </c>
      <c r="U595" s="5" t="s">
        <v>238</v>
      </c>
      <c r="V595" s="5" t="s">
        <v>238</v>
      </c>
      <c r="W595" s="5" t="s">
        <v>241</v>
      </c>
      <c r="X595" s="5" t="s">
        <v>238</v>
      </c>
      <c r="Y595" s="5" t="s">
        <v>238</v>
      </c>
      <c r="AB595" s="5" t="s">
        <v>238</v>
      </c>
      <c r="AC595" s="6" t="s">
        <v>238</v>
      </c>
      <c r="AD595" s="6" t="s">
        <v>238</v>
      </c>
      <c r="AF595" s="6" t="s">
        <v>238</v>
      </c>
      <c r="AG595" s="6" t="s">
        <v>246</v>
      </c>
      <c r="AH595" s="5" t="s">
        <v>247</v>
      </c>
      <c r="AI595" s="5" t="s">
        <v>248</v>
      </c>
      <c r="AO595" s="5" t="s">
        <v>238</v>
      </c>
      <c r="AP595" s="5" t="s">
        <v>238</v>
      </c>
      <c r="AQ595" s="5" t="s">
        <v>238</v>
      </c>
      <c r="AR595" s="6" t="s">
        <v>238</v>
      </c>
      <c r="AS595" s="6" t="s">
        <v>238</v>
      </c>
      <c r="AT595" s="6" t="s">
        <v>238</v>
      </c>
      <c r="AW595" s="5" t="s">
        <v>304</v>
      </c>
      <c r="AX595" s="5" t="s">
        <v>304</v>
      </c>
      <c r="AY595" s="5" t="s">
        <v>250</v>
      </c>
      <c r="AZ595" s="5" t="s">
        <v>305</v>
      </c>
      <c r="BA595" s="5" t="s">
        <v>251</v>
      </c>
      <c r="BB595" s="5" t="s">
        <v>238</v>
      </c>
      <c r="BC595" s="5" t="s">
        <v>253</v>
      </c>
      <c r="BD595" s="5" t="s">
        <v>238</v>
      </c>
      <c r="BF595" s="5" t="s">
        <v>238</v>
      </c>
      <c r="BH595" s="5" t="s">
        <v>283</v>
      </c>
      <c r="BI595" s="6" t="s">
        <v>293</v>
      </c>
      <c r="BJ595" s="5" t="s">
        <v>294</v>
      </c>
      <c r="BK595" s="5" t="s">
        <v>294</v>
      </c>
      <c r="BL595" s="5" t="s">
        <v>238</v>
      </c>
      <c r="BM595" s="7">
        <f>0</f>
        <v>0</v>
      </c>
      <c r="BN595" s="8">
        <f>-135520</f>
        <v>-135520</v>
      </c>
      <c r="BO595" s="5" t="s">
        <v>257</v>
      </c>
      <c r="BP595" s="5" t="s">
        <v>258</v>
      </c>
      <c r="BQ595" s="5" t="s">
        <v>238</v>
      </c>
      <c r="BR595" s="5" t="s">
        <v>238</v>
      </c>
      <c r="BS595" s="5" t="s">
        <v>238</v>
      </c>
      <c r="BT595" s="5" t="s">
        <v>238</v>
      </c>
      <c r="CC595" s="5" t="s">
        <v>258</v>
      </c>
      <c r="CD595" s="5" t="s">
        <v>238</v>
      </c>
      <c r="CE595" s="5" t="s">
        <v>238</v>
      </c>
      <c r="CI595" s="5" t="s">
        <v>259</v>
      </c>
      <c r="CJ595" s="5" t="s">
        <v>260</v>
      </c>
      <c r="CK595" s="5" t="s">
        <v>238</v>
      </c>
      <c r="CM595" s="5" t="s">
        <v>408</v>
      </c>
      <c r="CN595" s="6" t="s">
        <v>262</v>
      </c>
      <c r="CO595" s="5" t="s">
        <v>263</v>
      </c>
      <c r="CP595" s="5" t="s">
        <v>264</v>
      </c>
      <c r="CQ595" s="5" t="s">
        <v>285</v>
      </c>
      <c r="CR595" s="5" t="s">
        <v>238</v>
      </c>
      <c r="CS595" s="5">
        <v>7.6999999999999999E-2</v>
      </c>
      <c r="CT595" s="5" t="s">
        <v>265</v>
      </c>
      <c r="CU595" s="5" t="s">
        <v>351</v>
      </c>
      <c r="CV595" s="5" t="s">
        <v>352</v>
      </c>
      <c r="CW595" s="7">
        <f>0</f>
        <v>0</v>
      </c>
      <c r="CX595" s="8">
        <f>1760000</f>
        <v>1760000</v>
      </c>
      <c r="CY595" s="8">
        <f>1624480</f>
        <v>1624480</v>
      </c>
      <c r="DA595" s="5" t="s">
        <v>238</v>
      </c>
      <c r="DB595" s="5" t="s">
        <v>238</v>
      </c>
      <c r="DD595" s="5" t="s">
        <v>238</v>
      </c>
      <c r="DE595" s="8">
        <f>0</f>
        <v>0</v>
      </c>
      <c r="DG595" s="5" t="s">
        <v>238</v>
      </c>
      <c r="DH595" s="5" t="s">
        <v>238</v>
      </c>
      <c r="DI595" s="5" t="s">
        <v>238</v>
      </c>
      <c r="DJ595" s="5" t="s">
        <v>238</v>
      </c>
      <c r="DK595" s="5" t="s">
        <v>272</v>
      </c>
      <c r="DL595" s="5" t="s">
        <v>272</v>
      </c>
      <c r="DM595" s="8" t="s">
        <v>238</v>
      </c>
      <c r="DN595" s="5" t="s">
        <v>238</v>
      </c>
      <c r="DO595" s="5" t="s">
        <v>238</v>
      </c>
      <c r="DP595" s="5" t="s">
        <v>238</v>
      </c>
      <c r="DQ595" s="5" t="s">
        <v>238</v>
      </c>
      <c r="DT595" s="5" t="s">
        <v>1642</v>
      </c>
      <c r="DU595" s="5" t="s">
        <v>389</v>
      </c>
      <c r="GL595" s="5" t="s">
        <v>3114</v>
      </c>
      <c r="HM595" s="5" t="s">
        <v>274</v>
      </c>
      <c r="HP595" s="5" t="s">
        <v>272</v>
      </c>
      <c r="HQ595" s="5" t="s">
        <v>272</v>
      </c>
      <c r="HR595" s="5" t="s">
        <v>238</v>
      </c>
      <c r="HS595" s="5" t="s">
        <v>238</v>
      </c>
      <c r="HT595" s="5" t="s">
        <v>238</v>
      </c>
      <c r="HU595" s="5" t="s">
        <v>238</v>
      </c>
      <c r="HV595" s="5" t="s">
        <v>238</v>
      </c>
      <c r="HW595" s="5" t="s">
        <v>238</v>
      </c>
      <c r="HX595" s="5" t="s">
        <v>238</v>
      </c>
      <c r="HY595" s="5" t="s">
        <v>238</v>
      </c>
      <c r="HZ595" s="5" t="s">
        <v>238</v>
      </c>
      <c r="IA595" s="5" t="s">
        <v>238</v>
      </c>
      <c r="IB595" s="5" t="s">
        <v>238</v>
      </c>
      <c r="IC595" s="5" t="s">
        <v>238</v>
      </c>
      <c r="ID595" s="5" t="s">
        <v>238</v>
      </c>
    </row>
    <row r="596" spans="1:238" x14ac:dyDescent="0.4">
      <c r="A596" s="5">
        <v>657</v>
      </c>
      <c r="B596" s="5">
        <v>1</v>
      </c>
      <c r="C596" s="5">
        <v>1</v>
      </c>
      <c r="D596" s="5" t="s">
        <v>2745</v>
      </c>
      <c r="E596" s="5" t="s">
        <v>277</v>
      </c>
      <c r="F596" s="5" t="s">
        <v>282</v>
      </c>
      <c r="G596" s="5" t="s">
        <v>2491</v>
      </c>
      <c r="H596" s="6" t="s">
        <v>2747</v>
      </c>
      <c r="I596" s="5" t="s">
        <v>2495</v>
      </c>
      <c r="J596" s="7">
        <f>193.08</f>
        <v>193.08</v>
      </c>
      <c r="K596" s="5" t="s">
        <v>270</v>
      </c>
      <c r="L596" s="8">
        <f>1</f>
        <v>1</v>
      </c>
      <c r="M596" s="8">
        <f>20273400</f>
        <v>20273400</v>
      </c>
      <c r="N596" s="6" t="s">
        <v>1582</v>
      </c>
      <c r="O596" s="5" t="s">
        <v>639</v>
      </c>
      <c r="P596" s="5" t="s">
        <v>1583</v>
      </c>
      <c r="R596" s="8">
        <f>20273399</f>
        <v>20273399</v>
      </c>
      <c r="S596" s="5" t="s">
        <v>240</v>
      </c>
      <c r="T596" s="5" t="s">
        <v>237</v>
      </c>
      <c r="U596" s="5" t="s">
        <v>238</v>
      </c>
      <c r="V596" s="5" t="s">
        <v>238</v>
      </c>
      <c r="W596" s="5" t="s">
        <v>241</v>
      </c>
      <c r="X596" s="5" t="s">
        <v>276</v>
      </c>
      <c r="Y596" s="5" t="s">
        <v>238</v>
      </c>
      <c r="AB596" s="5" t="s">
        <v>238</v>
      </c>
      <c r="AD596" s="6" t="s">
        <v>238</v>
      </c>
      <c r="AG596" s="6" t="s">
        <v>246</v>
      </c>
      <c r="AH596" s="5" t="s">
        <v>247</v>
      </c>
      <c r="AI596" s="5" t="s">
        <v>248</v>
      </c>
      <c r="AY596" s="5" t="s">
        <v>250</v>
      </c>
      <c r="AZ596" s="5" t="s">
        <v>238</v>
      </c>
      <c r="BA596" s="5" t="s">
        <v>251</v>
      </c>
      <c r="BB596" s="5" t="s">
        <v>238</v>
      </c>
      <c r="BC596" s="5" t="s">
        <v>253</v>
      </c>
      <c r="BD596" s="5" t="s">
        <v>238</v>
      </c>
      <c r="BF596" s="5" t="s">
        <v>238</v>
      </c>
      <c r="BH596" s="5" t="s">
        <v>859</v>
      </c>
      <c r="BI596" s="6" t="s">
        <v>368</v>
      </c>
      <c r="BJ596" s="5" t="s">
        <v>255</v>
      </c>
      <c r="BK596" s="5" t="s">
        <v>256</v>
      </c>
      <c r="BL596" s="5" t="s">
        <v>238</v>
      </c>
      <c r="BM596" s="7">
        <f>0</f>
        <v>0</v>
      </c>
      <c r="BN596" s="8">
        <f>0</f>
        <v>0</v>
      </c>
      <c r="BO596" s="5" t="s">
        <v>257</v>
      </c>
      <c r="BP596" s="5" t="s">
        <v>258</v>
      </c>
      <c r="CD596" s="5" t="s">
        <v>238</v>
      </c>
      <c r="CE596" s="5" t="s">
        <v>238</v>
      </c>
      <c r="CI596" s="5" t="s">
        <v>527</v>
      </c>
      <c r="CJ596" s="5" t="s">
        <v>260</v>
      </c>
      <c r="CK596" s="5" t="s">
        <v>238</v>
      </c>
      <c r="CM596" s="5" t="s">
        <v>868</v>
      </c>
      <c r="CN596" s="6" t="s">
        <v>262</v>
      </c>
      <c r="CO596" s="5" t="s">
        <v>263</v>
      </c>
      <c r="CP596" s="5" t="s">
        <v>264</v>
      </c>
      <c r="CQ596" s="5" t="s">
        <v>238</v>
      </c>
      <c r="CR596" s="5" t="s">
        <v>238</v>
      </c>
      <c r="CS596" s="5">
        <v>0</v>
      </c>
      <c r="CT596" s="5" t="s">
        <v>265</v>
      </c>
      <c r="CU596" s="5" t="s">
        <v>1360</v>
      </c>
      <c r="CV596" s="5" t="s">
        <v>2508</v>
      </c>
      <c r="CX596" s="8">
        <f>20273400</f>
        <v>20273400</v>
      </c>
      <c r="CY596" s="8">
        <f>0</f>
        <v>0</v>
      </c>
      <c r="DA596" s="5" t="s">
        <v>238</v>
      </c>
      <c r="DB596" s="5" t="s">
        <v>238</v>
      </c>
      <c r="DD596" s="5" t="s">
        <v>238</v>
      </c>
      <c r="DG596" s="5" t="s">
        <v>238</v>
      </c>
      <c r="DH596" s="5" t="s">
        <v>238</v>
      </c>
      <c r="DI596" s="5" t="s">
        <v>238</v>
      </c>
      <c r="DJ596" s="5" t="s">
        <v>238</v>
      </c>
      <c r="DK596" s="5" t="s">
        <v>271</v>
      </c>
      <c r="DL596" s="5" t="s">
        <v>272</v>
      </c>
      <c r="DM596" s="7">
        <f>193.08</f>
        <v>193.08</v>
      </c>
      <c r="DN596" s="5" t="s">
        <v>238</v>
      </c>
      <c r="DO596" s="5" t="s">
        <v>238</v>
      </c>
      <c r="DP596" s="5" t="s">
        <v>238</v>
      </c>
      <c r="DQ596" s="5" t="s">
        <v>238</v>
      </c>
      <c r="DT596" s="5" t="s">
        <v>2748</v>
      </c>
      <c r="DU596" s="5" t="s">
        <v>271</v>
      </c>
      <c r="HM596" s="5" t="s">
        <v>271</v>
      </c>
      <c r="HP596" s="5" t="s">
        <v>272</v>
      </c>
      <c r="HQ596" s="5" t="s">
        <v>272</v>
      </c>
    </row>
    <row r="597" spans="1:238" x14ac:dyDescent="0.4">
      <c r="A597" s="5">
        <v>658</v>
      </c>
      <c r="B597" s="5">
        <v>1</v>
      </c>
      <c r="C597" s="5">
        <v>1</v>
      </c>
      <c r="D597" s="5" t="s">
        <v>2745</v>
      </c>
      <c r="E597" s="5" t="s">
        <v>277</v>
      </c>
      <c r="F597" s="5" t="s">
        <v>282</v>
      </c>
      <c r="G597" s="5" t="s">
        <v>2491</v>
      </c>
      <c r="H597" s="6" t="s">
        <v>2747</v>
      </c>
      <c r="I597" s="5" t="s">
        <v>2505</v>
      </c>
      <c r="J597" s="7">
        <f>193.08</f>
        <v>193.08</v>
      </c>
      <c r="K597" s="5" t="s">
        <v>270</v>
      </c>
      <c r="L597" s="8">
        <f>1</f>
        <v>1</v>
      </c>
      <c r="M597" s="8">
        <f>20273400</f>
        <v>20273400</v>
      </c>
      <c r="N597" s="6" t="s">
        <v>1582</v>
      </c>
      <c r="O597" s="5" t="s">
        <v>639</v>
      </c>
      <c r="P597" s="5" t="s">
        <v>1583</v>
      </c>
      <c r="R597" s="8">
        <f>20273399</f>
        <v>20273399</v>
      </c>
      <c r="S597" s="5" t="s">
        <v>240</v>
      </c>
      <c r="T597" s="5" t="s">
        <v>237</v>
      </c>
      <c r="U597" s="5" t="s">
        <v>238</v>
      </c>
      <c r="V597" s="5" t="s">
        <v>238</v>
      </c>
      <c r="W597" s="5" t="s">
        <v>241</v>
      </c>
      <c r="X597" s="5" t="s">
        <v>276</v>
      </c>
      <c r="Y597" s="5" t="s">
        <v>238</v>
      </c>
      <c r="AB597" s="5" t="s">
        <v>238</v>
      </c>
      <c r="AD597" s="6" t="s">
        <v>238</v>
      </c>
      <c r="AG597" s="6" t="s">
        <v>246</v>
      </c>
      <c r="AH597" s="5" t="s">
        <v>247</v>
      </c>
      <c r="AI597" s="5" t="s">
        <v>248</v>
      </c>
      <c r="AY597" s="5" t="s">
        <v>250</v>
      </c>
      <c r="AZ597" s="5" t="s">
        <v>238</v>
      </c>
      <c r="BA597" s="5" t="s">
        <v>251</v>
      </c>
      <c r="BB597" s="5" t="s">
        <v>238</v>
      </c>
      <c r="BC597" s="5" t="s">
        <v>253</v>
      </c>
      <c r="BD597" s="5" t="s">
        <v>238</v>
      </c>
      <c r="BF597" s="5" t="s">
        <v>238</v>
      </c>
      <c r="BH597" s="5" t="s">
        <v>697</v>
      </c>
      <c r="BI597" s="6" t="s">
        <v>698</v>
      </c>
      <c r="BJ597" s="5" t="s">
        <v>255</v>
      </c>
      <c r="BK597" s="5" t="s">
        <v>256</v>
      </c>
      <c r="BL597" s="5" t="s">
        <v>238</v>
      </c>
      <c r="BM597" s="7">
        <f>0</f>
        <v>0</v>
      </c>
      <c r="BN597" s="8">
        <f>0</f>
        <v>0</v>
      </c>
      <c r="BO597" s="5" t="s">
        <v>257</v>
      </c>
      <c r="BP597" s="5" t="s">
        <v>258</v>
      </c>
      <c r="CD597" s="5" t="s">
        <v>238</v>
      </c>
      <c r="CE597" s="5" t="s">
        <v>238</v>
      </c>
      <c r="CI597" s="5" t="s">
        <v>527</v>
      </c>
      <c r="CJ597" s="5" t="s">
        <v>260</v>
      </c>
      <c r="CK597" s="5" t="s">
        <v>238</v>
      </c>
      <c r="CM597" s="5" t="s">
        <v>868</v>
      </c>
      <c r="CN597" s="6" t="s">
        <v>262</v>
      </c>
      <c r="CO597" s="5" t="s">
        <v>263</v>
      </c>
      <c r="CP597" s="5" t="s">
        <v>264</v>
      </c>
      <c r="CQ597" s="5" t="s">
        <v>238</v>
      </c>
      <c r="CR597" s="5" t="s">
        <v>238</v>
      </c>
      <c r="CS597" s="5">
        <v>0</v>
      </c>
      <c r="CT597" s="5" t="s">
        <v>265</v>
      </c>
      <c r="CU597" s="5" t="s">
        <v>1360</v>
      </c>
      <c r="CV597" s="5" t="s">
        <v>2508</v>
      </c>
      <c r="CX597" s="8">
        <f>20273400</f>
        <v>20273400</v>
      </c>
      <c r="CY597" s="8">
        <f>0</f>
        <v>0</v>
      </c>
      <c r="DA597" s="5" t="s">
        <v>238</v>
      </c>
      <c r="DB597" s="5" t="s">
        <v>238</v>
      </c>
      <c r="DD597" s="5" t="s">
        <v>238</v>
      </c>
      <c r="DG597" s="5" t="s">
        <v>238</v>
      </c>
      <c r="DH597" s="5" t="s">
        <v>238</v>
      </c>
      <c r="DI597" s="5" t="s">
        <v>238</v>
      </c>
      <c r="DJ597" s="5" t="s">
        <v>238</v>
      </c>
      <c r="DK597" s="5" t="s">
        <v>271</v>
      </c>
      <c r="DL597" s="5" t="s">
        <v>272</v>
      </c>
      <c r="DM597" s="7">
        <f>193.08</f>
        <v>193.08</v>
      </c>
      <c r="DN597" s="5" t="s">
        <v>238</v>
      </c>
      <c r="DO597" s="5" t="s">
        <v>238</v>
      </c>
      <c r="DP597" s="5" t="s">
        <v>238</v>
      </c>
      <c r="DQ597" s="5" t="s">
        <v>238</v>
      </c>
      <c r="DT597" s="5" t="s">
        <v>2748</v>
      </c>
      <c r="DU597" s="5" t="s">
        <v>274</v>
      </c>
      <c r="HM597" s="5" t="s">
        <v>271</v>
      </c>
      <c r="HP597" s="5" t="s">
        <v>272</v>
      </c>
      <c r="HQ597" s="5" t="s">
        <v>272</v>
      </c>
    </row>
    <row r="598" spans="1:238" x14ac:dyDescent="0.4">
      <c r="A598" s="5">
        <v>660</v>
      </c>
      <c r="B598" s="5">
        <v>1</v>
      </c>
      <c r="C598" s="5">
        <v>1</v>
      </c>
      <c r="D598" s="5" t="s">
        <v>2745</v>
      </c>
      <c r="E598" s="5" t="s">
        <v>277</v>
      </c>
      <c r="F598" s="5" t="s">
        <v>282</v>
      </c>
      <c r="G598" s="5" t="s">
        <v>2746</v>
      </c>
      <c r="H598" s="6" t="s">
        <v>2747</v>
      </c>
      <c r="I598" s="5" t="s">
        <v>2744</v>
      </c>
      <c r="J598" s="7">
        <f>128.4</f>
        <v>128.4</v>
      </c>
      <c r="K598" s="5" t="s">
        <v>270</v>
      </c>
      <c r="L598" s="8">
        <f>1</f>
        <v>1</v>
      </c>
      <c r="M598" s="8">
        <f>20273400</f>
        <v>20273400</v>
      </c>
      <c r="N598" s="6" t="s">
        <v>1582</v>
      </c>
      <c r="O598" s="5" t="s">
        <v>639</v>
      </c>
      <c r="P598" s="5" t="s">
        <v>872</v>
      </c>
      <c r="R598" s="8">
        <f>20273399</f>
        <v>20273399</v>
      </c>
      <c r="S598" s="5" t="s">
        <v>240</v>
      </c>
      <c r="T598" s="5" t="s">
        <v>287</v>
      </c>
      <c r="U598" s="5" t="s">
        <v>238</v>
      </c>
      <c r="V598" s="5" t="s">
        <v>238</v>
      </c>
      <c r="W598" s="5" t="s">
        <v>241</v>
      </c>
      <c r="X598" s="5" t="s">
        <v>238</v>
      </c>
      <c r="Y598" s="5" t="s">
        <v>238</v>
      </c>
      <c r="AB598" s="5" t="s">
        <v>238</v>
      </c>
      <c r="AD598" s="6" t="s">
        <v>238</v>
      </c>
      <c r="AG598" s="6" t="s">
        <v>246</v>
      </c>
      <c r="AH598" s="5" t="s">
        <v>247</v>
      </c>
      <c r="AI598" s="5" t="s">
        <v>248</v>
      </c>
      <c r="AY598" s="5" t="s">
        <v>250</v>
      </c>
      <c r="AZ598" s="5" t="s">
        <v>238</v>
      </c>
      <c r="BA598" s="5" t="s">
        <v>251</v>
      </c>
      <c r="BB598" s="5" t="s">
        <v>238</v>
      </c>
      <c r="BC598" s="5" t="s">
        <v>253</v>
      </c>
      <c r="BD598" s="5" t="s">
        <v>238</v>
      </c>
      <c r="BF598" s="5" t="s">
        <v>238</v>
      </c>
      <c r="BH598" s="5" t="s">
        <v>254</v>
      </c>
      <c r="BI598" s="6" t="s">
        <v>246</v>
      </c>
      <c r="BJ598" s="5" t="s">
        <v>255</v>
      </c>
      <c r="BK598" s="5" t="s">
        <v>1300</v>
      </c>
      <c r="BL598" s="5" t="s">
        <v>238</v>
      </c>
      <c r="BM598" s="7">
        <f>0</f>
        <v>0</v>
      </c>
      <c r="BN598" s="8">
        <f>0</f>
        <v>0</v>
      </c>
      <c r="BO598" s="5" t="s">
        <v>257</v>
      </c>
      <c r="BP598" s="5" t="s">
        <v>258</v>
      </c>
      <c r="CD598" s="5" t="s">
        <v>238</v>
      </c>
      <c r="CE598" s="5" t="s">
        <v>238</v>
      </c>
      <c r="CI598" s="5" t="s">
        <v>527</v>
      </c>
      <c r="CJ598" s="5" t="s">
        <v>260</v>
      </c>
      <c r="CK598" s="5" t="s">
        <v>238</v>
      </c>
      <c r="CM598" s="5" t="s">
        <v>868</v>
      </c>
      <c r="CN598" s="6" t="s">
        <v>262</v>
      </c>
      <c r="CO598" s="5" t="s">
        <v>263</v>
      </c>
      <c r="CP598" s="5" t="s">
        <v>264</v>
      </c>
      <c r="CQ598" s="5" t="s">
        <v>238</v>
      </c>
      <c r="CR598" s="5" t="s">
        <v>238</v>
      </c>
      <c r="CS598" s="5">
        <v>0</v>
      </c>
      <c r="CT598" s="5" t="s">
        <v>265</v>
      </c>
      <c r="CU598" s="5" t="s">
        <v>1360</v>
      </c>
      <c r="CV598" s="5" t="s">
        <v>754</v>
      </c>
      <c r="CX598" s="8">
        <f>20273400</f>
        <v>20273400</v>
      </c>
      <c r="CY598" s="8">
        <f>0</f>
        <v>0</v>
      </c>
      <c r="DA598" s="5" t="s">
        <v>238</v>
      </c>
      <c r="DB598" s="5" t="s">
        <v>238</v>
      </c>
      <c r="DD598" s="5" t="s">
        <v>238</v>
      </c>
      <c r="DG598" s="5" t="s">
        <v>238</v>
      </c>
      <c r="DH598" s="5" t="s">
        <v>238</v>
      </c>
      <c r="DI598" s="5" t="s">
        <v>238</v>
      </c>
      <c r="DJ598" s="5" t="s">
        <v>238</v>
      </c>
      <c r="DK598" s="5" t="s">
        <v>272</v>
      </c>
      <c r="DL598" s="5" t="s">
        <v>272</v>
      </c>
      <c r="DM598" s="7">
        <f>128.4</f>
        <v>128.4</v>
      </c>
      <c r="DN598" s="5" t="s">
        <v>238</v>
      </c>
      <c r="DO598" s="5" t="s">
        <v>238</v>
      </c>
      <c r="DP598" s="5" t="s">
        <v>238</v>
      </c>
      <c r="DQ598" s="5" t="s">
        <v>238</v>
      </c>
      <c r="DT598" s="5" t="s">
        <v>2748</v>
      </c>
      <c r="DU598" s="5" t="s">
        <v>310</v>
      </c>
      <c r="HM598" s="5" t="s">
        <v>271</v>
      </c>
      <c r="HP598" s="5" t="s">
        <v>272</v>
      </c>
      <c r="HQ598" s="5" t="s">
        <v>272</v>
      </c>
    </row>
    <row r="599" spans="1:238" x14ac:dyDescent="0.4">
      <c r="A599" s="5">
        <v>661</v>
      </c>
      <c r="B599" s="5">
        <v>1</v>
      </c>
      <c r="C599" s="5">
        <v>1</v>
      </c>
      <c r="D599" s="5" t="s">
        <v>2780</v>
      </c>
      <c r="E599" s="5" t="s">
        <v>277</v>
      </c>
      <c r="F599" s="5" t="s">
        <v>282</v>
      </c>
      <c r="G599" s="5" t="s">
        <v>2491</v>
      </c>
      <c r="H599" s="6" t="s">
        <v>2781</v>
      </c>
      <c r="I599" s="5" t="s">
        <v>2482</v>
      </c>
      <c r="J599" s="7">
        <f>34.78</f>
        <v>34.78</v>
      </c>
      <c r="K599" s="5" t="s">
        <v>270</v>
      </c>
      <c r="L599" s="8">
        <f>1</f>
        <v>1</v>
      </c>
      <c r="M599" s="8">
        <f>3478000</f>
        <v>3478000</v>
      </c>
      <c r="N599" s="6" t="s">
        <v>1791</v>
      </c>
      <c r="O599" s="5" t="s">
        <v>286</v>
      </c>
      <c r="P599" s="5" t="s">
        <v>1793</v>
      </c>
      <c r="R599" s="8">
        <f>3477999</f>
        <v>3477999</v>
      </c>
      <c r="S599" s="5" t="s">
        <v>240</v>
      </c>
      <c r="T599" s="5" t="s">
        <v>237</v>
      </c>
      <c r="U599" s="5" t="s">
        <v>238</v>
      </c>
      <c r="V599" s="5" t="s">
        <v>238</v>
      </c>
      <c r="W599" s="5" t="s">
        <v>241</v>
      </c>
      <c r="X599" s="5" t="s">
        <v>276</v>
      </c>
      <c r="Y599" s="5" t="s">
        <v>238</v>
      </c>
      <c r="AB599" s="5" t="s">
        <v>238</v>
      </c>
      <c r="AD599" s="6" t="s">
        <v>238</v>
      </c>
      <c r="AG599" s="6" t="s">
        <v>246</v>
      </c>
      <c r="AH599" s="5" t="s">
        <v>247</v>
      </c>
      <c r="AI599" s="5" t="s">
        <v>248</v>
      </c>
      <c r="AY599" s="5" t="s">
        <v>250</v>
      </c>
      <c r="AZ599" s="5" t="s">
        <v>238</v>
      </c>
      <c r="BA599" s="5" t="s">
        <v>251</v>
      </c>
      <c r="BB599" s="5" t="s">
        <v>238</v>
      </c>
      <c r="BC599" s="5" t="s">
        <v>253</v>
      </c>
      <c r="BD599" s="5" t="s">
        <v>238</v>
      </c>
      <c r="BF599" s="5" t="s">
        <v>238</v>
      </c>
      <c r="BH599" s="5" t="s">
        <v>859</v>
      </c>
      <c r="BI599" s="6" t="s">
        <v>368</v>
      </c>
      <c r="BJ599" s="5" t="s">
        <v>255</v>
      </c>
      <c r="BK599" s="5" t="s">
        <v>256</v>
      </c>
      <c r="BL599" s="5" t="s">
        <v>238</v>
      </c>
      <c r="BM599" s="7">
        <f>0</f>
        <v>0</v>
      </c>
      <c r="BN599" s="8">
        <f>0</f>
        <v>0</v>
      </c>
      <c r="BO599" s="5" t="s">
        <v>257</v>
      </c>
      <c r="BP599" s="5" t="s">
        <v>258</v>
      </c>
      <c r="CD599" s="5" t="s">
        <v>238</v>
      </c>
      <c r="CE599" s="5" t="s">
        <v>238</v>
      </c>
      <c r="CI599" s="5" t="s">
        <v>527</v>
      </c>
      <c r="CJ599" s="5" t="s">
        <v>260</v>
      </c>
      <c r="CK599" s="5" t="s">
        <v>238</v>
      </c>
      <c r="CM599" s="5" t="s">
        <v>1792</v>
      </c>
      <c r="CN599" s="6" t="s">
        <v>262</v>
      </c>
      <c r="CO599" s="5" t="s">
        <v>263</v>
      </c>
      <c r="CP599" s="5" t="s">
        <v>264</v>
      </c>
      <c r="CQ599" s="5" t="s">
        <v>238</v>
      </c>
      <c r="CR599" s="5" t="s">
        <v>238</v>
      </c>
      <c r="CS599" s="5">
        <v>0</v>
      </c>
      <c r="CT599" s="5" t="s">
        <v>265</v>
      </c>
      <c r="CU599" s="5" t="s">
        <v>1360</v>
      </c>
      <c r="CV599" s="5" t="s">
        <v>267</v>
      </c>
      <c r="CX599" s="8">
        <f>3478000</f>
        <v>3478000</v>
      </c>
      <c r="CY599" s="8">
        <f>0</f>
        <v>0</v>
      </c>
      <c r="DA599" s="5" t="s">
        <v>238</v>
      </c>
      <c r="DB599" s="5" t="s">
        <v>238</v>
      </c>
      <c r="DD599" s="5" t="s">
        <v>238</v>
      </c>
      <c r="DG599" s="5" t="s">
        <v>238</v>
      </c>
      <c r="DH599" s="5" t="s">
        <v>238</v>
      </c>
      <c r="DI599" s="5" t="s">
        <v>238</v>
      </c>
      <c r="DJ599" s="5" t="s">
        <v>238</v>
      </c>
      <c r="DK599" s="5" t="s">
        <v>271</v>
      </c>
      <c r="DL599" s="5" t="s">
        <v>272</v>
      </c>
      <c r="DM599" s="7">
        <f>34.78</f>
        <v>34.78</v>
      </c>
      <c r="DN599" s="5" t="s">
        <v>238</v>
      </c>
      <c r="DO599" s="5" t="s">
        <v>238</v>
      </c>
      <c r="DP599" s="5" t="s">
        <v>238</v>
      </c>
      <c r="DQ599" s="5" t="s">
        <v>238</v>
      </c>
      <c r="DT599" s="5" t="s">
        <v>2782</v>
      </c>
      <c r="DU599" s="5" t="s">
        <v>271</v>
      </c>
      <c r="HM599" s="5" t="s">
        <v>271</v>
      </c>
      <c r="HP599" s="5" t="s">
        <v>272</v>
      </c>
      <c r="HQ599" s="5" t="s">
        <v>272</v>
      </c>
    </row>
    <row r="600" spans="1:238" x14ac:dyDescent="0.4">
      <c r="A600" s="5">
        <v>662</v>
      </c>
      <c r="B600" s="5">
        <v>1</v>
      </c>
      <c r="C600" s="5">
        <v>1</v>
      </c>
      <c r="D600" s="5" t="s">
        <v>2780</v>
      </c>
      <c r="E600" s="5" t="s">
        <v>277</v>
      </c>
      <c r="F600" s="5" t="s">
        <v>282</v>
      </c>
      <c r="G600" s="5" t="s">
        <v>2491</v>
      </c>
      <c r="H600" s="6" t="s">
        <v>2781</v>
      </c>
      <c r="I600" s="5" t="s">
        <v>2482</v>
      </c>
      <c r="J600" s="7">
        <f>34.78</f>
        <v>34.78</v>
      </c>
      <c r="K600" s="5" t="s">
        <v>270</v>
      </c>
      <c r="L600" s="8">
        <f>1</f>
        <v>1</v>
      </c>
      <c r="M600" s="8">
        <f>3478000</f>
        <v>3478000</v>
      </c>
      <c r="N600" s="6" t="s">
        <v>1791</v>
      </c>
      <c r="O600" s="5" t="s">
        <v>286</v>
      </c>
      <c r="P600" s="5" t="s">
        <v>1793</v>
      </c>
      <c r="R600" s="8">
        <f>3477999</f>
        <v>3477999</v>
      </c>
      <c r="S600" s="5" t="s">
        <v>240</v>
      </c>
      <c r="T600" s="5" t="s">
        <v>237</v>
      </c>
      <c r="U600" s="5" t="s">
        <v>238</v>
      </c>
      <c r="V600" s="5" t="s">
        <v>238</v>
      </c>
      <c r="W600" s="5" t="s">
        <v>241</v>
      </c>
      <c r="X600" s="5" t="s">
        <v>276</v>
      </c>
      <c r="Y600" s="5" t="s">
        <v>238</v>
      </c>
      <c r="AB600" s="5" t="s">
        <v>238</v>
      </c>
      <c r="AD600" s="6" t="s">
        <v>238</v>
      </c>
      <c r="AG600" s="6" t="s">
        <v>246</v>
      </c>
      <c r="AH600" s="5" t="s">
        <v>247</v>
      </c>
      <c r="AI600" s="5" t="s">
        <v>248</v>
      </c>
      <c r="AY600" s="5" t="s">
        <v>250</v>
      </c>
      <c r="AZ600" s="5" t="s">
        <v>238</v>
      </c>
      <c r="BA600" s="5" t="s">
        <v>251</v>
      </c>
      <c r="BB600" s="5" t="s">
        <v>238</v>
      </c>
      <c r="BC600" s="5" t="s">
        <v>253</v>
      </c>
      <c r="BD600" s="5" t="s">
        <v>238</v>
      </c>
      <c r="BF600" s="5" t="s">
        <v>238</v>
      </c>
      <c r="BH600" s="5" t="s">
        <v>697</v>
      </c>
      <c r="BI600" s="6" t="s">
        <v>698</v>
      </c>
      <c r="BJ600" s="5" t="s">
        <v>255</v>
      </c>
      <c r="BK600" s="5" t="s">
        <v>256</v>
      </c>
      <c r="BL600" s="5" t="s">
        <v>238</v>
      </c>
      <c r="BM600" s="7">
        <f>0</f>
        <v>0</v>
      </c>
      <c r="BN600" s="8">
        <f>0</f>
        <v>0</v>
      </c>
      <c r="BO600" s="5" t="s">
        <v>257</v>
      </c>
      <c r="BP600" s="5" t="s">
        <v>258</v>
      </c>
      <c r="CD600" s="5" t="s">
        <v>238</v>
      </c>
      <c r="CE600" s="5" t="s">
        <v>238</v>
      </c>
      <c r="CI600" s="5" t="s">
        <v>527</v>
      </c>
      <c r="CJ600" s="5" t="s">
        <v>260</v>
      </c>
      <c r="CK600" s="5" t="s">
        <v>238</v>
      </c>
      <c r="CM600" s="5" t="s">
        <v>1792</v>
      </c>
      <c r="CN600" s="6" t="s">
        <v>262</v>
      </c>
      <c r="CO600" s="5" t="s">
        <v>263</v>
      </c>
      <c r="CP600" s="5" t="s">
        <v>264</v>
      </c>
      <c r="CQ600" s="5" t="s">
        <v>238</v>
      </c>
      <c r="CR600" s="5" t="s">
        <v>238</v>
      </c>
      <c r="CS600" s="5">
        <v>0</v>
      </c>
      <c r="CT600" s="5" t="s">
        <v>265</v>
      </c>
      <c r="CU600" s="5" t="s">
        <v>1360</v>
      </c>
      <c r="CV600" s="5" t="s">
        <v>267</v>
      </c>
      <c r="CX600" s="8">
        <f>3478000</f>
        <v>3478000</v>
      </c>
      <c r="CY600" s="8">
        <f>0</f>
        <v>0</v>
      </c>
      <c r="DA600" s="5" t="s">
        <v>238</v>
      </c>
      <c r="DB600" s="5" t="s">
        <v>238</v>
      </c>
      <c r="DD600" s="5" t="s">
        <v>238</v>
      </c>
      <c r="DG600" s="5" t="s">
        <v>238</v>
      </c>
      <c r="DH600" s="5" t="s">
        <v>238</v>
      </c>
      <c r="DI600" s="5" t="s">
        <v>238</v>
      </c>
      <c r="DJ600" s="5" t="s">
        <v>238</v>
      </c>
      <c r="DK600" s="5" t="s">
        <v>271</v>
      </c>
      <c r="DL600" s="5" t="s">
        <v>272</v>
      </c>
      <c r="DM600" s="7">
        <f>34.78</f>
        <v>34.78</v>
      </c>
      <c r="DN600" s="5" t="s">
        <v>238</v>
      </c>
      <c r="DO600" s="5" t="s">
        <v>238</v>
      </c>
      <c r="DP600" s="5" t="s">
        <v>238</v>
      </c>
      <c r="DQ600" s="5" t="s">
        <v>238</v>
      </c>
      <c r="DT600" s="5" t="s">
        <v>2782</v>
      </c>
      <c r="DU600" s="5" t="s">
        <v>274</v>
      </c>
      <c r="HM600" s="5" t="s">
        <v>271</v>
      </c>
      <c r="HP600" s="5" t="s">
        <v>272</v>
      </c>
      <c r="HQ600" s="5" t="s">
        <v>272</v>
      </c>
    </row>
    <row r="601" spans="1:238" x14ac:dyDescent="0.4">
      <c r="A601" s="5">
        <v>663</v>
      </c>
      <c r="B601" s="5">
        <v>1</v>
      </c>
      <c r="C601" s="5">
        <v>1</v>
      </c>
      <c r="D601" s="5" t="s">
        <v>2780</v>
      </c>
      <c r="E601" s="5" t="s">
        <v>277</v>
      </c>
      <c r="F601" s="5" t="s">
        <v>282</v>
      </c>
      <c r="G601" s="5" t="s">
        <v>2491</v>
      </c>
      <c r="H601" s="6" t="s">
        <v>2781</v>
      </c>
      <c r="I601" s="5" t="s">
        <v>2482</v>
      </c>
      <c r="J601" s="7">
        <f>64.8</f>
        <v>64.8</v>
      </c>
      <c r="K601" s="5" t="s">
        <v>270</v>
      </c>
      <c r="L601" s="8">
        <f>1</f>
        <v>1</v>
      </c>
      <c r="M601" s="8">
        <f>6480000</f>
        <v>6480000</v>
      </c>
      <c r="N601" s="6" t="s">
        <v>1791</v>
      </c>
      <c r="O601" s="5" t="s">
        <v>286</v>
      </c>
      <c r="P601" s="5" t="s">
        <v>1793</v>
      </c>
      <c r="R601" s="8">
        <f>6479999</f>
        <v>6479999</v>
      </c>
      <c r="S601" s="5" t="s">
        <v>240</v>
      </c>
      <c r="T601" s="5" t="s">
        <v>237</v>
      </c>
      <c r="U601" s="5" t="s">
        <v>238</v>
      </c>
      <c r="V601" s="5" t="s">
        <v>238</v>
      </c>
      <c r="W601" s="5" t="s">
        <v>241</v>
      </c>
      <c r="X601" s="5" t="s">
        <v>276</v>
      </c>
      <c r="Y601" s="5" t="s">
        <v>238</v>
      </c>
      <c r="AB601" s="5" t="s">
        <v>238</v>
      </c>
      <c r="AD601" s="6" t="s">
        <v>238</v>
      </c>
      <c r="AG601" s="6" t="s">
        <v>246</v>
      </c>
      <c r="AH601" s="5" t="s">
        <v>247</v>
      </c>
      <c r="AI601" s="5" t="s">
        <v>248</v>
      </c>
      <c r="AY601" s="5" t="s">
        <v>250</v>
      </c>
      <c r="AZ601" s="5" t="s">
        <v>238</v>
      </c>
      <c r="BA601" s="5" t="s">
        <v>251</v>
      </c>
      <c r="BB601" s="5" t="s">
        <v>238</v>
      </c>
      <c r="BC601" s="5" t="s">
        <v>253</v>
      </c>
      <c r="BD601" s="5" t="s">
        <v>238</v>
      </c>
      <c r="BF601" s="5" t="s">
        <v>238</v>
      </c>
      <c r="BH601" s="5" t="s">
        <v>798</v>
      </c>
      <c r="BI601" s="6" t="s">
        <v>799</v>
      </c>
      <c r="BJ601" s="5" t="s">
        <v>255</v>
      </c>
      <c r="BK601" s="5" t="s">
        <v>256</v>
      </c>
      <c r="BL601" s="5" t="s">
        <v>238</v>
      </c>
      <c r="BM601" s="7">
        <f>0</f>
        <v>0</v>
      </c>
      <c r="BN601" s="8">
        <f>0</f>
        <v>0</v>
      </c>
      <c r="BO601" s="5" t="s">
        <v>257</v>
      </c>
      <c r="BP601" s="5" t="s">
        <v>258</v>
      </c>
      <c r="CD601" s="5" t="s">
        <v>238</v>
      </c>
      <c r="CE601" s="5" t="s">
        <v>238</v>
      </c>
      <c r="CI601" s="5" t="s">
        <v>527</v>
      </c>
      <c r="CJ601" s="5" t="s">
        <v>260</v>
      </c>
      <c r="CK601" s="5" t="s">
        <v>238</v>
      </c>
      <c r="CM601" s="5" t="s">
        <v>1792</v>
      </c>
      <c r="CN601" s="6" t="s">
        <v>262</v>
      </c>
      <c r="CO601" s="5" t="s">
        <v>263</v>
      </c>
      <c r="CP601" s="5" t="s">
        <v>264</v>
      </c>
      <c r="CQ601" s="5" t="s">
        <v>238</v>
      </c>
      <c r="CR601" s="5" t="s">
        <v>238</v>
      </c>
      <c r="CS601" s="5">
        <v>0</v>
      </c>
      <c r="CT601" s="5" t="s">
        <v>265</v>
      </c>
      <c r="CU601" s="5" t="s">
        <v>1360</v>
      </c>
      <c r="CV601" s="5" t="s">
        <v>267</v>
      </c>
      <c r="CX601" s="8">
        <f>6480000</f>
        <v>6480000</v>
      </c>
      <c r="CY601" s="8">
        <f>0</f>
        <v>0</v>
      </c>
      <c r="DA601" s="5" t="s">
        <v>238</v>
      </c>
      <c r="DB601" s="5" t="s">
        <v>238</v>
      </c>
      <c r="DD601" s="5" t="s">
        <v>238</v>
      </c>
      <c r="DG601" s="5" t="s">
        <v>238</v>
      </c>
      <c r="DH601" s="5" t="s">
        <v>238</v>
      </c>
      <c r="DI601" s="5" t="s">
        <v>238</v>
      </c>
      <c r="DJ601" s="5" t="s">
        <v>238</v>
      </c>
      <c r="DK601" s="5" t="s">
        <v>271</v>
      </c>
      <c r="DL601" s="5" t="s">
        <v>272</v>
      </c>
      <c r="DM601" s="7">
        <f>64.8</f>
        <v>64.8</v>
      </c>
      <c r="DN601" s="5" t="s">
        <v>238</v>
      </c>
      <c r="DO601" s="5" t="s">
        <v>238</v>
      </c>
      <c r="DP601" s="5" t="s">
        <v>238</v>
      </c>
      <c r="DQ601" s="5" t="s">
        <v>238</v>
      </c>
      <c r="DT601" s="5" t="s">
        <v>2782</v>
      </c>
      <c r="DU601" s="5" t="s">
        <v>356</v>
      </c>
      <c r="HM601" s="5" t="s">
        <v>271</v>
      </c>
      <c r="HP601" s="5" t="s">
        <v>272</v>
      </c>
      <c r="HQ601" s="5" t="s">
        <v>272</v>
      </c>
    </row>
    <row r="602" spans="1:238" x14ac:dyDescent="0.4">
      <c r="A602" s="5">
        <v>664</v>
      </c>
      <c r="B602" s="5">
        <v>1</v>
      </c>
      <c r="C602" s="5">
        <v>1</v>
      </c>
      <c r="D602" s="5" t="s">
        <v>2780</v>
      </c>
      <c r="E602" s="5" t="s">
        <v>277</v>
      </c>
      <c r="F602" s="5" t="s">
        <v>282</v>
      </c>
      <c r="G602" s="5" t="s">
        <v>2491</v>
      </c>
      <c r="H602" s="6" t="s">
        <v>2781</v>
      </c>
      <c r="I602" s="5" t="s">
        <v>2482</v>
      </c>
      <c r="J602" s="7">
        <f>64.8</f>
        <v>64.8</v>
      </c>
      <c r="K602" s="5" t="s">
        <v>270</v>
      </c>
      <c r="L602" s="8">
        <f>1</f>
        <v>1</v>
      </c>
      <c r="M602" s="8">
        <f>6480000</f>
        <v>6480000</v>
      </c>
      <c r="N602" s="6" t="s">
        <v>1791</v>
      </c>
      <c r="O602" s="5" t="s">
        <v>286</v>
      </c>
      <c r="P602" s="5" t="s">
        <v>1793</v>
      </c>
      <c r="R602" s="8">
        <f>6479999</f>
        <v>6479999</v>
      </c>
      <c r="S602" s="5" t="s">
        <v>240</v>
      </c>
      <c r="T602" s="5" t="s">
        <v>237</v>
      </c>
      <c r="U602" s="5" t="s">
        <v>238</v>
      </c>
      <c r="V602" s="5" t="s">
        <v>238</v>
      </c>
      <c r="W602" s="5" t="s">
        <v>241</v>
      </c>
      <c r="X602" s="5" t="s">
        <v>276</v>
      </c>
      <c r="Y602" s="5" t="s">
        <v>238</v>
      </c>
      <c r="AB602" s="5" t="s">
        <v>238</v>
      </c>
      <c r="AD602" s="6" t="s">
        <v>238</v>
      </c>
      <c r="AG602" s="6" t="s">
        <v>246</v>
      </c>
      <c r="AH602" s="5" t="s">
        <v>247</v>
      </c>
      <c r="AI602" s="5" t="s">
        <v>248</v>
      </c>
      <c r="AY602" s="5" t="s">
        <v>250</v>
      </c>
      <c r="AZ602" s="5" t="s">
        <v>238</v>
      </c>
      <c r="BA602" s="5" t="s">
        <v>251</v>
      </c>
      <c r="BB602" s="5" t="s">
        <v>238</v>
      </c>
      <c r="BC602" s="5" t="s">
        <v>253</v>
      </c>
      <c r="BD602" s="5" t="s">
        <v>238</v>
      </c>
      <c r="BF602" s="5" t="s">
        <v>238</v>
      </c>
      <c r="BH602" s="5" t="s">
        <v>254</v>
      </c>
      <c r="BI602" s="6" t="s">
        <v>246</v>
      </c>
      <c r="BJ602" s="5" t="s">
        <v>255</v>
      </c>
      <c r="BK602" s="5" t="s">
        <v>256</v>
      </c>
      <c r="BL602" s="5" t="s">
        <v>238</v>
      </c>
      <c r="BM602" s="7">
        <f>0</f>
        <v>0</v>
      </c>
      <c r="BN602" s="8">
        <f>0</f>
        <v>0</v>
      </c>
      <c r="BO602" s="5" t="s">
        <v>257</v>
      </c>
      <c r="BP602" s="5" t="s">
        <v>258</v>
      </c>
      <c r="CD602" s="5" t="s">
        <v>238</v>
      </c>
      <c r="CE602" s="5" t="s">
        <v>238</v>
      </c>
      <c r="CI602" s="5" t="s">
        <v>527</v>
      </c>
      <c r="CJ602" s="5" t="s">
        <v>260</v>
      </c>
      <c r="CK602" s="5" t="s">
        <v>238</v>
      </c>
      <c r="CM602" s="5" t="s">
        <v>1792</v>
      </c>
      <c r="CN602" s="6" t="s">
        <v>262</v>
      </c>
      <c r="CO602" s="5" t="s">
        <v>263</v>
      </c>
      <c r="CP602" s="5" t="s">
        <v>264</v>
      </c>
      <c r="CQ602" s="5" t="s">
        <v>238</v>
      </c>
      <c r="CR602" s="5" t="s">
        <v>238</v>
      </c>
      <c r="CS602" s="5">
        <v>0</v>
      </c>
      <c r="CT602" s="5" t="s">
        <v>265</v>
      </c>
      <c r="CU602" s="5" t="s">
        <v>1360</v>
      </c>
      <c r="CV602" s="5" t="s">
        <v>267</v>
      </c>
      <c r="CX602" s="8">
        <f>6480000</f>
        <v>6480000</v>
      </c>
      <c r="CY602" s="8">
        <f>0</f>
        <v>0</v>
      </c>
      <c r="DA602" s="5" t="s">
        <v>238</v>
      </c>
      <c r="DB602" s="5" t="s">
        <v>238</v>
      </c>
      <c r="DD602" s="5" t="s">
        <v>238</v>
      </c>
      <c r="DG602" s="5" t="s">
        <v>238</v>
      </c>
      <c r="DH602" s="5" t="s">
        <v>238</v>
      </c>
      <c r="DI602" s="5" t="s">
        <v>238</v>
      </c>
      <c r="DJ602" s="5" t="s">
        <v>238</v>
      </c>
      <c r="DK602" s="5" t="s">
        <v>271</v>
      </c>
      <c r="DL602" s="5" t="s">
        <v>272</v>
      </c>
      <c r="DM602" s="7">
        <f>64.8</f>
        <v>64.8</v>
      </c>
      <c r="DN602" s="5" t="s">
        <v>238</v>
      </c>
      <c r="DO602" s="5" t="s">
        <v>238</v>
      </c>
      <c r="DP602" s="5" t="s">
        <v>238</v>
      </c>
      <c r="DQ602" s="5" t="s">
        <v>238</v>
      </c>
      <c r="DT602" s="5" t="s">
        <v>2782</v>
      </c>
      <c r="DU602" s="5" t="s">
        <v>310</v>
      </c>
      <c r="HM602" s="5" t="s">
        <v>271</v>
      </c>
      <c r="HP602" s="5" t="s">
        <v>272</v>
      </c>
      <c r="HQ602" s="5" t="s">
        <v>272</v>
      </c>
    </row>
    <row r="603" spans="1:238" x14ac:dyDescent="0.4">
      <c r="A603" s="5">
        <v>665</v>
      </c>
      <c r="B603" s="5">
        <v>1</v>
      </c>
      <c r="C603" s="5">
        <v>1</v>
      </c>
      <c r="D603" s="5" t="s">
        <v>2780</v>
      </c>
      <c r="E603" s="5" t="s">
        <v>277</v>
      </c>
      <c r="F603" s="5" t="s">
        <v>282</v>
      </c>
      <c r="G603" s="5" t="s">
        <v>2491</v>
      </c>
      <c r="H603" s="6" t="s">
        <v>2781</v>
      </c>
      <c r="I603" s="5" t="s">
        <v>2482</v>
      </c>
      <c r="J603" s="7">
        <f>64.8</f>
        <v>64.8</v>
      </c>
      <c r="K603" s="5" t="s">
        <v>270</v>
      </c>
      <c r="L603" s="8">
        <f>1</f>
        <v>1</v>
      </c>
      <c r="M603" s="8">
        <f>6480000</f>
        <v>6480000</v>
      </c>
      <c r="N603" s="6" t="s">
        <v>1791</v>
      </c>
      <c r="O603" s="5" t="s">
        <v>286</v>
      </c>
      <c r="P603" s="5" t="s">
        <v>1793</v>
      </c>
      <c r="R603" s="8">
        <f>6479999</f>
        <v>6479999</v>
      </c>
      <c r="S603" s="5" t="s">
        <v>240</v>
      </c>
      <c r="T603" s="5" t="s">
        <v>237</v>
      </c>
      <c r="U603" s="5" t="s">
        <v>238</v>
      </c>
      <c r="V603" s="5" t="s">
        <v>238</v>
      </c>
      <c r="W603" s="5" t="s">
        <v>241</v>
      </c>
      <c r="X603" s="5" t="s">
        <v>276</v>
      </c>
      <c r="Y603" s="5" t="s">
        <v>238</v>
      </c>
      <c r="AB603" s="5" t="s">
        <v>238</v>
      </c>
      <c r="AD603" s="6" t="s">
        <v>238</v>
      </c>
      <c r="AG603" s="6" t="s">
        <v>246</v>
      </c>
      <c r="AH603" s="5" t="s">
        <v>247</v>
      </c>
      <c r="AI603" s="5" t="s">
        <v>248</v>
      </c>
      <c r="AY603" s="5" t="s">
        <v>250</v>
      </c>
      <c r="AZ603" s="5" t="s">
        <v>238</v>
      </c>
      <c r="BA603" s="5" t="s">
        <v>251</v>
      </c>
      <c r="BB603" s="5" t="s">
        <v>238</v>
      </c>
      <c r="BC603" s="5" t="s">
        <v>253</v>
      </c>
      <c r="BD603" s="5" t="s">
        <v>238</v>
      </c>
      <c r="BF603" s="5" t="s">
        <v>238</v>
      </c>
      <c r="BH603" s="5" t="s">
        <v>859</v>
      </c>
      <c r="BI603" s="6" t="s">
        <v>368</v>
      </c>
      <c r="BJ603" s="5" t="s">
        <v>255</v>
      </c>
      <c r="BK603" s="5" t="s">
        <v>256</v>
      </c>
      <c r="BL603" s="5" t="s">
        <v>238</v>
      </c>
      <c r="BM603" s="7">
        <f>0</f>
        <v>0</v>
      </c>
      <c r="BN603" s="8">
        <f>0</f>
        <v>0</v>
      </c>
      <c r="BO603" s="5" t="s">
        <v>257</v>
      </c>
      <c r="BP603" s="5" t="s">
        <v>258</v>
      </c>
      <c r="CD603" s="5" t="s">
        <v>238</v>
      </c>
      <c r="CE603" s="5" t="s">
        <v>238</v>
      </c>
      <c r="CI603" s="5" t="s">
        <v>527</v>
      </c>
      <c r="CJ603" s="5" t="s">
        <v>260</v>
      </c>
      <c r="CK603" s="5" t="s">
        <v>238</v>
      </c>
      <c r="CM603" s="5" t="s">
        <v>1792</v>
      </c>
      <c r="CN603" s="6" t="s">
        <v>262</v>
      </c>
      <c r="CO603" s="5" t="s">
        <v>263</v>
      </c>
      <c r="CP603" s="5" t="s">
        <v>264</v>
      </c>
      <c r="CQ603" s="5" t="s">
        <v>238</v>
      </c>
      <c r="CR603" s="5" t="s">
        <v>238</v>
      </c>
      <c r="CS603" s="5">
        <v>0</v>
      </c>
      <c r="CT603" s="5" t="s">
        <v>265</v>
      </c>
      <c r="CU603" s="5" t="s">
        <v>1360</v>
      </c>
      <c r="CV603" s="5" t="s">
        <v>267</v>
      </c>
      <c r="CX603" s="8">
        <f>6480000</f>
        <v>6480000</v>
      </c>
      <c r="CY603" s="8">
        <f>0</f>
        <v>0</v>
      </c>
      <c r="DA603" s="5" t="s">
        <v>238</v>
      </c>
      <c r="DB603" s="5" t="s">
        <v>238</v>
      </c>
      <c r="DD603" s="5" t="s">
        <v>238</v>
      </c>
      <c r="DG603" s="5" t="s">
        <v>238</v>
      </c>
      <c r="DH603" s="5" t="s">
        <v>238</v>
      </c>
      <c r="DI603" s="5" t="s">
        <v>238</v>
      </c>
      <c r="DJ603" s="5" t="s">
        <v>238</v>
      </c>
      <c r="DK603" s="5" t="s">
        <v>271</v>
      </c>
      <c r="DL603" s="5" t="s">
        <v>272</v>
      </c>
      <c r="DM603" s="7">
        <f>64.8</f>
        <v>64.8</v>
      </c>
      <c r="DN603" s="5" t="s">
        <v>238</v>
      </c>
      <c r="DO603" s="5" t="s">
        <v>238</v>
      </c>
      <c r="DP603" s="5" t="s">
        <v>238</v>
      </c>
      <c r="DQ603" s="5" t="s">
        <v>238</v>
      </c>
      <c r="DT603" s="5" t="s">
        <v>2782</v>
      </c>
      <c r="DU603" s="5" t="s">
        <v>379</v>
      </c>
      <c r="HM603" s="5" t="s">
        <v>271</v>
      </c>
      <c r="HP603" s="5" t="s">
        <v>272</v>
      </c>
      <c r="HQ603" s="5" t="s">
        <v>272</v>
      </c>
    </row>
    <row r="604" spans="1:238" x14ac:dyDescent="0.4">
      <c r="A604" s="5">
        <v>666</v>
      </c>
      <c r="B604" s="5">
        <v>1</v>
      </c>
      <c r="C604" s="5">
        <v>1</v>
      </c>
      <c r="D604" s="5" t="s">
        <v>2780</v>
      </c>
      <c r="E604" s="5" t="s">
        <v>277</v>
      </c>
      <c r="F604" s="5" t="s">
        <v>282</v>
      </c>
      <c r="G604" s="5" t="s">
        <v>2491</v>
      </c>
      <c r="H604" s="6" t="s">
        <v>2781</v>
      </c>
      <c r="I604" s="5" t="s">
        <v>2482</v>
      </c>
      <c r="J604" s="7">
        <f>64.8</f>
        <v>64.8</v>
      </c>
      <c r="K604" s="5" t="s">
        <v>270</v>
      </c>
      <c r="L604" s="8">
        <f>1</f>
        <v>1</v>
      </c>
      <c r="M604" s="8">
        <f>6480000</f>
        <v>6480000</v>
      </c>
      <c r="N604" s="6" t="s">
        <v>1791</v>
      </c>
      <c r="O604" s="5" t="s">
        <v>286</v>
      </c>
      <c r="P604" s="5" t="s">
        <v>1793</v>
      </c>
      <c r="R604" s="8">
        <f>6479999</f>
        <v>6479999</v>
      </c>
      <c r="S604" s="5" t="s">
        <v>240</v>
      </c>
      <c r="T604" s="5" t="s">
        <v>237</v>
      </c>
      <c r="U604" s="5" t="s">
        <v>238</v>
      </c>
      <c r="V604" s="5" t="s">
        <v>238</v>
      </c>
      <c r="W604" s="5" t="s">
        <v>241</v>
      </c>
      <c r="X604" s="5" t="s">
        <v>276</v>
      </c>
      <c r="Y604" s="5" t="s">
        <v>238</v>
      </c>
      <c r="AB604" s="5" t="s">
        <v>238</v>
      </c>
      <c r="AD604" s="6" t="s">
        <v>238</v>
      </c>
      <c r="AG604" s="6" t="s">
        <v>246</v>
      </c>
      <c r="AH604" s="5" t="s">
        <v>247</v>
      </c>
      <c r="AI604" s="5" t="s">
        <v>248</v>
      </c>
      <c r="AY604" s="5" t="s">
        <v>250</v>
      </c>
      <c r="AZ604" s="5" t="s">
        <v>238</v>
      </c>
      <c r="BA604" s="5" t="s">
        <v>251</v>
      </c>
      <c r="BB604" s="5" t="s">
        <v>238</v>
      </c>
      <c r="BC604" s="5" t="s">
        <v>253</v>
      </c>
      <c r="BD604" s="5" t="s">
        <v>238</v>
      </c>
      <c r="BF604" s="5" t="s">
        <v>238</v>
      </c>
      <c r="BH604" s="5" t="s">
        <v>697</v>
      </c>
      <c r="BI604" s="6" t="s">
        <v>698</v>
      </c>
      <c r="BJ604" s="5" t="s">
        <v>255</v>
      </c>
      <c r="BK604" s="5" t="s">
        <v>256</v>
      </c>
      <c r="BL604" s="5" t="s">
        <v>238</v>
      </c>
      <c r="BM604" s="7">
        <f>0</f>
        <v>0</v>
      </c>
      <c r="BN604" s="8">
        <f>0</f>
        <v>0</v>
      </c>
      <c r="BO604" s="5" t="s">
        <v>257</v>
      </c>
      <c r="BP604" s="5" t="s">
        <v>258</v>
      </c>
      <c r="CD604" s="5" t="s">
        <v>238</v>
      </c>
      <c r="CE604" s="5" t="s">
        <v>238</v>
      </c>
      <c r="CI604" s="5" t="s">
        <v>527</v>
      </c>
      <c r="CJ604" s="5" t="s">
        <v>260</v>
      </c>
      <c r="CK604" s="5" t="s">
        <v>238</v>
      </c>
      <c r="CM604" s="5" t="s">
        <v>1792</v>
      </c>
      <c r="CN604" s="6" t="s">
        <v>262</v>
      </c>
      <c r="CO604" s="5" t="s">
        <v>263</v>
      </c>
      <c r="CP604" s="5" t="s">
        <v>264</v>
      </c>
      <c r="CQ604" s="5" t="s">
        <v>238</v>
      </c>
      <c r="CR604" s="5" t="s">
        <v>238</v>
      </c>
      <c r="CS604" s="5">
        <v>0</v>
      </c>
      <c r="CT604" s="5" t="s">
        <v>265</v>
      </c>
      <c r="CU604" s="5" t="s">
        <v>1360</v>
      </c>
      <c r="CV604" s="5" t="s">
        <v>267</v>
      </c>
      <c r="CX604" s="8">
        <f>6480000</f>
        <v>6480000</v>
      </c>
      <c r="CY604" s="8">
        <f>0</f>
        <v>0</v>
      </c>
      <c r="DA604" s="5" t="s">
        <v>238</v>
      </c>
      <c r="DB604" s="5" t="s">
        <v>238</v>
      </c>
      <c r="DD604" s="5" t="s">
        <v>238</v>
      </c>
      <c r="DG604" s="5" t="s">
        <v>238</v>
      </c>
      <c r="DH604" s="5" t="s">
        <v>238</v>
      </c>
      <c r="DI604" s="5" t="s">
        <v>238</v>
      </c>
      <c r="DJ604" s="5" t="s">
        <v>238</v>
      </c>
      <c r="DK604" s="5" t="s">
        <v>271</v>
      </c>
      <c r="DL604" s="5" t="s">
        <v>272</v>
      </c>
      <c r="DM604" s="7">
        <f>64.8</f>
        <v>64.8</v>
      </c>
      <c r="DN604" s="5" t="s">
        <v>238</v>
      </c>
      <c r="DO604" s="5" t="s">
        <v>238</v>
      </c>
      <c r="DP604" s="5" t="s">
        <v>238</v>
      </c>
      <c r="DQ604" s="5" t="s">
        <v>238</v>
      </c>
      <c r="DT604" s="5" t="s">
        <v>2782</v>
      </c>
      <c r="DU604" s="5" t="s">
        <v>313</v>
      </c>
      <c r="HM604" s="5" t="s">
        <v>271</v>
      </c>
      <c r="HP604" s="5" t="s">
        <v>272</v>
      </c>
      <c r="HQ604" s="5" t="s">
        <v>272</v>
      </c>
    </row>
    <row r="605" spans="1:238" x14ac:dyDescent="0.4">
      <c r="A605" s="5">
        <v>667</v>
      </c>
      <c r="B605" s="5">
        <v>1</v>
      </c>
      <c r="C605" s="5">
        <v>1</v>
      </c>
      <c r="D605" s="5" t="s">
        <v>2780</v>
      </c>
      <c r="E605" s="5" t="s">
        <v>277</v>
      </c>
      <c r="F605" s="5" t="s">
        <v>282</v>
      </c>
      <c r="G605" s="5" t="s">
        <v>2491</v>
      </c>
      <c r="H605" s="6" t="s">
        <v>2781</v>
      </c>
      <c r="I605" s="5" t="s">
        <v>2482</v>
      </c>
      <c r="J605" s="7">
        <f>32.4</f>
        <v>32.4</v>
      </c>
      <c r="K605" s="5" t="s">
        <v>270</v>
      </c>
      <c r="L605" s="8">
        <f>1</f>
        <v>1</v>
      </c>
      <c r="M605" s="8">
        <f>3240000</f>
        <v>3240000</v>
      </c>
      <c r="N605" s="6" t="s">
        <v>1791</v>
      </c>
      <c r="O605" s="5" t="s">
        <v>286</v>
      </c>
      <c r="P605" s="5" t="s">
        <v>1793</v>
      </c>
      <c r="R605" s="8">
        <f>3239999</f>
        <v>3239999</v>
      </c>
      <c r="S605" s="5" t="s">
        <v>240</v>
      </c>
      <c r="T605" s="5" t="s">
        <v>237</v>
      </c>
      <c r="U605" s="5" t="s">
        <v>238</v>
      </c>
      <c r="V605" s="5" t="s">
        <v>238</v>
      </c>
      <c r="W605" s="5" t="s">
        <v>241</v>
      </c>
      <c r="X605" s="5" t="s">
        <v>276</v>
      </c>
      <c r="Y605" s="5" t="s">
        <v>238</v>
      </c>
      <c r="AB605" s="5" t="s">
        <v>238</v>
      </c>
      <c r="AD605" s="6" t="s">
        <v>238</v>
      </c>
      <c r="AG605" s="6" t="s">
        <v>246</v>
      </c>
      <c r="AH605" s="5" t="s">
        <v>247</v>
      </c>
      <c r="AI605" s="5" t="s">
        <v>248</v>
      </c>
      <c r="AY605" s="5" t="s">
        <v>250</v>
      </c>
      <c r="AZ605" s="5" t="s">
        <v>238</v>
      </c>
      <c r="BA605" s="5" t="s">
        <v>251</v>
      </c>
      <c r="BB605" s="5" t="s">
        <v>238</v>
      </c>
      <c r="BC605" s="5" t="s">
        <v>253</v>
      </c>
      <c r="BD605" s="5" t="s">
        <v>238</v>
      </c>
      <c r="BF605" s="5" t="s">
        <v>238</v>
      </c>
      <c r="BH605" s="5" t="s">
        <v>798</v>
      </c>
      <c r="BI605" s="6" t="s">
        <v>799</v>
      </c>
      <c r="BJ605" s="5" t="s">
        <v>255</v>
      </c>
      <c r="BK605" s="5" t="s">
        <v>256</v>
      </c>
      <c r="BL605" s="5" t="s">
        <v>238</v>
      </c>
      <c r="BM605" s="7">
        <f>0</f>
        <v>0</v>
      </c>
      <c r="BN605" s="8">
        <f>0</f>
        <v>0</v>
      </c>
      <c r="BO605" s="5" t="s">
        <v>257</v>
      </c>
      <c r="BP605" s="5" t="s">
        <v>258</v>
      </c>
      <c r="CD605" s="5" t="s">
        <v>238</v>
      </c>
      <c r="CE605" s="5" t="s">
        <v>238</v>
      </c>
      <c r="CI605" s="5" t="s">
        <v>527</v>
      </c>
      <c r="CJ605" s="5" t="s">
        <v>260</v>
      </c>
      <c r="CK605" s="5" t="s">
        <v>238</v>
      </c>
      <c r="CM605" s="5" t="s">
        <v>1792</v>
      </c>
      <c r="CN605" s="6" t="s">
        <v>262</v>
      </c>
      <c r="CO605" s="5" t="s">
        <v>263</v>
      </c>
      <c r="CP605" s="5" t="s">
        <v>264</v>
      </c>
      <c r="CQ605" s="5" t="s">
        <v>238</v>
      </c>
      <c r="CR605" s="5" t="s">
        <v>238</v>
      </c>
      <c r="CS605" s="5">
        <v>0</v>
      </c>
      <c r="CT605" s="5" t="s">
        <v>265</v>
      </c>
      <c r="CU605" s="5" t="s">
        <v>1360</v>
      </c>
      <c r="CV605" s="5" t="s">
        <v>267</v>
      </c>
      <c r="CX605" s="8">
        <f>3240000</f>
        <v>3240000</v>
      </c>
      <c r="CY605" s="8">
        <f>0</f>
        <v>0</v>
      </c>
      <c r="DA605" s="5" t="s">
        <v>238</v>
      </c>
      <c r="DB605" s="5" t="s">
        <v>238</v>
      </c>
      <c r="DD605" s="5" t="s">
        <v>238</v>
      </c>
      <c r="DG605" s="5" t="s">
        <v>238</v>
      </c>
      <c r="DH605" s="5" t="s">
        <v>238</v>
      </c>
      <c r="DI605" s="5" t="s">
        <v>238</v>
      </c>
      <c r="DJ605" s="5" t="s">
        <v>238</v>
      </c>
      <c r="DK605" s="5" t="s">
        <v>271</v>
      </c>
      <c r="DL605" s="5" t="s">
        <v>272</v>
      </c>
      <c r="DM605" s="7">
        <f>32.4</f>
        <v>32.4</v>
      </c>
      <c r="DN605" s="5" t="s">
        <v>238</v>
      </c>
      <c r="DO605" s="5" t="s">
        <v>238</v>
      </c>
      <c r="DP605" s="5" t="s">
        <v>238</v>
      </c>
      <c r="DQ605" s="5" t="s">
        <v>238</v>
      </c>
      <c r="DT605" s="5" t="s">
        <v>2782</v>
      </c>
      <c r="DU605" s="5" t="s">
        <v>389</v>
      </c>
      <c r="HM605" s="5" t="s">
        <v>271</v>
      </c>
      <c r="HP605" s="5" t="s">
        <v>272</v>
      </c>
      <c r="HQ605" s="5" t="s">
        <v>272</v>
      </c>
    </row>
    <row r="606" spans="1:238" x14ac:dyDescent="0.4">
      <c r="A606" s="5">
        <v>668</v>
      </c>
      <c r="B606" s="5">
        <v>1</v>
      </c>
      <c r="C606" s="5">
        <v>1</v>
      </c>
      <c r="D606" s="5" t="s">
        <v>2780</v>
      </c>
      <c r="E606" s="5" t="s">
        <v>277</v>
      </c>
      <c r="F606" s="5" t="s">
        <v>282</v>
      </c>
      <c r="G606" s="5" t="s">
        <v>2491</v>
      </c>
      <c r="H606" s="6" t="s">
        <v>2781</v>
      </c>
      <c r="I606" s="5" t="s">
        <v>2482</v>
      </c>
      <c r="J606" s="7">
        <f>32.4</f>
        <v>32.4</v>
      </c>
      <c r="K606" s="5" t="s">
        <v>270</v>
      </c>
      <c r="L606" s="8">
        <f>1</f>
        <v>1</v>
      </c>
      <c r="M606" s="8">
        <f>3240000</f>
        <v>3240000</v>
      </c>
      <c r="N606" s="6" t="s">
        <v>1791</v>
      </c>
      <c r="O606" s="5" t="s">
        <v>286</v>
      </c>
      <c r="P606" s="5" t="s">
        <v>1793</v>
      </c>
      <c r="R606" s="8">
        <f>3239999</f>
        <v>3239999</v>
      </c>
      <c r="S606" s="5" t="s">
        <v>240</v>
      </c>
      <c r="T606" s="5" t="s">
        <v>237</v>
      </c>
      <c r="U606" s="5" t="s">
        <v>238</v>
      </c>
      <c r="V606" s="5" t="s">
        <v>238</v>
      </c>
      <c r="W606" s="5" t="s">
        <v>241</v>
      </c>
      <c r="X606" s="5" t="s">
        <v>276</v>
      </c>
      <c r="Y606" s="5" t="s">
        <v>238</v>
      </c>
      <c r="AB606" s="5" t="s">
        <v>238</v>
      </c>
      <c r="AD606" s="6" t="s">
        <v>238</v>
      </c>
      <c r="AG606" s="6" t="s">
        <v>246</v>
      </c>
      <c r="AH606" s="5" t="s">
        <v>247</v>
      </c>
      <c r="AI606" s="5" t="s">
        <v>248</v>
      </c>
      <c r="AY606" s="5" t="s">
        <v>250</v>
      </c>
      <c r="AZ606" s="5" t="s">
        <v>238</v>
      </c>
      <c r="BA606" s="5" t="s">
        <v>251</v>
      </c>
      <c r="BB606" s="5" t="s">
        <v>238</v>
      </c>
      <c r="BC606" s="5" t="s">
        <v>253</v>
      </c>
      <c r="BD606" s="5" t="s">
        <v>238</v>
      </c>
      <c r="BF606" s="5" t="s">
        <v>238</v>
      </c>
      <c r="BH606" s="5" t="s">
        <v>254</v>
      </c>
      <c r="BI606" s="6" t="s">
        <v>246</v>
      </c>
      <c r="BJ606" s="5" t="s">
        <v>255</v>
      </c>
      <c r="BK606" s="5" t="s">
        <v>256</v>
      </c>
      <c r="BL606" s="5" t="s">
        <v>238</v>
      </c>
      <c r="BM606" s="7">
        <f>0</f>
        <v>0</v>
      </c>
      <c r="BN606" s="8">
        <f>0</f>
        <v>0</v>
      </c>
      <c r="BO606" s="5" t="s">
        <v>257</v>
      </c>
      <c r="BP606" s="5" t="s">
        <v>258</v>
      </c>
      <c r="CD606" s="5" t="s">
        <v>238</v>
      </c>
      <c r="CE606" s="5" t="s">
        <v>238</v>
      </c>
      <c r="CI606" s="5" t="s">
        <v>527</v>
      </c>
      <c r="CJ606" s="5" t="s">
        <v>260</v>
      </c>
      <c r="CK606" s="5" t="s">
        <v>238</v>
      </c>
      <c r="CM606" s="5" t="s">
        <v>1792</v>
      </c>
      <c r="CN606" s="6" t="s">
        <v>262</v>
      </c>
      <c r="CO606" s="5" t="s">
        <v>263</v>
      </c>
      <c r="CP606" s="5" t="s">
        <v>264</v>
      </c>
      <c r="CQ606" s="5" t="s">
        <v>238</v>
      </c>
      <c r="CR606" s="5" t="s">
        <v>238</v>
      </c>
      <c r="CS606" s="5">
        <v>0</v>
      </c>
      <c r="CT606" s="5" t="s">
        <v>265</v>
      </c>
      <c r="CU606" s="5" t="s">
        <v>1360</v>
      </c>
      <c r="CV606" s="5" t="s">
        <v>267</v>
      </c>
      <c r="CX606" s="8">
        <f>3240000</f>
        <v>3240000</v>
      </c>
      <c r="CY606" s="8">
        <f>0</f>
        <v>0</v>
      </c>
      <c r="DA606" s="5" t="s">
        <v>238</v>
      </c>
      <c r="DB606" s="5" t="s">
        <v>238</v>
      </c>
      <c r="DD606" s="5" t="s">
        <v>238</v>
      </c>
      <c r="DG606" s="5" t="s">
        <v>238</v>
      </c>
      <c r="DH606" s="5" t="s">
        <v>238</v>
      </c>
      <c r="DI606" s="5" t="s">
        <v>238</v>
      </c>
      <c r="DJ606" s="5" t="s">
        <v>238</v>
      </c>
      <c r="DK606" s="5" t="s">
        <v>271</v>
      </c>
      <c r="DL606" s="5" t="s">
        <v>272</v>
      </c>
      <c r="DM606" s="7">
        <f>32.4</f>
        <v>32.4</v>
      </c>
      <c r="DN606" s="5" t="s">
        <v>238</v>
      </c>
      <c r="DO606" s="5" t="s">
        <v>238</v>
      </c>
      <c r="DP606" s="5" t="s">
        <v>238</v>
      </c>
      <c r="DQ606" s="5" t="s">
        <v>238</v>
      </c>
      <c r="DT606" s="5" t="s">
        <v>2782</v>
      </c>
      <c r="DU606" s="5" t="s">
        <v>354</v>
      </c>
      <c r="HM606" s="5" t="s">
        <v>271</v>
      </c>
      <c r="HP606" s="5" t="s">
        <v>272</v>
      </c>
      <c r="HQ606" s="5" t="s">
        <v>272</v>
      </c>
    </row>
    <row r="607" spans="1:238" x14ac:dyDescent="0.4">
      <c r="A607" s="5">
        <v>669</v>
      </c>
      <c r="B607" s="5">
        <v>1</v>
      </c>
      <c r="C607" s="5">
        <v>1</v>
      </c>
      <c r="D607" s="5" t="s">
        <v>2780</v>
      </c>
      <c r="E607" s="5" t="s">
        <v>277</v>
      </c>
      <c r="F607" s="5" t="s">
        <v>282</v>
      </c>
      <c r="G607" s="5" t="s">
        <v>2491</v>
      </c>
      <c r="H607" s="6" t="s">
        <v>2781</v>
      </c>
      <c r="I607" s="5" t="s">
        <v>2482</v>
      </c>
      <c r="J607" s="7">
        <f>32.4</f>
        <v>32.4</v>
      </c>
      <c r="K607" s="5" t="s">
        <v>270</v>
      </c>
      <c r="L607" s="8">
        <f>1</f>
        <v>1</v>
      </c>
      <c r="M607" s="8">
        <f>3240000</f>
        <v>3240000</v>
      </c>
      <c r="N607" s="6" t="s">
        <v>1791</v>
      </c>
      <c r="O607" s="5" t="s">
        <v>286</v>
      </c>
      <c r="P607" s="5" t="s">
        <v>1793</v>
      </c>
      <c r="R607" s="8">
        <f>3239999</f>
        <v>3239999</v>
      </c>
      <c r="S607" s="5" t="s">
        <v>240</v>
      </c>
      <c r="T607" s="5" t="s">
        <v>237</v>
      </c>
      <c r="U607" s="5" t="s">
        <v>238</v>
      </c>
      <c r="V607" s="5" t="s">
        <v>238</v>
      </c>
      <c r="W607" s="5" t="s">
        <v>241</v>
      </c>
      <c r="X607" s="5" t="s">
        <v>276</v>
      </c>
      <c r="Y607" s="5" t="s">
        <v>238</v>
      </c>
      <c r="AB607" s="5" t="s">
        <v>238</v>
      </c>
      <c r="AD607" s="6" t="s">
        <v>238</v>
      </c>
      <c r="AG607" s="6" t="s">
        <v>246</v>
      </c>
      <c r="AH607" s="5" t="s">
        <v>247</v>
      </c>
      <c r="AI607" s="5" t="s">
        <v>248</v>
      </c>
      <c r="AY607" s="5" t="s">
        <v>250</v>
      </c>
      <c r="AZ607" s="5" t="s">
        <v>238</v>
      </c>
      <c r="BA607" s="5" t="s">
        <v>251</v>
      </c>
      <c r="BB607" s="5" t="s">
        <v>238</v>
      </c>
      <c r="BC607" s="5" t="s">
        <v>253</v>
      </c>
      <c r="BD607" s="5" t="s">
        <v>238</v>
      </c>
      <c r="BF607" s="5" t="s">
        <v>238</v>
      </c>
      <c r="BH607" s="5" t="s">
        <v>859</v>
      </c>
      <c r="BI607" s="6" t="s">
        <v>368</v>
      </c>
      <c r="BJ607" s="5" t="s">
        <v>255</v>
      </c>
      <c r="BK607" s="5" t="s">
        <v>256</v>
      </c>
      <c r="BL607" s="5" t="s">
        <v>238</v>
      </c>
      <c r="BM607" s="7">
        <f>0</f>
        <v>0</v>
      </c>
      <c r="BN607" s="8">
        <f>0</f>
        <v>0</v>
      </c>
      <c r="BO607" s="5" t="s">
        <v>257</v>
      </c>
      <c r="BP607" s="5" t="s">
        <v>258</v>
      </c>
      <c r="CD607" s="5" t="s">
        <v>238</v>
      </c>
      <c r="CE607" s="5" t="s">
        <v>238</v>
      </c>
      <c r="CI607" s="5" t="s">
        <v>527</v>
      </c>
      <c r="CJ607" s="5" t="s">
        <v>260</v>
      </c>
      <c r="CK607" s="5" t="s">
        <v>238</v>
      </c>
      <c r="CM607" s="5" t="s">
        <v>1792</v>
      </c>
      <c r="CN607" s="6" t="s">
        <v>262</v>
      </c>
      <c r="CO607" s="5" t="s">
        <v>263</v>
      </c>
      <c r="CP607" s="5" t="s">
        <v>264</v>
      </c>
      <c r="CQ607" s="5" t="s">
        <v>238</v>
      </c>
      <c r="CR607" s="5" t="s">
        <v>238</v>
      </c>
      <c r="CS607" s="5">
        <v>0</v>
      </c>
      <c r="CT607" s="5" t="s">
        <v>265</v>
      </c>
      <c r="CU607" s="5" t="s">
        <v>1360</v>
      </c>
      <c r="CV607" s="5" t="s">
        <v>267</v>
      </c>
      <c r="CX607" s="8">
        <f>3240000</f>
        <v>3240000</v>
      </c>
      <c r="CY607" s="8">
        <f>0</f>
        <v>0</v>
      </c>
      <c r="DA607" s="5" t="s">
        <v>238</v>
      </c>
      <c r="DB607" s="5" t="s">
        <v>238</v>
      </c>
      <c r="DD607" s="5" t="s">
        <v>238</v>
      </c>
      <c r="DG607" s="5" t="s">
        <v>238</v>
      </c>
      <c r="DH607" s="5" t="s">
        <v>238</v>
      </c>
      <c r="DI607" s="5" t="s">
        <v>238</v>
      </c>
      <c r="DJ607" s="5" t="s">
        <v>238</v>
      </c>
      <c r="DK607" s="5" t="s">
        <v>271</v>
      </c>
      <c r="DL607" s="5" t="s">
        <v>272</v>
      </c>
      <c r="DM607" s="7">
        <f>32.4</f>
        <v>32.4</v>
      </c>
      <c r="DN607" s="5" t="s">
        <v>238</v>
      </c>
      <c r="DO607" s="5" t="s">
        <v>238</v>
      </c>
      <c r="DP607" s="5" t="s">
        <v>238</v>
      </c>
      <c r="DQ607" s="5" t="s">
        <v>238</v>
      </c>
      <c r="DT607" s="5" t="s">
        <v>2782</v>
      </c>
      <c r="DU607" s="5" t="s">
        <v>361</v>
      </c>
      <c r="HM607" s="5" t="s">
        <v>271</v>
      </c>
      <c r="HP607" s="5" t="s">
        <v>272</v>
      </c>
      <c r="HQ607" s="5" t="s">
        <v>272</v>
      </c>
    </row>
    <row r="608" spans="1:238" x14ac:dyDescent="0.4">
      <c r="A608" s="5">
        <v>670</v>
      </c>
      <c r="B608" s="5">
        <v>1</v>
      </c>
      <c r="C608" s="5">
        <v>1</v>
      </c>
      <c r="D608" s="5" t="s">
        <v>2780</v>
      </c>
      <c r="E608" s="5" t="s">
        <v>277</v>
      </c>
      <c r="F608" s="5" t="s">
        <v>282</v>
      </c>
      <c r="G608" s="5" t="s">
        <v>2491</v>
      </c>
      <c r="H608" s="6" t="s">
        <v>2781</v>
      </c>
      <c r="I608" s="5" t="s">
        <v>2482</v>
      </c>
      <c r="J608" s="7">
        <f>32.4</f>
        <v>32.4</v>
      </c>
      <c r="K608" s="5" t="s">
        <v>270</v>
      </c>
      <c r="L608" s="8">
        <f>1</f>
        <v>1</v>
      </c>
      <c r="M608" s="8">
        <f>3240000</f>
        <v>3240000</v>
      </c>
      <c r="N608" s="6" t="s">
        <v>1791</v>
      </c>
      <c r="O608" s="5" t="s">
        <v>286</v>
      </c>
      <c r="P608" s="5" t="s">
        <v>1793</v>
      </c>
      <c r="R608" s="8">
        <f>3239999</f>
        <v>3239999</v>
      </c>
      <c r="S608" s="5" t="s">
        <v>240</v>
      </c>
      <c r="T608" s="5" t="s">
        <v>237</v>
      </c>
      <c r="U608" s="5" t="s">
        <v>238</v>
      </c>
      <c r="V608" s="5" t="s">
        <v>238</v>
      </c>
      <c r="W608" s="5" t="s">
        <v>241</v>
      </c>
      <c r="X608" s="5" t="s">
        <v>276</v>
      </c>
      <c r="Y608" s="5" t="s">
        <v>238</v>
      </c>
      <c r="AB608" s="5" t="s">
        <v>238</v>
      </c>
      <c r="AD608" s="6" t="s">
        <v>238</v>
      </c>
      <c r="AG608" s="6" t="s">
        <v>246</v>
      </c>
      <c r="AH608" s="5" t="s">
        <v>247</v>
      </c>
      <c r="AI608" s="5" t="s">
        <v>248</v>
      </c>
      <c r="AY608" s="5" t="s">
        <v>250</v>
      </c>
      <c r="AZ608" s="5" t="s">
        <v>238</v>
      </c>
      <c r="BA608" s="5" t="s">
        <v>251</v>
      </c>
      <c r="BB608" s="5" t="s">
        <v>238</v>
      </c>
      <c r="BC608" s="5" t="s">
        <v>253</v>
      </c>
      <c r="BD608" s="5" t="s">
        <v>238</v>
      </c>
      <c r="BF608" s="5" t="s">
        <v>238</v>
      </c>
      <c r="BH608" s="5" t="s">
        <v>697</v>
      </c>
      <c r="BI608" s="6" t="s">
        <v>698</v>
      </c>
      <c r="BJ608" s="5" t="s">
        <v>255</v>
      </c>
      <c r="BK608" s="5" t="s">
        <v>256</v>
      </c>
      <c r="BL608" s="5" t="s">
        <v>238</v>
      </c>
      <c r="BM608" s="7">
        <f>0</f>
        <v>0</v>
      </c>
      <c r="BN608" s="8">
        <f>0</f>
        <v>0</v>
      </c>
      <c r="BO608" s="5" t="s">
        <v>257</v>
      </c>
      <c r="BP608" s="5" t="s">
        <v>258</v>
      </c>
      <c r="CD608" s="5" t="s">
        <v>238</v>
      </c>
      <c r="CE608" s="5" t="s">
        <v>238</v>
      </c>
      <c r="CI608" s="5" t="s">
        <v>527</v>
      </c>
      <c r="CJ608" s="5" t="s">
        <v>260</v>
      </c>
      <c r="CK608" s="5" t="s">
        <v>238</v>
      </c>
      <c r="CM608" s="5" t="s">
        <v>1792</v>
      </c>
      <c r="CN608" s="6" t="s">
        <v>262</v>
      </c>
      <c r="CO608" s="5" t="s">
        <v>263</v>
      </c>
      <c r="CP608" s="5" t="s">
        <v>264</v>
      </c>
      <c r="CQ608" s="5" t="s">
        <v>238</v>
      </c>
      <c r="CR608" s="5" t="s">
        <v>238</v>
      </c>
      <c r="CS608" s="5">
        <v>0</v>
      </c>
      <c r="CT608" s="5" t="s">
        <v>265</v>
      </c>
      <c r="CU608" s="5" t="s">
        <v>1360</v>
      </c>
      <c r="CV608" s="5" t="s">
        <v>267</v>
      </c>
      <c r="CX608" s="8">
        <f>3240000</f>
        <v>3240000</v>
      </c>
      <c r="CY608" s="8">
        <f>0</f>
        <v>0</v>
      </c>
      <c r="DA608" s="5" t="s">
        <v>238</v>
      </c>
      <c r="DB608" s="5" t="s">
        <v>238</v>
      </c>
      <c r="DD608" s="5" t="s">
        <v>238</v>
      </c>
      <c r="DG608" s="5" t="s">
        <v>238</v>
      </c>
      <c r="DH608" s="5" t="s">
        <v>238</v>
      </c>
      <c r="DI608" s="5" t="s">
        <v>238</v>
      </c>
      <c r="DJ608" s="5" t="s">
        <v>238</v>
      </c>
      <c r="DK608" s="5" t="s">
        <v>271</v>
      </c>
      <c r="DL608" s="5" t="s">
        <v>272</v>
      </c>
      <c r="DM608" s="7">
        <f>32.4</f>
        <v>32.4</v>
      </c>
      <c r="DN608" s="5" t="s">
        <v>238</v>
      </c>
      <c r="DO608" s="5" t="s">
        <v>238</v>
      </c>
      <c r="DP608" s="5" t="s">
        <v>238</v>
      </c>
      <c r="DQ608" s="5" t="s">
        <v>238</v>
      </c>
      <c r="DT608" s="5" t="s">
        <v>2782</v>
      </c>
      <c r="DU608" s="5" t="s">
        <v>377</v>
      </c>
      <c r="HM608" s="5" t="s">
        <v>271</v>
      </c>
      <c r="HP608" s="5" t="s">
        <v>272</v>
      </c>
      <c r="HQ608" s="5" t="s">
        <v>272</v>
      </c>
    </row>
    <row r="609" spans="1:238" x14ac:dyDescent="0.4">
      <c r="A609" s="5">
        <v>684</v>
      </c>
      <c r="B609" s="5">
        <v>1</v>
      </c>
      <c r="C609" s="5">
        <v>1</v>
      </c>
      <c r="D609" s="5" t="s">
        <v>2777</v>
      </c>
      <c r="E609" s="5" t="s">
        <v>277</v>
      </c>
      <c r="F609" s="5" t="s">
        <v>282</v>
      </c>
      <c r="G609" s="5" t="s">
        <v>2491</v>
      </c>
      <c r="H609" s="6" t="s">
        <v>2778</v>
      </c>
      <c r="I609" s="5" t="s">
        <v>2482</v>
      </c>
      <c r="J609" s="7">
        <f t="shared" ref="J609:J614" si="7">128.72</f>
        <v>128.72</v>
      </c>
      <c r="K609" s="5" t="s">
        <v>270</v>
      </c>
      <c r="L609" s="8">
        <f>1</f>
        <v>1</v>
      </c>
      <c r="M609" s="8">
        <f t="shared" ref="M609:M614" si="8">13515600</f>
        <v>13515600</v>
      </c>
      <c r="N609" s="6" t="s">
        <v>1496</v>
      </c>
      <c r="O609" s="5" t="s">
        <v>639</v>
      </c>
      <c r="P609" s="5" t="s">
        <v>1098</v>
      </c>
      <c r="R609" s="8">
        <f t="shared" ref="R609:R614" si="9">13515599</f>
        <v>13515599</v>
      </c>
      <c r="S609" s="5" t="s">
        <v>240</v>
      </c>
      <c r="T609" s="5" t="s">
        <v>237</v>
      </c>
      <c r="U609" s="5" t="s">
        <v>238</v>
      </c>
      <c r="V609" s="5" t="s">
        <v>238</v>
      </c>
      <c r="W609" s="5" t="s">
        <v>241</v>
      </c>
      <c r="X609" s="5" t="s">
        <v>276</v>
      </c>
      <c r="Y609" s="5" t="s">
        <v>238</v>
      </c>
      <c r="AB609" s="5" t="s">
        <v>238</v>
      </c>
      <c r="AD609" s="6" t="s">
        <v>238</v>
      </c>
      <c r="AG609" s="6" t="s">
        <v>246</v>
      </c>
      <c r="AH609" s="5" t="s">
        <v>247</v>
      </c>
      <c r="AI609" s="5" t="s">
        <v>248</v>
      </c>
      <c r="AY609" s="5" t="s">
        <v>250</v>
      </c>
      <c r="AZ609" s="5" t="s">
        <v>238</v>
      </c>
      <c r="BA609" s="5" t="s">
        <v>251</v>
      </c>
      <c r="BB609" s="5" t="s">
        <v>238</v>
      </c>
      <c r="BC609" s="5" t="s">
        <v>253</v>
      </c>
      <c r="BD609" s="5" t="s">
        <v>238</v>
      </c>
      <c r="BF609" s="5" t="s">
        <v>238</v>
      </c>
      <c r="BH609" s="5" t="s">
        <v>254</v>
      </c>
      <c r="BI609" s="6" t="s">
        <v>246</v>
      </c>
      <c r="BJ609" s="5" t="s">
        <v>255</v>
      </c>
      <c r="BK609" s="5" t="s">
        <v>256</v>
      </c>
      <c r="BL609" s="5" t="s">
        <v>238</v>
      </c>
      <c r="BM609" s="7">
        <f>0</f>
        <v>0</v>
      </c>
      <c r="BN609" s="8">
        <f>0</f>
        <v>0</v>
      </c>
      <c r="BO609" s="5" t="s">
        <v>257</v>
      </c>
      <c r="BP609" s="5" t="s">
        <v>258</v>
      </c>
      <c r="CD609" s="5" t="s">
        <v>238</v>
      </c>
      <c r="CE609" s="5" t="s">
        <v>238</v>
      </c>
      <c r="CI609" s="5" t="s">
        <v>527</v>
      </c>
      <c r="CJ609" s="5" t="s">
        <v>260</v>
      </c>
      <c r="CK609" s="5" t="s">
        <v>238</v>
      </c>
      <c r="CM609" s="5" t="s">
        <v>1097</v>
      </c>
      <c r="CN609" s="6" t="s">
        <v>262</v>
      </c>
      <c r="CO609" s="5" t="s">
        <v>263</v>
      </c>
      <c r="CP609" s="5" t="s">
        <v>264</v>
      </c>
      <c r="CQ609" s="5" t="s">
        <v>238</v>
      </c>
      <c r="CR609" s="5" t="s">
        <v>238</v>
      </c>
      <c r="CS609" s="5">
        <v>0</v>
      </c>
      <c r="CT609" s="5" t="s">
        <v>265</v>
      </c>
      <c r="CU609" s="5" t="s">
        <v>1360</v>
      </c>
      <c r="CV609" s="5" t="s">
        <v>2508</v>
      </c>
      <c r="CX609" s="8">
        <f t="shared" ref="CX609:CX614" si="10">13515600</f>
        <v>13515600</v>
      </c>
      <c r="CY609" s="8">
        <f>0</f>
        <v>0</v>
      </c>
      <c r="DA609" s="5" t="s">
        <v>238</v>
      </c>
      <c r="DB609" s="5" t="s">
        <v>238</v>
      </c>
      <c r="DD609" s="5" t="s">
        <v>238</v>
      </c>
      <c r="DG609" s="5" t="s">
        <v>238</v>
      </c>
      <c r="DH609" s="5" t="s">
        <v>238</v>
      </c>
      <c r="DI609" s="5" t="s">
        <v>238</v>
      </c>
      <c r="DJ609" s="5" t="s">
        <v>238</v>
      </c>
      <c r="DK609" s="5" t="s">
        <v>271</v>
      </c>
      <c r="DL609" s="5" t="s">
        <v>272</v>
      </c>
      <c r="DM609" s="7">
        <f t="shared" ref="DM609:DM614" si="11">128.72</f>
        <v>128.72</v>
      </c>
      <c r="DN609" s="5" t="s">
        <v>238</v>
      </c>
      <c r="DO609" s="5" t="s">
        <v>238</v>
      </c>
      <c r="DP609" s="5" t="s">
        <v>238</v>
      </c>
      <c r="DQ609" s="5" t="s">
        <v>238</v>
      </c>
      <c r="DT609" s="5" t="s">
        <v>2779</v>
      </c>
      <c r="DU609" s="5" t="s">
        <v>271</v>
      </c>
      <c r="HM609" s="5" t="s">
        <v>271</v>
      </c>
      <c r="HP609" s="5" t="s">
        <v>272</v>
      </c>
      <c r="HQ609" s="5" t="s">
        <v>272</v>
      </c>
    </row>
    <row r="610" spans="1:238" x14ac:dyDescent="0.4">
      <c r="A610" s="5">
        <v>685</v>
      </c>
      <c r="B610" s="5">
        <v>1</v>
      </c>
      <c r="C610" s="5">
        <v>1</v>
      </c>
      <c r="D610" s="5" t="s">
        <v>2777</v>
      </c>
      <c r="E610" s="5" t="s">
        <v>277</v>
      </c>
      <c r="F610" s="5" t="s">
        <v>282</v>
      </c>
      <c r="G610" s="5" t="s">
        <v>2491</v>
      </c>
      <c r="H610" s="6" t="s">
        <v>2778</v>
      </c>
      <c r="I610" s="5" t="s">
        <v>2482</v>
      </c>
      <c r="J610" s="7">
        <f t="shared" si="7"/>
        <v>128.72</v>
      </c>
      <c r="K610" s="5" t="s">
        <v>270</v>
      </c>
      <c r="L610" s="8">
        <f>1</f>
        <v>1</v>
      </c>
      <c r="M610" s="8">
        <f t="shared" si="8"/>
        <v>13515600</v>
      </c>
      <c r="N610" s="6" t="s">
        <v>1496</v>
      </c>
      <c r="O610" s="5" t="s">
        <v>639</v>
      </c>
      <c r="P610" s="5" t="s">
        <v>1098</v>
      </c>
      <c r="R610" s="8">
        <f t="shared" si="9"/>
        <v>13515599</v>
      </c>
      <c r="S610" s="5" t="s">
        <v>240</v>
      </c>
      <c r="T610" s="5" t="s">
        <v>237</v>
      </c>
      <c r="U610" s="5" t="s">
        <v>238</v>
      </c>
      <c r="V610" s="5" t="s">
        <v>238</v>
      </c>
      <c r="W610" s="5" t="s">
        <v>241</v>
      </c>
      <c r="X610" s="5" t="s">
        <v>276</v>
      </c>
      <c r="Y610" s="5" t="s">
        <v>238</v>
      </c>
      <c r="AB610" s="5" t="s">
        <v>238</v>
      </c>
      <c r="AD610" s="6" t="s">
        <v>238</v>
      </c>
      <c r="AG610" s="6" t="s">
        <v>246</v>
      </c>
      <c r="AH610" s="5" t="s">
        <v>247</v>
      </c>
      <c r="AI610" s="5" t="s">
        <v>248</v>
      </c>
      <c r="AY610" s="5" t="s">
        <v>250</v>
      </c>
      <c r="AZ610" s="5" t="s">
        <v>238</v>
      </c>
      <c r="BA610" s="5" t="s">
        <v>251</v>
      </c>
      <c r="BB610" s="5" t="s">
        <v>238</v>
      </c>
      <c r="BC610" s="5" t="s">
        <v>253</v>
      </c>
      <c r="BD610" s="5" t="s">
        <v>238</v>
      </c>
      <c r="BF610" s="5" t="s">
        <v>238</v>
      </c>
      <c r="BH610" s="5" t="s">
        <v>859</v>
      </c>
      <c r="BI610" s="6" t="s">
        <v>368</v>
      </c>
      <c r="BJ610" s="5" t="s">
        <v>255</v>
      </c>
      <c r="BK610" s="5" t="s">
        <v>256</v>
      </c>
      <c r="BL610" s="5" t="s">
        <v>238</v>
      </c>
      <c r="BM610" s="7">
        <f>0</f>
        <v>0</v>
      </c>
      <c r="BN610" s="8">
        <f>0</f>
        <v>0</v>
      </c>
      <c r="BO610" s="5" t="s">
        <v>257</v>
      </c>
      <c r="BP610" s="5" t="s">
        <v>258</v>
      </c>
      <c r="CD610" s="5" t="s">
        <v>238</v>
      </c>
      <c r="CE610" s="5" t="s">
        <v>238</v>
      </c>
      <c r="CI610" s="5" t="s">
        <v>527</v>
      </c>
      <c r="CJ610" s="5" t="s">
        <v>260</v>
      </c>
      <c r="CK610" s="5" t="s">
        <v>238</v>
      </c>
      <c r="CM610" s="5" t="s">
        <v>1097</v>
      </c>
      <c r="CN610" s="6" t="s">
        <v>262</v>
      </c>
      <c r="CO610" s="5" t="s">
        <v>263</v>
      </c>
      <c r="CP610" s="5" t="s">
        <v>264</v>
      </c>
      <c r="CQ610" s="5" t="s">
        <v>238</v>
      </c>
      <c r="CR610" s="5" t="s">
        <v>238</v>
      </c>
      <c r="CS610" s="5">
        <v>0</v>
      </c>
      <c r="CT610" s="5" t="s">
        <v>265</v>
      </c>
      <c r="CU610" s="5" t="s">
        <v>1360</v>
      </c>
      <c r="CV610" s="5" t="s">
        <v>2508</v>
      </c>
      <c r="CX610" s="8">
        <f t="shared" si="10"/>
        <v>13515600</v>
      </c>
      <c r="CY610" s="8">
        <f>0</f>
        <v>0</v>
      </c>
      <c r="DA610" s="5" t="s">
        <v>238</v>
      </c>
      <c r="DB610" s="5" t="s">
        <v>238</v>
      </c>
      <c r="DD610" s="5" t="s">
        <v>238</v>
      </c>
      <c r="DG610" s="5" t="s">
        <v>238</v>
      </c>
      <c r="DH610" s="5" t="s">
        <v>238</v>
      </c>
      <c r="DI610" s="5" t="s">
        <v>238</v>
      </c>
      <c r="DJ610" s="5" t="s">
        <v>238</v>
      </c>
      <c r="DK610" s="5" t="s">
        <v>271</v>
      </c>
      <c r="DL610" s="5" t="s">
        <v>272</v>
      </c>
      <c r="DM610" s="7">
        <f t="shared" si="11"/>
        <v>128.72</v>
      </c>
      <c r="DN610" s="5" t="s">
        <v>238</v>
      </c>
      <c r="DO610" s="5" t="s">
        <v>238</v>
      </c>
      <c r="DP610" s="5" t="s">
        <v>238</v>
      </c>
      <c r="DQ610" s="5" t="s">
        <v>238</v>
      </c>
      <c r="DT610" s="5" t="s">
        <v>2779</v>
      </c>
      <c r="DU610" s="5" t="s">
        <v>274</v>
      </c>
      <c r="HM610" s="5" t="s">
        <v>271</v>
      </c>
      <c r="HP610" s="5" t="s">
        <v>272</v>
      </c>
      <c r="HQ610" s="5" t="s">
        <v>272</v>
      </c>
    </row>
    <row r="611" spans="1:238" x14ac:dyDescent="0.4">
      <c r="A611" s="5">
        <v>686</v>
      </c>
      <c r="B611" s="5">
        <v>1</v>
      </c>
      <c r="C611" s="5">
        <v>1</v>
      </c>
      <c r="D611" s="5" t="s">
        <v>2777</v>
      </c>
      <c r="E611" s="5" t="s">
        <v>277</v>
      </c>
      <c r="F611" s="5" t="s">
        <v>282</v>
      </c>
      <c r="G611" s="5" t="s">
        <v>2491</v>
      </c>
      <c r="H611" s="6" t="s">
        <v>2778</v>
      </c>
      <c r="I611" s="5" t="s">
        <v>2482</v>
      </c>
      <c r="J611" s="7">
        <f t="shared" si="7"/>
        <v>128.72</v>
      </c>
      <c r="K611" s="5" t="s">
        <v>270</v>
      </c>
      <c r="L611" s="8">
        <f>1</f>
        <v>1</v>
      </c>
      <c r="M611" s="8">
        <f t="shared" si="8"/>
        <v>13515600</v>
      </c>
      <c r="N611" s="6" t="s">
        <v>1496</v>
      </c>
      <c r="O611" s="5" t="s">
        <v>639</v>
      </c>
      <c r="P611" s="5" t="s">
        <v>1098</v>
      </c>
      <c r="R611" s="8">
        <f t="shared" si="9"/>
        <v>13515599</v>
      </c>
      <c r="S611" s="5" t="s">
        <v>240</v>
      </c>
      <c r="T611" s="5" t="s">
        <v>237</v>
      </c>
      <c r="U611" s="5" t="s">
        <v>238</v>
      </c>
      <c r="V611" s="5" t="s">
        <v>238</v>
      </c>
      <c r="W611" s="5" t="s">
        <v>241</v>
      </c>
      <c r="X611" s="5" t="s">
        <v>276</v>
      </c>
      <c r="Y611" s="5" t="s">
        <v>238</v>
      </c>
      <c r="AB611" s="5" t="s">
        <v>238</v>
      </c>
      <c r="AD611" s="6" t="s">
        <v>238</v>
      </c>
      <c r="AG611" s="6" t="s">
        <v>246</v>
      </c>
      <c r="AH611" s="5" t="s">
        <v>247</v>
      </c>
      <c r="AI611" s="5" t="s">
        <v>248</v>
      </c>
      <c r="AY611" s="5" t="s">
        <v>250</v>
      </c>
      <c r="AZ611" s="5" t="s">
        <v>238</v>
      </c>
      <c r="BA611" s="5" t="s">
        <v>251</v>
      </c>
      <c r="BB611" s="5" t="s">
        <v>238</v>
      </c>
      <c r="BC611" s="5" t="s">
        <v>253</v>
      </c>
      <c r="BD611" s="5" t="s">
        <v>238</v>
      </c>
      <c r="BF611" s="5" t="s">
        <v>238</v>
      </c>
      <c r="BH611" s="5" t="s">
        <v>697</v>
      </c>
      <c r="BI611" s="6" t="s">
        <v>698</v>
      </c>
      <c r="BJ611" s="5" t="s">
        <v>255</v>
      </c>
      <c r="BK611" s="5" t="s">
        <v>256</v>
      </c>
      <c r="BL611" s="5" t="s">
        <v>238</v>
      </c>
      <c r="BM611" s="7">
        <f>0</f>
        <v>0</v>
      </c>
      <c r="BN611" s="8">
        <f>0</f>
        <v>0</v>
      </c>
      <c r="BO611" s="5" t="s">
        <v>257</v>
      </c>
      <c r="BP611" s="5" t="s">
        <v>258</v>
      </c>
      <c r="CD611" s="5" t="s">
        <v>238</v>
      </c>
      <c r="CE611" s="5" t="s">
        <v>238</v>
      </c>
      <c r="CI611" s="5" t="s">
        <v>527</v>
      </c>
      <c r="CJ611" s="5" t="s">
        <v>260</v>
      </c>
      <c r="CK611" s="5" t="s">
        <v>238</v>
      </c>
      <c r="CM611" s="5" t="s">
        <v>1097</v>
      </c>
      <c r="CN611" s="6" t="s">
        <v>262</v>
      </c>
      <c r="CO611" s="5" t="s">
        <v>263</v>
      </c>
      <c r="CP611" s="5" t="s">
        <v>264</v>
      </c>
      <c r="CQ611" s="5" t="s">
        <v>238</v>
      </c>
      <c r="CR611" s="5" t="s">
        <v>238</v>
      </c>
      <c r="CS611" s="5">
        <v>0</v>
      </c>
      <c r="CT611" s="5" t="s">
        <v>265</v>
      </c>
      <c r="CU611" s="5" t="s">
        <v>1360</v>
      </c>
      <c r="CV611" s="5" t="s">
        <v>2508</v>
      </c>
      <c r="CX611" s="8">
        <f t="shared" si="10"/>
        <v>13515600</v>
      </c>
      <c r="CY611" s="8">
        <f>0</f>
        <v>0</v>
      </c>
      <c r="DA611" s="5" t="s">
        <v>238</v>
      </c>
      <c r="DB611" s="5" t="s">
        <v>238</v>
      </c>
      <c r="DD611" s="5" t="s">
        <v>238</v>
      </c>
      <c r="DG611" s="5" t="s">
        <v>238</v>
      </c>
      <c r="DH611" s="5" t="s">
        <v>238</v>
      </c>
      <c r="DI611" s="5" t="s">
        <v>238</v>
      </c>
      <c r="DJ611" s="5" t="s">
        <v>238</v>
      </c>
      <c r="DK611" s="5" t="s">
        <v>271</v>
      </c>
      <c r="DL611" s="5" t="s">
        <v>272</v>
      </c>
      <c r="DM611" s="7">
        <f t="shared" si="11"/>
        <v>128.72</v>
      </c>
      <c r="DN611" s="5" t="s">
        <v>238</v>
      </c>
      <c r="DO611" s="5" t="s">
        <v>238</v>
      </c>
      <c r="DP611" s="5" t="s">
        <v>238</v>
      </c>
      <c r="DQ611" s="5" t="s">
        <v>238</v>
      </c>
      <c r="DT611" s="5" t="s">
        <v>2779</v>
      </c>
      <c r="DU611" s="5" t="s">
        <v>356</v>
      </c>
      <c r="HM611" s="5" t="s">
        <v>271</v>
      </c>
      <c r="HP611" s="5" t="s">
        <v>272</v>
      </c>
      <c r="HQ611" s="5" t="s">
        <v>272</v>
      </c>
    </row>
    <row r="612" spans="1:238" x14ac:dyDescent="0.4">
      <c r="A612" s="5">
        <v>687</v>
      </c>
      <c r="B612" s="5">
        <v>1</v>
      </c>
      <c r="C612" s="5">
        <v>1</v>
      </c>
      <c r="D612" s="5" t="s">
        <v>2777</v>
      </c>
      <c r="E612" s="5" t="s">
        <v>277</v>
      </c>
      <c r="F612" s="5" t="s">
        <v>282</v>
      </c>
      <c r="G612" s="5" t="s">
        <v>2491</v>
      </c>
      <c r="H612" s="6" t="s">
        <v>2778</v>
      </c>
      <c r="I612" s="5" t="s">
        <v>2482</v>
      </c>
      <c r="J612" s="7">
        <f t="shared" si="7"/>
        <v>128.72</v>
      </c>
      <c r="K612" s="5" t="s">
        <v>270</v>
      </c>
      <c r="L612" s="8">
        <f>1</f>
        <v>1</v>
      </c>
      <c r="M612" s="8">
        <f t="shared" si="8"/>
        <v>13515600</v>
      </c>
      <c r="N612" s="6" t="s">
        <v>1494</v>
      </c>
      <c r="O612" s="5" t="s">
        <v>639</v>
      </c>
      <c r="P612" s="5" t="s">
        <v>1017</v>
      </c>
      <c r="R612" s="8">
        <f t="shared" si="9"/>
        <v>13515599</v>
      </c>
      <c r="S612" s="5" t="s">
        <v>240</v>
      </c>
      <c r="T612" s="5" t="s">
        <v>237</v>
      </c>
      <c r="U612" s="5" t="s">
        <v>238</v>
      </c>
      <c r="V612" s="5" t="s">
        <v>238</v>
      </c>
      <c r="W612" s="5" t="s">
        <v>241</v>
      </c>
      <c r="X612" s="5" t="s">
        <v>276</v>
      </c>
      <c r="Y612" s="5" t="s">
        <v>238</v>
      </c>
      <c r="AB612" s="5" t="s">
        <v>238</v>
      </c>
      <c r="AD612" s="6" t="s">
        <v>238</v>
      </c>
      <c r="AG612" s="6" t="s">
        <v>246</v>
      </c>
      <c r="AH612" s="5" t="s">
        <v>247</v>
      </c>
      <c r="AI612" s="5" t="s">
        <v>248</v>
      </c>
      <c r="AY612" s="5" t="s">
        <v>250</v>
      </c>
      <c r="AZ612" s="5" t="s">
        <v>238</v>
      </c>
      <c r="BA612" s="5" t="s">
        <v>251</v>
      </c>
      <c r="BB612" s="5" t="s">
        <v>238</v>
      </c>
      <c r="BC612" s="5" t="s">
        <v>253</v>
      </c>
      <c r="BD612" s="5" t="s">
        <v>238</v>
      </c>
      <c r="BF612" s="5" t="s">
        <v>238</v>
      </c>
      <c r="BH612" s="5" t="s">
        <v>798</v>
      </c>
      <c r="BI612" s="6" t="s">
        <v>799</v>
      </c>
      <c r="BJ612" s="5" t="s">
        <v>255</v>
      </c>
      <c r="BK612" s="5" t="s">
        <v>256</v>
      </c>
      <c r="BL612" s="5" t="s">
        <v>238</v>
      </c>
      <c r="BM612" s="7">
        <f>0</f>
        <v>0</v>
      </c>
      <c r="BN612" s="8">
        <f>0</f>
        <v>0</v>
      </c>
      <c r="BO612" s="5" t="s">
        <v>257</v>
      </c>
      <c r="BP612" s="5" t="s">
        <v>258</v>
      </c>
      <c r="CD612" s="5" t="s">
        <v>238</v>
      </c>
      <c r="CE612" s="5" t="s">
        <v>238</v>
      </c>
      <c r="CI612" s="5" t="s">
        <v>527</v>
      </c>
      <c r="CJ612" s="5" t="s">
        <v>260</v>
      </c>
      <c r="CK612" s="5" t="s">
        <v>238</v>
      </c>
      <c r="CM612" s="5" t="s">
        <v>1016</v>
      </c>
      <c r="CN612" s="6" t="s">
        <v>262</v>
      </c>
      <c r="CO612" s="5" t="s">
        <v>263</v>
      </c>
      <c r="CP612" s="5" t="s">
        <v>264</v>
      </c>
      <c r="CQ612" s="5" t="s">
        <v>238</v>
      </c>
      <c r="CR612" s="5" t="s">
        <v>238</v>
      </c>
      <c r="CS612" s="5">
        <v>0</v>
      </c>
      <c r="CT612" s="5" t="s">
        <v>265</v>
      </c>
      <c r="CU612" s="5" t="s">
        <v>1360</v>
      </c>
      <c r="CV612" s="5" t="s">
        <v>2508</v>
      </c>
      <c r="CX612" s="8">
        <f t="shared" si="10"/>
        <v>13515600</v>
      </c>
      <c r="CY612" s="8">
        <f>0</f>
        <v>0</v>
      </c>
      <c r="DA612" s="5" t="s">
        <v>238</v>
      </c>
      <c r="DB612" s="5" t="s">
        <v>238</v>
      </c>
      <c r="DD612" s="5" t="s">
        <v>238</v>
      </c>
      <c r="DG612" s="5" t="s">
        <v>238</v>
      </c>
      <c r="DH612" s="5" t="s">
        <v>238</v>
      </c>
      <c r="DI612" s="5" t="s">
        <v>238</v>
      </c>
      <c r="DJ612" s="5" t="s">
        <v>238</v>
      </c>
      <c r="DK612" s="5" t="s">
        <v>271</v>
      </c>
      <c r="DL612" s="5" t="s">
        <v>272</v>
      </c>
      <c r="DM612" s="7">
        <f t="shared" si="11"/>
        <v>128.72</v>
      </c>
      <c r="DN612" s="5" t="s">
        <v>238</v>
      </c>
      <c r="DO612" s="5" t="s">
        <v>238</v>
      </c>
      <c r="DP612" s="5" t="s">
        <v>238</v>
      </c>
      <c r="DQ612" s="5" t="s">
        <v>238</v>
      </c>
      <c r="DT612" s="5" t="s">
        <v>2779</v>
      </c>
      <c r="DU612" s="5" t="s">
        <v>310</v>
      </c>
      <c r="HM612" s="5" t="s">
        <v>271</v>
      </c>
      <c r="HP612" s="5" t="s">
        <v>272</v>
      </c>
      <c r="HQ612" s="5" t="s">
        <v>272</v>
      </c>
    </row>
    <row r="613" spans="1:238" x14ac:dyDescent="0.4">
      <c r="A613" s="5">
        <v>688</v>
      </c>
      <c r="B613" s="5">
        <v>1</v>
      </c>
      <c r="C613" s="5">
        <v>1</v>
      </c>
      <c r="D613" s="5" t="s">
        <v>2777</v>
      </c>
      <c r="E613" s="5" t="s">
        <v>277</v>
      </c>
      <c r="F613" s="5" t="s">
        <v>282</v>
      </c>
      <c r="G613" s="5" t="s">
        <v>2491</v>
      </c>
      <c r="H613" s="6" t="s">
        <v>2778</v>
      </c>
      <c r="I613" s="5" t="s">
        <v>2482</v>
      </c>
      <c r="J613" s="7">
        <f t="shared" si="7"/>
        <v>128.72</v>
      </c>
      <c r="K613" s="5" t="s">
        <v>270</v>
      </c>
      <c r="L613" s="8">
        <f>1</f>
        <v>1</v>
      </c>
      <c r="M613" s="8">
        <f t="shared" si="8"/>
        <v>13515600</v>
      </c>
      <c r="N613" s="6" t="s">
        <v>1494</v>
      </c>
      <c r="O613" s="5" t="s">
        <v>639</v>
      </c>
      <c r="P613" s="5" t="s">
        <v>1017</v>
      </c>
      <c r="R613" s="8">
        <f t="shared" si="9"/>
        <v>13515599</v>
      </c>
      <c r="S613" s="5" t="s">
        <v>240</v>
      </c>
      <c r="T613" s="5" t="s">
        <v>237</v>
      </c>
      <c r="U613" s="5" t="s">
        <v>238</v>
      </c>
      <c r="V613" s="5" t="s">
        <v>238</v>
      </c>
      <c r="W613" s="5" t="s">
        <v>241</v>
      </c>
      <c r="X613" s="5" t="s">
        <v>276</v>
      </c>
      <c r="Y613" s="5" t="s">
        <v>238</v>
      </c>
      <c r="AB613" s="5" t="s">
        <v>238</v>
      </c>
      <c r="AD613" s="6" t="s">
        <v>238</v>
      </c>
      <c r="AG613" s="6" t="s">
        <v>246</v>
      </c>
      <c r="AH613" s="5" t="s">
        <v>247</v>
      </c>
      <c r="AI613" s="5" t="s">
        <v>248</v>
      </c>
      <c r="AY613" s="5" t="s">
        <v>250</v>
      </c>
      <c r="AZ613" s="5" t="s">
        <v>238</v>
      </c>
      <c r="BA613" s="5" t="s">
        <v>251</v>
      </c>
      <c r="BB613" s="5" t="s">
        <v>238</v>
      </c>
      <c r="BC613" s="5" t="s">
        <v>253</v>
      </c>
      <c r="BD613" s="5" t="s">
        <v>238</v>
      </c>
      <c r="BF613" s="5" t="s">
        <v>238</v>
      </c>
      <c r="BH613" s="5" t="s">
        <v>254</v>
      </c>
      <c r="BI613" s="6" t="s">
        <v>246</v>
      </c>
      <c r="BJ613" s="5" t="s">
        <v>255</v>
      </c>
      <c r="BK613" s="5" t="s">
        <v>256</v>
      </c>
      <c r="BL613" s="5" t="s">
        <v>238</v>
      </c>
      <c r="BM613" s="7">
        <f>0</f>
        <v>0</v>
      </c>
      <c r="BN613" s="8">
        <f>0</f>
        <v>0</v>
      </c>
      <c r="BO613" s="5" t="s">
        <v>257</v>
      </c>
      <c r="BP613" s="5" t="s">
        <v>258</v>
      </c>
      <c r="CD613" s="5" t="s">
        <v>238</v>
      </c>
      <c r="CE613" s="5" t="s">
        <v>238</v>
      </c>
      <c r="CI613" s="5" t="s">
        <v>527</v>
      </c>
      <c r="CJ613" s="5" t="s">
        <v>260</v>
      </c>
      <c r="CK613" s="5" t="s">
        <v>238</v>
      </c>
      <c r="CM613" s="5" t="s">
        <v>1016</v>
      </c>
      <c r="CN613" s="6" t="s">
        <v>262</v>
      </c>
      <c r="CO613" s="5" t="s">
        <v>263</v>
      </c>
      <c r="CP613" s="5" t="s">
        <v>264</v>
      </c>
      <c r="CQ613" s="5" t="s">
        <v>238</v>
      </c>
      <c r="CR613" s="5" t="s">
        <v>238</v>
      </c>
      <c r="CS613" s="5">
        <v>0</v>
      </c>
      <c r="CT613" s="5" t="s">
        <v>265</v>
      </c>
      <c r="CU613" s="5" t="s">
        <v>1360</v>
      </c>
      <c r="CV613" s="5" t="s">
        <v>2508</v>
      </c>
      <c r="CX613" s="8">
        <f t="shared" si="10"/>
        <v>13515600</v>
      </c>
      <c r="CY613" s="8">
        <f>0</f>
        <v>0</v>
      </c>
      <c r="DA613" s="5" t="s">
        <v>238</v>
      </c>
      <c r="DB613" s="5" t="s">
        <v>238</v>
      </c>
      <c r="DD613" s="5" t="s">
        <v>238</v>
      </c>
      <c r="DG613" s="5" t="s">
        <v>238</v>
      </c>
      <c r="DH613" s="5" t="s">
        <v>238</v>
      </c>
      <c r="DI613" s="5" t="s">
        <v>238</v>
      </c>
      <c r="DJ613" s="5" t="s">
        <v>238</v>
      </c>
      <c r="DK613" s="5" t="s">
        <v>271</v>
      </c>
      <c r="DL613" s="5" t="s">
        <v>272</v>
      </c>
      <c r="DM613" s="7">
        <f t="shared" si="11"/>
        <v>128.72</v>
      </c>
      <c r="DN613" s="5" t="s">
        <v>238</v>
      </c>
      <c r="DO613" s="5" t="s">
        <v>238</v>
      </c>
      <c r="DP613" s="5" t="s">
        <v>238</v>
      </c>
      <c r="DQ613" s="5" t="s">
        <v>238</v>
      </c>
      <c r="DT613" s="5" t="s">
        <v>2779</v>
      </c>
      <c r="DU613" s="5" t="s">
        <v>379</v>
      </c>
      <c r="HM613" s="5" t="s">
        <v>271</v>
      </c>
      <c r="HP613" s="5" t="s">
        <v>272</v>
      </c>
      <c r="HQ613" s="5" t="s">
        <v>272</v>
      </c>
    </row>
    <row r="614" spans="1:238" x14ac:dyDescent="0.4">
      <c r="A614" s="5">
        <v>689</v>
      </c>
      <c r="B614" s="5">
        <v>1</v>
      </c>
      <c r="C614" s="5">
        <v>1</v>
      </c>
      <c r="D614" s="5" t="s">
        <v>2777</v>
      </c>
      <c r="E614" s="5" t="s">
        <v>277</v>
      </c>
      <c r="F614" s="5" t="s">
        <v>282</v>
      </c>
      <c r="G614" s="5" t="s">
        <v>2491</v>
      </c>
      <c r="H614" s="6" t="s">
        <v>2778</v>
      </c>
      <c r="I614" s="5" t="s">
        <v>2482</v>
      </c>
      <c r="J614" s="7">
        <f t="shared" si="7"/>
        <v>128.72</v>
      </c>
      <c r="K614" s="5" t="s">
        <v>270</v>
      </c>
      <c r="L614" s="8">
        <f>1</f>
        <v>1</v>
      </c>
      <c r="M614" s="8">
        <f t="shared" si="8"/>
        <v>13515600</v>
      </c>
      <c r="N614" s="6" t="s">
        <v>1494</v>
      </c>
      <c r="O614" s="5" t="s">
        <v>639</v>
      </c>
      <c r="P614" s="5" t="s">
        <v>1017</v>
      </c>
      <c r="R614" s="8">
        <f t="shared" si="9"/>
        <v>13515599</v>
      </c>
      <c r="S614" s="5" t="s">
        <v>240</v>
      </c>
      <c r="T614" s="5" t="s">
        <v>237</v>
      </c>
      <c r="U614" s="5" t="s">
        <v>238</v>
      </c>
      <c r="V614" s="5" t="s">
        <v>238</v>
      </c>
      <c r="W614" s="5" t="s">
        <v>241</v>
      </c>
      <c r="X614" s="5" t="s">
        <v>276</v>
      </c>
      <c r="Y614" s="5" t="s">
        <v>238</v>
      </c>
      <c r="AB614" s="5" t="s">
        <v>238</v>
      </c>
      <c r="AD614" s="6" t="s">
        <v>238</v>
      </c>
      <c r="AG614" s="6" t="s">
        <v>246</v>
      </c>
      <c r="AH614" s="5" t="s">
        <v>247</v>
      </c>
      <c r="AI614" s="5" t="s">
        <v>248</v>
      </c>
      <c r="AY614" s="5" t="s">
        <v>250</v>
      </c>
      <c r="AZ614" s="5" t="s">
        <v>238</v>
      </c>
      <c r="BA614" s="5" t="s">
        <v>251</v>
      </c>
      <c r="BB614" s="5" t="s">
        <v>238</v>
      </c>
      <c r="BC614" s="5" t="s">
        <v>253</v>
      </c>
      <c r="BD614" s="5" t="s">
        <v>238</v>
      </c>
      <c r="BF614" s="5" t="s">
        <v>238</v>
      </c>
      <c r="BH614" s="5" t="s">
        <v>859</v>
      </c>
      <c r="BI614" s="6" t="s">
        <v>368</v>
      </c>
      <c r="BJ614" s="5" t="s">
        <v>255</v>
      </c>
      <c r="BK614" s="5" t="s">
        <v>256</v>
      </c>
      <c r="BL614" s="5" t="s">
        <v>238</v>
      </c>
      <c r="BM614" s="7">
        <f>0</f>
        <v>0</v>
      </c>
      <c r="BN614" s="8">
        <f>0</f>
        <v>0</v>
      </c>
      <c r="BO614" s="5" t="s">
        <v>257</v>
      </c>
      <c r="BP614" s="5" t="s">
        <v>258</v>
      </c>
      <c r="CD614" s="5" t="s">
        <v>238</v>
      </c>
      <c r="CE614" s="5" t="s">
        <v>238</v>
      </c>
      <c r="CI614" s="5" t="s">
        <v>527</v>
      </c>
      <c r="CJ614" s="5" t="s">
        <v>260</v>
      </c>
      <c r="CK614" s="5" t="s">
        <v>238</v>
      </c>
      <c r="CM614" s="5" t="s">
        <v>1016</v>
      </c>
      <c r="CN614" s="6" t="s">
        <v>262</v>
      </c>
      <c r="CO614" s="5" t="s">
        <v>263</v>
      </c>
      <c r="CP614" s="5" t="s">
        <v>264</v>
      </c>
      <c r="CQ614" s="5" t="s">
        <v>238</v>
      </c>
      <c r="CR614" s="5" t="s">
        <v>238</v>
      </c>
      <c r="CS614" s="5">
        <v>0</v>
      </c>
      <c r="CT614" s="5" t="s">
        <v>265</v>
      </c>
      <c r="CU614" s="5" t="s">
        <v>1360</v>
      </c>
      <c r="CV614" s="5" t="s">
        <v>2508</v>
      </c>
      <c r="CX614" s="8">
        <f t="shared" si="10"/>
        <v>13515600</v>
      </c>
      <c r="CY614" s="8">
        <f>0</f>
        <v>0</v>
      </c>
      <c r="DA614" s="5" t="s">
        <v>238</v>
      </c>
      <c r="DB614" s="5" t="s">
        <v>238</v>
      </c>
      <c r="DD614" s="5" t="s">
        <v>238</v>
      </c>
      <c r="DG614" s="5" t="s">
        <v>238</v>
      </c>
      <c r="DH614" s="5" t="s">
        <v>238</v>
      </c>
      <c r="DI614" s="5" t="s">
        <v>238</v>
      </c>
      <c r="DJ614" s="5" t="s">
        <v>238</v>
      </c>
      <c r="DK614" s="5" t="s">
        <v>271</v>
      </c>
      <c r="DL614" s="5" t="s">
        <v>272</v>
      </c>
      <c r="DM614" s="7">
        <f t="shared" si="11"/>
        <v>128.72</v>
      </c>
      <c r="DN614" s="5" t="s">
        <v>238</v>
      </c>
      <c r="DO614" s="5" t="s">
        <v>238</v>
      </c>
      <c r="DP614" s="5" t="s">
        <v>238</v>
      </c>
      <c r="DQ614" s="5" t="s">
        <v>238</v>
      </c>
      <c r="DT614" s="5" t="s">
        <v>2779</v>
      </c>
      <c r="DU614" s="5" t="s">
        <v>313</v>
      </c>
      <c r="HM614" s="5" t="s">
        <v>271</v>
      </c>
      <c r="HP614" s="5" t="s">
        <v>272</v>
      </c>
      <c r="HQ614" s="5" t="s">
        <v>272</v>
      </c>
    </row>
    <row r="615" spans="1:238" x14ac:dyDescent="0.4">
      <c r="A615" s="5">
        <v>690</v>
      </c>
      <c r="B615" s="5">
        <v>1</v>
      </c>
      <c r="C615" s="5">
        <v>4</v>
      </c>
      <c r="D615" s="5" t="s">
        <v>2738</v>
      </c>
      <c r="E615" s="5" t="s">
        <v>277</v>
      </c>
      <c r="F615" s="5" t="s">
        <v>282</v>
      </c>
      <c r="G615" s="5" t="s">
        <v>2485</v>
      </c>
      <c r="H615" s="6" t="s">
        <v>2739</v>
      </c>
      <c r="I615" s="5" t="s">
        <v>2495</v>
      </c>
      <c r="J615" s="7">
        <f>498</f>
        <v>498</v>
      </c>
      <c r="K615" s="5" t="s">
        <v>270</v>
      </c>
      <c r="L615" s="8">
        <f>16055520</f>
        <v>16055520</v>
      </c>
      <c r="M615" s="8">
        <f>77190000</f>
        <v>77190000</v>
      </c>
      <c r="N615" s="6" t="s">
        <v>687</v>
      </c>
      <c r="O615" s="5" t="s">
        <v>898</v>
      </c>
      <c r="P615" s="5" t="s">
        <v>755</v>
      </c>
      <c r="Q615" s="8">
        <f>1698180</f>
        <v>1698180</v>
      </c>
      <c r="R615" s="8">
        <f>61134480</f>
        <v>61134480</v>
      </c>
      <c r="S615" s="5" t="s">
        <v>240</v>
      </c>
      <c r="T615" s="5" t="s">
        <v>237</v>
      </c>
      <c r="U615" s="5" t="s">
        <v>238</v>
      </c>
      <c r="V615" s="5" t="s">
        <v>238</v>
      </c>
      <c r="W615" s="5" t="s">
        <v>241</v>
      </c>
      <c r="X615" s="5" t="s">
        <v>276</v>
      </c>
      <c r="Y615" s="5" t="s">
        <v>238</v>
      </c>
      <c r="AB615" s="5" t="s">
        <v>238</v>
      </c>
      <c r="AC615" s="6" t="s">
        <v>238</v>
      </c>
      <c r="AD615" s="6" t="s">
        <v>238</v>
      </c>
      <c r="AF615" s="6" t="s">
        <v>238</v>
      </c>
      <c r="AG615" s="6" t="s">
        <v>368</v>
      </c>
      <c r="AH615" s="5" t="s">
        <v>247</v>
      </c>
      <c r="AI615" s="5" t="s">
        <v>248</v>
      </c>
      <c r="AO615" s="5" t="s">
        <v>238</v>
      </c>
      <c r="AP615" s="5" t="s">
        <v>238</v>
      </c>
      <c r="AQ615" s="5" t="s">
        <v>238</v>
      </c>
      <c r="AR615" s="6" t="s">
        <v>238</v>
      </c>
      <c r="AS615" s="6" t="s">
        <v>238</v>
      </c>
      <c r="AT615" s="6" t="s">
        <v>238</v>
      </c>
      <c r="AW615" s="5" t="s">
        <v>304</v>
      </c>
      <c r="AX615" s="5" t="s">
        <v>304</v>
      </c>
      <c r="AY615" s="5" t="s">
        <v>250</v>
      </c>
      <c r="AZ615" s="5" t="s">
        <v>305</v>
      </c>
      <c r="BA615" s="5" t="s">
        <v>251</v>
      </c>
      <c r="BB615" s="5" t="s">
        <v>238</v>
      </c>
      <c r="BC615" s="5" t="s">
        <v>253</v>
      </c>
      <c r="BD615" s="5" t="s">
        <v>238</v>
      </c>
      <c r="BF615" s="5" t="s">
        <v>238</v>
      </c>
      <c r="BH615" s="5" t="s">
        <v>283</v>
      </c>
      <c r="BI615" s="6" t="s">
        <v>293</v>
      </c>
      <c r="BJ615" s="5" t="s">
        <v>294</v>
      </c>
      <c r="BK615" s="5" t="s">
        <v>294</v>
      </c>
      <c r="BL615" s="5" t="s">
        <v>238</v>
      </c>
      <c r="BM615" s="7">
        <f>0</f>
        <v>0</v>
      </c>
      <c r="BN615" s="8">
        <f>-1698180</f>
        <v>-1698180</v>
      </c>
      <c r="BO615" s="5" t="s">
        <v>257</v>
      </c>
      <c r="BP615" s="5" t="s">
        <v>258</v>
      </c>
      <c r="BQ615" s="5" t="s">
        <v>238</v>
      </c>
      <c r="BR615" s="5" t="s">
        <v>238</v>
      </c>
      <c r="BS615" s="5" t="s">
        <v>238</v>
      </c>
      <c r="BT615" s="5" t="s">
        <v>238</v>
      </c>
      <c r="CC615" s="5" t="s">
        <v>258</v>
      </c>
      <c r="CD615" s="5" t="s">
        <v>238</v>
      </c>
      <c r="CE615" s="5" t="s">
        <v>238</v>
      </c>
      <c r="CI615" s="5" t="s">
        <v>259</v>
      </c>
      <c r="CJ615" s="5" t="s">
        <v>260</v>
      </c>
      <c r="CK615" s="5" t="s">
        <v>238</v>
      </c>
      <c r="CM615" s="5" t="s">
        <v>689</v>
      </c>
      <c r="CN615" s="6" t="s">
        <v>262</v>
      </c>
      <c r="CO615" s="5" t="s">
        <v>263</v>
      </c>
      <c r="CP615" s="5" t="s">
        <v>264</v>
      </c>
      <c r="CQ615" s="5" t="s">
        <v>285</v>
      </c>
      <c r="CR615" s="5" t="s">
        <v>238</v>
      </c>
      <c r="CS615" s="5">
        <v>2.1999999999999999E-2</v>
      </c>
      <c r="CT615" s="5" t="s">
        <v>265</v>
      </c>
      <c r="CU615" s="5" t="s">
        <v>1360</v>
      </c>
      <c r="CV615" s="5" t="s">
        <v>308</v>
      </c>
      <c r="CW615" s="7">
        <f>0</f>
        <v>0</v>
      </c>
      <c r="CX615" s="8">
        <f>77190000</f>
        <v>77190000</v>
      </c>
      <c r="CY615" s="8">
        <f>17753700</f>
        <v>17753700</v>
      </c>
      <c r="DA615" s="5" t="s">
        <v>238</v>
      </c>
      <c r="DB615" s="5" t="s">
        <v>238</v>
      </c>
      <c r="DD615" s="5" t="s">
        <v>238</v>
      </c>
      <c r="DE615" s="8">
        <f>0</f>
        <v>0</v>
      </c>
      <c r="DG615" s="5" t="s">
        <v>238</v>
      </c>
      <c r="DH615" s="5" t="s">
        <v>238</v>
      </c>
      <c r="DI615" s="5" t="s">
        <v>238</v>
      </c>
      <c r="DJ615" s="5" t="s">
        <v>238</v>
      </c>
      <c r="DK615" s="5" t="s">
        <v>356</v>
      </c>
      <c r="DL615" s="5" t="s">
        <v>272</v>
      </c>
      <c r="DM615" s="7">
        <f>498</f>
        <v>498</v>
      </c>
      <c r="DN615" s="5" t="s">
        <v>238</v>
      </c>
      <c r="DO615" s="5" t="s">
        <v>238</v>
      </c>
      <c r="DP615" s="5" t="s">
        <v>238</v>
      </c>
      <c r="DQ615" s="5" t="s">
        <v>238</v>
      </c>
      <c r="DT615" s="5" t="s">
        <v>2740</v>
      </c>
      <c r="DU615" s="5" t="s">
        <v>271</v>
      </c>
      <c r="GL615" s="5" t="s">
        <v>2743</v>
      </c>
      <c r="HM615" s="5" t="s">
        <v>313</v>
      </c>
      <c r="HP615" s="5" t="s">
        <v>272</v>
      </c>
      <c r="HQ615" s="5" t="s">
        <v>272</v>
      </c>
      <c r="HR615" s="5" t="s">
        <v>238</v>
      </c>
      <c r="HS615" s="5" t="s">
        <v>238</v>
      </c>
      <c r="HT615" s="5" t="s">
        <v>238</v>
      </c>
      <c r="HU615" s="5" t="s">
        <v>238</v>
      </c>
      <c r="HV615" s="5" t="s">
        <v>238</v>
      </c>
      <c r="HW615" s="5" t="s">
        <v>238</v>
      </c>
      <c r="HX615" s="5" t="s">
        <v>238</v>
      </c>
      <c r="HY615" s="5" t="s">
        <v>238</v>
      </c>
      <c r="HZ615" s="5" t="s">
        <v>238</v>
      </c>
      <c r="IA615" s="5" t="s">
        <v>238</v>
      </c>
      <c r="IB615" s="5" t="s">
        <v>238</v>
      </c>
      <c r="IC615" s="5" t="s">
        <v>238</v>
      </c>
      <c r="ID615" s="5" t="s">
        <v>238</v>
      </c>
    </row>
    <row r="616" spans="1:238" x14ac:dyDescent="0.4">
      <c r="A616" s="5">
        <v>691</v>
      </c>
      <c r="B616" s="5">
        <v>1</v>
      </c>
      <c r="C616" s="5">
        <v>4</v>
      </c>
      <c r="D616" s="5" t="s">
        <v>2738</v>
      </c>
      <c r="E616" s="5" t="s">
        <v>277</v>
      </c>
      <c r="F616" s="5" t="s">
        <v>282</v>
      </c>
      <c r="G616" s="5" t="s">
        <v>2485</v>
      </c>
      <c r="H616" s="6" t="s">
        <v>2739</v>
      </c>
      <c r="I616" s="5" t="s">
        <v>2505</v>
      </c>
      <c r="J616" s="7">
        <f>996</f>
        <v>996</v>
      </c>
      <c r="K616" s="5" t="s">
        <v>270</v>
      </c>
      <c r="L616" s="8">
        <f>35507400</f>
        <v>35507400</v>
      </c>
      <c r="M616" s="8">
        <f>154380000</f>
        <v>154380000</v>
      </c>
      <c r="N616" s="6" t="s">
        <v>1532</v>
      </c>
      <c r="O616" s="5" t="s">
        <v>898</v>
      </c>
      <c r="P616" s="5" t="s">
        <v>309</v>
      </c>
      <c r="Q616" s="8">
        <f>3396360</f>
        <v>3396360</v>
      </c>
      <c r="R616" s="8">
        <f>118872600</f>
        <v>118872600</v>
      </c>
      <c r="S616" s="5" t="s">
        <v>240</v>
      </c>
      <c r="T616" s="5" t="s">
        <v>237</v>
      </c>
      <c r="U616" s="5" t="s">
        <v>238</v>
      </c>
      <c r="V616" s="5" t="s">
        <v>238</v>
      </c>
      <c r="W616" s="5" t="s">
        <v>241</v>
      </c>
      <c r="X616" s="5" t="s">
        <v>276</v>
      </c>
      <c r="Y616" s="5" t="s">
        <v>238</v>
      </c>
      <c r="AB616" s="5" t="s">
        <v>238</v>
      </c>
      <c r="AC616" s="6" t="s">
        <v>238</v>
      </c>
      <c r="AD616" s="6" t="s">
        <v>238</v>
      </c>
      <c r="AF616" s="6" t="s">
        <v>238</v>
      </c>
      <c r="AG616" s="6" t="s">
        <v>368</v>
      </c>
      <c r="AH616" s="5" t="s">
        <v>247</v>
      </c>
      <c r="AI616" s="5" t="s">
        <v>248</v>
      </c>
      <c r="AO616" s="5" t="s">
        <v>238</v>
      </c>
      <c r="AP616" s="5" t="s">
        <v>238</v>
      </c>
      <c r="AQ616" s="5" t="s">
        <v>238</v>
      </c>
      <c r="AR616" s="6" t="s">
        <v>238</v>
      </c>
      <c r="AS616" s="6" t="s">
        <v>238</v>
      </c>
      <c r="AT616" s="6" t="s">
        <v>238</v>
      </c>
      <c r="AW616" s="5" t="s">
        <v>304</v>
      </c>
      <c r="AX616" s="5" t="s">
        <v>304</v>
      </c>
      <c r="AY616" s="5" t="s">
        <v>250</v>
      </c>
      <c r="AZ616" s="5" t="s">
        <v>305</v>
      </c>
      <c r="BA616" s="5" t="s">
        <v>251</v>
      </c>
      <c r="BB616" s="5" t="s">
        <v>238</v>
      </c>
      <c r="BC616" s="5" t="s">
        <v>253</v>
      </c>
      <c r="BD616" s="5" t="s">
        <v>238</v>
      </c>
      <c r="BF616" s="5" t="s">
        <v>238</v>
      </c>
      <c r="BH616" s="5" t="s">
        <v>283</v>
      </c>
      <c r="BI616" s="6" t="s">
        <v>293</v>
      </c>
      <c r="BJ616" s="5" t="s">
        <v>294</v>
      </c>
      <c r="BK616" s="5" t="s">
        <v>294</v>
      </c>
      <c r="BL616" s="5" t="s">
        <v>238</v>
      </c>
      <c r="BM616" s="7">
        <f>0</f>
        <v>0</v>
      </c>
      <c r="BN616" s="8">
        <f>-3396360</f>
        <v>-3396360</v>
      </c>
      <c r="BO616" s="5" t="s">
        <v>257</v>
      </c>
      <c r="BP616" s="5" t="s">
        <v>258</v>
      </c>
      <c r="BQ616" s="5" t="s">
        <v>238</v>
      </c>
      <c r="BR616" s="5" t="s">
        <v>238</v>
      </c>
      <c r="BS616" s="5" t="s">
        <v>238</v>
      </c>
      <c r="BT616" s="5" t="s">
        <v>238</v>
      </c>
      <c r="CC616" s="5" t="s">
        <v>258</v>
      </c>
      <c r="CD616" s="5" t="s">
        <v>238</v>
      </c>
      <c r="CE616" s="5" t="s">
        <v>238</v>
      </c>
      <c r="CI616" s="5" t="s">
        <v>259</v>
      </c>
      <c r="CJ616" s="5" t="s">
        <v>260</v>
      </c>
      <c r="CK616" s="5" t="s">
        <v>238</v>
      </c>
      <c r="CM616" s="5" t="s">
        <v>306</v>
      </c>
      <c r="CN616" s="6" t="s">
        <v>262</v>
      </c>
      <c r="CO616" s="5" t="s">
        <v>263</v>
      </c>
      <c r="CP616" s="5" t="s">
        <v>264</v>
      </c>
      <c r="CQ616" s="5" t="s">
        <v>285</v>
      </c>
      <c r="CR616" s="5" t="s">
        <v>238</v>
      </c>
      <c r="CS616" s="5">
        <v>2.1999999999999999E-2</v>
      </c>
      <c r="CT616" s="5" t="s">
        <v>265</v>
      </c>
      <c r="CU616" s="5" t="s">
        <v>1360</v>
      </c>
      <c r="CV616" s="5" t="s">
        <v>308</v>
      </c>
      <c r="CW616" s="7">
        <f>0</f>
        <v>0</v>
      </c>
      <c r="CX616" s="8">
        <f>154380000</f>
        <v>154380000</v>
      </c>
      <c r="CY616" s="8">
        <f>38903760</f>
        <v>38903760</v>
      </c>
      <c r="DA616" s="5" t="s">
        <v>238</v>
      </c>
      <c r="DB616" s="5" t="s">
        <v>238</v>
      </c>
      <c r="DD616" s="5" t="s">
        <v>238</v>
      </c>
      <c r="DE616" s="8">
        <f>0</f>
        <v>0</v>
      </c>
      <c r="DG616" s="5" t="s">
        <v>238</v>
      </c>
      <c r="DH616" s="5" t="s">
        <v>238</v>
      </c>
      <c r="DI616" s="5" t="s">
        <v>238</v>
      </c>
      <c r="DJ616" s="5" t="s">
        <v>238</v>
      </c>
      <c r="DK616" s="5" t="s">
        <v>356</v>
      </c>
      <c r="DL616" s="5" t="s">
        <v>272</v>
      </c>
      <c r="DM616" s="7">
        <f>996</f>
        <v>996</v>
      </c>
      <c r="DN616" s="5" t="s">
        <v>238</v>
      </c>
      <c r="DO616" s="5" t="s">
        <v>238</v>
      </c>
      <c r="DP616" s="5" t="s">
        <v>238</v>
      </c>
      <c r="DQ616" s="5" t="s">
        <v>238</v>
      </c>
      <c r="DT616" s="5" t="s">
        <v>2740</v>
      </c>
      <c r="DU616" s="5" t="s">
        <v>274</v>
      </c>
      <c r="GL616" s="5" t="s">
        <v>2742</v>
      </c>
      <c r="HM616" s="5" t="s">
        <v>313</v>
      </c>
      <c r="HP616" s="5" t="s">
        <v>272</v>
      </c>
      <c r="HQ616" s="5" t="s">
        <v>272</v>
      </c>
      <c r="HR616" s="5" t="s">
        <v>238</v>
      </c>
      <c r="HS616" s="5" t="s">
        <v>238</v>
      </c>
      <c r="HT616" s="5" t="s">
        <v>238</v>
      </c>
      <c r="HU616" s="5" t="s">
        <v>238</v>
      </c>
      <c r="HV616" s="5" t="s">
        <v>238</v>
      </c>
      <c r="HW616" s="5" t="s">
        <v>238</v>
      </c>
      <c r="HX616" s="5" t="s">
        <v>238</v>
      </c>
      <c r="HY616" s="5" t="s">
        <v>238</v>
      </c>
      <c r="HZ616" s="5" t="s">
        <v>238</v>
      </c>
      <c r="IA616" s="5" t="s">
        <v>238</v>
      </c>
      <c r="IB616" s="5" t="s">
        <v>238</v>
      </c>
      <c r="IC616" s="5" t="s">
        <v>238</v>
      </c>
      <c r="ID616" s="5" t="s">
        <v>238</v>
      </c>
    </row>
    <row r="617" spans="1:238" x14ac:dyDescent="0.4">
      <c r="A617" s="5">
        <v>692</v>
      </c>
      <c r="B617" s="5">
        <v>1</v>
      </c>
      <c r="C617" s="5">
        <v>4</v>
      </c>
      <c r="D617" s="5" t="s">
        <v>2738</v>
      </c>
      <c r="E617" s="5" t="s">
        <v>277</v>
      </c>
      <c r="F617" s="5" t="s">
        <v>282</v>
      </c>
      <c r="G617" s="5" t="s">
        <v>2485</v>
      </c>
      <c r="H617" s="6" t="s">
        <v>2739</v>
      </c>
      <c r="I617" s="5" t="s">
        <v>2504</v>
      </c>
      <c r="J617" s="7">
        <f>995.88</f>
        <v>995.88</v>
      </c>
      <c r="K617" s="5" t="s">
        <v>270</v>
      </c>
      <c r="L617" s="8">
        <f>32107200</f>
        <v>32107200</v>
      </c>
      <c r="M617" s="8">
        <f>154361400</f>
        <v>154361400</v>
      </c>
      <c r="N617" s="6" t="s">
        <v>687</v>
      </c>
      <c r="O617" s="5" t="s">
        <v>898</v>
      </c>
      <c r="P617" s="5" t="s">
        <v>755</v>
      </c>
      <c r="Q617" s="8">
        <f>3395950</f>
        <v>3395950</v>
      </c>
      <c r="R617" s="8">
        <f>122254200</f>
        <v>122254200</v>
      </c>
      <c r="S617" s="5" t="s">
        <v>240</v>
      </c>
      <c r="T617" s="5" t="s">
        <v>237</v>
      </c>
      <c r="U617" s="5" t="s">
        <v>238</v>
      </c>
      <c r="V617" s="5" t="s">
        <v>238</v>
      </c>
      <c r="W617" s="5" t="s">
        <v>241</v>
      </c>
      <c r="X617" s="5" t="s">
        <v>276</v>
      </c>
      <c r="Y617" s="5" t="s">
        <v>238</v>
      </c>
      <c r="AB617" s="5" t="s">
        <v>238</v>
      </c>
      <c r="AC617" s="6" t="s">
        <v>238</v>
      </c>
      <c r="AD617" s="6" t="s">
        <v>238</v>
      </c>
      <c r="AF617" s="6" t="s">
        <v>238</v>
      </c>
      <c r="AG617" s="6" t="s">
        <v>368</v>
      </c>
      <c r="AH617" s="5" t="s">
        <v>247</v>
      </c>
      <c r="AI617" s="5" t="s">
        <v>248</v>
      </c>
      <c r="AO617" s="5" t="s">
        <v>238</v>
      </c>
      <c r="AP617" s="5" t="s">
        <v>238</v>
      </c>
      <c r="AQ617" s="5" t="s">
        <v>238</v>
      </c>
      <c r="AR617" s="6" t="s">
        <v>238</v>
      </c>
      <c r="AS617" s="6" t="s">
        <v>238</v>
      </c>
      <c r="AT617" s="6" t="s">
        <v>238</v>
      </c>
      <c r="AW617" s="5" t="s">
        <v>304</v>
      </c>
      <c r="AX617" s="5" t="s">
        <v>304</v>
      </c>
      <c r="AY617" s="5" t="s">
        <v>250</v>
      </c>
      <c r="AZ617" s="5" t="s">
        <v>305</v>
      </c>
      <c r="BA617" s="5" t="s">
        <v>251</v>
      </c>
      <c r="BB617" s="5" t="s">
        <v>238</v>
      </c>
      <c r="BC617" s="5" t="s">
        <v>253</v>
      </c>
      <c r="BD617" s="5" t="s">
        <v>238</v>
      </c>
      <c r="BF617" s="5" t="s">
        <v>238</v>
      </c>
      <c r="BH617" s="5" t="s">
        <v>283</v>
      </c>
      <c r="BI617" s="6" t="s">
        <v>293</v>
      </c>
      <c r="BJ617" s="5" t="s">
        <v>294</v>
      </c>
      <c r="BK617" s="5" t="s">
        <v>294</v>
      </c>
      <c r="BL617" s="5" t="s">
        <v>238</v>
      </c>
      <c r="BM617" s="7">
        <f>0</f>
        <v>0</v>
      </c>
      <c r="BN617" s="8">
        <f>-3395950</f>
        <v>-3395950</v>
      </c>
      <c r="BO617" s="5" t="s">
        <v>257</v>
      </c>
      <c r="BP617" s="5" t="s">
        <v>258</v>
      </c>
      <c r="BQ617" s="5" t="s">
        <v>238</v>
      </c>
      <c r="BR617" s="5" t="s">
        <v>238</v>
      </c>
      <c r="BS617" s="5" t="s">
        <v>238</v>
      </c>
      <c r="BT617" s="5" t="s">
        <v>238</v>
      </c>
      <c r="CC617" s="5" t="s">
        <v>258</v>
      </c>
      <c r="CD617" s="5" t="s">
        <v>238</v>
      </c>
      <c r="CE617" s="5" t="s">
        <v>238</v>
      </c>
      <c r="CI617" s="5" t="s">
        <v>259</v>
      </c>
      <c r="CJ617" s="5" t="s">
        <v>260</v>
      </c>
      <c r="CK617" s="5" t="s">
        <v>238</v>
      </c>
      <c r="CM617" s="5" t="s">
        <v>689</v>
      </c>
      <c r="CN617" s="6" t="s">
        <v>262</v>
      </c>
      <c r="CO617" s="5" t="s">
        <v>263</v>
      </c>
      <c r="CP617" s="5" t="s">
        <v>264</v>
      </c>
      <c r="CQ617" s="5" t="s">
        <v>285</v>
      </c>
      <c r="CR617" s="5" t="s">
        <v>238</v>
      </c>
      <c r="CS617" s="5">
        <v>2.1999999999999999E-2</v>
      </c>
      <c r="CT617" s="5" t="s">
        <v>265</v>
      </c>
      <c r="CU617" s="5" t="s">
        <v>1360</v>
      </c>
      <c r="CV617" s="5" t="s">
        <v>308</v>
      </c>
      <c r="CW617" s="7">
        <f>0</f>
        <v>0</v>
      </c>
      <c r="CX617" s="8">
        <f>154361400</f>
        <v>154361400</v>
      </c>
      <c r="CY617" s="8">
        <f>35503150</f>
        <v>35503150</v>
      </c>
      <c r="DA617" s="5" t="s">
        <v>238</v>
      </c>
      <c r="DB617" s="5" t="s">
        <v>238</v>
      </c>
      <c r="DD617" s="5" t="s">
        <v>238</v>
      </c>
      <c r="DE617" s="8">
        <f>0</f>
        <v>0</v>
      </c>
      <c r="DG617" s="5" t="s">
        <v>238</v>
      </c>
      <c r="DH617" s="5" t="s">
        <v>238</v>
      </c>
      <c r="DI617" s="5" t="s">
        <v>238</v>
      </c>
      <c r="DJ617" s="5" t="s">
        <v>238</v>
      </c>
      <c r="DK617" s="5" t="s">
        <v>356</v>
      </c>
      <c r="DL617" s="5" t="s">
        <v>272</v>
      </c>
      <c r="DM617" s="7">
        <f>995.88</f>
        <v>995.88</v>
      </c>
      <c r="DN617" s="5" t="s">
        <v>238</v>
      </c>
      <c r="DO617" s="5" t="s">
        <v>238</v>
      </c>
      <c r="DP617" s="5" t="s">
        <v>238</v>
      </c>
      <c r="DQ617" s="5" t="s">
        <v>238</v>
      </c>
      <c r="DT617" s="5" t="s">
        <v>2740</v>
      </c>
      <c r="DU617" s="5" t="s">
        <v>356</v>
      </c>
      <c r="GL617" s="5" t="s">
        <v>2741</v>
      </c>
      <c r="HM617" s="5" t="s">
        <v>313</v>
      </c>
      <c r="HP617" s="5" t="s">
        <v>272</v>
      </c>
      <c r="HQ617" s="5" t="s">
        <v>272</v>
      </c>
      <c r="HR617" s="5" t="s">
        <v>238</v>
      </c>
      <c r="HS617" s="5" t="s">
        <v>238</v>
      </c>
      <c r="HT617" s="5" t="s">
        <v>238</v>
      </c>
      <c r="HU617" s="5" t="s">
        <v>238</v>
      </c>
      <c r="HV617" s="5" t="s">
        <v>238</v>
      </c>
      <c r="HW617" s="5" t="s">
        <v>238</v>
      </c>
      <c r="HX617" s="5" t="s">
        <v>238</v>
      </c>
      <c r="HY617" s="5" t="s">
        <v>238</v>
      </c>
      <c r="HZ617" s="5" t="s">
        <v>238</v>
      </c>
      <c r="IA617" s="5" t="s">
        <v>238</v>
      </c>
      <c r="IB617" s="5" t="s">
        <v>238</v>
      </c>
      <c r="IC617" s="5" t="s">
        <v>238</v>
      </c>
      <c r="ID617" s="5" t="s">
        <v>238</v>
      </c>
    </row>
    <row r="618" spans="1:238" x14ac:dyDescent="0.4">
      <c r="A618" s="5">
        <v>695</v>
      </c>
      <c r="B618" s="5">
        <v>1</v>
      </c>
      <c r="C618" s="5">
        <v>1</v>
      </c>
      <c r="D618" s="5" t="s">
        <v>2865</v>
      </c>
      <c r="E618" s="5" t="s">
        <v>277</v>
      </c>
      <c r="F618" s="5" t="s">
        <v>282</v>
      </c>
      <c r="G618" s="5" t="s">
        <v>2491</v>
      </c>
      <c r="H618" s="6" t="s">
        <v>2867</v>
      </c>
      <c r="I618" s="5" t="s">
        <v>2504</v>
      </c>
      <c r="J618" s="7">
        <f>36.3</f>
        <v>36.299999999999997</v>
      </c>
      <c r="K618" s="5" t="s">
        <v>270</v>
      </c>
      <c r="L618" s="8">
        <f>1</f>
        <v>1</v>
      </c>
      <c r="M618" s="8">
        <f>3630000</f>
        <v>3630000</v>
      </c>
      <c r="N618" s="6" t="s">
        <v>2774</v>
      </c>
      <c r="O618" s="5" t="s">
        <v>286</v>
      </c>
      <c r="P618" s="5" t="s">
        <v>1884</v>
      </c>
      <c r="R618" s="8">
        <f>3629999</f>
        <v>3629999</v>
      </c>
      <c r="S618" s="5" t="s">
        <v>240</v>
      </c>
      <c r="T618" s="5" t="s">
        <v>237</v>
      </c>
      <c r="U618" s="5" t="s">
        <v>238</v>
      </c>
      <c r="V618" s="5" t="s">
        <v>238</v>
      </c>
      <c r="W618" s="5" t="s">
        <v>241</v>
      </c>
      <c r="X618" s="5" t="s">
        <v>276</v>
      </c>
      <c r="Y618" s="5" t="s">
        <v>238</v>
      </c>
      <c r="AB618" s="5" t="s">
        <v>238</v>
      </c>
      <c r="AD618" s="6" t="s">
        <v>238</v>
      </c>
      <c r="AG618" s="6" t="s">
        <v>401</v>
      </c>
      <c r="AH618" s="5" t="s">
        <v>247</v>
      </c>
      <c r="AI618" s="5" t="s">
        <v>248</v>
      </c>
      <c r="AY618" s="5" t="s">
        <v>250</v>
      </c>
      <c r="AZ618" s="5" t="s">
        <v>238</v>
      </c>
      <c r="BA618" s="5" t="s">
        <v>251</v>
      </c>
      <c r="BB618" s="5" t="s">
        <v>238</v>
      </c>
      <c r="BC618" s="5" t="s">
        <v>253</v>
      </c>
      <c r="BD618" s="5" t="s">
        <v>238</v>
      </c>
      <c r="BF618" s="5" t="s">
        <v>238</v>
      </c>
      <c r="BH618" s="5" t="s">
        <v>798</v>
      </c>
      <c r="BI618" s="6" t="s">
        <v>799</v>
      </c>
      <c r="BJ618" s="5" t="s">
        <v>255</v>
      </c>
      <c r="BK618" s="5" t="s">
        <v>256</v>
      </c>
      <c r="BL618" s="5" t="s">
        <v>238</v>
      </c>
      <c r="BM618" s="7">
        <f>0</f>
        <v>0</v>
      </c>
      <c r="BN618" s="8">
        <f>0</f>
        <v>0</v>
      </c>
      <c r="BO618" s="5" t="s">
        <v>257</v>
      </c>
      <c r="BP618" s="5" t="s">
        <v>258</v>
      </c>
      <c r="CD618" s="5" t="s">
        <v>238</v>
      </c>
      <c r="CE618" s="5" t="s">
        <v>238</v>
      </c>
      <c r="CI618" s="5" t="s">
        <v>527</v>
      </c>
      <c r="CJ618" s="5" t="s">
        <v>260</v>
      </c>
      <c r="CK618" s="5" t="s">
        <v>238</v>
      </c>
      <c r="CM618" s="5" t="s">
        <v>1588</v>
      </c>
      <c r="CN618" s="6" t="s">
        <v>262</v>
      </c>
      <c r="CO618" s="5" t="s">
        <v>263</v>
      </c>
      <c r="CP618" s="5" t="s">
        <v>264</v>
      </c>
      <c r="CQ618" s="5" t="s">
        <v>238</v>
      </c>
      <c r="CR618" s="5" t="s">
        <v>238</v>
      </c>
      <c r="CS618" s="5">
        <v>0</v>
      </c>
      <c r="CT618" s="5" t="s">
        <v>265</v>
      </c>
      <c r="CU618" s="5" t="s">
        <v>1360</v>
      </c>
      <c r="CV618" s="5" t="s">
        <v>267</v>
      </c>
      <c r="CX618" s="8">
        <f>3630000</f>
        <v>3630000</v>
      </c>
      <c r="CY618" s="8">
        <f>0</f>
        <v>0</v>
      </c>
      <c r="DA618" s="5" t="s">
        <v>238</v>
      </c>
      <c r="DB618" s="5" t="s">
        <v>238</v>
      </c>
      <c r="DD618" s="5" t="s">
        <v>238</v>
      </c>
      <c r="DG618" s="5" t="s">
        <v>238</v>
      </c>
      <c r="DH618" s="5" t="s">
        <v>238</v>
      </c>
      <c r="DI618" s="5" t="s">
        <v>238</v>
      </c>
      <c r="DJ618" s="5" t="s">
        <v>238</v>
      </c>
      <c r="DK618" s="5" t="s">
        <v>271</v>
      </c>
      <c r="DL618" s="5" t="s">
        <v>272</v>
      </c>
      <c r="DM618" s="7">
        <f>36.3</f>
        <v>36.299999999999997</v>
      </c>
      <c r="DN618" s="5" t="s">
        <v>238</v>
      </c>
      <c r="DO618" s="5" t="s">
        <v>238</v>
      </c>
      <c r="DP618" s="5" t="s">
        <v>238</v>
      </c>
      <c r="DQ618" s="5" t="s">
        <v>238</v>
      </c>
      <c r="DT618" s="5" t="s">
        <v>2868</v>
      </c>
      <c r="DU618" s="5" t="s">
        <v>356</v>
      </c>
      <c r="HM618" s="5" t="s">
        <v>271</v>
      </c>
      <c r="HP618" s="5" t="s">
        <v>272</v>
      </c>
      <c r="HQ618" s="5" t="s">
        <v>272</v>
      </c>
    </row>
    <row r="619" spans="1:238" x14ac:dyDescent="0.4">
      <c r="A619" s="5">
        <v>696</v>
      </c>
      <c r="B619" s="5">
        <v>1</v>
      </c>
      <c r="C619" s="5">
        <v>1</v>
      </c>
      <c r="D619" s="5" t="s">
        <v>2865</v>
      </c>
      <c r="E619" s="5" t="s">
        <v>277</v>
      </c>
      <c r="F619" s="5" t="s">
        <v>282</v>
      </c>
      <c r="G619" s="5" t="s">
        <v>2491</v>
      </c>
      <c r="H619" s="6" t="s">
        <v>2867</v>
      </c>
      <c r="I619" s="5" t="s">
        <v>2494</v>
      </c>
      <c r="J619" s="7">
        <f>36.3</f>
        <v>36.299999999999997</v>
      </c>
      <c r="K619" s="5" t="s">
        <v>270</v>
      </c>
      <c r="L619" s="8">
        <f>1</f>
        <v>1</v>
      </c>
      <c r="M619" s="8">
        <f>3630000</f>
        <v>3630000</v>
      </c>
      <c r="N619" s="6" t="s">
        <v>2774</v>
      </c>
      <c r="O619" s="5" t="s">
        <v>286</v>
      </c>
      <c r="P619" s="5" t="s">
        <v>1884</v>
      </c>
      <c r="R619" s="8">
        <f>3629999</f>
        <v>3629999</v>
      </c>
      <c r="S619" s="5" t="s">
        <v>240</v>
      </c>
      <c r="T619" s="5" t="s">
        <v>237</v>
      </c>
      <c r="U619" s="5" t="s">
        <v>238</v>
      </c>
      <c r="V619" s="5" t="s">
        <v>238</v>
      </c>
      <c r="W619" s="5" t="s">
        <v>241</v>
      </c>
      <c r="X619" s="5" t="s">
        <v>276</v>
      </c>
      <c r="Y619" s="5" t="s">
        <v>238</v>
      </c>
      <c r="AB619" s="5" t="s">
        <v>238</v>
      </c>
      <c r="AD619" s="6" t="s">
        <v>238</v>
      </c>
      <c r="AG619" s="6" t="s">
        <v>2866</v>
      </c>
      <c r="AH619" s="5" t="s">
        <v>247</v>
      </c>
      <c r="AI619" s="5" t="s">
        <v>248</v>
      </c>
      <c r="AY619" s="5" t="s">
        <v>250</v>
      </c>
      <c r="AZ619" s="5" t="s">
        <v>238</v>
      </c>
      <c r="BA619" s="5" t="s">
        <v>251</v>
      </c>
      <c r="BB619" s="5" t="s">
        <v>238</v>
      </c>
      <c r="BC619" s="5" t="s">
        <v>253</v>
      </c>
      <c r="BD619" s="5" t="s">
        <v>238</v>
      </c>
      <c r="BF619" s="5" t="s">
        <v>238</v>
      </c>
      <c r="BH619" s="5" t="s">
        <v>798</v>
      </c>
      <c r="BI619" s="6" t="s">
        <v>2866</v>
      </c>
      <c r="BJ619" s="5" t="s">
        <v>255</v>
      </c>
      <c r="BK619" s="5" t="s">
        <v>256</v>
      </c>
      <c r="BL619" s="5" t="s">
        <v>238</v>
      </c>
      <c r="BM619" s="7">
        <f>0</f>
        <v>0</v>
      </c>
      <c r="BN619" s="8">
        <f>0</f>
        <v>0</v>
      </c>
      <c r="BO619" s="5" t="s">
        <v>257</v>
      </c>
      <c r="BP619" s="5" t="s">
        <v>258</v>
      </c>
      <c r="CD619" s="5" t="s">
        <v>238</v>
      </c>
      <c r="CE619" s="5" t="s">
        <v>238</v>
      </c>
      <c r="CI619" s="5" t="s">
        <v>527</v>
      </c>
      <c r="CJ619" s="5" t="s">
        <v>260</v>
      </c>
      <c r="CK619" s="5" t="s">
        <v>238</v>
      </c>
      <c r="CM619" s="5" t="s">
        <v>1588</v>
      </c>
      <c r="CN619" s="6" t="s">
        <v>262</v>
      </c>
      <c r="CO619" s="5" t="s">
        <v>263</v>
      </c>
      <c r="CP619" s="5" t="s">
        <v>264</v>
      </c>
      <c r="CQ619" s="5" t="s">
        <v>238</v>
      </c>
      <c r="CR619" s="5" t="s">
        <v>238</v>
      </c>
      <c r="CS619" s="5">
        <v>0</v>
      </c>
      <c r="CT619" s="5" t="s">
        <v>265</v>
      </c>
      <c r="CU619" s="5" t="s">
        <v>1360</v>
      </c>
      <c r="CV619" s="5" t="s">
        <v>267</v>
      </c>
      <c r="CX619" s="8">
        <f>3630000</f>
        <v>3630000</v>
      </c>
      <c r="CY619" s="8">
        <f>0</f>
        <v>0</v>
      </c>
      <c r="DA619" s="5" t="s">
        <v>238</v>
      </c>
      <c r="DB619" s="5" t="s">
        <v>238</v>
      </c>
      <c r="DD619" s="5" t="s">
        <v>238</v>
      </c>
      <c r="DG619" s="5" t="s">
        <v>238</v>
      </c>
      <c r="DH619" s="5" t="s">
        <v>238</v>
      </c>
      <c r="DI619" s="5" t="s">
        <v>238</v>
      </c>
      <c r="DJ619" s="5" t="s">
        <v>238</v>
      </c>
      <c r="DK619" s="5" t="s">
        <v>271</v>
      </c>
      <c r="DL619" s="5" t="s">
        <v>272</v>
      </c>
      <c r="DM619" s="7">
        <f>36.3</f>
        <v>36.299999999999997</v>
      </c>
      <c r="DN619" s="5" t="s">
        <v>238</v>
      </c>
      <c r="DO619" s="5" t="s">
        <v>238</v>
      </c>
      <c r="DP619" s="5" t="s">
        <v>238</v>
      </c>
      <c r="DQ619" s="5" t="s">
        <v>238</v>
      </c>
      <c r="DT619" s="5" t="s">
        <v>2868</v>
      </c>
      <c r="DU619" s="5" t="s">
        <v>310</v>
      </c>
      <c r="HM619" s="5" t="s">
        <v>271</v>
      </c>
      <c r="HP619" s="5" t="s">
        <v>272</v>
      </c>
      <c r="HQ619" s="5" t="s">
        <v>272</v>
      </c>
    </row>
    <row r="620" spans="1:238" x14ac:dyDescent="0.4">
      <c r="A620" s="5">
        <v>697</v>
      </c>
      <c r="B620" s="5">
        <v>1</v>
      </c>
      <c r="C620" s="5">
        <v>1</v>
      </c>
      <c r="D620" s="5" t="s">
        <v>2865</v>
      </c>
      <c r="E620" s="5" t="s">
        <v>277</v>
      </c>
      <c r="F620" s="5" t="s">
        <v>282</v>
      </c>
      <c r="G620" s="5" t="s">
        <v>2491</v>
      </c>
      <c r="H620" s="6" t="s">
        <v>2867</v>
      </c>
      <c r="I620" s="5" t="s">
        <v>2489</v>
      </c>
      <c r="J620" s="7">
        <f>36.3</f>
        <v>36.299999999999997</v>
      </c>
      <c r="K620" s="5" t="s">
        <v>270</v>
      </c>
      <c r="L620" s="8">
        <f>1</f>
        <v>1</v>
      </c>
      <c r="M620" s="8">
        <f>3630000</f>
        <v>3630000</v>
      </c>
      <c r="N620" s="6" t="s">
        <v>2774</v>
      </c>
      <c r="O620" s="5" t="s">
        <v>286</v>
      </c>
      <c r="P620" s="5" t="s">
        <v>1884</v>
      </c>
      <c r="R620" s="8">
        <f>3629999</f>
        <v>3629999</v>
      </c>
      <c r="S620" s="5" t="s">
        <v>240</v>
      </c>
      <c r="T620" s="5" t="s">
        <v>237</v>
      </c>
      <c r="U620" s="5" t="s">
        <v>238</v>
      </c>
      <c r="V620" s="5" t="s">
        <v>238</v>
      </c>
      <c r="W620" s="5" t="s">
        <v>241</v>
      </c>
      <c r="X620" s="5" t="s">
        <v>276</v>
      </c>
      <c r="Y620" s="5" t="s">
        <v>238</v>
      </c>
      <c r="AB620" s="5" t="s">
        <v>238</v>
      </c>
      <c r="AD620" s="6" t="s">
        <v>238</v>
      </c>
      <c r="AG620" s="6" t="s">
        <v>2866</v>
      </c>
      <c r="AH620" s="5" t="s">
        <v>247</v>
      </c>
      <c r="AI620" s="5" t="s">
        <v>248</v>
      </c>
      <c r="AY620" s="5" t="s">
        <v>250</v>
      </c>
      <c r="AZ620" s="5" t="s">
        <v>238</v>
      </c>
      <c r="BA620" s="5" t="s">
        <v>251</v>
      </c>
      <c r="BB620" s="5" t="s">
        <v>238</v>
      </c>
      <c r="BC620" s="5" t="s">
        <v>253</v>
      </c>
      <c r="BD620" s="5" t="s">
        <v>238</v>
      </c>
      <c r="BF620" s="5" t="s">
        <v>238</v>
      </c>
      <c r="BH620" s="5" t="s">
        <v>798</v>
      </c>
      <c r="BI620" s="6" t="s">
        <v>799</v>
      </c>
      <c r="BJ620" s="5" t="s">
        <v>255</v>
      </c>
      <c r="BK620" s="5" t="s">
        <v>256</v>
      </c>
      <c r="BL620" s="5" t="s">
        <v>238</v>
      </c>
      <c r="BM620" s="7">
        <f>0</f>
        <v>0</v>
      </c>
      <c r="BN620" s="8">
        <f>0</f>
        <v>0</v>
      </c>
      <c r="BO620" s="5" t="s">
        <v>257</v>
      </c>
      <c r="BP620" s="5" t="s">
        <v>258</v>
      </c>
      <c r="CD620" s="5" t="s">
        <v>238</v>
      </c>
      <c r="CE620" s="5" t="s">
        <v>238</v>
      </c>
      <c r="CI620" s="5" t="s">
        <v>527</v>
      </c>
      <c r="CJ620" s="5" t="s">
        <v>260</v>
      </c>
      <c r="CK620" s="5" t="s">
        <v>238</v>
      </c>
      <c r="CM620" s="5" t="s">
        <v>1588</v>
      </c>
      <c r="CN620" s="6" t="s">
        <v>262</v>
      </c>
      <c r="CO620" s="5" t="s">
        <v>263</v>
      </c>
      <c r="CP620" s="5" t="s">
        <v>264</v>
      </c>
      <c r="CQ620" s="5" t="s">
        <v>238</v>
      </c>
      <c r="CR620" s="5" t="s">
        <v>238</v>
      </c>
      <c r="CS620" s="5">
        <v>0</v>
      </c>
      <c r="CT620" s="5" t="s">
        <v>265</v>
      </c>
      <c r="CU620" s="5" t="s">
        <v>1360</v>
      </c>
      <c r="CV620" s="5" t="s">
        <v>267</v>
      </c>
      <c r="CX620" s="8">
        <f>3630000</f>
        <v>3630000</v>
      </c>
      <c r="CY620" s="8">
        <f>0</f>
        <v>0</v>
      </c>
      <c r="DA620" s="5" t="s">
        <v>238</v>
      </c>
      <c r="DB620" s="5" t="s">
        <v>238</v>
      </c>
      <c r="DD620" s="5" t="s">
        <v>238</v>
      </c>
      <c r="DG620" s="5" t="s">
        <v>238</v>
      </c>
      <c r="DH620" s="5" t="s">
        <v>238</v>
      </c>
      <c r="DI620" s="5" t="s">
        <v>238</v>
      </c>
      <c r="DJ620" s="5" t="s">
        <v>238</v>
      </c>
      <c r="DK620" s="5" t="s">
        <v>271</v>
      </c>
      <c r="DL620" s="5" t="s">
        <v>272</v>
      </c>
      <c r="DM620" s="7">
        <f>36.3</f>
        <v>36.299999999999997</v>
      </c>
      <c r="DN620" s="5" t="s">
        <v>238</v>
      </c>
      <c r="DO620" s="5" t="s">
        <v>238</v>
      </c>
      <c r="DP620" s="5" t="s">
        <v>238</v>
      </c>
      <c r="DQ620" s="5" t="s">
        <v>238</v>
      </c>
      <c r="DT620" s="5" t="s">
        <v>2868</v>
      </c>
      <c r="DU620" s="5" t="s">
        <v>379</v>
      </c>
      <c r="HM620" s="5" t="s">
        <v>271</v>
      </c>
      <c r="HP620" s="5" t="s">
        <v>272</v>
      </c>
      <c r="HQ620" s="5" t="s">
        <v>272</v>
      </c>
    </row>
    <row r="621" spans="1:238" x14ac:dyDescent="0.4">
      <c r="A621" s="5">
        <v>698</v>
      </c>
      <c r="B621" s="5">
        <v>1</v>
      </c>
      <c r="C621" s="5">
        <v>1</v>
      </c>
      <c r="D621" s="5" t="s">
        <v>2773</v>
      </c>
      <c r="E621" s="5" t="s">
        <v>277</v>
      </c>
      <c r="F621" s="5" t="s">
        <v>282</v>
      </c>
      <c r="G621" s="5" t="s">
        <v>2491</v>
      </c>
      <c r="H621" s="6" t="s">
        <v>2775</v>
      </c>
      <c r="I621" s="5" t="s">
        <v>2495</v>
      </c>
      <c r="J621" s="7">
        <f t="shared" ref="J621:J636" si="12">29.7</f>
        <v>29.7</v>
      </c>
      <c r="K621" s="5" t="s">
        <v>270</v>
      </c>
      <c r="L621" s="8">
        <f>1</f>
        <v>1</v>
      </c>
      <c r="M621" s="8">
        <f t="shared" ref="M621:M636" si="13">2970000</f>
        <v>2970000</v>
      </c>
      <c r="N621" s="6" t="s">
        <v>2774</v>
      </c>
      <c r="O621" s="5" t="s">
        <v>286</v>
      </c>
      <c r="P621" s="5" t="s">
        <v>1884</v>
      </c>
      <c r="R621" s="8">
        <f t="shared" ref="R621:R636" si="14">2969999</f>
        <v>2969999</v>
      </c>
      <c r="S621" s="5" t="s">
        <v>240</v>
      </c>
      <c r="T621" s="5" t="s">
        <v>237</v>
      </c>
      <c r="U621" s="5" t="s">
        <v>238</v>
      </c>
      <c r="V621" s="5" t="s">
        <v>238</v>
      </c>
      <c r="W621" s="5" t="s">
        <v>241</v>
      </c>
      <c r="X621" s="5" t="s">
        <v>276</v>
      </c>
      <c r="Y621" s="5" t="s">
        <v>238</v>
      </c>
      <c r="AB621" s="5" t="s">
        <v>238</v>
      </c>
      <c r="AD621" s="6" t="s">
        <v>238</v>
      </c>
      <c r="AG621" s="6" t="s">
        <v>246</v>
      </c>
      <c r="AH621" s="5" t="s">
        <v>247</v>
      </c>
      <c r="AI621" s="5" t="s">
        <v>248</v>
      </c>
      <c r="AY621" s="5" t="s">
        <v>250</v>
      </c>
      <c r="AZ621" s="5" t="s">
        <v>238</v>
      </c>
      <c r="BA621" s="5" t="s">
        <v>251</v>
      </c>
      <c r="BB621" s="5" t="s">
        <v>238</v>
      </c>
      <c r="BC621" s="5" t="s">
        <v>253</v>
      </c>
      <c r="BD621" s="5" t="s">
        <v>238</v>
      </c>
      <c r="BF621" s="5" t="s">
        <v>238</v>
      </c>
      <c r="BH621" s="5" t="s">
        <v>254</v>
      </c>
      <c r="BI621" s="6" t="s">
        <v>246</v>
      </c>
      <c r="BJ621" s="5" t="s">
        <v>255</v>
      </c>
      <c r="BK621" s="5" t="s">
        <v>256</v>
      </c>
      <c r="BL621" s="5" t="s">
        <v>238</v>
      </c>
      <c r="BM621" s="7">
        <f>0</f>
        <v>0</v>
      </c>
      <c r="BN621" s="8">
        <f>0</f>
        <v>0</v>
      </c>
      <c r="BO621" s="5" t="s">
        <v>257</v>
      </c>
      <c r="BP621" s="5" t="s">
        <v>258</v>
      </c>
      <c r="CD621" s="5" t="s">
        <v>238</v>
      </c>
      <c r="CE621" s="5" t="s">
        <v>238</v>
      </c>
      <c r="CI621" s="5" t="s">
        <v>527</v>
      </c>
      <c r="CJ621" s="5" t="s">
        <v>260</v>
      </c>
      <c r="CK621" s="5" t="s">
        <v>238</v>
      </c>
      <c r="CM621" s="5" t="s">
        <v>1588</v>
      </c>
      <c r="CN621" s="6" t="s">
        <v>262</v>
      </c>
      <c r="CO621" s="5" t="s">
        <v>263</v>
      </c>
      <c r="CP621" s="5" t="s">
        <v>264</v>
      </c>
      <c r="CQ621" s="5" t="s">
        <v>238</v>
      </c>
      <c r="CR621" s="5" t="s">
        <v>238</v>
      </c>
      <c r="CS621" s="5">
        <v>0</v>
      </c>
      <c r="CT621" s="5" t="s">
        <v>265</v>
      </c>
      <c r="CU621" s="5" t="s">
        <v>1360</v>
      </c>
      <c r="CV621" s="5" t="s">
        <v>267</v>
      </c>
      <c r="CX621" s="8">
        <f t="shared" ref="CX621:CX636" si="15">2970000</f>
        <v>2970000</v>
      </c>
      <c r="CY621" s="8">
        <f>0</f>
        <v>0</v>
      </c>
      <c r="DA621" s="5" t="s">
        <v>238</v>
      </c>
      <c r="DB621" s="5" t="s">
        <v>238</v>
      </c>
      <c r="DD621" s="5" t="s">
        <v>238</v>
      </c>
      <c r="DG621" s="5" t="s">
        <v>238</v>
      </c>
      <c r="DH621" s="5" t="s">
        <v>238</v>
      </c>
      <c r="DI621" s="5" t="s">
        <v>238</v>
      </c>
      <c r="DJ621" s="5" t="s">
        <v>238</v>
      </c>
      <c r="DK621" s="5" t="s">
        <v>271</v>
      </c>
      <c r="DL621" s="5" t="s">
        <v>272</v>
      </c>
      <c r="DM621" s="7">
        <f t="shared" ref="DM621:DM636" si="16">29.7</f>
        <v>29.7</v>
      </c>
      <c r="DN621" s="5" t="s">
        <v>238</v>
      </c>
      <c r="DO621" s="5" t="s">
        <v>238</v>
      </c>
      <c r="DP621" s="5" t="s">
        <v>238</v>
      </c>
      <c r="DQ621" s="5" t="s">
        <v>238</v>
      </c>
      <c r="DT621" s="5" t="s">
        <v>2776</v>
      </c>
      <c r="DU621" s="5" t="s">
        <v>271</v>
      </c>
      <c r="HM621" s="5" t="s">
        <v>271</v>
      </c>
      <c r="HP621" s="5" t="s">
        <v>272</v>
      </c>
      <c r="HQ621" s="5" t="s">
        <v>272</v>
      </c>
    </row>
    <row r="622" spans="1:238" x14ac:dyDescent="0.4">
      <c r="A622" s="5">
        <v>699</v>
      </c>
      <c r="B622" s="5">
        <v>1</v>
      </c>
      <c r="C622" s="5">
        <v>1</v>
      </c>
      <c r="D622" s="5" t="s">
        <v>2773</v>
      </c>
      <c r="E622" s="5" t="s">
        <v>277</v>
      </c>
      <c r="F622" s="5" t="s">
        <v>282</v>
      </c>
      <c r="G622" s="5" t="s">
        <v>2491</v>
      </c>
      <c r="H622" s="6" t="s">
        <v>2775</v>
      </c>
      <c r="I622" s="5" t="s">
        <v>2505</v>
      </c>
      <c r="J622" s="7">
        <f t="shared" si="12"/>
        <v>29.7</v>
      </c>
      <c r="K622" s="5" t="s">
        <v>270</v>
      </c>
      <c r="L622" s="8">
        <f>1</f>
        <v>1</v>
      </c>
      <c r="M622" s="8">
        <f t="shared" si="13"/>
        <v>2970000</v>
      </c>
      <c r="N622" s="6" t="s">
        <v>2774</v>
      </c>
      <c r="O622" s="5" t="s">
        <v>286</v>
      </c>
      <c r="P622" s="5" t="s">
        <v>1884</v>
      </c>
      <c r="R622" s="8">
        <f t="shared" si="14"/>
        <v>2969999</v>
      </c>
      <c r="S622" s="5" t="s">
        <v>240</v>
      </c>
      <c r="T622" s="5" t="s">
        <v>237</v>
      </c>
      <c r="U622" s="5" t="s">
        <v>238</v>
      </c>
      <c r="V622" s="5" t="s">
        <v>238</v>
      </c>
      <c r="W622" s="5" t="s">
        <v>241</v>
      </c>
      <c r="X622" s="5" t="s">
        <v>276</v>
      </c>
      <c r="Y622" s="5" t="s">
        <v>238</v>
      </c>
      <c r="AB622" s="5" t="s">
        <v>238</v>
      </c>
      <c r="AD622" s="6" t="s">
        <v>238</v>
      </c>
      <c r="AG622" s="6" t="s">
        <v>246</v>
      </c>
      <c r="AH622" s="5" t="s">
        <v>247</v>
      </c>
      <c r="AI622" s="5" t="s">
        <v>248</v>
      </c>
      <c r="AY622" s="5" t="s">
        <v>250</v>
      </c>
      <c r="AZ622" s="5" t="s">
        <v>238</v>
      </c>
      <c r="BA622" s="5" t="s">
        <v>251</v>
      </c>
      <c r="BB622" s="5" t="s">
        <v>238</v>
      </c>
      <c r="BC622" s="5" t="s">
        <v>253</v>
      </c>
      <c r="BD622" s="5" t="s">
        <v>238</v>
      </c>
      <c r="BF622" s="5" t="s">
        <v>238</v>
      </c>
      <c r="BH622" s="5" t="s">
        <v>859</v>
      </c>
      <c r="BI622" s="6" t="s">
        <v>368</v>
      </c>
      <c r="BJ622" s="5" t="s">
        <v>255</v>
      </c>
      <c r="BK622" s="5" t="s">
        <v>256</v>
      </c>
      <c r="BL622" s="5" t="s">
        <v>238</v>
      </c>
      <c r="BM622" s="7">
        <f>0</f>
        <v>0</v>
      </c>
      <c r="BN622" s="8">
        <f>0</f>
        <v>0</v>
      </c>
      <c r="BO622" s="5" t="s">
        <v>257</v>
      </c>
      <c r="BP622" s="5" t="s">
        <v>258</v>
      </c>
      <c r="CD622" s="5" t="s">
        <v>238</v>
      </c>
      <c r="CE622" s="5" t="s">
        <v>238</v>
      </c>
      <c r="CI622" s="5" t="s">
        <v>527</v>
      </c>
      <c r="CJ622" s="5" t="s">
        <v>260</v>
      </c>
      <c r="CK622" s="5" t="s">
        <v>238</v>
      </c>
      <c r="CM622" s="5" t="s">
        <v>1588</v>
      </c>
      <c r="CN622" s="6" t="s">
        <v>262</v>
      </c>
      <c r="CO622" s="5" t="s">
        <v>263</v>
      </c>
      <c r="CP622" s="5" t="s">
        <v>264</v>
      </c>
      <c r="CQ622" s="5" t="s">
        <v>238</v>
      </c>
      <c r="CR622" s="5" t="s">
        <v>238</v>
      </c>
      <c r="CS622" s="5">
        <v>0</v>
      </c>
      <c r="CT622" s="5" t="s">
        <v>265</v>
      </c>
      <c r="CU622" s="5" t="s">
        <v>1360</v>
      </c>
      <c r="CV622" s="5" t="s">
        <v>267</v>
      </c>
      <c r="CX622" s="8">
        <f t="shared" si="15"/>
        <v>2970000</v>
      </c>
      <c r="CY622" s="8">
        <f>0</f>
        <v>0</v>
      </c>
      <c r="DA622" s="5" t="s">
        <v>238</v>
      </c>
      <c r="DB622" s="5" t="s">
        <v>238</v>
      </c>
      <c r="DD622" s="5" t="s">
        <v>238</v>
      </c>
      <c r="DG622" s="5" t="s">
        <v>238</v>
      </c>
      <c r="DH622" s="5" t="s">
        <v>238</v>
      </c>
      <c r="DI622" s="5" t="s">
        <v>238</v>
      </c>
      <c r="DJ622" s="5" t="s">
        <v>238</v>
      </c>
      <c r="DK622" s="5" t="s">
        <v>271</v>
      </c>
      <c r="DL622" s="5" t="s">
        <v>272</v>
      </c>
      <c r="DM622" s="7">
        <f t="shared" si="16"/>
        <v>29.7</v>
      </c>
      <c r="DN622" s="5" t="s">
        <v>238</v>
      </c>
      <c r="DO622" s="5" t="s">
        <v>238</v>
      </c>
      <c r="DP622" s="5" t="s">
        <v>238</v>
      </c>
      <c r="DQ622" s="5" t="s">
        <v>238</v>
      </c>
      <c r="DT622" s="5" t="s">
        <v>2776</v>
      </c>
      <c r="DU622" s="5" t="s">
        <v>274</v>
      </c>
      <c r="HM622" s="5" t="s">
        <v>271</v>
      </c>
      <c r="HP622" s="5" t="s">
        <v>272</v>
      </c>
      <c r="HQ622" s="5" t="s">
        <v>272</v>
      </c>
    </row>
    <row r="623" spans="1:238" x14ac:dyDescent="0.4">
      <c r="A623" s="5">
        <v>700</v>
      </c>
      <c r="B623" s="5">
        <v>1</v>
      </c>
      <c r="C623" s="5">
        <v>1</v>
      </c>
      <c r="D623" s="5" t="s">
        <v>2773</v>
      </c>
      <c r="E623" s="5" t="s">
        <v>277</v>
      </c>
      <c r="F623" s="5" t="s">
        <v>282</v>
      </c>
      <c r="G623" s="5" t="s">
        <v>2491</v>
      </c>
      <c r="H623" s="6" t="s">
        <v>2775</v>
      </c>
      <c r="I623" s="5" t="s">
        <v>2504</v>
      </c>
      <c r="J623" s="7">
        <f t="shared" si="12"/>
        <v>29.7</v>
      </c>
      <c r="K623" s="5" t="s">
        <v>270</v>
      </c>
      <c r="L623" s="8">
        <f>1</f>
        <v>1</v>
      </c>
      <c r="M623" s="8">
        <f t="shared" si="13"/>
        <v>2970000</v>
      </c>
      <c r="N623" s="6" t="s">
        <v>2774</v>
      </c>
      <c r="O623" s="5" t="s">
        <v>286</v>
      </c>
      <c r="P623" s="5" t="s">
        <v>1884</v>
      </c>
      <c r="R623" s="8">
        <f t="shared" si="14"/>
        <v>2969999</v>
      </c>
      <c r="S623" s="5" t="s">
        <v>240</v>
      </c>
      <c r="T623" s="5" t="s">
        <v>237</v>
      </c>
      <c r="U623" s="5" t="s">
        <v>238</v>
      </c>
      <c r="V623" s="5" t="s">
        <v>238</v>
      </c>
      <c r="W623" s="5" t="s">
        <v>241</v>
      </c>
      <c r="X623" s="5" t="s">
        <v>276</v>
      </c>
      <c r="Y623" s="5" t="s">
        <v>238</v>
      </c>
      <c r="AB623" s="5" t="s">
        <v>238</v>
      </c>
      <c r="AD623" s="6" t="s">
        <v>238</v>
      </c>
      <c r="AG623" s="6" t="s">
        <v>246</v>
      </c>
      <c r="AH623" s="5" t="s">
        <v>247</v>
      </c>
      <c r="AI623" s="5" t="s">
        <v>248</v>
      </c>
      <c r="AY623" s="5" t="s">
        <v>250</v>
      </c>
      <c r="AZ623" s="5" t="s">
        <v>238</v>
      </c>
      <c r="BA623" s="5" t="s">
        <v>251</v>
      </c>
      <c r="BB623" s="5" t="s">
        <v>238</v>
      </c>
      <c r="BC623" s="5" t="s">
        <v>253</v>
      </c>
      <c r="BD623" s="5" t="s">
        <v>238</v>
      </c>
      <c r="BF623" s="5" t="s">
        <v>238</v>
      </c>
      <c r="BH623" s="5" t="s">
        <v>697</v>
      </c>
      <c r="BI623" s="6" t="s">
        <v>698</v>
      </c>
      <c r="BJ623" s="5" t="s">
        <v>255</v>
      </c>
      <c r="BK623" s="5" t="s">
        <v>256</v>
      </c>
      <c r="BL623" s="5" t="s">
        <v>238</v>
      </c>
      <c r="BM623" s="7">
        <f>0</f>
        <v>0</v>
      </c>
      <c r="BN623" s="8">
        <f>0</f>
        <v>0</v>
      </c>
      <c r="BO623" s="5" t="s">
        <v>257</v>
      </c>
      <c r="BP623" s="5" t="s">
        <v>258</v>
      </c>
      <c r="CD623" s="5" t="s">
        <v>238</v>
      </c>
      <c r="CE623" s="5" t="s">
        <v>238</v>
      </c>
      <c r="CI623" s="5" t="s">
        <v>527</v>
      </c>
      <c r="CJ623" s="5" t="s">
        <v>260</v>
      </c>
      <c r="CK623" s="5" t="s">
        <v>238</v>
      </c>
      <c r="CM623" s="5" t="s">
        <v>1588</v>
      </c>
      <c r="CN623" s="6" t="s">
        <v>262</v>
      </c>
      <c r="CO623" s="5" t="s">
        <v>263</v>
      </c>
      <c r="CP623" s="5" t="s">
        <v>264</v>
      </c>
      <c r="CQ623" s="5" t="s">
        <v>238</v>
      </c>
      <c r="CR623" s="5" t="s">
        <v>238</v>
      </c>
      <c r="CS623" s="5">
        <v>0</v>
      </c>
      <c r="CT623" s="5" t="s">
        <v>265</v>
      </c>
      <c r="CU623" s="5" t="s">
        <v>1360</v>
      </c>
      <c r="CV623" s="5" t="s">
        <v>267</v>
      </c>
      <c r="CX623" s="8">
        <f t="shared" si="15"/>
        <v>2970000</v>
      </c>
      <c r="CY623" s="8">
        <f>0</f>
        <v>0</v>
      </c>
      <c r="DA623" s="5" t="s">
        <v>238</v>
      </c>
      <c r="DB623" s="5" t="s">
        <v>238</v>
      </c>
      <c r="DD623" s="5" t="s">
        <v>238</v>
      </c>
      <c r="DG623" s="5" t="s">
        <v>238</v>
      </c>
      <c r="DH623" s="5" t="s">
        <v>238</v>
      </c>
      <c r="DI623" s="5" t="s">
        <v>238</v>
      </c>
      <c r="DJ623" s="5" t="s">
        <v>238</v>
      </c>
      <c r="DK623" s="5" t="s">
        <v>271</v>
      </c>
      <c r="DL623" s="5" t="s">
        <v>272</v>
      </c>
      <c r="DM623" s="7">
        <f t="shared" si="16"/>
        <v>29.7</v>
      </c>
      <c r="DN623" s="5" t="s">
        <v>238</v>
      </c>
      <c r="DO623" s="5" t="s">
        <v>238</v>
      </c>
      <c r="DP623" s="5" t="s">
        <v>238</v>
      </c>
      <c r="DQ623" s="5" t="s">
        <v>238</v>
      </c>
      <c r="DT623" s="5" t="s">
        <v>2776</v>
      </c>
      <c r="DU623" s="5" t="s">
        <v>356</v>
      </c>
      <c r="HM623" s="5" t="s">
        <v>271</v>
      </c>
      <c r="HP623" s="5" t="s">
        <v>272</v>
      </c>
      <c r="HQ623" s="5" t="s">
        <v>272</v>
      </c>
    </row>
    <row r="624" spans="1:238" x14ac:dyDescent="0.4">
      <c r="A624" s="5">
        <v>701</v>
      </c>
      <c r="B624" s="5">
        <v>1</v>
      </c>
      <c r="C624" s="5">
        <v>1</v>
      </c>
      <c r="D624" s="5" t="s">
        <v>2773</v>
      </c>
      <c r="E624" s="5" t="s">
        <v>277</v>
      </c>
      <c r="F624" s="5" t="s">
        <v>282</v>
      </c>
      <c r="G624" s="5" t="s">
        <v>2491</v>
      </c>
      <c r="H624" s="6" t="s">
        <v>2775</v>
      </c>
      <c r="I624" s="5" t="s">
        <v>2494</v>
      </c>
      <c r="J624" s="7">
        <f t="shared" si="12"/>
        <v>29.7</v>
      </c>
      <c r="K624" s="5" t="s">
        <v>270</v>
      </c>
      <c r="L624" s="8">
        <f>1</f>
        <v>1</v>
      </c>
      <c r="M624" s="8">
        <f t="shared" si="13"/>
        <v>2970000</v>
      </c>
      <c r="N624" s="6" t="s">
        <v>2774</v>
      </c>
      <c r="O624" s="5" t="s">
        <v>286</v>
      </c>
      <c r="P624" s="5" t="s">
        <v>1884</v>
      </c>
      <c r="R624" s="8">
        <f t="shared" si="14"/>
        <v>2969999</v>
      </c>
      <c r="S624" s="5" t="s">
        <v>240</v>
      </c>
      <c r="T624" s="5" t="s">
        <v>237</v>
      </c>
      <c r="U624" s="5" t="s">
        <v>238</v>
      </c>
      <c r="V624" s="5" t="s">
        <v>238</v>
      </c>
      <c r="W624" s="5" t="s">
        <v>241</v>
      </c>
      <c r="X624" s="5" t="s">
        <v>276</v>
      </c>
      <c r="Y624" s="5" t="s">
        <v>238</v>
      </c>
      <c r="AB624" s="5" t="s">
        <v>238</v>
      </c>
      <c r="AD624" s="6" t="s">
        <v>238</v>
      </c>
      <c r="AG624" s="6" t="s">
        <v>246</v>
      </c>
      <c r="AH624" s="5" t="s">
        <v>247</v>
      </c>
      <c r="AI624" s="5" t="s">
        <v>248</v>
      </c>
      <c r="AY624" s="5" t="s">
        <v>250</v>
      </c>
      <c r="AZ624" s="5" t="s">
        <v>238</v>
      </c>
      <c r="BA624" s="5" t="s">
        <v>251</v>
      </c>
      <c r="BB624" s="5" t="s">
        <v>238</v>
      </c>
      <c r="BC624" s="5" t="s">
        <v>253</v>
      </c>
      <c r="BD624" s="5" t="s">
        <v>238</v>
      </c>
      <c r="BF624" s="5" t="s">
        <v>238</v>
      </c>
      <c r="BH624" s="5" t="s">
        <v>798</v>
      </c>
      <c r="BI624" s="6" t="s">
        <v>799</v>
      </c>
      <c r="BJ624" s="5" t="s">
        <v>255</v>
      </c>
      <c r="BK624" s="5" t="s">
        <v>256</v>
      </c>
      <c r="BL624" s="5" t="s">
        <v>238</v>
      </c>
      <c r="BM624" s="7">
        <f>0</f>
        <v>0</v>
      </c>
      <c r="BN624" s="8">
        <f>0</f>
        <v>0</v>
      </c>
      <c r="BO624" s="5" t="s">
        <v>257</v>
      </c>
      <c r="BP624" s="5" t="s">
        <v>258</v>
      </c>
      <c r="CD624" s="5" t="s">
        <v>238</v>
      </c>
      <c r="CE624" s="5" t="s">
        <v>238</v>
      </c>
      <c r="CI624" s="5" t="s">
        <v>527</v>
      </c>
      <c r="CJ624" s="5" t="s">
        <v>260</v>
      </c>
      <c r="CK624" s="5" t="s">
        <v>238</v>
      </c>
      <c r="CM624" s="5" t="s">
        <v>1588</v>
      </c>
      <c r="CN624" s="6" t="s">
        <v>262</v>
      </c>
      <c r="CO624" s="5" t="s">
        <v>263</v>
      </c>
      <c r="CP624" s="5" t="s">
        <v>264</v>
      </c>
      <c r="CQ624" s="5" t="s">
        <v>238</v>
      </c>
      <c r="CR624" s="5" t="s">
        <v>238</v>
      </c>
      <c r="CS624" s="5">
        <v>0</v>
      </c>
      <c r="CT624" s="5" t="s">
        <v>265</v>
      </c>
      <c r="CU624" s="5" t="s">
        <v>1360</v>
      </c>
      <c r="CV624" s="5" t="s">
        <v>267</v>
      </c>
      <c r="CX624" s="8">
        <f t="shared" si="15"/>
        <v>2970000</v>
      </c>
      <c r="CY624" s="8">
        <f>0</f>
        <v>0</v>
      </c>
      <c r="DA624" s="5" t="s">
        <v>238</v>
      </c>
      <c r="DB624" s="5" t="s">
        <v>238</v>
      </c>
      <c r="DD624" s="5" t="s">
        <v>238</v>
      </c>
      <c r="DG624" s="5" t="s">
        <v>238</v>
      </c>
      <c r="DH624" s="5" t="s">
        <v>238</v>
      </c>
      <c r="DI624" s="5" t="s">
        <v>238</v>
      </c>
      <c r="DJ624" s="5" t="s">
        <v>238</v>
      </c>
      <c r="DK624" s="5" t="s">
        <v>271</v>
      </c>
      <c r="DL624" s="5" t="s">
        <v>272</v>
      </c>
      <c r="DM624" s="7">
        <f t="shared" si="16"/>
        <v>29.7</v>
      </c>
      <c r="DN624" s="5" t="s">
        <v>238</v>
      </c>
      <c r="DO624" s="5" t="s">
        <v>238</v>
      </c>
      <c r="DP624" s="5" t="s">
        <v>238</v>
      </c>
      <c r="DQ624" s="5" t="s">
        <v>238</v>
      </c>
      <c r="DT624" s="5" t="s">
        <v>2776</v>
      </c>
      <c r="DU624" s="5" t="s">
        <v>310</v>
      </c>
      <c r="HM624" s="5" t="s">
        <v>271</v>
      </c>
      <c r="HP624" s="5" t="s">
        <v>272</v>
      </c>
      <c r="HQ624" s="5" t="s">
        <v>272</v>
      </c>
    </row>
    <row r="625" spans="1:225" x14ac:dyDescent="0.4">
      <c r="A625" s="5">
        <v>702</v>
      </c>
      <c r="B625" s="5">
        <v>1</v>
      </c>
      <c r="C625" s="5">
        <v>1</v>
      </c>
      <c r="D625" s="5" t="s">
        <v>2773</v>
      </c>
      <c r="E625" s="5" t="s">
        <v>277</v>
      </c>
      <c r="F625" s="5" t="s">
        <v>282</v>
      </c>
      <c r="G625" s="5" t="s">
        <v>2491</v>
      </c>
      <c r="H625" s="6" t="s">
        <v>2775</v>
      </c>
      <c r="I625" s="5" t="s">
        <v>2489</v>
      </c>
      <c r="J625" s="7">
        <f t="shared" si="12"/>
        <v>29.7</v>
      </c>
      <c r="K625" s="5" t="s">
        <v>270</v>
      </c>
      <c r="L625" s="8">
        <f>1</f>
        <v>1</v>
      </c>
      <c r="M625" s="8">
        <f t="shared" si="13"/>
        <v>2970000</v>
      </c>
      <c r="N625" s="6" t="s">
        <v>2774</v>
      </c>
      <c r="O625" s="5" t="s">
        <v>286</v>
      </c>
      <c r="P625" s="5" t="s">
        <v>1884</v>
      </c>
      <c r="R625" s="8">
        <f t="shared" si="14"/>
        <v>2969999</v>
      </c>
      <c r="S625" s="5" t="s">
        <v>240</v>
      </c>
      <c r="T625" s="5" t="s">
        <v>237</v>
      </c>
      <c r="U625" s="5" t="s">
        <v>238</v>
      </c>
      <c r="V625" s="5" t="s">
        <v>238</v>
      </c>
      <c r="W625" s="5" t="s">
        <v>241</v>
      </c>
      <c r="X625" s="5" t="s">
        <v>276</v>
      </c>
      <c r="Y625" s="5" t="s">
        <v>238</v>
      </c>
      <c r="AB625" s="5" t="s">
        <v>238</v>
      </c>
      <c r="AD625" s="6" t="s">
        <v>238</v>
      </c>
      <c r="AG625" s="6" t="s">
        <v>246</v>
      </c>
      <c r="AH625" s="5" t="s">
        <v>247</v>
      </c>
      <c r="AI625" s="5" t="s">
        <v>248</v>
      </c>
      <c r="AY625" s="5" t="s">
        <v>250</v>
      </c>
      <c r="AZ625" s="5" t="s">
        <v>238</v>
      </c>
      <c r="BA625" s="5" t="s">
        <v>251</v>
      </c>
      <c r="BB625" s="5" t="s">
        <v>238</v>
      </c>
      <c r="BC625" s="5" t="s">
        <v>253</v>
      </c>
      <c r="BD625" s="5" t="s">
        <v>238</v>
      </c>
      <c r="BF625" s="5" t="s">
        <v>238</v>
      </c>
      <c r="BH625" s="5" t="s">
        <v>254</v>
      </c>
      <c r="BI625" s="6" t="s">
        <v>246</v>
      </c>
      <c r="BJ625" s="5" t="s">
        <v>255</v>
      </c>
      <c r="BK625" s="5" t="s">
        <v>256</v>
      </c>
      <c r="BL625" s="5" t="s">
        <v>238</v>
      </c>
      <c r="BM625" s="7">
        <f>0</f>
        <v>0</v>
      </c>
      <c r="BN625" s="8">
        <f>0</f>
        <v>0</v>
      </c>
      <c r="BO625" s="5" t="s">
        <v>257</v>
      </c>
      <c r="BP625" s="5" t="s">
        <v>258</v>
      </c>
      <c r="CD625" s="5" t="s">
        <v>238</v>
      </c>
      <c r="CE625" s="5" t="s">
        <v>238</v>
      </c>
      <c r="CI625" s="5" t="s">
        <v>527</v>
      </c>
      <c r="CJ625" s="5" t="s">
        <v>260</v>
      </c>
      <c r="CK625" s="5" t="s">
        <v>238</v>
      </c>
      <c r="CM625" s="5" t="s">
        <v>1588</v>
      </c>
      <c r="CN625" s="6" t="s">
        <v>262</v>
      </c>
      <c r="CO625" s="5" t="s">
        <v>263</v>
      </c>
      <c r="CP625" s="5" t="s">
        <v>264</v>
      </c>
      <c r="CQ625" s="5" t="s">
        <v>238</v>
      </c>
      <c r="CR625" s="5" t="s">
        <v>238</v>
      </c>
      <c r="CS625" s="5">
        <v>0</v>
      </c>
      <c r="CT625" s="5" t="s">
        <v>265</v>
      </c>
      <c r="CU625" s="5" t="s">
        <v>1360</v>
      </c>
      <c r="CV625" s="5" t="s">
        <v>267</v>
      </c>
      <c r="CX625" s="8">
        <f t="shared" si="15"/>
        <v>2970000</v>
      </c>
      <c r="CY625" s="8">
        <f>0</f>
        <v>0</v>
      </c>
      <c r="DA625" s="5" t="s">
        <v>238</v>
      </c>
      <c r="DB625" s="5" t="s">
        <v>238</v>
      </c>
      <c r="DD625" s="5" t="s">
        <v>238</v>
      </c>
      <c r="DG625" s="5" t="s">
        <v>238</v>
      </c>
      <c r="DH625" s="5" t="s">
        <v>238</v>
      </c>
      <c r="DI625" s="5" t="s">
        <v>238</v>
      </c>
      <c r="DJ625" s="5" t="s">
        <v>238</v>
      </c>
      <c r="DK625" s="5" t="s">
        <v>271</v>
      </c>
      <c r="DL625" s="5" t="s">
        <v>272</v>
      </c>
      <c r="DM625" s="7">
        <f t="shared" si="16"/>
        <v>29.7</v>
      </c>
      <c r="DN625" s="5" t="s">
        <v>238</v>
      </c>
      <c r="DO625" s="5" t="s">
        <v>238</v>
      </c>
      <c r="DP625" s="5" t="s">
        <v>238</v>
      </c>
      <c r="DQ625" s="5" t="s">
        <v>238</v>
      </c>
      <c r="DT625" s="5" t="s">
        <v>2776</v>
      </c>
      <c r="DU625" s="5" t="s">
        <v>379</v>
      </c>
      <c r="HM625" s="5" t="s">
        <v>271</v>
      </c>
      <c r="HP625" s="5" t="s">
        <v>272</v>
      </c>
      <c r="HQ625" s="5" t="s">
        <v>272</v>
      </c>
    </row>
    <row r="626" spans="1:225" x14ac:dyDescent="0.4">
      <c r="A626" s="5">
        <v>703</v>
      </c>
      <c r="B626" s="5">
        <v>1</v>
      </c>
      <c r="C626" s="5">
        <v>1</v>
      </c>
      <c r="D626" s="5" t="s">
        <v>2773</v>
      </c>
      <c r="E626" s="5" t="s">
        <v>277</v>
      </c>
      <c r="F626" s="5" t="s">
        <v>282</v>
      </c>
      <c r="G626" s="5" t="s">
        <v>2491</v>
      </c>
      <c r="H626" s="6" t="s">
        <v>2775</v>
      </c>
      <c r="I626" s="5" t="s">
        <v>2520</v>
      </c>
      <c r="J626" s="7">
        <f t="shared" si="12"/>
        <v>29.7</v>
      </c>
      <c r="K626" s="5" t="s">
        <v>270</v>
      </c>
      <c r="L626" s="8">
        <f>1</f>
        <v>1</v>
      </c>
      <c r="M626" s="8">
        <f t="shared" si="13"/>
        <v>2970000</v>
      </c>
      <c r="N626" s="6" t="s">
        <v>2774</v>
      </c>
      <c r="O626" s="5" t="s">
        <v>286</v>
      </c>
      <c r="P626" s="5" t="s">
        <v>1884</v>
      </c>
      <c r="R626" s="8">
        <f t="shared" si="14"/>
        <v>2969999</v>
      </c>
      <c r="S626" s="5" t="s">
        <v>240</v>
      </c>
      <c r="T626" s="5" t="s">
        <v>237</v>
      </c>
      <c r="U626" s="5" t="s">
        <v>238</v>
      </c>
      <c r="V626" s="5" t="s">
        <v>238</v>
      </c>
      <c r="W626" s="5" t="s">
        <v>241</v>
      </c>
      <c r="X626" s="5" t="s">
        <v>276</v>
      </c>
      <c r="Y626" s="5" t="s">
        <v>238</v>
      </c>
      <c r="AB626" s="5" t="s">
        <v>238</v>
      </c>
      <c r="AD626" s="6" t="s">
        <v>238</v>
      </c>
      <c r="AG626" s="6" t="s">
        <v>246</v>
      </c>
      <c r="AH626" s="5" t="s">
        <v>247</v>
      </c>
      <c r="AI626" s="5" t="s">
        <v>248</v>
      </c>
      <c r="AY626" s="5" t="s">
        <v>250</v>
      </c>
      <c r="AZ626" s="5" t="s">
        <v>238</v>
      </c>
      <c r="BA626" s="5" t="s">
        <v>251</v>
      </c>
      <c r="BB626" s="5" t="s">
        <v>238</v>
      </c>
      <c r="BC626" s="5" t="s">
        <v>253</v>
      </c>
      <c r="BD626" s="5" t="s">
        <v>238</v>
      </c>
      <c r="BF626" s="5" t="s">
        <v>238</v>
      </c>
      <c r="BH626" s="5" t="s">
        <v>254</v>
      </c>
      <c r="BI626" s="6" t="s">
        <v>246</v>
      </c>
      <c r="BJ626" s="5" t="s">
        <v>255</v>
      </c>
      <c r="BK626" s="5" t="s">
        <v>256</v>
      </c>
      <c r="BL626" s="5" t="s">
        <v>238</v>
      </c>
      <c r="BM626" s="7">
        <f>0</f>
        <v>0</v>
      </c>
      <c r="BN626" s="8">
        <f>0</f>
        <v>0</v>
      </c>
      <c r="BO626" s="5" t="s">
        <v>257</v>
      </c>
      <c r="BP626" s="5" t="s">
        <v>258</v>
      </c>
      <c r="CD626" s="5" t="s">
        <v>238</v>
      </c>
      <c r="CE626" s="5" t="s">
        <v>238</v>
      </c>
      <c r="CI626" s="5" t="s">
        <v>527</v>
      </c>
      <c r="CJ626" s="5" t="s">
        <v>260</v>
      </c>
      <c r="CK626" s="5" t="s">
        <v>238</v>
      </c>
      <c r="CM626" s="5" t="s">
        <v>1588</v>
      </c>
      <c r="CN626" s="6" t="s">
        <v>262</v>
      </c>
      <c r="CO626" s="5" t="s">
        <v>263</v>
      </c>
      <c r="CP626" s="5" t="s">
        <v>264</v>
      </c>
      <c r="CQ626" s="5" t="s">
        <v>238</v>
      </c>
      <c r="CR626" s="5" t="s">
        <v>238</v>
      </c>
      <c r="CS626" s="5">
        <v>0</v>
      </c>
      <c r="CT626" s="5" t="s">
        <v>265</v>
      </c>
      <c r="CU626" s="5" t="s">
        <v>1360</v>
      </c>
      <c r="CV626" s="5" t="s">
        <v>267</v>
      </c>
      <c r="CX626" s="8">
        <f t="shared" si="15"/>
        <v>2970000</v>
      </c>
      <c r="CY626" s="8">
        <f>0</f>
        <v>0</v>
      </c>
      <c r="DA626" s="5" t="s">
        <v>238</v>
      </c>
      <c r="DB626" s="5" t="s">
        <v>238</v>
      </c>
      <c r="DD626" s="5" t="s">
        <v>238</v>
      </c>
      <c r="DG626" s="5" t="s">
        <v>238</v>
      </c>
      <c r="DH626" s="5" t="s">
        <v>238</v>
      </c>
      <c r="DI626" s="5" t="s">
        <v>238</v>
      </c>
      <c r="DJ626" s="5" t="s">
        <v>238</v>
      </c>
      <c r="DK626" s="5" t="s">
        <v>271</v>
      </c>
      <c r="DL626" s="5" t="s">
        <v>272</v>
      </c>
      <c r="DM626" s="7">
        <f t="shared" si="16"/>
        <v>29.7</v>
      </c>
      <c r="DN626" s="5" t="s">
        <v>238</v>
      </c>
      <c r="DO626" s="5" t="s">
        <v>238</v>
      </c>
      <c r="DP626" s="5" t="s">
        <v>238</v>
      </c>
      <c r="DQ626" s="5" t="s">
        <v>238</v>
      </c>
      <c r="DT626" s="5" t="s">
        <v>2776</v>
      </c>
      <c r="DU626" s="5" t="s">
        <v>313</v>
      </c>
      <c r="HM626" s="5" t="s">
        <v>271</v>
      </c>
      <c r="HP626" s="5" t="s">
        <v>272</v>
      </c>
      <c r="HQ626" s="5" t="s">
        <v>272</v>
      </c>
    </row>
    <row r="627" spans="1:225" x14ac:dyDescent="0.4">
      <c r="A627" s="5">
        <v>704</v>
      </c>
      <c r="B627" s="5">
        <v>1</v>
      </c>
      <c r="C627" s="5">
        <v>1</v>
      </c>
      <c r="D627" s="5" t="s">
        <v>2773</v>
      </c>
      <c r="E627" s="5" t="s">
        <v>277</v>
      </c>
      <c r="F627" s="5" t="s">
        <v>282</v>
      </c>
      <c r="G627" s="5" t="s">
        <v>2491</v>
      </c>
      <c r="H627" s="6" t="s">
        <v>2775</v>
      </c>
      <c r="I627" s="5" t="s">
        <v>2516</v>
      </c>
      <c r="J627" s="7">
        <f t="shared" si="12"/>
        <v>29.7</v>
      </c>
      <c r="K627" s="5" t="s">
        <v>270</v>
      </c>
      <c r="L627" s="8">
        <f>1</f>
        <v>1</v>
      </c>
      <c r="M627" s="8">
        <f t="shared" si="13"/>
        <v>2970000</v>
      </c>
      <c r="N627" s="6" t="s">
        <v>2774</v>
      </c>
      <c r="O627" s="5" t="s">
        <v>286</v>
      </c>
      <c r="P627" s="5" t="s">
        <v>1884</v>
      </c>
      <c r="R627" s="8">
        <f t="shared" si="14"/>
        <v>2969999</v>
      </c>
      <c r="S627" s="5" t="s">
        <v>240</v>
      </c>
      <c r="T627" s="5" t="s">
        <v>237</v>
      </c>
      <c r="U627" s="5" t="s">
        <v>238</v>
      </c>
      <c r="V627" s="5" t="s">
        <v>238</v>
      </c>
      <c r="W627" s="5" t="s">
        <v>241</v>
      </c>
      <c r="X627" s="5" t="s">
        <v>276</v>
      </c>
      <c r="Y627" s="5" t="s">
        <v>238</v>
      </c>
      <c r="AB627" s="5" t="s">
        <v>238</v>
      </c>
      <c r="AD627" s="6" t="s">
        <v>238</v>
      </c>
      <c r="AG627" s="6" t="s">
        <v>1538</v>
      </c>
      <c r="AH627" s="5" t="s">
        <v>247</v>
      </c>
      <c r="AI627" s="5" t="s">
        <v>248</v>
      </c>
      <c r="AY627" s="5" t="s">
        <v>250</v>
      </c>
      <c r="AZ627" s="5" t="s">
        <v>238</v>
      </c>
      <c r="BA627" s="5" t="s">
        <v>251</v>
      </c>
      <c r="BB627" s="5" t="s">
        <v>238</v>
      </c>
      <c r="BC627" s="5" t="s">
        <v>253</v>
      </c>
      <c r="BD627" s="5" t="s">
        <v>238</v>
      </c>
      <c r="BF627" s="5" t="s">
        <v>238</v>
      </c>
      <c r="BH627" s="5" t="s">
        <v>798</v>
      </c>
      <c r="BI627" s="6" t="s">
        <v>1538</v>
      </c>
      <c r="BJ627" s="5" t="s">
        <v>255</v>
      </c>
      <c r="BK627" s="5" t="s">
        <v>256</v>
      </c>
      <c r="BL627" s="5" t="s">
        <v>238</v>
      </c>
      <c r="BM627" s="7">
        <f>0</f>
        <v>0</v>
      </c>
      <c r="BN627" s="8">
        <f>0</f>
        <v>0</v>
      </c>
      <c r="BO627" s="5" t="s">
        <v>257</v>
      </c>
      <c r="BP627" s="5" t="s">
        <v>258</v>
      </c>
      <c r="CD627" s="5" t="s">
        <v>238</v>
      </c>
      <c r="CE627" s="5" t="s">
        <v>238</v>
      </c>
      <c r="CI627" s="5" t="s">
        <v>527</v>
      </c>
      <c r="CJ627" s="5" t="s">
        <v>260</v>
      </c>
      <c r="CK627" s="5" t="s">
        <v>238</v>
      </c>
      <c r="CM627" s="5" t="s">
        <v>1588</v>
      </c>
      <c r="CN627" s="6" t="s">
        <v>262</v>
      </c>
      <c r="CO627" s="5" t="s">
        <v>263</v>
      </c>
      <c r="CP627" s="5" t="s">
        <v>264</v>
      </c>
      <c r="CQ627" s="5" t="s">
        <v>238</v>
      </c>
      <c r="CR627" s="5" t="s">
        <v>238</v>
      </c>
      <c r="CS627" s="5">
        <v>0</v>
      </c>
      <c r="CT627" s="5" t="s">
        <v>265</v>
      </c>
      <c r="CU627" s="5" t="s">
        <v>1360</v>
      </c>
      <c r="CV627" s="5" t="s">
        <v>267</v>
      </c>
      <c r="CX627" s="8">
        <f t="shared" si="15"/>
        <v>2970000</v>
      </c>
      <c r="CY627" s="8">
        <f>0</f>
        <v>0</v>
      </c>
      <c r="DA627" s="5" t="s">
        <v>238</v>
      </c>
      <c r="DB627" s="5" t="s">
        <v>238</v>
      </c>
      <c r="DD627" s="5" t="s">
        <v>238</v>
      </c>
      <c r="DG627" s="5" t="s">
        <v>238</v>
      </c>
      <c r="DH627" s="5" t="s">
        <v>238</v>
      </c>
      <c r="DI627" s="5" t="s">
        <v>238</v>
      </c>
      <c r="DJ627" s="5" t="s">
        <v>238</v>
      </c>
      <c r="DK627" s="5" t="s">
        <v>271</v>
      </c>
      <c r="DL627" s="5" t="s">
        <v>272</v>
      </c>
      <c r="DM627" s="7">
        <f t="shared" si="16"/>
        <v>29.7</v>
      </c>
      <c r="DN627" s="5" t="s">
        <v>238</v>
      </c>
      <c r="DO627" s="5" t="s">
        <v>238</v>
      </c>
      <c r="DP627" s="5" t="s">
        <v>238</v>
      </c>
      <c r="DQ627" s="5" t="s">
        <v>238</v>
      </c>
      <c r="DT627" s="5" t="s">
        <v>2776</v>
      </c>
      <c r="DU627" s="5" t="s">
        <v>389</v>
      </c>
      <c r="HM627" s="5" t="s">
        <v>271</v>
      </c>
      <c r="HP627" s="5" t="s">
        <v>272</v>
      </c>
      <c r="HQ627" s="5" t="s">
        <v>272</v>
      </c>
    </row>
    <row r="628" spans="1:225" x14ac:dyDescent="0.4">
      <c r="A628" s="5">
        <v>705</v>
      </c>
      <c r="B628" s="5">
        <v>1</v>
      </c>
      <c r="C628" s="5">
        <v>1</v>
      </c>
      <c r="D628" s="5" t="s">
        <v>2773</v>
      </c>
      <c r="E628" s="5" t="s">
        <v>277</v>
      </c>
      <c r="F628" s="5" t="s">
        <v>282</v>
      </c>
      <c r="G628" s="5" t="s">
        <v>2491</v>
      </c>
      <c r="H628" s="6" t="s">
        <v>2775</v>
      </c>
      <c r="I628" s="5" t="s">
        <v>2521</v>
      </c>
      <c r="J628" s="7">
        <f t="shared" si="12"/>
        <v>29.7</v>
      </c>
      <c r="K628" s="5" t="s">
        <v>270</v>
      </c>
      <c r="L628" s="8">
        <f>1</f>
        <v>1</v>
      </c>
      <c r="M628" s="8">
        <f t="shared" si="13"/>
        <v>2970000</v>
      </c>
      <c r="N628" s="6" t="s">
        <v>2774</v>
      </c>
      <c r="O628" s="5" t="s">
        <v>286</v>
      </c>
      <c r="P628" s="5" t="s">
        <v>1884</v>
      </c>
      <c r="R628" s="8">
        <f t="shared" si="14"/>
        <v>2969999</v>
      </c>
      <c r="S628" s="5" t="s">
        <v>240</v>
      </c>
      <c r="T628" s="5" t="s">
        <v>237</v>
      </c>
      <c r="U628" s="5" t="s">
        <v>238</v>
      </c>
      <c r="V628" s="5" t="s">
        <v>238</v>
      </c>
      <c r="W628" s="5" t="s">
        <v>241</v>
      </c>
      <c r="X628" s="5" t="s">
        <v>276</v>
      </c>
      <c r="Y628" s="5" t="s">
        <v>238</v>
      </c>
      <c r="AB628" s="5" t="s">
        <v>238</v>
      </c>
      <c r="AD628" s="6" t="s">
        <v>238</v>
      </c>
      <c r="AG628" s="6" t="s">
        <v>1538</v>
      </c>
      <c r="AH628" s="5" t="s">
        <v>247</v>
      </c>
      <c r="AI628" s="5" t="s">
        <v>248</v>
      </c>
      <c r="AY628" s="5" t="s">
        <v>250</v>
      </c>
      <c r="AZ628" s="5" t="s">
        <v>238</v>
      </c>
      <c r="BA628" s="5" t="s">
        <v>251</v>
      </c>
      <c r="BB628" s="5" t="s">
        <v>238</v>
      </c>
      <c r="BC628" s="5" t="s">
        <v>253</v>
      </c>
      <c r="BD628" s="5" t="s">
        <v>238</v>
      </c>
      <c r="BF628" s="5" t="s">
        <v>238</v>
      </c>
      <c r="BH628" s="5" t="s">
        <v>798</v>
      </c>
      <c r="BI628" s="6" t="s">
        <v>799</v>
      </c>
      <c r="BJ628" s="5" t="s">
        <v>255</v>
      </c>
      <c r="BK628" s="5" t="s">
        <v>256</v>
      </c>
      <c r="BL628" s="5" t="s">
        <v>238</v>
      </c>
      <c r="BM628" s="7">
        <f>0</f>
        <v>0</v>
      </c>
      <c r="BN628" s="8">
        <f>0</f>
        <v>0</v>
      </c>
      <c r="BO628" s="5" t="s">
        <v>257</v>
      </c>
      <c r="BP628" s="5" t="s">
        <v>258</v>
      </c>
      <c r="CD628" s="5" t="s">
        <v>238</v>
      </c>
      <c r="CE628" s="5" t="s">
        <v>238</v>
      </c>
      <c r="CI628" s="5" t="s">
        <v>527</v>
      </c>
      <c r="CJ628" s="5" t="s">
        <v>260</v>
      </c>
      <c r="CK628" s="5" t="s">
        <v>238</v>
      </c>
      <c r="CM628" s="5" t="s">
        <v>1588</v>
      </c>
      <c r="CN628" s="6" t="s">
        <v>262</v>
      </c>
      <c r="CO628" s="5" t="s">
        <v>263</v>
      </c>
      <c r="CP628" s="5" t="s">
        <v>264</v>
      </c>
      <c r="CQ628" s="5" t="s">
        <v>238</v>
      </c>
      <c r="CR628" s="5" t="s">
        <v>238</v>
      </c>
      <c r="CS628" s="5">
        <v>0</v>
      </c>
      <c r="CT628" s="5" t="s">
        <v>265</v>
      </c>
      <c r="CU628" s="5" t="s">
        <v>1360</v>
      </c>
      <c r="CV628" s="5" t="s">
        <v>267</v>
      </c>
      <c r="CX628" s="8">
        <f t="shared" si="15"/>
        <v>2970000</v>
      </c>
      <c r="CY628" s="8">
        <f>0</f>
        <v>0</v>
      </c>
      <c r="DA628" s="5" t="s">
        <v>238</v>
      </c>
      <c r="DB628" s="5" t="s">
        <v>238</v>
      </c>
      <c r="DD628" s="5" t="s">
        <v>238</v>
      </c>
      <c r="DG628" s="5" t="s">
        <v>238</v>
      </c>
      <c r="DH628" s="5" t="s">
        <v>238</v>
      </c>
      <c r="DI628" s="5" t="s">
        <v>238</v>
      </c>
      <c r="DJ628" s="5" t="s">
        <v>238</v>
      </c>
      <c r="DK628" s="5" t="s">
        <v>271</v>
      </c>
      <c r="DL628" s="5" t="s">
        <v>272</v>
      </c>
      <c r="DM628" s="7">
        <f t="shared" si="16"/>
        <v>29.7</v>
      </c>
      <c r="DN628" s="5" t="s">
        <v>238</v>
      </c>
      <c r="DO628" s="5" t="s">
        <v>238</v>
      </c>
      <c r="DP628" s="5" t="s">
        <v>238</v>
      </c>
      <c r="DQ628" s="5" t="s">
        <v>238</v>
      </c>
      <c r="DT628" s="5" t="s">
        <v>2776</v>
      </c>
      <c r="DU628" s="5" t="s">
        <v>354</v>
      </c>
      <c r="HM628" s="5" t="s">
        <v>271</v>
      </c>
      <c r="HP628" s="5" t="s">
        <v>272</v>
      </c>
      <c r="HQ628" s="5" t="s">
        <v>272</v>
      </c>
    </row>
    <row r="629" spans="1:225" x14ac:dyDescent="0.4">
      <c r="A629" s="5">
        <v>706</v>
      </c>
      <c r="B629" s="5">
        <v>1</v>
      </c>
      <c r="C629" s="5">
        <v>1</v>
      </c>
      <c r="D629" s="5" t="s">
        <v>2773</v>
      </c>
      <c r="E629" s="5" t="s">
        <v>277</v>
      </c>
      <c r="F629" s="5" t="s">
        <v>282</v>
      </c>
      <c r="G629" s="5" t="s">
        <v>2491</v>
      </c>
      <c r="H629" s="6" t="s">
        <v>2775</v>
      </c>
      <c r="I629" s="5" t="s">
        <v>2500</v>
      </c>
      <c r="J629" s="7">
        <f t="shared" si="12"/>
        <v>29.7</v>
      </c>
      <c r="K629" s="5" t="s">
        <v>270</v>
      </c>
      <c r="L629" s="8">
        <f>1</f>
        <v>1</v>
      </c>
      <c r="M629" s="8">
        <f t="shared" si="13"/>
        <v>2970000</v>
      </c>
      <c r="N629" s="6" t="s">
        <v>2774</v>
      </c>
      <c r="O629" s="5" t="s">
        <v>286</v>
      </c>
      <c r="P629" s="5" t="s">
        <v>1884</v>
      </c>
      <c r="R629" s="8">
        <f t="shared" si="14"/>
        <v>2969999</v>
      </c>
      <c r="S629" s="5" t="s">
        <v>240</v>
      </c>
      <c r="T629" s="5" t="s">
        <v>237</v>
      </c>
      <c r="U629" s="5" t="s">
        <v>238</v>
      </c>
      <c r="V629" s="5" t="s">
        <v>238</v>
      </c>
      <c r="W629" s="5" t="s">
        <v>241</v>
      </c>
      <c r="X629" s="5" t="s">
        <v>276</v>
      </c>
      <c r="Y629" s="5" t="s">
        <v>238</v>
      </c>
      <c r="AB629" s="5" t="s">
        <v>238</v>
      </c>
      <c r="AD629" s="6" t="s">
        <v>238</v>
      </c>
      <c r="AG629" s="6" t="s">
        <v>246</v>
      </c>
      <c r="AH629" s="5" t="s">
        <v>247</v>
      </c>
      <c r="AI629" s="5" t="s">
        <v>248</v>
      </c>
      <c r="AY629" s="5" t="s">
        <v>250</v>
      </c>
      <c r="AZ629" s="5" t="s">
        <v>238</v>
      </c>
      <c r="BA629" s="5" t="s">
        <v>251</v>
      </c>
      <c r="BB629" s="5" t="s">
        <v>238</v>
      </c>
      <c r="BC629" s="5" t="s">
        <v>253</v>
      </c>
      <c r="BD629" s="5" t="s">
        <v>238</v>
      </c>
      <c r="BF629" s="5" t="s">
        <v>238</v>
      </c>
      <c r="BH629" s="5" t="s">
        <v>254</v>
      </c>
      <c r="BI629" s="6" t="s">
        <v>246</v>
      </c>
      <c r="BJ629" s="5" t="s">
        <v>255</v>
      </c>
      <c r="BK629" s="5" t="s">
        <v>256</v>
      </c>
      <c r="BL629" s="5" t="s">
        <v>238</v>
      </c>
      <c r="BM629" s="7">
        <f>0</f>
        <v>0</v>
      </c>
      <c r="BN629" s="8">
        <f>0</f>
        <v>0</v>
      </c>
      <c r="BO629" s="5" t="s">
        <v>257</v>
      </c>
      <c r="BP629" s="5" t="s">
        <v>258</v>
      </c>
      <c r="CD629" s="5" t="s">
        <v>238</v>
      </c>
      <c r="CE629" s="5" t="s">
        <v>238</v>
      </c>
      <c r="CI629" s="5" t="s">
        <v>527</v>
      </c>
      <c r="CJ629" s="5" t="s">
        <v>260</v>
      </c>
      <c r="CK629" s="5" t="s">
        <v>238</v>
      </c>
      <c r="CM629" s="5" t="s">
        <v>1588</v>
      </c>
      <c r="CN629" s="6" t="s">
        <v>262</v>
      </c>
      <c r="CO629" s="5" t="s">
        <v>263</v>
      </c>
      <c r="CP629" s="5" t="s">
        <v>264</v>
      </c>
      <c r="CQ629" s="5" t="s">
        <v>238</v>
      </c>
      <c r="CR629" s="5" t="s">
        <v>238</v>
      </c>
      <c r="CS629" s="5">
        <v>0</v>
      </c>
      <c r="CT629" s="5" t="s">
        <v>265</v>
      </c>
      <c r="CU629" s="5" t="s">
        <v>1360</v>
      </c>
      <c r="CV629" s="5" t="s">
        <v>267</v>
      </c>
      <c r="CX629" s="8">
        <f t="shared" si="15"/>
        <v>2970000</v>
      </c>
      <c r="CY629" s="8">
        <f>0</f>
        <v>0</v>
      </c>
      <c r="DA629" s="5" t="s">
        <v>238</v>
      </c>
      <c r="DB629" s="5" t="s">
        <v>238</v>
      </c>
      <c r="DD629" s="5" t="s">
        <v>238</v>
      </c>
      <c r="DG629" s="5" t="s">
        <v>238</v>
      </c>
      <c r="DH629" s="5" t="s">
        <v>238</v>
      </c>
      <c r="DI629" s="5" t="s">
        <v>238</v>
      </c>
      <c r="DJ629" s="5" t="s">
        <v>238</v>
      </c>
      <c r="DK629" s="5" t="s">
        <v>271</v>
      </c>
      <c r="DL629" s="5" t="s">
        <v>272</v>
      </c>
      <c r="DM629" s="7">
        <f t="shared" si="16"/>
        <v>29.7</v>
      </c>
      <c r="DN629" s="5" t="s">
        <v>238</v>
      </c>
      <c r="DO629" s="5" t="s">
        <v>238</v>
      </c>
      <c r="DP629" s="5" t="s">
        <v>238</v>
      </c>
      <c r="DQ629" s="5" t="s">
        <v>238</v>
      </c>
      <c r="DT629" s="5" t="s">
        <v>2776</v>
      </c>
      <c r="DU629" s="5" t="s">
        <v>361</v>
      </c>
      <c r="HM629" s="5" t="s">
        <v>271</v>
      </c>
      <c r="HP629" s="5" t="s">
        <v>272</v>
      </c>
      <c r="HQ629" s="5" t="s">
        <v>272</v>
      </c>
    </row>
    <row r="630" spans="1:225" x14ac:dyDescent="0.4">
      <c r="A630" s="5">
        <v>707</v>
      </c>
      <c r="B630" s="5">
        <v>1</v>
      </c>
      <c r="C630" s="5">
        <v>1</v>
      </c>
      <c r="D630" s="5" t="s">
        <v>2773</v>
      </c>
      <c r="E630" s="5" t="s">
        <v>277</v>
      </c>
      <c r="F630" s="5" t="s">
        <v>282</v>
      </c>
      <c r="G630" s="5" t="s">
        <v>2491</v>
      </c>
      <c r="H630" s="6" t="s">
        <v>2775</v>
      </c>
      <c r="I630" s="5" t="s">
        <v>2526</v>
      </c>
      <c r="J630" s="7">
        <f t="shared" si="12"/>
        <v>29.7</v>
      </c>
      <c r="K630" s="5" t="s">
        <v>270</v>
      </c>
      <c r="L630" s="8">
        <f>1</f>
        <v>1</v>
      </c>
      <c r="M630" s="8">
        <f t="shared" si="13"/>
        <v>2970000</v>
      </c>
      <c r="N630" s="6" t="s">
        <v>2774</v>
      </c>
      <c r="O630" s="5" t="s">
        <v>286</v>
      </c>
      <c r="P630" s="5" t="s">
        <v>1884</v>
      </c>
      <c r="R630" s="8">
        <f t="shared" si="14"/>
        <v>2969999</v>
      </c>
      <c r="S630" s="5" t="s">
        <v>240</v>
      </c>
      <c r="T630" s="5" t="s">
        <v>237</v>
      </c>
      <c r="U630" s="5" t="s">
        <v>238</v>
      </c>
      <c r="V630" s="5" t="s">
        <v>238</v>
      </c>
      <c r="W630" s="5" t="s">
        <v>241</v>
      </c>
      <c r="X630" s="5" t="s">
        <v>276</v>
      </c>
      <c r="Y630" s="5" t="s">
        <v>238</v>
      </c>
      <c r="AB630" s="5" t="s">
        <v>238</v>
      </c>
      <c r="AD630" s="6" t="s">
        <v>238</v>
      </c>
      <c r="AG630" s="6" t="s">
        <v>246</v>
      </c>
      <c r="AH630" s="5" t="s">
        <v>247</v>
      </c>
      <c r="AI630" s="5" t="s">
        <v>248</v>
      </c>
      <c r="AY630" s="5" t="s">
        <v>250</v>
      </c>
      <c r="AZ630" s="5" t="s">
        <v>238</v>
      </c>
      <c r="BA630" s="5" t="s">
        <v>251</v>
      </c>
      <c r="BB630" s="5" t="s">
        <v>238</v>
      </c>
      <c r="BC630" s="5" t="s">
        <v>253</v>
      </c>
      <c r="BD630" s="5" t="s">
        <v>238</v>
      </c>
      <c r="BF630" s="5" t="s">
        <v>238</v>
      </c>
      <c r="BH630" s="5" t="s">
        <v>798</v>
      </c>
      <c r="BI630" s="6" t="s">
        <v>376</v>
      </c>
      <c r="BJ630" s="5" t="s">
        <v>255</v>
      </c>
      <c r="BK630" s="5" t="s">
        <v>256</v>
      </c>
      <c r="BL630" s="5" t="s">
        <v>238</v>
      </c>
      <c r="BM630" s="7">
        <f>0</f>
        <v>0</v>
      </c>
      <c r="BN630" s="8">
        <f>0</f>
        <v>0</v>
      </c>
      <c r="BO630" s="5" t="s">
        <v>257</v>
      </c>
      <c r="BP630" s="5" t="s">
        <v>258</v>
      </c>
      <c r="CD630" s="5" t="s">
        <v>238</v>
      </c>
      <c r="CE630" s="5" t="s">
        <v>238</v>
      </c>
      <c r="CI630" s="5" t="s">
        <v>527</v>
      </c>
      <c r="CJ630" s="5" t="s">
        <v>260</v>
      </c>
      <c r="CK630" s="5" t="s">
        <v>238</v>
      </c>
      <c r="CM630" s="5" t="s">
        <v>1588</v>
      </c>
      <c r="CN630" s="6" t="s">
        <v>262</v>
      </c>
      <c r="CO630" s="5" t="s">
        <v>263</v>
      </c>
      <c r="CP630" s="5" t="s">
        <v>264</v>
      </c>
      <c r="CQ630" s="5" t="s">
        <v>238</v>
      </c>
      <c r="CR630" s="5" t="s">
        <v>238</v>
      </c>
      <c r="CS630" s="5">
        <v>0</v>
      </c>
      <c r="CT630" s="5" t="s">
        <v>265</v>
      </c>
      <c r="CU630" s="5" t="s">
        <v>1360</v>
      </c>
      <c r="CV630" s="5" t="s">
        <v>267</v>
      </c>
      <c r="CX630" s="8">
        <f t="shared" si="15"/>
        <v>2970000</v>
      </c>
      <c r="CY630" s="8">
        <f>0</f>
        <v>0</v>
      </c>
      <c r="DA630" s="5" t="s">
        <v>238</v>
      </c>
      <c r="DB630" s="5" t="s">
        <v>238</v>
      </c>
      <c r="DD630" s="5" t="s">
        <v>238</v>
      </c>
      <c r="DG630" s="5" t="s">
        <v>238</v>
      </c>
      <c r="DH630" s="5" t="s">
        <v>238</v>
      </c>
      <c r="DI630" s="5" t="s">
        <v>238</v>
      </c>
      <c r="DJ630" s="5" t="s">
        <v>238</v>
      </c>
      <c r="DK630" s="5" t="s">
        <v>271</v>
      </c>
      <c r="DL630" s="5" t="s">
        <v>272</v>
      </c>
      <c r="DM630" s="7">
        <f t="shared" si="16"/>
        <v>29.7</v>
      </c>
      <c r="DN630" s="5" t="s">
        <v>238</v>
      </c>
      <c r="DO630" s="5" t="s">
        <v>238</v>
      </c>
      <c r="DP630" s="5" t="s">
        <v>238</v>
      </c>
      <c r="DQ630" s="5" t="s">
        <v>238</v>
      </c>
      <c r="DT630" s="5" t="s">
        <v>2776</v>
      </c>
      <c r="DU630" s="5" t="s">
        <v>377</v>
      </c>
      <c r="HM630" s="5" t="s">
        <v>271</v>
      </c>
      <c r="HP630" s="5" t="s">
        <v>272</v>
      </c>
      <c r="HQ630" s="5" t="s">
        <v>272</v>
      </c>
    </row>
    <row r="631" spans="1:225" x14ac:dyDescent="0.4">
      <c r="A631" s="5">
        <v>709</v>
      </c>
      <c r="B631" s="5">
        <v>1</v>
      </c>
      <c r="C631" s="5">
        <v>1</v>
      </c>
      <c r="D631" s="5" t="s">
        <v>2769</v>
      </c>
      <c r="E631" s="5" t="s">
        <v>277</v>
      </c>
      <c r="F631" s="5" t="s">
        <v>282</v>
      </c>
      <c r="G631" s="5" t="s">
        <v>2491</v>
      </c>
      <c r="H631" s="6" t="s">
        <v>2771</v>
      </c>
      <c r="I631" s="5" t="s">
        <v>2482</v>
      </c>
      <c r="J631" s="7">
        <f t="shared" si="12"/>
        <v>29.7</v>
      </c>
      <c r="K631" s="5" t="s">
        <v>270</v>
      </c>
      <c r="L631" s="8">
        <f>1</f>
        <v>1</v>
      </c>
      <c r="M631" s="8">
        <f t="shared" si="13"/>
        <v>2970000</v>
      </c>
      <c r="N631" s="6" t="s">
        <v>2770</v>
      </c>
      <c r="O631" s="5" t="s">
        <v>286</v>
      </c>
      <c r="P631" s="5" t="s">
        <v>1586</v>
      </c>
      <c r="R631" s="8">
        <f t="shared" si="14"/>
        <v>2969999</v>
      </c>
      <c r="S631" s="5" t="s">
        <v>240</v>
      </c>
      <c r="T631" s="5" t="s">
        <v>237</v>
      </c>
      <c r="U631" s="5" t="s">
        <v>238</v>
      </c>
      <c r="V631" s="5" t="s">
        <v>238</v>
      </c>
      <c r="W631" s="5" t="s">
        <v>241</v>
      </c>
      <c r="X631" s="5" t="s">
        <v>276</v>
      </c>
      <c r="Y631" s="5" t="s">
        <v>238</v>
      </c>
      <c r="AB631" s="5" t="s">
        <v>238</v>
      </c>
      <c r="AD631" s="6" t="s">
        <v>238</v>
      </c>
      <c r="AG631" s="6" t="s">
        <v>246</v>
      </c>
      <c r="AH631" s="5" t="s">
        <v>247</v>
      </c>
      <c r="AI631" s="5" t="s">
        <v>248</v>
      </c>
      <c r="AY631" s="5" t="s">
        <v>250</v>
      </c>
      <c r="AZ631" s="5" t="s">
        <v>238</v>
      </c>
      <c r="BA631" s="5" t="s">
        <v>251</v>
      </c>
      <c r="BB631" s="5" t="s">
        <v>238</v>
      </c>
      <c r="BC631" s="5" t="s">
        <v>253</v>
      </c>
      <c r="BD631" s="5" t="s">
        <v>238</v>
      </c>
      <c r="BF631" s="5" t="s">
        <v>238</v>
      </c>
      <c r="BH631" s="5" t="s">
        <v>859</v>
      </c>
      <c r="BI631" s="6" t="s">
        <v>368</v>
      </c>
      <c r="BJ631" s="5" t="s">
        <v>255</v>
      </c>
      <c r="BK631" s="5" t="s">
        <v>256</v>
      </c>
      <c r="BL631" s="5" t="s">
        <v>238</v>
      </c>
      <c r="BM631" s="7">
        <f>0</f>
        <v>0</v>
      </c>
      <c r="BN631" s="8">
        <f>0</f>
        <v>0</v>
      </c>
      <c r="BO631" s="5" t="s">
        <v>257</v>
      </c>
      <c r="BP631" s="5" t="s">
        <v>258</v>
      </c>
      <c r="CD631" s="5" t="s">
        <v>238</v>
      </c>
      <c r="CE631" s="5" t="s">
        <v>238</v>
      </c>
      <c r="CI631" s="5" t="s">
        <v>527</v>
      </c>
      <c r="CJ631" s="5" t="s">
        <v>260</v>
      </c>
      <c r="CK631" s="5" t="s">
        <v>238</v>
      </c>
      <c r="CM631" s="5" t="s">
        <v>1585</v>
      </c>
      <c r="CN631" s="6" t="s">
        <v>262</v>
      </c>
      <c r="CO631" s="5" t="s">
        <v>263</v>
      </c>
      <c r="CP631" s="5" t="s">
        <v>264</v>
      </c>
      <c r="CQ631" s="5" t="s">
        <v>238</v>
      </c>
      <c r="CR631" s="5" t="s">
        <v>238</v>
      </c>
      <c r="CS631" s="5">
        <v>0</v>
      </c>
      <c r="CT631" s="5" t="s">
        <v>265</v>
      </c>
      <c r="CU631" s="5" t="s">
        <v>1360</v>
      </c>
      <c r="CV631" s="5" t="s">
        <v>267</v>
      </c>
      <c r="CX631" s="8">
        <f t="shared" si="15"/>
        <v>2970000</v>
      </c>
      <c r="CY631" s="8">
        <f>0</f>
        <v>0</v>
      </c>
      <c r="DA631" s="5" t="s">
        <v>238</v>
      </c>
      <c r="DB631" s="5" t="s">
        <v>238</v>
      </c>
      <c r="DD631" s="5" t="s">
        <v>238</v>
      </c>
      <c r="DG631" s="5" t="s">
        <v>238</v>
      </c>
      <c r="DH631" s="5" t="s">
        <v>238</v>
      </c>
      <c r="DI631" s="5" t="s">
        <v>238</v>
      </c>
      <c r="DJ631" s="5" t="s">
        <v>238</v>
      </c>
      <c r="DK631" s="5" t="s">
        <v>271</v>
      </c>
      <c r="DL631" s="5" t="s">
        <v>272</v>
      </c>
      <c r="DM631" s="7">
        <f t="shared" si="16"/>
        <v>29.7</v>
      </c>
      <c r="DN631" s="5" t="s">
        <v>238</v>
      </c>
      <c r="DO631" s="5" t="s">
        <v>238</v>
      </c>
      <c r="DP631" s="5" t="s">
        <v>238</v>
      </c>
      <c r="DQ631" s="5" t="s">
        <v>238</v>
      </c>
      <c r="DT631" s="5" t="s">
        <v>2772</v>
      </c>
      <c r="DU631" s="5" t="s">
        <v>274</v>
      </c>
      <c r="HM631" s="5" t="s">
        <v>271</v>
      </c>
      <c r="HP631" s="5" t="s">
        <v>272</v>
      </c>
      <c r="HQ631" s="5" t="s">
        <v>272</v>
      </c>
    </row>
    <row r="632" spans="1:225" x14ac:dyDescent="0.4">
      <c r="A632" s="5">
        <v>710</v>
      </c>
      <c r="B632" s="5">
        <v>1</v>
      </c>
      <c r="C632" s="5">
        <v>1</v>
      </c>
      <c r="D632" s="5" t="s">
        <v>2769</v>
      </c>
      <c r="E632" s="5" t="s">
        <v>277</v>
      </c>
      <c r="F632" s="5" t="s">
        <v>282</v>
      </c>
      <c r="G632" s="5" t="s">
        <v>2491</v>
      </c>
      <c r="H632" s="6" t="s">
        <v>2771</v>
      </c>
      <c r="I632" s="5" t="s">
        <v>2482</v>
      </c>
      <c r="J632" s="7">
        <f t="shared" si="12"/>
        <v>29.7</v>
      </c>
      <c r="K632" s="5" t="s">
        <v>270</v>
      </c>
      <c r="L632" s="8">
        <f>1</f>
        <v>1</v>
      </c>
      <c r="M632" s="8">
        <f t="shared" si="13"/>
        <v>2970000</v>
      </c>
      <c r="N632" s="6" t="s">
        <v>2770</v>
      </c>
      <c r="O632" s="5" t="s">
        <v>286</v>
      </c>
      <c r="P632" s="5" t="s">
        <v>1586</v>
      </c>
      <c r="R632" s="8">
        <f t="shared" si="14"/>
        <v>2969999</v>
      </c>
      <c r="S632" s="5" t="s">
        <v>240</v>
      </c>
      <c r="T632" s="5" t="s">
        <v>237</v>
      </c>
      <c r="U632" s="5" t="s">
        <v>238</v>
      </c>
      <c r="V632" s="5" t="s">
        <v>238</v>
      </c>
      <c r="W632" s="5" t="s">
        <v>241</v>
      </c>
      <c r="X632" s="5" t="s">
        <v>276</v>
      </c>
      <c r="Y632" s="5" t="s">
        <v>238</v>
      </c>
      <c r="AB632" s="5" t="s">
        <v>238</v>
      </c>
      <c r="AD632" s="6" t="s">
        <v>238</v>
      </c>
      <c r="AG632" s="6" t="s">
        <v>246</v>
      </c>
      <c r="AH632" s="5" t="s">
        <v>247</v>
      </c>
      <c r="AI632" s="5" t="s">
        <v>248</v>
      </c>
      <c r="AY632" s="5" t="s">
        <v>250</v>
      </c>
      <c r="AZ632" s="5" t="s">
        <v>238</v>
      </c>
      <c r="BA632" s="5" t="s">
        <v>251</v>
      </c>
      <c r="BB632" s="5" t="s">
        <v>238</v>
      </c>
      <c r="BC632" s="5" t="s">
        <v>253</v>
      </c>
      <c r="BD632" s="5" t="s">
        <v>238</v>
      </c>
      <c r="BF632" s="5" t="s">
        <v>238</v>
      </c>
      <c r="BH632" s="5" t="s">
        <v>697</v>
      </c>
      <c r="BI632" s="6" t="s">
        <v>698</v>
      </c>
      <c r="BJ632" s="5" t="s">
        <v>255</v>
      </c>
      <c r="BK632" s="5" t="s">
        <v>256</v>
      </c>
      <c r="BL632" s="5" t="s">
        <v>238</v>
      </c>
      <c r="BM632" s="7">
        <f>0</f>
        <v>0</v>
      </c>
      <c r="BN632" s="8">
        <f>0</f>
        <v>0</v>
      </c>
      <c r="BO632" s="5" t="s">
        <v>257</v>
      </c>
      <c r="BP632" s="5" t="s">
        <v>258</v>
      </c>
      <c r="CD632" s="5" t="s">
        <v>238</v>
      </c>
      <c r="CE632" s="5" t="s">
        <v>238</v>
      </c>
      <c r="CI632" s="5" t="s">
        <v>527</v>
      </c>
      <c r="CJ632" s="5" t="s">
        <v>260</v>
      </c>
      <c r="CK632" s="5" t="s">
        <v>238</v>
      </c>
      <c r="CM632" s="5" t="s">
        <v>1585</v>
      </c>
      <c r="CN632" s="6" t="s">
        <v>262</v>
      </c>
      <c r="CO632" s="5" t="s">
        <v>263</v>
      </c>
      <c r="CP632" s="5" t="s">
        <v>264</v>
      </c>
      <c r="CQ632" s="5" t="s">
        <v>238</v>
      </c>
      <c r="CR632" s="5" t="s">
        <v>238</v>
      </c>
      <c r="CS632" s="5">
        <v>0</v>
      </c>
      <c r="CT632" s="5" t="s">
        <v>265</v>
      </c>
      <c r="CU632" s="5" t="s">
        <v>1360</v>
      </c>
      <c r="CV632" s="5" t="s">
        <v>267</v>
      </c>
      <c r="CX632" s="8">
        <f t="shared" si="15"/>
        <v>2970000</v>
      </c>
      <c r="CY632" s="8">
        <f>0</f>
        <v>0</v>
      </c>
      <c r="DA632" s="5" t="s">
        <v>238</v>
      </c>
      <c r="DB632" s="5" t="s">
        <v>238</v>
      </c>
      <c r="DD632" s="5" t="s">
        <v>238</v>
      </c>
      <c r="DG632" s="5" t="s">
        <v>238</v>
      </c>
      <c r="DH632" s="5" t="s">
        <v>238</v>
      </c>
      <c r="DI632" s="5" t="s">
        <v>238</v>
      </c>
      <c r="DJ632" s="5" t="s">
        <v>238</v>
      </c>
      <c r="DK632" s="5" t="s">
        <v>271</v>
      </c>
      <c r="DL632" s="5" t="s">
        <v>272</v>
      </c>
      <c r="DM632" s="7">
        <f t="shared" si="16"/>
        <v>29.7</v>
      </c>
      <c r="DN632" s="5" t="s">
        <v>238</v>
      </c>
      <c r="DO632" s="5" t="s">
        <v>238</v>
      </c>
      <c r="DP632" s="5" t="s">
        <v>238</v>
      </c>
      <c r="DQ632" s="5" t="s">
        <v>238</v>
      </c>
      <c r="DT632" s="5" t="s">
        <v>2772</v>
      </c>
      <c r="DU632" s="5" t="s">
        <v>356</v>
      </c>
      <c r="HM632" s="5" t="s">
        <v>271</v>
      </c>
      <c r="HP632" s="5" t="s">
        <v>272</v>
      </c>
      <c r="HQ632" s="5" t="s">
        <v>272</v>
      </c>
    </row>
    <row r="633" spans="1:225" x14ac:dyDescent="0.4">
      <c r="A633" s="5">
        <v>711</v>
      </c>
      <c r="B633" s="5">
        <v>1</v>
      </c>
      <c r="C633" s="5">
        <v>1</v>
      </c>
      <c r="D633" s="5" t="s">
        <v>2769</v>
      </c>
      <c r="E633" s="5" t="s">
        <v>277</v>
      </c>
      <c r="F633" s="5" t="s">
        <v>282</v>
      </c>
      <c r="G633" s="5" t="s">
        <v>2491</v>
      </c>
      <c r="H633" s="6" t="s">
        <v>2771</v>
      </c>
      <c r="I633" s="5" t="s">
        <v>2482</v>
      </c>
      <c r="J633" s="7">
        <f t="shared" si="12"/>
        <v>29.7</v>
      </c>
      <c r="K633" s="5" t="s">
        <v>270</v>
      </c>
      <c r="L633" s="8">
        <f>1</f>
        <v>1</v>
      </c>
      <c r="M633" s="8">
        <f t="shared" si="13"/>
        <v>2970000</v>
      </c>
      <c r="N633" s="6" t="s">
        <v>2770</v>
      </c>
      <c r="O633" s="5" t="s">
        <v>286</v>
      </c>
      <c r="P633" s="5" t="s">
        <v>1586</v>
      </c>
      <c r="R633" s="8">
        <f t="shared" si="14"/>
        <v>2969999</v>
      </c>
      <c r="S633" s="5" t="s">
        <v>240</v>
      </c>
      <c r="T633" s="5" t="s">
        <v>237</v>
      </c>
      <c r="U633" s="5" t="s">
        <v>238</v>
      </c>
      <c r="V633" s="5" t="s">
        <v>238</v>
      </c>
      <c r="W633" s="5" t="s">
        <v>241</v>
      </c>
      <c r="X633" s="5" t="s">
        <v>276</v>
      </c>
      <c r="Y633" s="5" t="s">
        <v>238</v>
      </c>
      <c r="AB633" s="5" t="s">
        <v>238</v>
      </c>
      <c r="AD633" s="6" t="s">
        <v>238</v>
      </c>
      <c r="AG633" s="6" t="s">
        <v>246</v>
      </c>
      <c r="AH633" s="5" t="s">
        <v>247</v>
      </c>
      <c r="AI633" s="5" t="s">
        <v>248</v>
      </c>
      <c r="AY633" s="5" t="s">
        <v>250</v>
      </c>
      <c r="AZ633" s="5" t="s">
        <v>238</v>
      </c>
      <c r="BA633" s="5" t="s">
        <v>251</v>
      </c>
      <c r="BB633" s="5" t="s">
        <v>238</v>
      </c>
      <c r="BC633" s="5" t="s">
        <v>253</v>
      </c>
      <c r="BD633" s="5" t="s">
        <v>238</v>
      </c>
      <c r="BF633" s="5" t="s">
        <v>238</v>
      </c>
      <c r="BH633" s="5" t="s">
        <v>798</v>
      </c>
      <c r="BI633" s="6" t="s">
        <v>376</v>
      </c>
      <c r="BJ633" s="5" t="s">
        <v>255</v>
      </c>
      <c r="BK633" s="5" t="s">
        <v>256</v>
      </c>
      <c r="BL633" s="5" t="s">
        <v>238</v>
      </c>
      <c r="BM633" s="7">
        <f>0</f>
        <v>0</v>
      </c>
      <c r="BN633" s="8">
        <f>0</f>
        <v>0</v>
      </c>
      <c r="BO633" s="5" t="s">
        <v>257</v>
      </c>
      <c r="BP633" s="5" t="s">
        <v>258</v>
      </c>
      <c r="CD633" s="5" t="s">
        <v>238</v>
      </c>
      <c r="CE633" s="5" t="s">
        <v>238</v>
      </c>
      <c r="CI633" s="5" t="s">
        <v>527</v>
      </c>
      <c r="CJ633" s="5" t="s">
        <v>260</v>
      </c>
      <c r="CK633" s="5" t="s">
        <v>238</v>
      </c>
      <c r="CM633" s="5" t="s">
        <v>1585</v>
      </c>
      <c r="CN633" s="6" t="s">
        <v>262</v>
      </c>
      <c r="CO633" s="5" t="s">
        <v>263</v>
      </c>
      <c r="CP633" s="5" t="s">
        <v>264</v>
      </c>
      <c r="CQ633" s="5" t="s">
        <v>238</v>
      </c>
      <c r="CR633" s="5" t="s">
        <v>238</v>
      </c>
      <c r="CS633" s="5">
        <v>0</v>
      </c>
      <c r="CT633" s="5" t="s">
        <v>265</v>
      </c>
      <c r="CU633" s="5" t="s">
        <v>1360</v>
      </c>
      <c r="CV633" s="5" t="s">
        <v>267</v>
      </c>
      <c r="CX633" s="8">
        <f t="shared" si="15"/>
        <v>2970000</v>
      </c>
      <c r="CY633" s="8">
        <f>0</f>
        <v>0</v>
      </c>
      <c r="DA633" s="5" t="s">
        <v>238</v>
      </c>
      <c r="DB633" s="5" t="s">
        <v>238</v>
      </c>
      <c r="DD633" s="5" t="s">
        <v>238</v>
      </c>
      <c r="DG633" s="5" t="s">
        <v>238</v>
      </c>
      <c r="DH633" s="5" t="s">
        <v>238</v>
      </c>
      <c r="DI633" s="5" t="s">
        <v>238</v>
      </c>
      <c r="DJ633" s="5" t="s">
        <v>238</v>
      </c>
      <c r="DK633" s="5" t="s">
        <v>271</v>
      </c>
      <c r="DL633" s="5" t="s">
        <v>272</v>
      </c>
      <c r="DM633" s="7">
        <f t="shared" si="16"/>
        <v>29.7</v>
      </c>
      <c r="DN633" s="5" t="s">
        <v>238</v>
      </c>
      <c r="DO633" s="5" t="s">
        <v>238</v>
      </c>
      <c r="DP633" s="5" t="s">
        <v>238</v>
      </c>
      <c r="DQ633" s="5" t="s">
        <v>238</v>
      </c>
      <c r="DT633" s="5" t="s">
        <v>2772</v>
      </c>
      <c r="DU633" s="5" t="s">
        <v>310</v>
      </c>
      <c r="HM633" s="5" t="s">
        <v>271</v>
      </c>
      <c r="HP633" s="5" t="s">
        <v>272</v>
      </c>
      <c r="HQ633" s="5" t="s">
        <v>272</v>
      </c>
    </row>
    <row r="634" spans="1:225" x14ac:dyDescent="0.4">
      <c r="A634" s="5">
        <v>712</v>
      </c>
      <c r="B634" s="5">
        <v>1</v>
      </c>
      <c r="C634" s="5">
        <v>1</v>
      </c>
      <c r="D634" s="5" t="s">
        <v>2769</v>
      </c>
      <c r="E634" s="5" t="s">
        <v>277</v>
      </c>
      <c r="F634" s="5" t="s">
        <v>282</v>
      </c>
      <c r="G634" s="5" t="s">
        <v>2491</v>
      </c>
      <c r="H634" s="6" t="s">
        <v>2771</v>
      </c>
      <c r="I634" s="5" t="s">
        <v>2482</v>
      </c>
      <c r="J634" s="7">
        <f t="shared" si="12"/>
        <v>29.7</v>
      </c>
      <c r="K634" s="5" t="s">
        <v>270</v>
      </c>
      <c r="L634" s="8">
        <f>1</f>
        <v>1</v>
      </c>
      <c r="M634" s="8">
        <f t="shared" si="13"/>
        <v>2970000</v>
      </c>
      <c r="N634" s="6" t="s">
        <v>2770</v>
      </c>
      <c r="O634" s="5" t="s">
        <v>286</v>
      </c>
      <c r="P634" s="5" t="s">
        <v>1586</v>
      </c>
      <c r="R634" s="8">
        <f t="shared" si="14"/>
        <v>2969999</v>
      </c>
      <c r="S634" s="5" t="s">
        <v>240</v>
      </c>
      <c r="T634" s="5" t="s">
        <v>237</v>
      </c>
      <c r="U634" s="5" t="s">
        <v>238</v>
      </c>
      <c r="V634" s="5" t="s">
        <v>238</v>
      </c>
      <c r="W634" s="5" t="s">
        <v>241</v>
      </c>
      <c r="X634" s="5" t="s">
        <v>276</v>
      </c>
      <c r="Y634" s="5" t="s">
        <v>238</v>
      </c>
      <c r="AB634" s="5" t="s">
        <v>238</v>
      </c>
      <c r="AD634" s="6" t="s">
        <v>238</v>
      </c>
      <c r="AG634" s="6" t="s">
        <v>246</v>
      </c>
      <c r="AH634" s="5" t="s">
        <v>247</v>
      </c>
      <c r="AI634" s="5" t="s">
        <v>248</v>
      </c>
      <c r="AY634" s="5" t="s">
        <v>250</v>
      </c>
      <c r="AZ634" s="5" t="s">
        <v>238</v>
      </c>
      <c r="BA634" s="5" t="s">
        <v>251</v>
      </c>
      <c r="BB634" s="5" t="s">
        <v>238</v>
      </c>
      <c r="BC634" s="5" t="s">
        <v>253</v>
      </c>
      <c r="BD634" s="5" t="s">
        <v>238</v>
      </c>
      <c r="BF634" s="5" t="s">
        <v>238</v>
      </c>
      <c r="BH634" s="5" t="s">
        <v>254</v>
      </c>
      <c r="BI634" s="6" t="s">
        <v>246</v>
      </c>
      <c r="BJ634" s="5" t="s">
        <v>255</v>
      </c>
      <c r="BK634" s="5" t="s">
        <v>256</v>
      </c>
      <c r="BL634" s="5" t="s">
        <v>238</v>
      </c>
      <c r="BM634" s="7">
        <f>0</f>
        <v>0</v>
      </c>
      <c r="BN634" s="8">
        <f>0</f>
        <v>0</v>
      </c>
      <c r="BO634" s="5" t="s">
        <v>257</v>
      </c>
      <c r="BP634" s="5" t="s">
        <v>258</v>
      </c>
      <c r="CD634" s="5" t="s">
        <v>238</v>
      </c>
      <c r="CE634" s="5" t="s">
        <v>238</v>
      </c>
      <c r="CI634" s="5" t="s">
        <v>527</v>
      </c>
      <c r="CJ634" s="5" t="s">
        <v>260</v>
      </c>
      <c r="CK634" s="5" t="s">
        <v>238</v>
      </c>
      <c r="CM634" s="5" t="s">
        <v>1585</v>
      </c>
      <c r="CN634" s="6" t="s">
        <v>262</v>
      </c>
      <c r="CO634" s="5" t="s">
        <v>263</v>
      </c>
      <c r="CP634" s="5" t="s">
        <v>264</v>
      </c>
      <c r="CQ634" s="5" t="s">
        <v>238</v>
      </c>
      <c r="CR634" s="5" t="s">
        <v>238</v>
      </c>
      <c r="CS634" s="5">
        <v>0</v>
      </c>
      <c r="CT634" s="5" t="s">
        <v>265</v>
      </c>
      <c r="CU634" s="5" t="s">
        <v>1360</v>
      </c>
      <c r="CV634" s="5" t="s">
        <v>267</v>
      </c>
      <c r="CX634" s="8">
        <f t="shared" si="15"/>
        <v>2970000</v>
      </c>
      <c r="CY634" s="8">
        <f>0</f>
        <v>0</v>
      </c>
      <c r="DA634" s="5" t="s">
        <v>238</v>
      </c>
      <c r="DB634" s="5" t="s">
        <v>238</v>
      </c>
      <c r="DD634" s="5" t="s">
        <v>238</v>
      </c>
      <c r="DG634" s="5" t="s">
        <v>238</v>
      </c>
      <c r="DH634" s="5" t="s">
        <v>238</v>
      </c>
      <c r="DI634" s="5" t="s">
        <v>238</v>
      </c>
      <c r="DJ634" s="5" t="s">
        <v>238</v>
      </c>
      <c r="DK634" s="5" t="s">
        <v>271</v>
      </c>
      <c r="DL634" s="5" t="s">
        <v>272</v>
      </c>
      <c r="DM634" s="7">
        <f t="shared" si="16"/>
        <v>29.7</v>
      </c>
      <c r="DN634" s="5" t="s">
        <v>238</v>
      </c>
      <c r="DO634" s="5" t="s">
        <v>238</v>
      </c>
      <c r="DP634" s="5" t="s">
        <v>238</v>
      </c>
      <c r="DQ634" s="5" t="s">
        <v>238</v>
      </c>
      <c r="DT634" s="5" t="s">
        <v>2772</v>
      </c>
      <c r="DU634" s="5" t="s">
        <v>379</v>
      </c>
      <c r="HM634" s="5" t="s">
        <v>271</v>
      </c>
      <c r="HP634" s="5" t="s">
        <v>272</v>
      </c>
      <c r="HQ634" s="5" t="s">
        <v>272</v>
      </c>
    </row>
    <row r="635" spans="1:225" x14ac:dyDescent="0.4">
      <c r="A635" s="5">
        <v>713</v>
      </c>
      <c r="B635" s="5">
        <v>1</v>
      </c>
      <c r="C635" s="5">
        <v>1</v>
      </c>
      <c r="D635" s="5" t="s">
        <v>2769</v>
      </c>
      <c r="E635" s="5" t="s">
        <v>277</v>
      </c>
      <c r="F635" s="5" t="s">
        <v>282</v>
      </c>
      <c r="G635" s="5" t="s">
        <v>2491</v>
      </c>
      <c r="H635" s="6" t="s">
        <v>2771</v>
      </c>
      <c r="I635" s="5" t="s">
        <v>2482</v>
      </c>
      <c r="J635" s="7">
        <f t="shared" si="12"/>
        <v>29.7</v>
      </c>
      <c r="K635" s="5" t="s">
        <v>270</v>
      </c>
      <c r="L635" s="8">
        <f>1</f>
        <v>1</v>
      </c>
      <c r="M635" s="8">
        <f t="shared" si="13"/>
        <v>2970000</v>
      </c>
      <c r="N635" s="6" t="s">
        <v>2770</v>
      </c>
      <c r="O635" s="5" t="s">
        <v>286</v>
      </c>
      <c r="P635" s="5" t="s">
        <v>1586</v>
      </c>
      <c r="R635" s="8">
        <f t="shared" si="14"/>
        <v>2969999</v>
      </c>
      <c r="S635" s="5" t="s">
        <v>240</v>
      </c>
      <c r="T635" s="5" t="s">
        <v>237</v>
      </c>
      <c r="U635" s="5" t="s">
        <v>238</v>
      </c>
      <c r="V635" s="5" t="s">
        <v>238</v>
      </c>
      <c r="W635" s="5" t="s">
        <v>241</v>
      </c>
      <c r="X635" s="5" t="s">
        <v>276</v>
      </c>
      <c r="Y635" s="5" t="s">
        <v>238</v>
      </c>
      <c r="AB635" s="5" t="s">
        <v>238</v>
      </c>
      <c r="AD635" s="6" t="s">
        <v>238</v>
      </c>
      <c r="AG635" s="6" t="s">
        <v>246</v>
      </c>
      <c r="AH635" s="5" t="s">
        <v>247</v>
      </c>
      <c r="AI635" s="5" t="s">
        <v>248</v>
      </c>
      <c r="AY635" s="5" t="s">
        <v>250</v>
      </c>
      <c r="AZ635" s="5" t="s">
        <v>238</v>
      </c>
      <c r="BA635" s="5" t="s">
        <v>251</v>
      </c>
      <c r="BB635" s="5" t="s">
        <v>238</v>
      </c>
      <c r="BC635" s="5" t="s">
        <v>253</v>
      </c>
      <c r="BD635" s="5" t="s">
        <v>238</v>
      </c>
      <c r="BF635" s="5" t="s">
        <v>238</v>
      </c>
      <c r="BH635" s="5" t="s">
        <v>859</v>
      </c>
      <c r="BI635" s="6" t="s">
        <v>368</v>
      </c>
      <c r="BJ635" s="5" t="s">
        <v>255</v>
      </c>
      <c r="BK635" s="5" t="s">
        <v>256</v>
      </c>
      <c r="BL635" s="5" t="s">
        <v>238</v>
      </c>
      <c r="BM635" s="7">
        <f>0</f>
        <v>0</v>
      </c>
      <c r="BN635" s="8">
        <f>0</f>
        <v>0</v>
      </c>
      <c r="BO635" s="5" t="s">
        <v>257</v>
      </c>
      <c r="BP635" s="5" t="s">
        <v>258</v>
      </c>
      <c r="CD635" s="5" t="s">
        <v>238</v>
      </c>
      <c r="CE635" s="5" t="s">
        <v>238</v>
      </c>
      <c r="CI635" s="5" t="s">
        <v>527</v>
      </c>
      <c r="CJ635" s="5" t="s">
        <v>260</v>
      </c>
      <c r="CK635" s="5" t="s">
        <v>238</v>
      </c>
      <c r="CM635" s="5" t="s">
        <v>1585</v>
      </c>
      <c r="CN635" s="6" t="s">
        <v>262</v>
      </c>
      <c r="CO635" s="5" t="s">
        <v>263</v>
      </c>
      <c r="CP635" s="5" t="s">
        <v>264</v>
      </c>
      <c r="CQ635" s="5" t="s">
        <v>238</v>
      </c>
      <c r="CR635" s="5" t="s">
        <v>238</v>
      </c>
      <c r="CS635" s="5">
        <v>0</v>
      </c>
      <c r="CT635" s="5" t="s">
        <v>265</v>
      </c>
      <c r="CU635" s="5" t="s">
        <v>1360</v>
      </c>
      <c r="CV635" s="5" t="s">
        <v>267</v>
      </c>
      <c r="CX635" s="8">
        <f t="shared" si="15"/>
        <v>2970000</v>
      </c>
      <c r="CY635" s="8">
        <f>0</f>
        <v>0</v>
      </c>
      <c r="DA635" s="5" t="s">
        <v>238</v>
      </c>
      <c r="DB635" s="5" t="s">
        <v>238</v>
      </c>
      <c r="DD635" s="5" t="s">
        <v>238</v>
      </c>
      <c r="DG635" s="5" t="s">
        <v>238</v>
      </c>
      <c r="DH635" s="5" t="s">
        <v>238</v>
      </c>
      <c r="DI635" s="5" t="s">
        <v>238</v>
      </c>
      <c r="DJ635" s="5" t="s">
        <v>238</v>
      </c>
      <c r="DK635" s="5" t="s">
        <v>271</v>
      </c>
      <c r="DL635" s="5" t="s">
        <v>272</v>
      </c>
      <c r="DM635" s="7">
        <f t="shared" si="16"/>
        <v>29.7</v>
      </c>
      <c r="DN635" s="5" t="s">
        <v>238</v>
      </c>
      <c r="DO635" s="5" t="s">
        <v>238</v>
      </c>
      <c r="DP635" s="5" t="s">
        <v>238</v>
      </c>
      <c r="DQ635" s="5" t="s">
        <v>238</v>
      </c>
      <c r="DT635" s="5" t="s">
        <v>2772</v>
      </c>
      <c r="DU635" s="5" t="s">
        <v>313</v>
      </c>
      <c r="HM635" s="5" t="s">
        <v>271</v>
      </c>
      <c r="HP635" s="5" t="s">
        <v>272</v>
      </c>
      <c r="HQ635" s="5" t="s">
        <v>272</v>
      </c>
    </row>
    <row r="636" spans="1:225" x14ac:dyDescent="0.4">
      <c r="A636" s="5">
        <v>714</v>
      </c>
      <c r="B636" s="5">
        <v>1</v>
      </c>
      <c r="C636" s="5">
        <v>1</v>
      </c>
      <c r="D636" s="5" t="s">
        <v>2769</v>
      </c>
      <c r="E636" s="5" t="s">
        <v>277</v>
      </c>
      <c r="F636" s="5" t="s">
        <v>282</v>
      </c>
      <c r="G636" s="5" t="s">
        <v>2491</v>
      </c>
      <c r="H636" s="6" t="s">
        <v>2771</v>
      </c>
      <c r="I636" s="5" t="s">
        <v>2482</v>
      </c>
      <c r="J636" s="7">
        <f t="shared" si="12"/>
        <v>29.7</v>
      </c>
      <c r="K636" s="5" t="s">
        <v>270</v>
      </c>
      <c r="L636" s="8">
        <f>1</f>
        <v>1</v>
      </c>
      <c r="M636" s="8">
        <f t="shared" si="13"/>
        <v>2970000</v>
      </c>
      <c r="N636" s="6" t="s">
        <v>2770</v>
      </c>
      <c r="O636" s="5" t="s">
        <v>286</v>
      </c>
      <c r="P636" s="5" t="s">
        <v>1586</v>
      </c>
      <c r="R636" s="8">
        <f t="shared" si="14"/>
        <v>2969999</v>
      </c>
      <c r="S636" s="5" t="s">
        <v>240</v>
      </c>
      <c r="T636" s="5" t="s">
        <v>237</v>
      </c>
      <c r="U636" s="5" t="s">
        <v>238</v>
      </c>
      <c r="V636" s="5" t="s">
        <v>238</v>
      </c>
      <c r="W636" s="5" t="s">
        <v>241</v>
      </c>
      <c r="X636" s="5" t="s">
        <v>276</v>
      </c>
      <c r="Y636" s="5" t="s">
        <v>238</v>
      </c>
      <c r="AB636" s="5" t="s">
        <v>238</v>
      </c>
      <c r="AD636" s="6" t="s">
        <v>238</v>
      </c>
      <c r="AG636" s="6" t="s">
        <v>246</v>
      </c>
      <c r="AH636" s="5" t="s">
        <v>247</v>
      </c>
      <c r="AI636" s="5" t="s">
        <v>248</v>
      </c>
      <c r="AY636" s="5" t="s">
        <v>250</v>
      </c>
      <c r="AZ636" s="5" t="s">
        <v>238</v>
      </c>
      <c r="BA636" s="5" t="s">
        <v>251</v>
      </c>
      <c r="BB636" s="5" t="s">
        <v>238</v>
      </c>
      <c r="BC636" s="5" t="s">
        <v>253</v>
      </c>
      <c r="BD636" s="5" t="s">
        <v>238</v>
      </c>
      <c r="BF636" s="5" t="s">
        <v>238</v>
      </c>
      <c r="BH636" s="5" t="s">
        <v>697</v>
      </c>
      <c r="BI636" s="6" t="s">
        <v>698</v>
      </c>
      <c r="BJ636" s="5" t="s">
        <v>255</v>
      </c>
      <c r="BK636" s="5" t="s">
        <v>256</v>
      </c>
      <c r="BL636" s="5" t="s">
        <v>238</v>
      </c>
      <c r="BM636" s="7">
        <f>0</f>
        <v>0</v>
      </c>
      <c r="BN636" s="8">
        <f>0</f>
        <v>0</v>
      </c>
      <c r="BO636" s="5" t="s">
        <v>257</v>
      </c>
      <c r="BP636" s="5" t="s">
        <v>258</v>
      </c>
      <c r="CD636" s="5" t="s">
        <v>238</v>
      </c>
      <c r="CE636" s="5" t="s">
        <v>238</v>
      </c>
      <c r="CI636" s="5" t="s">
        <v>527</v>
      </c>
      <c r="CJ636" s="5" t="s">
        <v>260</v>
      </c>
      <c r="CK636" s="5" t="s">
        <v>238</v>
      </c>
      <c r="CM636" s="5" t="s">
        <v>1585</v>
      </c>
      <c r="CN636" s="6" t="s">
        <v>262</v>
      </c>
      <c r="CO636" s="5" t="s">
        <v>263</v>
      </c>
      <c r="CP636" s="5" t="s">
        <v>264</v>
      </c>
      <c r="CQ636" s="5" t="s">
        <v>238</v>
      </c>
      <c r="CR636" s="5" t="s">
        <v>238</v>
      </c>
      <c r="CS636" s="5">
        <v>0</v>
      </c>
      <c r="CT636" s="5" t="s">
        <v>265</v>
      </c>
      <c r="CU636" s="5" t="s">
        <v>1360</v>
      </c>
      <c r="CV636" s="5" t="s">
        <v>267</v>
      </c>
      <c r="CX636" s="8">
        <f t="shared" si="15"/>
        <v>2970000</v>
      </c>
      <c r="CY636" s="8">
        <f>0</f>
        <v>0</v>
      </c>
      <c r="DA636" s="5" t="s">
        <v>238</v>
      </c>
      <c r="DB636" s="5" t="s">
        <v>238</v>
      </c>
      <c r="DD636" s="5" t="s">
        <v>238</v>
      </c>
      <c r="DG636" s="5" t="s">
        <v>238</v>
      </c>
      <c r="DH636" s="5" t="s">
        <v>238</v>
      </c>
      <c r="DI636" s="5" t="s">
        <v>238</v>
      </c>
      <c r="DJ636" s="5" t="s">
        <v>238</v>
      </c>
      <c r="DK636" s="5" t="s">
        <v>271</v>
      </c>
      <c r="DL636" s="5" t="s">
        <v>272</v>
      </c>
      <c r="DM636" s="7">
        <f t="shared" si="16"/>
        <v>29.7</v>
      </c>
      <c r="DN636" s="5" t="s">
        <v>238</v>
      </c>
      <c r="DO636" s="5" t="s">
        <v>238</v>
      </c>
      <c r="DP636" s="5" t="s">
        <v>238</v>
      </c>
      <c r="DQ636" s="5" t="s">
        <v>238</v>
      </c>
      <c r="DT636" s="5" t="s">
        <v>2772</v>
      </c>
      <c r="DU636" s="5" t="s">
        <v>389</v>
      </c>
      <c r="HM636" s="5" t="s">
        <v>271</v>
      </c>
      <c r="HP636" s="5" t="s">
        <v>272</v>
      </c>
      <c r="HQ636" s="5" t="s">
        <v>272</v>
      </c>
    </row>
    <row r="637" spans="1:225" x14ac:dyDescent="0.4">
      <c r="A637" s="5">
        <v>716</v>
      </c>
      <c r="B637" s="5">
        <v>1</v>
      </c>
      <c r="C637" s="5">
        <v>1</v>
      </c>
      <c r="D637" s="5" t="s">
        <v>2861</v>
      </c>
      <c r="E637" s="5" t="s">
        <v>277</v>
      </c>
      <c r="F637" s="5" t="s">
        <v>282</v>
      </c>
      <c r="G637" s="5" t="s">
        <v>2491</v>
      </c>
      <c r="H637" s="6" t="s">
        <v>2863</v>
      </c>
      <c r="I637" s="5" t="s">
        <v>2482</v>
      </c>
      <c r="J637" s="7">
        <f>34.65</f>
        <v>34.65</v>
      </c>
      <c r="K637" s="5" t="s">
        <v>270</v>
      </c>
      <c r="L637" s="8">
        <f>1</f>
        <v>1</v>
      </c>
      <c r="M637" s="8">
        <f>3465000</f>
        <v>3465000</v>
      </c>
      <c r="N637" s="6" t="s">
        <v>2862</v>
      </c>
      <c r="O637" s="5" t="s">
        <v>286</v>
      </c>
      <c r="P637" s="5" t="s">
        <v>895</v>
      </c>
      <c r="R637" s="8">
        <f>3464999</f>
        <v>3464999</v>
      </c>
      <c r="S637" s="5" t="s">
        <v>240</v>
      </c>
      <c r="T637" s="5" t="s">
        <v>237</v>
      </c>
      <c r="U637" s="5" t="s">
        <v>238</v>
      </c>
      <c r="V637" s="5" t="s">
        <v>238</v>
      </c>
      <c r="W637" s="5" t="s">
        <v>241</v>
      </c>
      <c r="X637" s="5" t="s">
        <v>276</v>
      </c>
      <c r="Y637" s="5" t="s">
        <v>238</v>
      </c>
      <c r="AB637" s="5" t="s">
        <v>238</v>
      </c>
      <c r="AD637" s="6" t="s">
        <v>238</v>
      </c>
      <c r="AG637" s="6" t="s">
        <v>246</v>
      </c>
      <c r="AH637" s="5" t="s">
        <v>247</v>
      </c>
      <c r="AI637" s="5" t="s">
        <v>248</v>
      </c>
      <c r="AY637" s="5" t="s">
        <v>250</v>
      </c>
      <c r="AZ637" s="5" t="s">
        <v>238</v>
      </c>
      <c r="BA637" s="5" t="s">
        <v>251</v>
      </c>
      <c r="BB637" s="5" t="s">
        <v>238</v>
      </c>
      <c r="BC637" s="5" t="s">
        <v>253</v>
      </c>
      <c r="BD637" s="5" t="s">
        <v>238</v>
      </c>
      <c r="BF637" s="5" t="s">
        <v>238</v>
      </c>
      <c r="BH637" s="5" t="s">
        <v>254</v>
      </c>
      <c r="BI637" s="6" t="s">
        <v>246</v>
      </c>
      <c r="BJ637" s="5" t="s">
        <v>255</v>
      </c>
      <c r="BK637" s="5" t="s">
        <v>256</v>
      </c>
      <c r="BL637" s="5" t="s">
        <v>238</v>
      </c>
      <c r="BM637" s="7">
        <f>0</f>
        <v>0</v>
      </c>
      <c r="BN637" s="8">
        <f>0</f>
        <v>0</v>
      </c>
      <c r="BO637" s="5" t="s">
        <v>257</v>
      </c>
      <c r="BP637" s="5" t="s">
        <v>258</v>
      </c>
      <c r="CD637" s="5" t="s">
        <v>238</v>
      </c>
      <c r="CE637" s="5" t="s">
        <v>238</v>
      </c>
      <c r="CI637" s="5" t="s">
        <v>527</v>
      </c>
      <c r="CJ637" s="5" t="s">
        <v>260</v>
      </c>
      <c r="CK637" s="5" t="s">
        <v>238</v>
      </c>
      <c r="CM637" s="5" t="s">
        <v>894</v>
      </c>
      <c r="CN637" s="6" t="s">
        <v>262</v>
      </c>
      <c r="CO637" s="5" t="s">
        <v>263</v>
      </c>
      <c r="CP637" s="5" t="s">
        <v>264</v>
      </c>
      <c r="CQ637" s="5" t="s">
        <v>238</v>
      </c>
      <c r="CR637" s="5" t="s">
        <v>238</v>
      </c>
      <c r="CS637" s="5">
        <v>0</v>
      </c>
      <c r="CT637" s="5" t="s">
        <v>265</v>
      </c>
      <c r="CU637" s="5" t="s">
        <v>1360</v>
      </c>
      <c r="CV637" s="5" t="s">
        <v>267</v>
      </c>
      <c r="CX637" s="8">
        <f>3465000</f>
        <v>3465000</v>
      </c>
      <c r="CY637" s="8">
        <f>0</f>
        <v>0</v>
      </c>
      <c r="DA637" s="5" t="s">
        <v>238</v>
      </c>
      <c r="DB637" s="5" t="s">
        <v>238</v>
      </c>
      <c r="DD637" s="5" t="s">
        <v>238</v>
      </c>
      <c r="DG637" s="5" t="s">
        <v>238</v>
      </c>
      <c r="DH637" s="5" t="s">
        <v>238</v>
      </c>
      <c r="DI637" s="5" t="s">
        <v>238</v>
      </c>
      <c r="DJ637" s="5" t="s">
        <v>238</v>
      </c>
      <c r="DK637" s="5" t="s">
        <v>271</v>
      </c>
      <c r="DL637" s="5" t="s">
        <v>272</v>
      </c>
      <c r="DM637" s="7">
        <f>34.65</f>
        <v>34.65</v>
      </c>
      <c r="DN637" s="5" t="s">
        <v>238</v>
      </c>
      <c r="DO637" s="5" t="s">
        <v>238</v>
      </c>
      <c r="DP637" s="5" t="s">
        <v>238</v>
      </c>
      <c r="DQ637" s="5" t="s">
        <v>238</v>
      </c>
      <c r="DT637" s="5" t="s">
        <v>2864</v>
      </c>
      <c r="DU637" s="5" t="s">
        <v>271</v>
      </c>
      <c r="HM637" s="5" t="s">
        <v>271</v>
      </c>
      <c r="HP637" s="5" t="s">
        <v>272</v>
      </c>
      <c r="HQ637" s="5" t="s">
        <v>272</v>
      </c>
    </row>
    <row r="638" spans="1:225" x14ac:dyDescent="0.4">
      <c r="A638" s="5">
        <v>717</v>
      </c>
      <c r="B638" s="5">
        <v>1</v>
      </c>
      <c r="C638" s="5">
        <v>1</v>
      </c>
      <c r="D638" s="5" t="s">
        <v>2861</v>
      </c>
      <c r="E638" s="5" t="s">
        <v>277</v>
      </c>
      <c r="F638" s="5" t="s">
        <v>282</v>
      </c>
      <c r="G638" s="5" t="s">
        <v>2491</v>
      </c>
      <c r="H638" s="6" t="s">
        <v>2863</v>
      </c>
      <c r="I638" s="5" t="s">
        <v>2482</v>
      </c>
      <c r="J638" s="7">
        <f>34.65</f>
        <v>34.65</v>
      </c>
      <c r="K638" s="5" t="s">
        <v>270</v>
      </c>
      <c r="L638" s="8">
        <f>1</f>
        <v>1</v>
      </c>
      <c r="M638" s="8">
        <f>3465000</f>
        <v>3465000</v>
      </c>
      <c r="N638" s="6" t="s">
        <v>2862</v>
      </c>
      <c r="O638" s="5" t="s">
        <v>286</v>
      </c>
      <c r="P638" s="5" t="s">
        <v>895</v>
      </c>
      <c r="R638" s="8">
        <f>3464999</f>
        <v>3464999</v>
      </c>
      <c r="S638" s="5" t="s">
        <v>240</v>
      </c>
      <c r="T638" s="5" t="s">
        <v>237</v>
      </c>
      <c r="U638" s="5" t="s">
        <v>238</v>
      </c>
      <c r="V638" s="5" t="s">
        <v>238</v>
      </c>
      <c r="W638" s="5" t="s">
        <v>241</v>
      </c>
      <c r="X638" s="5" t="s">
        <v>276</v>
      </c>
      <c r="Y638" s="5" t="s">
        <v>238</v>
      </c>
      <c r="AB638" s="5" t="s">
        <v>238</v>
      </c>
      <c r="AD638" s="6" t="s">
        <v>238</v>
      </c>
      <c r="AG638" s="6" t="s">
        <v>246</v>
      </c>
      <c r="AH638" s="5" t="s">
        <v>247</v>
      </c>
      <c r="AI638" s="5" t="s">
        <v>248</v>
      </c>
      <c r="AY638" s="5" t="s">
        <v>250</v>
      </c>
      <c r="AZ638" s="5" t="s">
        <v>238</v>
      </c>
      <c r="BA638" s="5" t="s">
        <v>251</v>
      </c>
      <c r="BB638" s="5" t="s">
        <v>238</v>
      </c>
      <c r="BC638" s="5" t="s">
        <v>253</v>
      </c>
      <c r="BD638" s="5" t="s">
        <v>238</v>
      </c>
      <c r="BF638" s="5" t="s">
        <v>238</v>
      </c>
      <c r="BH638" s="5" t="s">
        <v>254</v>
      </c>
      <c r="BI638" s="6" t="s">
        <v>246</v>
      </c>
      <c r="BJ638" s="5" t="s">
        <v>255</v>
      </c>
      <c r="BK638" s="5" t="s">
        <v>256</v>
      </c>
      <c r="BL638" s="5" t="s">
        <v>238</v>
      </c>
      <c r="BM638" s="7">
        <f>0</f>
        <v>0</v>
      </c>
      <c r="BN638" s="8">
        <f>0</f>
        <v>0</v>
      </c>
      <c r="BO638" s="5" t="s">
        <v>257</v>
      </c>
      <c r="BP638" s="5" t="s">
        <v>258</v>
      </c>
      <c r="CD638" s="5" t="s">
        <v>238</v>
      </c>
      <c r="CE638" s="5" t="s">
        <v>238</v>
      </c>
      <c r="CI638" s="5" t="s">
        <v>527</v>
      </c>
      <c r="CJ638" s="5" t="s">
        <v>260</v>
      </c>
      <c r="CK638" s="5" t="s">
        <v>238</v>
      </c>
      <c r="CM638" s="5" t="s">
        <v>894</v>
      </c>
      <c r="CN638" s="6" t="s">
        <v>262</v>
      </c>
      <c r="CO638" s="5" t="s">
        <v>263</v>
      </c>
      <c r="CP638" s="5" t="s">
        <v>264</v>
      </c>
      <c r="CQ638" s="5" t="s">
        <v>238</v>
      </c>
      <c r="CR638" s="5" t="s">
        <v>238</v>
      </c>
      <c r="CS638" s="5">
        <v>0</v>
      </c>
      <c r="CT638" s="5" t="s">
        <v>265</v>
      </c>
      <c r="CU638" s="5" t="s">
        <v>1360</v>
      </c>
      <c r="CV638" s="5" t="s">
        <v>267</v>
      </c>
      <c r="CX638" s="8">
        <f>3465000</f>
        <v>3465000</v>
      </c>
      <c r="CY638" s="8">
        <f>0</f>
        <v>0</v>
      </c>
      <c r="DA638" s="5" t="s">
        <v>238</v>
      </c>
      <c r="DB638" s="5" t="s">
        <v>238</v>
      </c>
      <c r="DD638" s="5" t="s">
        <v>238</v>
      </c>
      <c r="DG638" s="5" t="s">
        <v>238</v>
      </c>
      <c r="DH638" s="5" t="s">
        <v>238</v>
      </c>
      <c r="DI638" s="5" t="s">
        <v>238</v>
      </c>
      <c r="DJ638" s="5" t="s">
        <v>238</v>
      </c>
      <c r="DK638" s="5" t="s">
        <v>271</v>
      </c>
      <c r="DL638" s="5" t="s">
        <v>272</v>
      </c>
      <c r="DM638" s="7">
        <f>34.65</f>
        <v>34.65</v>
      </c>
      <c r="DN638" s="5" t="s">
        <v>238</v>
      </c>
      <c r="DO638" s="5" t="s">
        <v>238</v>
      </c>
      <c r="DP638" s="5" t="s">
        <v>238</v>
      </c>
      <c r="DQ638" s="5" t="s">
        <v>238</v>
      </c>
      <c r="DT638" s="5" t="s">
        <v>2864</v>
      </c>
      <c r="DU638" s="5" t="s">
        <v>274</v>
      </c>
      <c r="HM638" s="5" t="s">
        <v>271</v>
      </c>
      <c r="HP638" s="5" t="s">
        <v>272</v>
      </c>
      <c r="HQ638" s="5" t="s">
        <v>272</v>
      </c>
    </row>
    <row r="639" spans="1:225" x14ac:dyDescent="0.4">
      <c r="A639" s="5">
        <v>719</v>
      </c>
      <c r="B639" s="5">
        <v>1</v>
      </c>
      <c r="C639" s="5">
        <v>1</v>
      </c>
      <c r="D639" s="5" t="s">
        <v>2861</v>
      </c>
      <c r="E639" s="5" t="s">
        <v>277</v>
      </c>
      <c r="F639" s="5" t="s">
        <v>282</v>
      </c>
      <c r="G639" s="5" t="s">
        <v>2491</v>
      </c>
      <c r="H639" s="6" t="s">
        <v>2863</v>
      </c>
      <c r="I639" s="5" t="s">
        <v>2482</v>
      </c>
      <c r="J639" s="7">
        <f>34.65</f>
        <v>34.65</v>
      </c>
      <c r="K639" s="5" t="s">
        <v>270</v>
      </c>
      <c r="L639" s="8">
        <f>1</f>
        <v>1</v>
      </c>
      <c r="M639" s="8">
        <f>3465000</f>
        <v>3465000</v>
      </c>
      <c r="N639" s="6" t="s">
        <v>2862</v>
      </c>
      <c r="O639" s="5" t="s">
        <v>286</v>
      </c>
      <c r="P639" s="5" t="s">
        <v>895</v>
      </c>
      <c r="R639" s="8">
        <f>3464999</f>
        <v>3464999</v>
      </c>
      <c r="S639" s="5" t="s">
        <v>240</v>
      </c>
      <c r="T639" s="5" t="s">
        <v>237</v>
      </c>
      <c r="U639" s="5" t="s">
        <v>238</v>
      </c>
      <c r="V639" s="5" t="s">
        <v>238</v>
      </c>
      <c r="W639" s="5" t="s">
        <v>241</v>
      </c>
      <c r="X639" s="5" t="s">
        <v>276</v>
      </c>
      <c r="Y639" s="5" t="s">
        <v>238</v>
      </c>
      <c r="AB639" s="5" t="s">
        <v>238</v>
      </c>
      <c r="AD639" s="6" t="s">
        <v>238</v>
      </c>
      <c r="AG639" s="6" t="s">
        <v>246</v>
      </c>
      <c r="AH639" s="5" t="s">
        <v>247</v>
      </c>
      <c r="AI639" s="5" t="s">
        <v>248</v>
      </c>
      <c r="AY639" s="5" t="s">
        <v>250</v>
      </c>
      <c r="AZ639" s="5" t="s">
        <v>238</v>
      </c>
      <c r="BA639" s="5" t="s">
        <v>251</v>
      </c>
      <c r="BB639" s="5" t="s">
        <v>238</v>
      </c>
      <c r="BC639" s="5" t="s">
        <v>253</v>
      </c>
      <c r="BD639" s="5" t="s">
        <v>238</v>
      </c>
      <c r="BF639" s="5" t="s">
        <v>238</v>
      </c>
      <c r="BH639" s="5" t="s">
        <v>697</v>
      </c>
      <c r="BI639" s="6" t="s">
        <v>698</v>
      </c>
      <c r="BJ639" s="5" t="s">
        <v>255</v>
      </c>
      <c r="BK639" s="5" t="s">
        <v>256</v>
      </c>
      <c r="BL639" s="5" t="s">
        <v>238</v>
      </c>
      <c r="BM639" s="7">
        <f>0</f>
        <v>0</v>
      </c>
      <c r="BN639" s="8">
        <f>0</f>
        <v>0</v>
      </c>
      <c r="BO639" s="5" t="s">
        <v>257</v>
      </c>
      <c r="BP639" s="5" t="s">
        <v>258</v>
      </c>
      <c r="CD639" s="5" t="s">
        <v>238</v>
      </c>
      <c r="CE639" s="5" t="s">
        <v>238</v>
      </c>
      <c r="CI639" s="5" t="s">
        <v>527</v>
      </c>
      <c r="CJ639" s="5" t="s">
        <v>260</v>
      </c>
      <c r="CK639" s="5" t="s">
        <v>238</v>
      </c>
      <c r="CM639" s="5" t="s">
        <v>894</v>
      </c>
      <c r="CN639" s="6" t="s">
        <v>262</v>
      </c>
      <c r="CO639" s="5" t="s">
        <v>263</v>
      </c>
      <c r="CP639" s="5" t="s">
        <v>264</v>
      </c>
      <c r="CQ639" s="5" t="s">
        <v>238</v>
      </c>
      <c r="CR639" s="5" t="s">
        <v>238</v>
      </c>
      <c r="CS639" s="5">
        <v>0</v>
      </c>
      <c r="CT639" s="5" t="s">
        <v>265</v>
      </c>
      <c r="CU639" s="5" t="s">
        <v>1360</v>
      </c>
      <c r="CV639" s="5" t="s">
        <v>267</v>
      </c>
      <c r="CX639" s="8">
        <f>3465000</f>
        <v>3465000</v>
      </c>
      <c r="CY639" s="8">
        <f>0</f>
        <v>0</v>
      </c>
      <c r="DA639" s="5" t="s">
        <v>238</v>
      </c>
      <c r="DB639" s="5" t="s">
        <v>238</v>
      </c>
      <c r="DD639" s="5" t="s">
        <v>238</v>
      </c>
      <c r="DG639" s="5" t="s">
        <v>238</v>
      </c>
      <c r="DH639" s="5" t="s">
        <v>238</v>
      </c>
      <c r="DI639" s="5" t="s">
        <v>238</v>
      </c>
      <c r="DJ639" s="5" t="s">
        <v>238</v>
      </c>
      <c r="DK639" s="5" t="s">
        <v>271</v>
      </c>
      <c r="DL639" s="5" t="s">
        <v>272</v>
      </c>
      <c r="DM639" s="7">
        <f>34.65</f>
        <v>34.65</v>
      </c>
      <c r="DN639" s="5" t="s">
        <v>238</v>
      </c>
      <c r="DO639" s="5" t="s">
        <v>238</v>
      </c>
      <c r="DP639" s="5" t="s">
        <v>238</v>
      </c>
      <c r="DQ639" s="5" t="s">
        <v>238</v>
      </c>
      <c r="DT639" s="5" t="s">
        <v>2864</v>
      </c>
      <c r="DU639" s="5" t="s">
        <v>310</v>
      </c>
      <c r="HM639" s="5" t="s">
        <v>271</v>
      </c>
      <c r="HP639" s="5" t="s">
        <v>272</v>
      </c>
      <c r="HQ639" s="5" t="s">
        <v>272</v>
      </c>
    </row>
    <row r="640" spans="1:225" x14ac:dyDescent="0.4">
      <c r="A640" s="5">
        <v>720</v>
      </c>
      <c r="B640" s="5">
        <v>1</v>
      </c>
      <c r="C640" s="5">
        <v>1</v>
      </c>
      <c r="D640" s="5" t="s">
        <v>2861</v>
      </c>
      <c r="E640" s="5" t="s">
        <v>277</v>
      </c>
      <c r="F640" s="5" t="s">
        <v>282</v>
      </c>
      <c r="G640" s="5" t="s">
        <v>2491</v>
      </c>
      <c r="H640" s="6" t="s">
        <v>2863</v>
      </c>
      <c r="I640" s="5" t="s">
        <v>2482</v>
      </c>
      <c r="J640" s="7">
        <f>34.65</f>
        <v>34.65</v>
      </c>
      <c r="K640" s="5" t="s">
        <v>270</v>
      </c>
      <c r="L640" s="8">
        <f>1</f>
        <v>1</v>
      </c>
      <c r="M640" s="8">
        <f>3465000</f>
        <v>3465000</v>
      </c>
      <c r="N640" s="6" t="s">
        <v>2862</v>
      </c>
      <c r="O640" s="5" t="s">
        <v>286</v>
      </c>
      <c r="P640" s="5" t="s">
        <v>895</v>
      </c>
      <c r="R640" s="8">
        <f>3464999</f>
        <v>3464999</v>
      </c>
      <c r="S640" s="5" t="s">
        <v>240</v>
      </c>
      <c r="T640" s="5" t="s">
        <v>237</v>
      </c>
      <c r="U640" s="5" t="s">
        <v>238</v>
      </c>
      <c r="V640" s="5" t="s">
        <v>238</v>
      </c>
      <c r="W640" s="5" t="s">
        <v>241</v>
      </c>
      <c r="X640" s="5" t="s">
        <v>276</v>
      </c>
      <c r="Y640" s="5" t="s">
        <v>238</v>
      </c>
      <c r="AB640" s="5" t="s">
        <v>238</v>
      </c>
      <c r="AD640" s="6" t="s">
        <v>238</v>
      </c>
      <c r="AG640" s="6" t="s">
        <v>246</v>
      </c>
      <c r="AH640" s="5" t="s">
        <v>247</v>
      </c>
      <c r="AI640" s="5" t="s">
        <v>248</v>
      </c>
      <c r="AY640" s="5" t="s">
        <v>250</v>
      </c>
      <c r="AZ640" s="5" t="s">
        <v>238</v>
      </c>
      <c r="BA640" s="5" t="s">
        <v>251</v>
      </c>
      <c r="BB640" s="5" t="s">
        <v>238</v>
      </c>
      <c r="BC640" s="5" t="s">
        <v>253</v>
      </c>
      <c r="BD640" s="5" t="s">
        <v>238</v>
      </c>
      <c r="BF640" s="5" t="s">
        <v>238</v>
      </c>
      <c r="BH640" s="5" t="s">
        <v>798</v>
      </c>
      <c r="BI640" s="6" t="s">
        <v>799</v>
      </c>
      <c r="BJ640" s="5" t="s">
        <v>255</v>
      </c>
      <c r="BK640" s="5" t="s">
        <v>256</v>
      </c>
      <c r="BL640" s="5" t="s">
        <v>238</v>
      </c>
      <c r="BM640" s="7">
        <f>0</f>
        <v>0</v>
      </c>
      <c r="BN640" s="8">
        <f>0</f>
        <v>0</v>
      </c>
      <c r="BO640" s="5" t="s">
        <v>257</v>
      </c>
      <c r="BP640" s="5" t="s">
        <v>258</v>
      </c>
      <c r="CD640" s="5" t="s">
        <v>238</v>
      </c>
      <c r="CE640" s="5" t="s">
        <v>238</v>
      </c>
      <c r="CI640" s="5" t="s">
        <v>527</v>
      </c>
      <c r="CJ640" s="5" t="s">
        <v>260</v>
      </c>
      <c r="CK640" s="5" t="s">
        <v>238</v>
      </c>
      <c r="CM640" s="5" t="s">
        <v>894</v>
      </c>
      <c r="CN640" s="6" t="s">
        <v>262</v>
      </c>
      <c r="CO640" s="5" t="s">
        <v>263</v>
      </c>
      <c r="CP640" s="5" t="s">
        <v>264</v>
      </c>
      <c r="CQ640" s="5" t="s">
        <v>238</v>
      </c>
      <c r="CR640" s="5" t="s">
        <v>238</v>
      </c>
      <c r="CS640" s="5">
        <v>0</v>
      </c>
      <c r="CT640" s="5" t="s">
        <v>265</v>
      </c>
      <c r="CU640" s="5" t="s">
        <v>1360</v>
      </c>
      <c r="CV640" s="5" t="s">
        <v>267</v>
      </c>
      <c r="CX640" s="8">
        <f>3465000</f>
        <v>3465000</v>
      </c>
      <c r="CY640" s="8">
        <f>0</f>
        <v>0</v>
      </c>
      <c r="DA640" s="5" t="s">
        <v>238</v>
      </c>
      <c r="DB640" s="5" t="s">
        <v>238</v>
      </c>
      <c r="DD640" s="5" t="s">
        <v>238</v>
      </c>
      <c r="DG640" s="5" t="s">
        <v>238</v>
      </c>
      <c r="DH640" s="5" t="s">
        <v>238</v>
      </c>
      <c r="DI640" s="5" t="s">
        <v>238</v>
      </c>
      <c r="DJ640" s="5" t="s">
        <v>238</v>
      </c>
      <c r="DK640" s="5" t="s">
        <v>271</v>
      </c>
      <c r="DL640" s="5" t="s">
        <v>272</v>
      </c>
      <c r="DM640" s="7">
        <f>34.65</f>
        <v>34.65</v>
      </c>
      <c r="DN640" s="5" t="s">
        <v>238</v>
      </c>
      <c r="DO640" s="5" t="s">
        <v>238</v>
      </c>
      <c r="DP640" s="5" t="s">
        <v>238</v>
      </c>
      <c r="DQ640" s="5" t="s">
        <v>238</v>
      </c>
      <c r="DT640" s="5" t="s">
        <v>2864</v>
      </c>
      <c r="DU640" s="5" t="s">
        <v>379</v>
      </c>
      <c r="HM640" s="5" t="s">
        <v>271</v>
      </c>
      <c r="HP640" s="5" t="s">
        <v>272</v>
      </c>
      <c r="HQ640" s="5" t="s">
        <v>272</v>
      </c>
    </row>
    <row r="641" spans="1:225" x14ac:dyDescent="0.4">
      <c r="A641" s="5">
        <v>721</v>
      </c>
      <c r="B641" s="5">
        <v>1</v>
      </c>
      <c r="C641" s="5">
        <v>1</v>
      </c>
      <c r="D641" s="5" t="s">
        <v>2861</v>
      </c>
      <c r="E641" s="5" t="s">
        <v>277</v>
      </c>
      <c r="F641" s="5" t="s">
        <v>282</v>
      </c>
      <c r="G641" s="5" t="s">
        <v>2491</v>
      </c>
      <c r="H641" s="6" t="s">
        <v>2863</v>
      </c>
      <c r="I641" s="5" t="s">
        <v>2482</v>
      </c>
      <c r="J641" s="7">
        <f>28.05</f>
        <v>28.05</v>
      </c>
      <c r="K641" s="5" t="s">
        <v>270</v>
      </c>
      <c r="L641" s="8">
        <f>1</f>
        <v>1</v>
      </c>
      <c r="M641" s="8">
        <f>2805000</f>
        <v>2805000</v>
      </c>
      <c r="N641" s="6" t="s">
        <v>2862</v>
      </c>
      <c r="O641" s="5" t="s">
        <v>286</v>
      </c>
      <c r="P641" s="5" t="s">
        <v>895</v>
      </c>
      <c r="R641" s="8">
        <f>2804999</f>
        <v>2804999</v>
      </c>
      <c r="S641" s="5" t="s">
        <v>240</v>
      </c>
      <c r="T641" s="5" t="s">
        <v>237</v>
      </c>
      <c r="U641" s="5" t="s">
        <v>238</v>
      </c>
      <c r="V641" s="5" t="s">
        <v>238</v>
      </c>
      <c r="W641" s="5" t="s">
        <v>241</v>
      </c>
      <c r="X641" s="5" t="s">
        <v>276</v>
      </c>
      <c r="Y641" s="5" t="s">
        <v>238</v>
      </c>
      <c r="AB641" s="5" t="s">
        <v>238</v>
      </c>
      <c r="AD641" s="6" t="s">
        <v>238</v>
      </c>
      <c r="AG641" s="6" t="s">
        <v>246</v>
      </c>
      <c r="AH641" s="5" t="s">
        <v>247</v>
      </c>
      <c r="AI641" s="5" t="s">
        <v>248</v>
      </c>
      <c r="AY641" s="5" t="s">
        <v>250</v>
      </c>
      <c r="AZ641" s="5" t="s">
        <v>238</v>
      </c>
      <c r="BA641" s="5" t="s">
        <v>251</v>
      </c>
      <c r="BB641" s="5" t="s">
        <v>238</v>
      </c>
      <c r="BC641" s="5" t="s">
        <v>253</v>
      </c>
      <c r="BD641" s="5" t="s">
        <v>238</v>
      </c>
      <c r="BF641" s="5" t="s">
        <v>238</v>
      </c>
      <c r="BH641" s="5" t="s">
        <v>254</v>
      </c>
      <c r="BI641" s="6" t="s">
        <v>246</v>
      </c>
      <c r="BJ641" s="5" t="s">
        <v>255</v>
      </c>
      <c r="BK641" s="5" t="s">
        <v>256</v>
      </c>
      <c r="BL641" s="5" t="s">
        <v>238</v>
      </c>
      <c r="BM641" s="7">
        <f>0</f>
        <v>0</v>
      </c>
      <c r="BN641" s="8">
        <f>0</f>
        <v>0</v>
      </c>
      <c r="BO641" s="5" t="s">
        <v>257</v>
      </c>
      <c r="BP641" s="5" t="s">
        <v>258</v>
      </c>
      <c r="CD641" s="5" t="s">
        <v>238</v>
      </c>
      <c r="CE641" s="5" t="s">
        <v>238</v>
      </c>
      <c r="CI641" s="5" t="s">
        <v>527</v>
      </c>
      <c r="CJ641" s="5" t="s">
        <v>260</v>
      </c>
      <c r="CK641" s="5" t="s">
        <v>238</v>
      </c>
      <c r="CM641" s="5" t="s">
        <v>894</v>
      </c>
      <c r="CN641" s="6" t="s">
        <v>262</v>
      </c>
      <c r="CO641" s="5" t="s">
        <v>263</v>
      </c>
      <c r="CP641" s="5" t="s">
        <v>264</v>
      </c>
      <c r="CQ641" s="5" t="s">
        <v>238</v>
      </c>
      <c r="CR641" s="5" t="s">
        <v>238</v>
      </c>
      <c r="CS641" s="5">
        <v>0</v>
      </c>
      <c r="CT641" s="5" t="s">
        <v>265</v>
      </c>
      <c r="CU641" s="5" t="s">
        <v>1360</v>
      </c>
      <c r="CV641" s="5" t="s">
        <v>267</v>
      </c>
      <c r="CX641" s="8">
        <f>2805000</f>
        <v>2805000</v>
      </c>
      <c r="CY641" s="8">
        <f>0</f>
        <v>0</v>
      </c>
      <c r="DA641" s="5" t="s">
        <v>238</v>
      </c>
      <c r="DB641" s="5" t="s">
        <v>238</v>
      </c>
      <c r="DD641" s="5" t="s">
        <v>238</v>
      </c>
      <c r="DG641" s="5" t="s">
        <v>238</v>
      </c>
      <c r="DH641" s="5" t="s">
        <v>238</v>
      </c>
      <c r="DI641" s="5" t="s">
        <v>238</v>
      </c>
      <c r="DJ641" s="5" t="s">
        <v>238</v>
      </c>
      <c r="DK641" s="5" t="s">
        <v>271</v>
      </c>
      <c r="DL641" s="5" t="s">
        <v>272</v>
      </c>
      <c r="DM641" s="7">
        <f>28.05</f>
        <v>28.05</v>
      </c>
      <c r="DN641" s="5" t="s">
        <v>238</v>
      </c>
      <c r="DO641" s="5" t="s">
        <v>238</v>
      </c>
      <c r="DP641" s="5" t="s">
        <v>238</v>
      </c>
      <c r="DQ641" s="5" t="s">
        <v>238</v>
      </c>
      <c r="DT641" s="5" t="s">
        <v>2864</v>
      </c>
      <c r="DU641" s="5" t="s">
        <v>313</v>
      </c>
      <c r="HM641" s="5" t="s">
        <v>271</v>
      </c>
      <c r="HP641" s="5" t="s">
        <v>272</v>
      </c>
      <c r="HQ641" s="5" t="s">
        <v>272</v>
      </c>
    </row>
    <row r="642" spans="1:225" x14ac:dyDescent="0.4">
      <c r="A642" s="5">
        <v>722</v>
      </c>
      <c r="B642" s="5">
        <v>1</v>
      </c>
      <c r="C642" s="5">
        <v>1</v>
      </c>
      <c r="D642" s="5" t="s">
        <v>2861</v>
      </c>
      <c r="E642" s="5" t="s">
        <v>277</v>
      </c>
      <c r="F642" s="5" t="s">
        <v>282</v>
      </c>
      <c r="G642" s="5" t="s">
        <v>2491</v>
      </c>
      <c r="H642" s="6" t="s">
        <v>2863</v>
      </c>
      <c r="I642" s="5" t="s">
        <v>2482</v>
      </c>
      <c r="J642" s="7">
        <f>28.05</f>
        <v>28.05</v>
      </c>
      <c r="K642" s="5" t="s">
        <v>270</v>
      </c>
      <c r="L642" s="8">
        <f>1</f>
        <v>1</v>
      </c>
      <c r="M642" s="8">
        <f>2805000</f>
        <v>2805000</v>
      </c>
      <c r="N642" s="6" t="s">
        <v>2862</v>
      </c>
      <c r="O642" s="5" t="s">
        <v>286</v>
      </c>
      <c r="P642" s="5" t="s">
        <v>895</v>
      </c>
      <c r="R642" s="8">
        <f>2804999</f>
        <v>2804999</v>
      </c>
      <c r="S642" s="5" t="s">
        <v>240</v>
      </c>
      <c r="T642" s="5" t="s">
        <v>237</v>
      </c>
      <c r="U642" s="5" t="s">
        <v>238</v>
      </c>
      <c r="V642" s="5" t="s">
        <v>238</v>
      </c>
      <c r="W642" s="5" t="s">
        <v>241</v>
      </c>
      <c r="X642" s="5" t="s">
        <v>276</v>
      </c>
      <c r="Y642" s="5" t="s">
        <v>238</v>
      </c>
      <c r="AB642" s="5" t="s">
        <v>238</v>
      </c>
      <c r="AD642" s="6" t="s">
        <v>238</v>
      </c>
      <c r="AG642" s="6" t="s">
        <v>246</v>
      </c>
      <c r="AH642" s="5" t="s">
        <v>247</v>
      </c>
      <c r="AI642" s="5" t="s">
        <v>248</v>
      </c>
      <c r="AY642" s="5" t="s">
        <v>250</v>
      </c>
      <c r="AZ642" s="5" t="s">
        <v>238</v>
      </c>
      <c r="BA642" s="5" t="s">
        <v>251</v>
      </c>
      <c r="BB642" s="5" t="s">
        <v>238</v>
      </c>
      <c r="BC642" s="5" t="s">
        <v>253</v>
      </c>
      <c r="BD642" s="5" t="s">
        <v>238</v>
      </c>
      <c r="BF642" s="5" t="s">
        <v>238</v>
      </c>
      <c r="BH642" s="5" t="s">
        <v>859</v>
      </c>
      <c r="BI642" s="6" t="s">
        <v>368</v>
      </c>
      <c r="BJ642" s="5" t="s">
        <v>255</v>
      </c>
      <c r="BK642" s="5" t="s">
        <v>256</v>
      </c>
      <c r="BL642" s="5" t="s">
        <v>238</v>
      </c>
      <c r="BM642" s="7">
        <f>0</f>
        <v>0</v>
      </c>
      <c r="BN642" s="8">
        <f>0</f>
        <v>0</v>
      </c>
      <c r="BO642" s="5" t="s">
        <v>257</v>
      </c>
      <c r="BP642" s="5" t="s">
        <v>258</v>
      </c>
      <c r="CD642" s="5" t="s">
        <v>238</v>
      </c>
      <c r="CE642" s="5" t="s">
        <v>238</v>
      </c>
      <c r="CI642" s="5" t="s">
        <v>527</v>
      </c>
      <c r="CJ642" s="5" t="s">
        <v>260</v>
      </c>
      <c r="CK642" s="5" t="s">
        <v>238</v>
      </c>
      <c r="CM642" s="5" t="s">
        <v>894</v>
      </c>
      <c r="CN642" s="6" t="s">
        <v>262</v>
      </c>
      <c r="CO642" s="5" t="s">
        <v>263</v>
      </c>
      <c r="CP642" s="5" t="s">
        <v>264</v>
      </c>
      <c r="CQ642" s="5" t="s">
        <v>238</v>
      </c>
      <c r="CR642" s="5" t="s">
        <v>238</v>
      </c>
      <c r="CS642" s="5">
        <v>0</v>
      </c>
      <c r="CT642" s="5" t="s">
        <v>265</v>
      </c>
      <c r="CU642" s="5" t="s">
        <v>1360</v>
      </c>
      <c r="CV642" s="5" t="s">
        <v>267</v>
      </c>
      <c r="CX642" s="8">
        <f>2805000</f>
        <v>2805000</v>
      </c>
      <c r="CY642" s="8">
        <f>0</f>
        <v>0</v>
      </c>
      <c r="DA642" s="5" t="s">
        <v>238</v>
      </c>
      <c r="DB642" s="5" t="s">
        <v>238</v>
      </c>
      <c r="DD642" s="5" t="s">
        <v>238</v>
      </c>
      <c r="DG642" s="5" t="s">
        <v>238</v>
      </c>
      <c r="DH642" s="5" t="s">
        <v>238</v>
      </c>
      <c r="DI642" s="5" t="s">
        <v>238</v>
      </c>
      <c r="DJ642" s="5" t="s">
        <v>238</v>
      </c>
      <c r="DK642" s="5" t="s">
        <v>271</v>
      </c>
      <c r="DL642" s="5" t="s">
        <v>272</v>
      </c>
      <c r="DM642" s="7">
        <f>28.05</f>
        <v>28.05</v>
      </c>
      <c r="DN642" s="5" t="s">
        <v>238</v>
      </c>
      <c r="DO642" s="5" t="s">
        <v>238</v>
      </c>
      <c r="DP642" s="5" t="s">
        <v>238</v>
      </c>
      <c r="DQ642" s="5" t="s">
        <v>238</v>
      </c>
      <c r="DT642" s="5" t="s">
        <v>2864</v>
      </c>
      <c r="DU642" s="5" t="s">
        <v>389</v>
      </c>
      <c r="HM642" s="5" t="s">
        <v>271</v>
      </c>
      <c r="HP642" s="5" t="s">
        <v>272</v>
      </c>
      <c r="HQ642" s="5" t="s">
        <v>272</v>
      </c>
    </row>
    <row r="643" spans="1:225" x14ac:dyDescent="0.4">
      <c r="A643" s="5">
        <v>723</v>
      </c>
      <c r="B643" s="5">
        <v>1</v>
      </c>
      <c r="C643" s="5">
        <v>1</v>
      </c>
      <c r="D643" s="5" t="s">
        <v>2861</v>
      </c>
      <c r="E643" s="5" t="s">
        <v>277</v>
      </c>
      <c r="F643" s="5" t="s">
        <v>282</v>
      </c>
      <c r="G643" s="5" t="s">
        <v>2491</v>
      </c>
      <c r="H643" s="6" t="s">
        <v>2863</v>
      </c>
      <c r="I643" s="5" t="s">
        <v>2482</v>
      </c>
      <c r="J643" s="7">
        <f>28.44</f>
        <v>28.44</v>
      </c>
      <c r="K643" s="5" t="s">
        <v>270</v>
      </c>
      <c r="L643" s="8">
        <f>1</f>
        <v>1</v>
      </c>
      <c r="M643" s="8">
        <f>2844000</f>
        <v>2844000</v>
      </c>
      <c r="N643" s="6" t="s">
        <v>2880</v>
      </c>
      <c r="O643" s="5" t="s">
        <v>286</v>
      </c>
      <c r="P643" s="5" t="s">
        <v>872</v>
      </c>
      <c r="R643" s="8">
        <f>2843999</f>
        <v>2843999</v>
      </c>
      <c r="S643" s="5" t="s">
        <v>240</v>
      </c>
      <c r="T643" s="5" t="s">
        <v>237</v>
      </c>
      <c r="U643" s="5" t="s">
        <v>238</v>
      </c>
      <c r="V643" s="5" t="s">
        <v>238</v>
      </c>
      <c r="W643" s="5" t="s">
        <v>241</v>
      </c>
      <c r="X643" s="5" t="s">
        <v>276</v>
      </c>
      <c r="Y643" s="5" t="s">
        <v>238</v>
      </c>
      <c r="AB643" s="5" t="s">
        <v>238</v>
      </c>
      <c r="AD643" s="6" t="s">
        <v>238</v>
      </c>
      <c r="AG643" s="6" t="s">
        <v>246</v>
      </c>
      <c r="AH643" s="5" t="s">
        <v>247</v>
      </c>
      <c r="AI643" s="5" t="s">
        <v>248</v>
      </c>
      <c r="AY643" s="5" t="s">
        <v>250</v>
      </c>
      <c r="AZ643" s="5" t="s">
        <v>238</v>
      </c>
      <c r="BA643" s="5" t="s">
        <v>251</v>
      </c>
      <c r="BB643" s="5" t="s">
        <v>238</v>
      </c>
      <c r="BC643" s="5" t="s">
        <v>253</v>
      </c>
      <c r="BD643" s="5" t="s">
        <v>238</v>
      </c>
      <c r="BF643" s="5" t="s">
        <v>238</v>
      </c>
      <c r="BH643" s="5" t="s">
        <v>697</v>
      </c>
      <c r="BI643" s="6" t="s">
        <v>698</v>
      </c>
      <c r="BJ643" s="5" t="s">
        <v>255</v>
      </c>
      <c r="BK643" s="5" t="s">
        <v>256</v>
      </c>
      <c r="BL643" s="5" t="s">
        <v>238</v>
      </c>
      <c r="BM643" s="7">
        <f>0</f>
        <v>0</v>
      </c>
      <c r="BN643" s="8">
        <f>0</f>
        <v>0</v>
      </c>
      <c r="BO643" s="5" t="s">
        <v>257</v>
      </c>
      <c r="BP643" s="5" t="s">
        <v>258</v>
      </c>
      <c r="CD643" s="5" t="s">
        <v>238</v>
      </c>
      <c r="CE643" s="5" t="s">
        <v>238</v>
      </c>
      <c r="CI643" s="5" t="s">
        <v>527</v>
      </c>
      <c r="CJ643" s="5" t="s">
        <v>260</v>
      </c>
      <c r="CK643" s="5" t="s">
        <v>238</v>
      </c>
      <c r="CM643" s="5" t="s">
        <v>2881</v>
      </c>
      <c r="CN643" s="6" t="s">
        <v>262</v>
      </c>
      <c r="CO643" s="5" t="s">
        <v>263</v>
      </c>
      <c r="CP643" s="5" t="s">
        <v>264</v>
      </c>
      <c r="CQ643" s="5" t="s">
        <v>238</v>
      </c>
      <c r="CR643" s="5" t="s">
        <v>238</v>
      </c>
      <c r="CS643" s="5">
        <v>0</v>
      </c>
      <c r="CT643" s="5" t="s">
        <v>265</v>
      </c>
      <c r="CU643" s="5" t="s">
        <v>1360</v>
      </c>
      <c r="CV643" s="5" t="s">
        <v>267</v>
      </c>
      <c r="CX643" s="8">
        <f>2844000</f>
        <v>2844000</v>
      </c>
      <c r="CY643" s="8">
        <f>0</f>
        <v>0</v>
      </c>
      <c r="DA643" s="5" t="s">
        <v>238</v>
      </c>
      <c r="DB643" s="5" t="s">
        <v>238</v>
      </c>
      <c r="DD643" s="5" t="s">
        <v>238</v>
      </c>
      <c r="DG643" s="5" t="s">
        <v>238</v>
      </c>
      <c r="DH643" s="5" t="s">
        <v>238</v>
      </c>
      <c r="DI643" s="5" t="s">
        <v>238</v>
      </c>
      <c r="DJ643" s="5" t="s">
        <v>238</v>
      </c>
      <c r="DK643" s="5" t="s">
        <v>271</v>
      </c>
      <c r="DL643" s="5" t="s">
        <v>272</v>
      </c>
      <c r="DM643" s="7">
        <f>28.44</f>
        <v>28.44</v>
      </c>
      <c r="DN643" s="5" t="s">
        <v>238</v>
      </c>
      <c r="DO643" s="5" t="s">
        <v>238</v>
      </c>
      <c r="DP643" s="5" t="s">
        <v>238</v>
      </c>
      <c r="DQ643" s="5" t="s">
        <v>238</v>
      </c>
      <c r="DT643" s="5" t="s">
        <v>2864</v>
      </c>
      <c r="DU643" s="5" t="s">
        <v>354</v>
      </c>
      <c r="HM643" s="5" t="s">
        <v>271</v>
      </c>
      <c r="HP643" s="5" t="s">
        <v>272</v>
      </c>
      <c r="HQ643" s="5" t="s">
        <v>272</v>
      </c>
    </row>
    <row r="644" spans="1:225" x14ac:dyDescent="0.4">
      <c r="A644" s="5">
        <v>724</v>
      </c>
      <c r="B644" s="5">
        <v>1</v>
      </c>
      <c r="C644" s="5">
        <v>1</v>
      </c>
      <c r="D644" s="5" t="s">
        <v>2861</v>
      </c>
      <c r="E644" s="5" t="s">
        <v>277</v>
      </c>
      <c r="F644" s="5" t="s">
        <v>282</v>
      </c>
      <c r="G644" s="5" t="s">
        <v>2491</v>
      </c>
      <c r="H644" s="6" t="s">
        <v>2863</v>
      </c>
      <c r="I644" s="5" t="s">
        <v>2482</v>
      </c>
      <c r="J644" s="7">
        <f>28.44</f>
        <v>28.44</v>
      </c>
      <c r="K644" s="5" t="s">
        <v>270</v>
      </c>
      <c r="L644" s="8">
        <f>1</f>
        <v>1</v>
      </c>
      <c r="M644" s="8">
        <f>2844000</f>
        <v>2844000</v>
      </c>
      <c r="N644" s="6" t="s">
        <v>2880</v>
      </c>
      <c r="O644" s="5" t="s">
        <v>286</v>
      </c>
      <c r="P644" s="5" t="s">
        <v>872</v>
      </c>
      <c r="R644" s="8">
        <f>2843999</f>
        <v>2843999</v>
      </c>
      <c r="S644" s="5" t="s">
        <v>240</v>
      </c>
      <c r="T644" s="5" t="s">
        <v>237</v>
      </c>
      <c r="U644" s="5" t="s">
        <v>238</v>
      </c>
      <c r="V644" s="5" t="s">
        <v>238</v>
      </c>
      <c r="W644" s="5" t="s">
        <v>241</v>
      </c>
      <c r="X644" s="5" t="s">
        <v>276</v>
      </c>
      <c r="Y644" s="5" t="s">
        <v>238</v>
      </c>
      <c r="AB644" s="5" t="s">
        <v>238</v>
      </c>
      <c r="AD644" s="6" t="s">
        <v>238</v>
      </c>
      <c r="AG644" s="6" t="s">
        <v>246</v>
      </c>
      <c r="AH644" s="5" t="s">
        <v>247</v>
      </c>
      <c r="AI644" s="5" t="s">
        <v>248</v>
      </c>
      <c r="AY644" s="5" t="s">
        <v>250</v>
      </c>
      <c r="AZ644" s="5" t="s">
        <v>238</v>
      </c>
      <c r="BA644" s="5" t="s">
        <v>251</v>
      </c>
      <c r="BB644" s="5" t="s">
        <v>238</v>
      </c>
      <c r="BC644" s="5" t="s">
        <v>253</v>
      </c>
      <c r="BD644" s="5" t="s">
        <v>238</v>
      </c>
      <c r="BF644" s="5" t="s">
        <v>238</v>
      </c>
      <c r="BH644" s="5" t="s">
        <v>798</v>
      </c>
      <c r="BI644" s="6" t="s">
        <v>799</v>
      </c>
      <c r="BJ644" s="5" t="s">
        <v>255</v>
      </c>
      <c r="BK644" s="5" t="s">
        <v>256</v>
      </c>
      <c r="BL644" s="5" t="s">
        <v>238</v>
      </c>
      <c r="BM644" s="7">
        <f>0</f>
        <v>0</v>
      </c>
      <c r="BN644" s="8">
        <f>0</f>
        <v>0</v>
      </c>
      <c r="BO644" s="5" t="s">
        <v>257</v>
      </c>
      <c r="BP644" s="5" t="s">
        <v>258</v>
      </c>
      <c r="CD644" s="5" t="s">
        <v>238</v>
      </c>
      <c r="CE644" s="5" t="s">
        <v>238</v>
      </c>
      <c r="CI644" s="5" t="s">
        <v>527</v>
      </c>
      <c r="CJ644" s="5" t="s">
        <v>260</v>
      </c>
      <c r="CK644" s="5" t="s">
        <v>238</v>
      </c>
      <c r="CM644" s="5" t="s">
        <v>2881</v>
      </c>
      <c r="CN644" s="6" t="s">
        <v>262</v>
      </c>
      <c r="CO644" s="5" t="s">
        <v>263</v>
      </c>
      <c r="CP644" s="5" t="s">
        <v>264</v>
      </c>
      <c r="CQ644" s="5" t="s">
        <v>238</v>
      </c>
      <c r="CR644" s="5" t="s">
        <v>238</v>
      </c>
      <c r="CS644" s="5">
        <v>0</v>
      </c>
      <c r="CT644" s="5" t="s">
        <v>265</v>
      </c>
      <c r="CU644" s="5" t="s">
        <v>1360</v>
      </c>
      <c r="CV644" s="5" t="s">
        <v>267</v>
      </c>
      <c r="CX644" s="8">
        <f>2844000</f>
        <v>2844000</v>
      </c>
      <c r="CY644" s="8">
        <f>0</f>
        <v>0</v>
      </c>
      <c r="DA644" s="5" t="s">
        <v>238</v>
      </c>
      <c r="DB644" s="5" t="s">
        <v>238</v>
      </c>
      <c r="DD644" s="5" t="s">
        <v>238</v>
      </c>
      <c r="DG644" s="5" t="s">
        <v>238</v>
      </c>
      <c r="DH644" s="5" t="s">
        <v>238</v>
      </c>
      <c r="DI644" s="5" t="s">
        <v>238</v>
      </c>
      <c r="DJ644" s="5" t="s">
        <v>238</v>
      </c>
      <c r="DK644" s="5" t="s">
        <v>271</v>
      </c>
      <c r="DL644" s="5" t="s">
        <v>272</v>
      </c>
      <c r="DM644" s="7">
        <f>28.44</f>
        <v>28.44</v>
      </c>
      <c r="DN644" s="5" t="s">
        <v>238</v>
      </c>
      <c r="DO644" s="5" t="s">
        <v>238</v>
      </c>
      <c r="DP644" s="5" t="s">
        <v>238</v>
      </c>
      <c r="DQ644" s="5" t="s">
        <v>238</v>
      </c>
      <c r="DT644" s="5" t="s">
        <v>2864</v>
      </c>
      <c r="DU644" s="5" t="s">
        <v>361</v>
      </c>
      <c r="HM644" s="5" t="s">
        <v>271</v>
      </c>
      <c r="HP644" s="5" t="s">
        <v>272</v>
      </c>
      <c r="HQ644" s="5" t="s">
        <v>272</v>
      </c>
    </row>
    <row r="645" spans="1:225" x14ac:dyDescent="0.4">
      <c r="A645" s="5">
        <v>725</v>
      </c>
      <c r="B645" s="5">
        <v>1</v>
      </c>
      <c r="C645" s="5">
        <v>1</v>
      </c>
      <c r="D645" s="5" t="s">
        <v>2874</v>
      </c>
      <c r="E645" s="5" t="s">
        <v>277</v>
      </c>
      <c r="F645" s="5" t="s">
        <v>282</v>
      </c>
      <c r="G645" s="5" t="s">
        <v>2491</v>
      </c>
      <c r="H645" s="6" t="s">
        <v>2876</v>
      </c>
      <c r="I645" s="5" t="s">
        <v>2482</v>
      </c>
      <c r="J645" s="7">
        <f>36.3</f>
        <v>36.299999999999997</v>
      </c>
      <c r="K645" s="5" t="s">
        <v>270</v>
      </c>
      <c r="L645" s="8">
        <f>1</f>
        <v>1</v>
      </c>
      <c r="M645" s="8">
        <f>3630000</f>
        <v>3630000</v>
      </c>
      <c r="N645" s="6" t="s">
        <v>2875</v>
      </c>
      <c r="O645" s="5" t="s">
        <v>286</v>
      </c>
      <c r="P645" s="5" t="s">
        <v>2878</v>
      </c>
      <c r="R645" s="8">
        <f>3629999</f>
        <v>3629999</v>
      </c>
      <c r="S645" s="5" t="s">
        <v>240</v>
      </c>
      <c r="T645" s="5" t="s">
        <v>237</v>
      </c>
      <c r="U645" s="5" t="s">
        <v>238</v>
      </c>
      <c r="V645" s="5" t="s">
        <v>238</v>
      </c>
      <c r="W645" s="5" t="s">
        <v>241</v>
      </c>
      <c r="X645" s="5" t="s">
        <v>276</v>
      </c>
      <c r="Y645" s="5" t="s">
        <v>238</v>
      </c>
      <c r="AB645" s="5" t="s">
        <v>238</v>
      </c>
      <c r="AD645" s="6" t="s">
        <v>238</v>
      </c>
      <c r="AG645" s="6" t="s">
        <v>246</v>
      </c>
      <c r="AH645" s="5" t="s">
        <v>247</v>
      </c>
      <c r="AI645" s="5" t="s">
        <v>248</v>
      </c>
      <c r="AY645" s="5" t="s">
        <v>250</v>
      </c>
      <c r="AZ645" s="5" t="s">
        <v>238</v>
      </c>
      <c r="BA645" s="5" t="s">
        <v>251</v>
      </c>
      <c r="BB645" s="5" t="s">
        <v>238</v>
      </c>
      <c r="BC645" s="5" t="s">
        <v>253</v>
      </c>
      <c r="BD645" s="5" t="s">
        <v>238</v>
      </c>
      <c r="BF645" s="5" t="s">
        <v>238</v>
      </c>
      <c r="BH645" s="5" t="s">
        <v>254</v>
      </c>
      <c r="BI645" s="6" t="s">
        <v>246</v>
      </c>
      <c r="BJ645" s="5" t="s">
        <v>255</v>
      </c>
      <c r="BK645" s="5" t="s">
        <v>256</v>
      </c>
      <c r="BL645" s="5" t="s">
        <v>238</v>
      </c>
      <c r="BM645" s="7">
        <f>0</f>
        <v>0</v>
      </c>
      <c r="BN645" s="8">
        <f>0</f>
        <v>0</v>
      </c>
      <c r="BO645" s="5" t="s">
        <v>257</v>
      </c>
      <c r="BP645" s="5" t="s">
        <v>258</v>
      </c>
      <c r="CD645" s="5" t="s">
        <v>238</v>
      </c>
      <c r="CE645" s="5" t="s">
        <v>238</v>
      </c>
      <c r="CI645" s="5" t="s">
        <v>527</v>
      </c>
      <c r="CJ645" s="5" t="s">
        <v>260</v>
      </c>
      <c r="CK645" s="5" t="s">
        <v>238</v>
      </c>
      <c r="CM645" s="5" t="s">
        <v>2877</v>
      </c>
      <c r="CN645" s="6" t="s">
        <v>262</v>
      </c>
      <c r="CO645" s="5" t="s">
        <v>263</v>
      </c>
      <c r="CP645" s="5" t="s">
        <v>264</v>
      </c>
      <c r="CQ645" s="5" t="s">
        <v>238</v>
      </c>
      <c r="CR645" s="5" t="s">
        <v>238</v>
      </c>
      <c r="CS645" s="5">
        <v>0</v>
      </c>
      <c r="CT645" s="5" t="s">
        <v>265</v>
      </c>
      <c r="CU645" s="5" t="s">
        <v>1360</v>
      </c>
      <c r="CV645" s="5" t="s">
        <v>267</v>
      </c>
      <c r="CX645" s="8">
        <f>3630000</f>
        <v>3630000</v>
      </c>
      <c r="CY645" s="8">
        <f>0</f>
        <v>0</v>
      </c>
      <c r="DA645" s="5" t="s">
        <v>238</v>
      </c>
      <c r="DB645" s="5" t="s">
        <v>238</v>
      </c>
      <c r="DD645" s="5" t="s">
        <v>238</v>
      </c>
      <c r="DG645" s="5" t="s">
        <v>238</v>
      </c>
      <c r="DH645" s="5" t="s">
        <v>238</v>
      </c>
      <c r="DI645" s="5" t="s">
        <v>238</v>
      </c>
      <c r="DJ645" s="5" t="s">
        <v>238</v>
      </c>
      <c r="DK645" s="5" t="s">
        <v>271</v>
      </c>
      <c r="DL645" s="5" t="s">
        <v>272</v>
      </c>
      <c r="DM645" s="7">
        <f>36.3</f>
        <v>36.299999999999997</v>
      </c>
      <c r="DN645" s="5" t="s">
        <v>238</v>
      </c>
      <c r="DO645" s="5" t="s">
        <v>238</v>
      </c>
      <c r="DP645" s="5" t="s">
        <v>238</v>
      </c>
      <c r="DQ645" s="5" t="s">
        <v>238</v>
      </c>
      <c r="DT645" s="5" t="s">
        <v>2879</v>
      </c>
      <c r="DU645" s="5" t="s">
        <v>271</v>
      </c>
      <c r="HM645" s="5" t="s">
        <v>271</v>
      </c>
      <c r="HP645" s="5" t="s">
        <v>272</v>
      </c>
      <c r="HQ645" s="5" t="s">
        <v>272</v>
      </c>
    </row>
    <row r="646" spans="1:225" x14ac:dyDescent="0.4">
      <c r="A646" s="5">
        <v>726</v>
      </c>
      <c r="B646" s="5">
        <v>1</v>
      </c>
      <c r="C646" s="5">
        <v>1</v>
      </c>
      <c r="D646" s="5" t="s">
        <v>2874</v>
      </c>
      <c r="E646" s="5" t="s">
        <v>277</v>
      </c>
      <c r="F646" s="5" t="s">
        <v>282</v>
      </c>
      <c r="G646" s="5" t="s">
        <v>2491</v>
      </c>
      <c r="H646" s="6" t="s">
        <v>2876</v>
      </c>
      <c r="I646" s="5" t="s">
        <v>2482</v>
      </c>
      <c r="J646" s="7">
        <f>36.3</f>
        <v>36.299999999999997</v>
      </c>
      <c r="K646" s="5" t="s">
        <v>270</v>
      </c>
      <c r="L646" s="8">
        <f>1</f>
        <v>1</v>
      </c>
      <c r="M646" s="8">
        <f>3630000</f>
        <v>3630000</v>
      </c>
      <c r="N646" s="6" t="s">
        <v>2875</v>
      </c>
      <c r="O646" s="5" t="s">
        <v>286</v>
      </c>
      <c r="P646" s="5" t="s">
        <v>2878</v>
      </c>
      <c r="R646" s="8">
        <f>3629999</f>
        <v>3629999</v>
      </c>
      <c r="S646" s="5" t="s">
        <v>240</v>
      </c>
      <c r="T646" s="5" t="s">
        <v>237</v>
      </c>
      <c r="U646" s="5" t="s">
        <v>238</v>
      </c>
      <c r="V646" s="5" t="s">
        <v>238</v>
      </c>
      <c r="W646" s="5" t="s">
        <v>241</v>
      </c>
      <c r="X646" s="5" t="s">
        <v>276</v>
      </c>
      <c r="Y646" s="5" t="s">
        <v>238</v>
      </c>
      <c r="AB646" s="5" t="s">
        <v>238</v>
      </c>
      <c r="AD646" s="6" t="s">
        <v>238</v>
      </c>
      <c r="AG646" s="6" t="s">
        <v>246</v>
      </c>
      <c r="AH646" s="5" t="s">
        <v>247</v>
      </c>
      <c r="AI646" s="5" t="s">
        <v>248</v>
      </c>
      <c r="AY646" s="5" t="s">
        <v>250</v>
      </c>
      <c r="AZ646" s="5" t="s">
        <v>238</v>
      </c>
      <c r="BA646" s="5" t="s">
        <v>251</v>
      </c>
      <c r="BB646" s="5" t="s">
        <v>238</v>
      </c>
      <c r="BC646" s="5" t="s">
        <v>253</v>
      </c>
      <c r="BD646" s="5" t="s">
        <v>238</v>
      </c>
      <c r="BF646" s="5" t="s">
        <v>238</v>
      </c>
      <c r="BH646" s="5" t="s">
        <v>254</v>
      </c>
      <c r="BI646" s="6" t="s">
        <v>246</v>
      </c>
      <c r="BJ646" s="5" t="s">
        <v>255</v>
      </c>
      <c r="BK646" s="5" t="s">
        <v>256</v>
      </c>
      <c r="BL646" s="5" t="s">
        <v>238</v>
      </c>
      <c r="BM646" s="7">
        <f>0</f>
        <v>0</v>
      </c>
      <c r="BN646" s="8">
        <f>0</f>
        <v>0</v>
      </c>
      <c r="BO646" s="5" t="s">
        <v>257</v>
      </c>
      <c r="BP646" s="5" t="s">
        <v>258</v>
      </c>
      <c r="CD646" s="5" t="s">
        <v>238</v>
      </c>
      <c r="CE646" s="5" t="s">
        <v>238</v>
      </c>
      <c r="CI646" s="5" t="s">
        <v>527</v>
      </c>
      <c r="CJ646" s="5" t="s">
        <v>260</v>
      </c>
      <c r="CK646" s="5" t="s">
        <v>238</v>
      </c>
      <c r="CM646" s="5" t="s">
        <v>2877</v>
      </c>
      <c r="CN646" s="6" t="s">
        <v>262</v>
      </c>
      <c r="CO646" s="5" t="s">
        <v>263</v>
      </c>
      <c r="CP646" s="5" t="s">
        <v>264</v>
      </c>
      <c r="CQ646" s="5" t="s">
        <v>238</v>
      </c>
      <c r="CR646" s="5" t="s">
        <v>238</v>
      </c>
      <c r="CS646" s="5">
        <v>0</v>
      </c>
      <c r="CT646" s="5" t="s">
        <v>265</v>
      </c>
      <c r="CU646" s="5" t="s">
        <v>1360</v>
      </c>
      <c r="CV646" s="5" t="s">
        <v>267</v>
      </c>
      <c r="CX646" s="8">
        <f>3630000</f>
        <v>3630000</v>
      </c>
      <c r="CY646" s="8">
        <f>0</f>
        <v>0</v>
      </c>
      <c r="DA646" s="5" t="s">
        <v>238</v>
      </c>
      <c r="DB646" s="5" t="s">
        <v>238</v>
      </c>
      <c r="DD646" s="5" t="s">
        <v>238</v>
      </c>
      <c r="DG646" s="5" t="s">
        <v>238</v>
      </c>
      <c r="DH646" s="5" t="s">
        <v>238</v>
      </c>
      <c r="DI646" s="5" t="s">
        <v>238</v>
      </c>
      <c r="DJ646" s="5" t="s">
        <v>238</v>
      </c>
      <c r="DK646" s="5" t="s">
        <v>271</v>
      </c>
      <c r="DL646" s="5" t="s">
        <v>272</v>
      </c>
      <c r="DM646" s="7">
        <f>36.3</f>
        <v>36.299999999999997</v>
      </c>
      <c r="DN646" s="5" t="s">
        <v>238</v>
      </c>
      <c r="DO646" s="5" t="s">
        <v>238</v>
      </c>
      <c r="DP646" s="5" t="s">
        <v>238</v>
      </c>
      <c r="DQ646" s="5" t="s">
        <v>238</v>
      </c>
      <c r="DT646" s="5" t="s">
        <v>2879</v>
      </c>
      <c r="DU646" s="5" t="s">
        <v>274</v>
      </c>
      <c r="HM646" s="5" t="s">
        <v>271</v>
      </c>
      <c r="HP646" s="5" t="s">
        <v>272</v>
      </c>
      <c r="HQ646" s="5" t="s">
        <v>272</v>
      </c>
    </row>
    <row r="647" spans="1:225" x14ac:dyDescent="0.4">
      <c r="A647" s="5">
        <v>727</v>
      </c>
      <c r="B647" s="5">
        <v>1</v>
      </c>
      <c r="C647" s="5">
        <v>1</v>
      </c>
      <c r="D647" s="5" t="s">
        <v>2874</v>
      </c>
      <c r="E647" s="5" t="s">
        <v>277</v>
      </c>
      <c r="F647" s="5" t="s">
        <v>282</v>
      </c>
      <c r="G647" s="5" t="s">
        <v>2491</v>
      </c>
      <c r="H647" s="6" t="s">
        <v>2876</v>
      </c>
      <c r="I647" s="5" t="s">
        <v>2482</v>
      </c>
      <c r="J647" s="7">
        <f>36.3</f>
        <v>36.299999999999997</v>
      </c>
      <c r="K647" s="5" t="s">
        <v>270</v>
      </c>
      <c r="L647" s="8">
        <f>1</f>
        <v>1</v>
      </c>
      <c r="M647" s="8">
        <f>3630000</f>
        <v>3630000</v>
      </c>
      <c r="N647" s="6" t="s">
        <v>2875</v>
      </c>
      <c r="O647" s="5" t="s">
        <v>286</v>
      </c>
      <c r="P647" s="5" t="s">
        <v>2878</v>
      </c>
      <c r="R647" s="8">
        <f>3629999</f>
        <v>3629999</v>
      </c>
      <c r="S647" s="5" t="s">
        <v>240</v>
      </c>
      <c r="T647" s="5" t="s">
        <v>237</v>
      </c>
      <c r="U647" s="5" t="s">
        <v>238</v>
      </c>
      <c r="V647" s="5" t="s">
        <v>238</v>
      </c>
      <c r="W647" s="5" t="s">
        <v>241</v>
      </c>
      <c r="X647" s="5" t="s">
        <v>276</v>
      </c>
      <c r="Y647" s="5" t="s">
        <v>238</v>
      </c>
      <c r="AB647" s="5" t="s">
        <v>238</v>
      </c>
      <c r="AD647" s="6" t="s">
        <v>238</v>
      </c>
      <c r="AG647" s="6" t="s">
        <v>246</v>
      </c>
      <c r="AH647" s="5" t="s">
        <v>247</v>
      </c>
      <c r="AI647" s="5" t="s">
        <v>248</v>
      </c>
      <c r="AY647" s="5" t="s">
        <v>250</v>
      </c>
      <c r="AZ647" s="5" t="s">
        <v>238</v>
      </c>
      <c r="BA647" s="5" t="s">
        <v>251</v>
      </c>
      <c r="BB647" s="5" t="s">
        <v>238</v>
      </c>
      <c r="BC647" s="5" t="s">
        <v>253</v>
      </c>
      <c r="BD647" s="5" t="s">
        <v>238</v>
      </c>
      <c r="BF647" s="5" t="s">
        <v>238</v>
      </c>
      <c r="BH647" s="5" t="s">
        <v>859</v>
      </c>
      <c r="BI647" s="6" t="s">
        <v>368</v>
      </c>
      <c r="BJ647" s="5" t="s">
        <v>255</v>
      </c>
      <c r="BK647" s="5" t="s">
        <v>256</v>
      </c>
      <c r="BL647" s="5" t="s">
        <v>238</v>
      </c>
      <c r="BM647" s="7">
        <f>0</f>
        <v>0</v>
      </c>
      <c r="BN647" s="8">
        <f>0</f>
        <v>0</v>
      </c>
      <c r="BO647" s="5" t="s">
        <v>257</v>
      </c>
      <c r="BP647" s="5" t="s">
        <v>258</v>
      </c>
      <c r="CD647" s="5" t="s">
        <v>238</v>
      </c>
      <c r="CE647" s="5" t="s">
        <v>238</v>
      </c>
      <c r="CI647" s="5" t="s">
        <v>527</v>
      </c>
      <c r="CJ647" s="5" t="s">
        <v>260</v>
      </c>
      <c r="CK647" s="5" t="s">
        <v>238</v>
      </c>
      <c r="CM647" s="5" t="s">
        <v>2877</v>
      </c>
      <c r="CN647" s="6" t="s">
        <v>262</v>
      </c>
      <c r="CO647" s="5" t="s">
        <v>263</v>
      </c>
      <c r="CP647" s="5" t="s">
        <v>264</v>
      </c>
      <c r="CQ647" s="5" t="s">
        <v>238</v>
      </c>
      <c r="CR647" s="5" t="s">
        <v>238</v>
      </c>
      <c r="CS647" s="5">
        <v>0</v>
      </c>
      <c r="CT647" s="5" t="s">
        <v>265</v>
      </c>
      <c r="CU647" s="5" t="s">
        <v>1360</v>
      </c>
      <c r="CV647" s="5" t="s">
        <v>267</v>
      </c>
      <c r="CX647" s="8">
        <f>3630000</f>
        <v>3630000</v>
      </c>
      <c r="CY647" s="8">
        <f>0</f>
        <v>0</v>
      </c>
      <c r="DA647" s="5" t="s">
        <v>238</v>
      </c>
      <c r="DB647" s="5" t="s">
        <v>238</v>
      </c>
      <c r="DD647" s="5" t="s">
        <v>238</v>
      </c>
      <c r="DG647" s="5" t="s">
        <v>238</v>
      </c>
      <c r="DH647" s="5" t="s">
        <v>238</v>
      </c>
      <c r="DI647" s="5" t="s">
        <v>238</v>
      </c>
      <c r="DJ647" s="5" t="s">
        <v>238</v>
      </c>
      <c r="DK647" s="5" t="s">
        <v>271</v>
      </c>
      <c r="DL647" s="5" t="s">
        <v>272</v>
      </c>
      <c r="DM647" s="7">
        <f>36.3</f>
        <v>36.299999999999997</v>
      </c>
      <c r="DN647" s="5" t="s">
        <v>238</v>
      </c>
      <c r="DO647" s="5" t="s">
        <v>238</v>
      </c>
      <c r="DP647" s="5" t="s">
        <v>238</v>
      </c>
      <c r="DQ647" s="5" t="s">
        <v>238</v>
      </c>
      <c r="DT647" s="5" t="s">
        <v>2879</v>
      </c>
      <c r="DU647" s="5" t="s">
        <v>356</v>
      </c>
      <c r="HM647" s="5" t="s">
        <v>271</v>
      </c>
      <c r="HP647" s="5" t="s">
        <v>272</v>
      </c>
      <c r="HQ647" s="5" t="s">
        <v>272</v>
      </c>
    </row>
    <row r="648" spans="1:225" x14ac:dyDescent="0.4">
      <c r="A648" s="5">
        <v>729</v>
      </c>
      <c r="B648" s="5">
        <v>1</v>
      </c>
      <c r="C648" s="5">
        <v>1</v>
      </c>
      <c r="D648" s="5" t="s">
        <v>2874</v>
      </c>
      <c r="E648" s="5" t="s">
        <v>277</v>
      </c>
      <c r="F648" s="5" t="s">
        <v>282</v>
      </c>
      <c r="G648" s="5" t="s">
        <v>2491</v>
      </c>
      <c r="H648" s="6" t="s">
        <v>2876</v>
      </c>
      <c r="I648" s="5" t="s">
        <v>2482</v>
      </c>
      <c r="J648" s="7">
        <f>36.3</f>
        <v>36.299999999999997</v>
      </c>
      <c r="K648" s="5" t="s">
        <v>270</v>
      </c>
      <c r="L648" s="8">
        <f>1</f>
        <v>1</v>
      </c>
      <c r="M648" s="8">
        <f>3630000</f>
        <v>3630000</v>
      </c>
      <c r="N648" s="6" t="s">
        <v>2875</v>
      </c>
      <c r="O648" s="5" t="s">
        <v>286</v>
      </c>
      <c r="P648" s="5" t="s">
        <v>2878</v>
      </c>
      <c r="R648" s="8">
        <f>3629999</f>
        <v>3629999</v>
      </c>
      <c r="S648" s="5" t="s">
        <v>240</v>
      </c>
      <c r="T648" s="5" t="s">
        <v>237</v>
      </c>
      <c r="U648" s="5" t="s">
        <v>238</v>
      </c>
      <c r="V648" s="5" t="s">
        <v>238</v>
      </c>
      <c r="W648" s="5" t="s">
        <v>241</v>
      </c>
      <c r="X648" s="5" t="s">
        <v>276</v>
      </c>
      <c r="Y648" s="5" t="s">
        <v>238</v>
      </c>
      <c r="AB648" s="5" t="s">
        <v>238</v>
      </c>
      <c r="AD648" s="6" t="s">
        <v>238</v>
      </c>
      <c r="AG648" s="6" t="s">
        <v>246</v>
      </c>
      <c r="AH648" s="5" t="s">
        <v>247</v>
      </c>
      <c r="AI648" s="5" t="s">
        <v>248</v>
      </c>
      <c r="AY648" s="5" t="s">
        <v>250</v>
      </c>
      <c r="AZ648" s="5" t="s">
        <v>238</v>
      </c>
      <c r="BA648" s="5" t="s">
        <v>251</v>
      </c>
      <c r="BB648" s="5" t="s">
        <v>238</v>
      </c>
      <c r="BC648" s="5" t="s">
        <v>253</v>
      </c>
      <c r="BD648" s="5" t="s">
        <v>238</v>
      </c>
      <c r="BF648" s="5" t="s">
        <v>238</v>
      </c>
      <c r="BH648" s="5" t="s">
        <v>254</v>
      </c>
      <c r="BI648" s="6" t="s">
        <v>246</v>
      </c>
      <c r="BJ648" s="5" t="s">
        <v>255</v>
      </c>
      <c r="BK648" s="5" t="s">
        <v>256</v>
      </c>
      <c r="BL648" s="5" t="s">
        <v>238</v>
      </c>
      <c r="BM648" s="7">
        <f>0</f>
        <v>0</v>
      </c>
      <c r="BN648" s="8">
        <f>0</f>
        <v>0</v>
      </c>
      <c r="BO648" s="5" t="s">
        <v>257</v>
      </c>
      <c r="BP648" s="5" t="s">
        <v>258</v>
      </c>
      <c r="CD648" s="5" t="s">
        <v>238</v>
      </c>
      <c r="CE648" s="5" t="s">
        <v>238</v>
      </c>
      <c r="CI648" s="5" t="s">
        <v>527</v>
      </c>
      <c r="CJ648" s="5" t="s">
        <v>260</v>
      </c>
      <c r="CK648" s="5" t="s">
        <v>238</v>
      </c>
      <c r="CM648" s="5" t="s">
        <v>2877</v>
      </c>
      <c r="CN648" s="6" t="s">
        <v>262</v>
      </c>
      <c r="CO648" s="5" t="s">
        <v>263</v>
      </c>
      <c r="CP648" s="5" t="s">
        <v>264</v>
      </c>
      <c r="CQ648" s="5" t="s">
        <v>238</v>
      </c>
      <c r="CR648" s="5" t="s">
        <v>238</v>
      </c>
      <c r="CS648" s="5">
        <v>0</v>
      </c>
      <c r="CT648" s="5" t="s">
        <v>265</v>
      </c>
      <c r="CU648" s="5" t="s">
        <v>1360</v>
      </c>
      <c r="CV648" s="5" t="s">
        <v>267</v>
      </c>
      <c r="CX648" s="8">
        <f>3630000</f>
        <v>3630000</v>
      </c>
      <c r="CY648" s="8">
        <f>0</f>
        <v>0</v>
      </c>
      <c r="DA648" s="5" t="s">
        <v>238</v>
      </c>
      <c r="DB648" s="5" t="s">
        <v>238</v>
      </c>
      <c r="DD648" s="5" t="s">
        <v>238</v>
      </c>
      <c r="DG648" s="5" t="s">
        <v>238</v>
      </c>
      <c r="DH648" s="5" t="s">
        <v>238</v>
      </c>
      <c r="DI648" s="5" t="s">
        <v>238</v>
      </c>
      <c r="DJ648" s="5" t="s">
        <v>238</v>
      </c>
      <c r="DK648" s="5" t="s">
        <v>271</v>
      </c>
      <c r="DL648" s="5" t="s">
        <v>272</v>
      </c>
      <c r="DM648" s="7">
        <f>36.3</f>
        <v>36.299999999999997</v>
      </c>
      <c r="DN648" s="5" t="s">
        <v>238</v>
      </c>
      <c r="DO648" s="5" t="s">
        <v>238</v>
      </c>
      <c r="DP648" s="5" t="s">
        <v>238</v>
      </c>
      <c r="DQ648" s="5" t="s">
        <v>238</v>
      </c>
      <c r="DT648" s="5" t="s">
        <v>2879</v>
      </c>
      <c r="DU648" s="5" t="s">
        <v>379</v>
      </c>
      <c r="HM648" s="5" t="s">
        <v>271</v>
      </c>
      <c r="HP648" s="5" t="s">
        <v>272</v>
      </c>
      <c r="HQ648" s="5" t="s">
        <v>272</v>
      </c>
    </row>
    <row r="649" spans="1:225" x14ac:dyDescent="0.4">
      <c r="A649" s="5">
        <v>731</v>
      </c>
      <c r="B649" s="5">
        <v>1</v>
      </c>
      <c r="C649" s="5">
        <v>1</v>
      </c>
      <c r="D649" s="5" t="s">
        <v>2765</v>
      </c>
      <c r="E649" s="5" t="s">
        <v>277</v>
      </c>
      <c r="F649" s="5" t="s">
        <v>282</v>
      </c>
      <c r="G649" s="5" t="s">
        <v>2491</v>
      </c>
      <c r="H649" s="6" t="s">
        <v>2767</v>
      </c>
      <c r="I649" s="5" t="s">
        <v>2505</v>
      </c>
      <c r="J649" s="7">
        <f>63.18</f>
        <v>63.18</v>
      </c>
      <c r="K649" s="5" t="s">
        <v>270</v>
      </c>
      <c r="L649" s="8">
        <f>1</f>
        <v>1</v>
      </c>
      <c r="M649" s="8">
        <f>6318000</f>
        <v>6318000</v>
      </c>
      <c r="N649" s="6" t="s">
        <v>2766</v>
      </c>
      <c r="O649" s="5" t="s">
        <v>286</v>
      </c>
      <c r="P649" s="5" t="s">
        <v>898</v>
      </c>
      <c r="R649" s="8">
        <f>6317999</f>
        <v>6317999</v>
      </c>
      <c r="S649" s="5" t="s">
        <v>240</v>
      </c>
      <c r="T649" s="5" t="s">
        <v>237</v>
      </c>
      <c r="U649" s="5" t="s">
        <v>238</v>
      </c>
      <c r="V649" s="5" t="s">
        <v>238</v>
      </c>
      <c r="W649" s="5" t="s">
        <v>241</v>
      </c>
      <c r="X649" s="5" t="s">
        <v>276</v>
      </c>
      <c r="Y649" s="5" t="s">
        <v>238</v>
      </c>
      <c r="AB649" s="5" t="s">
        <v>238</v>
      </c>
      <c r="AD649" s="6" t="s">
        <v>238</v>
      </c>
      <c r="AG649" s="6" t="s">
        <v>246</v>
      </c>
      <c r="AH649" s="5" t="s">
        <v>247</v>
      </c>
      <c r="AI649" s="5" t="s">
        <v>248</v>
      </c>
      <c r="AY649" s="5" t="s">
        <v>250</v>
      </c>
      <c r="AZ649" s="5" t="s">
        <v>238</v>
      </c>
      <c r="BA649" s="5" t="s">
        <v>251</v>
      </c>
      <c r="BB649" s="5" t="s">
        <v>238</v>
      </c>
      <c r="BC649" s="5" t="s">
        <v>253</v>
      </c>
      <c r="BD649" s="5" t="s">
        <v>238</v>
      </c>
      <c r="BF649" s="5" t="s">
        <v>238</v>
      </c>
      <c r="BH649" s="5" t="s">
        <v>254</v>
      </c>
      <c r="BI649" s="6" t="s">
        <v>246</v>
      </c>
      <c r="BJ649" s="5" t="s">
        <v>255</v>
      </c>
      <c r="BK649" s="5" t="s">
        <v>256</v>
      </c>
      <c r="BL649" s="5" t="s">
        <v>238</v>
      </c>
      <c r="BM649" s="7">
        <f>0</f>
        <v>0</v>
      </c>
      <c r="BN649" s="8">
        <f>0</f>
        <v>0</v>
      </c>
      <c r="BO649" s="5" t="s">
        <v>257</v>
      </c>
      <c r="BP649" s="5" t="s">
        <v>258</v>
      </c>
      <c r="CD649" s="5" t="s">
        <v>238</v>
      </c>
      <c r="CE649" s="5" t="s">
        <v>238</v>
      </c>
      <c r="CI649" s="5" t="s">
        <v>527</v>
      </c>
      <c r="CJ649" s="5" t="s">
        <v>260</v>
      </c>
      <c r="CK649" s="5" t="s">
        <v>238</v>
      </c>
      <c r="CM649" s="5" t="s">
        <v>897</v>
      </c>
      <c r="CN649" s="6" t="s">
        <v>262</v>
      </c>
      <c r="CO649" s="5" t="s">
        <v>263</v>
      </c>
      <c r="CP649" s="5" t="s">
        <v>264</v>
      </c>
      <c r="CQ649" s="5" t="s">
        <v>238</v>
      </c>
      <c r="CR649" s="5" t="s">
        <v>238</v>
      </c>
      <c r="CS649" s="5">
        <v>0</v>
      </c>
      <c r="CT649" s="5" t="s">
        <v>265</v>
      </c>
      <c r="CU649" s="5" t="s">
        <v>1360</v>
      </c>
      <c r="CV649" s="5" t="s">
        <v>267</v>
      </c>
      <c r="CX649" s="8">
        <f>6318000</f>
        <v>6318000</v>
      </c>
      <c r="CY649" s="8">
        <f>0</f>
        <v>0</v>
      </c>
      <c r="DA649" s="5" t="s">
        <v>238</v>
      </c>
      <c r="DB649" s="5" t="s">
        <v>238</v>
      </c>
      <c r="DD649" s="5" t="s">
        <v>238</v>
      </c>
      <c r="DG649" s="5" t="s">
        <v>238</v>
      </c>
      <c r="DH649" s="5" t="s">
        <v>238</v>
      </c>
      <c r="DI649" s="5" t="s">
        <v>238</v>
      </c>
      <c r="DJ649" s="5" t="s">
        <v>238</v>
      </c>
      <c r="DK649" s="5" t="s">
        <v>271</v>
      </c>
      <c r="DL649" s="5" t="s">
        <v>272</v>
      </c>
      <c r="DM649" s="7">
        <f>63.18</f>
        <v>63.18</v>
      </c>
      <c r="DN649" s="5" t="s">
        <v>238</v>
      </c>
      <c r="DO649" s="5" t="s">
        <v>238</v>
      </c>
      <c r="DP649" s="5" t="s">
        <v>238</v>
      </c>
      <c r="DQ649" s="5" t="s">
        <v>238</v>
      </c>
      <c r="DT649" s="5" t="s">
        <v>2768</v>
      </c>
      <c r="DU649" s="5" t="s">
        <v>271</v>
      </c>
      <c r="HM649" s="5" t="s">
        <v>271</v>
      </c>
      <c r="HP649" s="5" t="s">
        <v>272</v>
      </c>
      <c r="HQ649" s="5" t="s">
        <v>272</v>
      </c>
    </row>
    <row r="650" spans="1:225" x14ac:dyDescent="0.4">
      <c r="A650" s="5">
        <v>732</v>
      </c>
      <c r="B650" s="5">
        <v>1</v>
      </c>
      <c r="C650" s="5">
        <v>1</v>
      </c>
      <c r="D650" s="5" t="s">
        <v>2765</v>
      </c>
      <c r="E650" s="5" t="s">
        <v>277</v>
      </c>
      <c r="F650" s="5" t="s">
        <v>282</v>
      </c>
      <c r="G650" s="5" t="s">
        <v>2491</v>
      </c>
      <c r="H650" s="6" t="s">
        <v>2767</v>
      </c>
      <c r="I650" s="5" t="s">
        <v>2504</v>
      </c>
      <c r="J650" s="7">
        <f>63.18</f>
        <v>63.18</v>
      </c>
      <c r="K650" s="5" t="s">
        <v>270</v>
      </c>
      <c r="L650" s="8">
        <f>1</f>
        <v>1</v>
      </c>
      <c r="M650" s="8">
        <f>6318000</f>
        <v>6318000</v>
      </c>
      <c r="N650" s="6" t="s">
        <v>2766</v>
      </c>
      <c r="O650" s="5" t="s">
        <v>286</v>
      </c>
      <c r="P650" s="5" t="s">
        <v>898</v>
      </c>
      <c r="R650" s="8">
        <f>6317999</f>
        <v>6317999</v>
      </c>
      <c r="S650" s="5" t="s">
        <v>240</v>
      </c>
      <c r="T650" s="5" t="s">
        <v>237</v>
      </c>
      <c r="U650" s="5" t="s">
        <v>238</v>
      </c>
      <c r="V650" s="5" t="s">
        <v>238</v>
      </c>
      <c r="W650" s="5" t="s">
        <v>241</v>
      </c>
      <c r="X650" s="5" t="s">
        <v>276</v>
      </c>
      <c r="Y650" s="5" t="s">
        <v>238</v>
      </c>
      <c r="AB650" s="5" t="s">
        <v>238</v>
      </c>
      <c r="AD650" s="6" t="s">
        <v>238</v>
      </c>
      <c r="AG650" s="6" t="s">
        <v>246</v>
      </c>
      <c r="AH650" s="5" t="s">
        <v>247</v>
      </c>
      <c r="AI650" s="5" t="s">
        <v>248</v>
      </c>
      <c r="AY650" s="5" t="s">
        <v>250</v>
      </c>
      <c r="AZ650" s="5" t="s">
        <v>238</v>
      </c>
      <c r="BA650" s="5" t="s">
        <v>251</v>
      </c>
      <c r="BB650" s="5" t="s">
        <v>238</v>
      </c>
      <c r="BC650" s="5" t="s">
        <v>253</v>
      </c>
      <c r="BD650" s="5" t="s">
        <v>238</v>
      </c>
      <c r="BF650" s="5" t="s">
        <v>238</v>
      </c>
      <c r="BH650" s="5" t="s">
        <v>859</v>
      </c>
      <c r="BI650" s="6" t="s">
        <v>368</v>
      </c>
      <c r="BJ650" s="5" t="s">
        <v>255</v>
      </c>
      <c r="BK650" s="5" t="s">
        <v>256</v>
      </c>
      <c r="BL650" s="5" t="s">
        <v>238</v>
      </c>
      <c r="BM650" s="7">
        <f>0</f>
        <v>0</v>
      </c>
      <c r="BN650" s="8">
        <f>0</f>
        <v>0</v>
      </c>
      <c r="BO650" s="5" t="s">
        <v>257</v>
      </c>
      <c r="BP650" s="5" t="s">
        <v>258</v>
      </c>
      <c r="CD650" s="5" t="s">
        <v>238</v>
      </c>
      <c r="CE650" s="5" t="s">
        <v>238</v>
      </c>
      <c r="CI650" s="5" t="s">
        <v>527</v>
      </c>
      <c r="CJ650" s="5" t="s">
        <v>260</v>
      </c>
      <c r="CK650" s="5" t="s">
        <v>238</v>
      </c>
      <c r="CM650" s="5" t="s">
        <v>897</v>
      </c>
      <c r="CN650" s="6" t="s">
        <v>262</v>
      </c>
      <c r="CO650" s="5" t="s">
        <v>263</v>
      </c>
      <c r="CP650" s="5" t="s">
        <v>264</v>
      </c>
      <c r="CQ650" s="5" t="s">
        <v>238</v>
      </c>
      <c r="CR650" s="5" t="s">
        <v>238</v>
      </c>
      <c r="CS650" s="5">
        <v>0</v>
      </c>
      <c r="CT650" s="5" t="s">
        <v>265</v>
      </c>
      <c r="CU650" s="5" t="s">
        <v>1360</v>
      </c>
      <c r="CV650" s="5" t="s">
        <v>267</v>
      </c>
      <c r="CX650" s="8">
        <f>6318000</f>
        <v>6318000</v>
      </c>
      <c r="CY650" s="8">
        <f>0</f>
        <v>0</v>
      </c>
      <c r="DA650" s="5" t="s">
        <v>238</v>
      </c>
      <c r="DB650" s="5" t="s">
        <v>238</v>
      </c>
      <c r="DD650" s="5" t="s">
        <v>238</v>
      </c>
      <c r="DG650" s="5" t="s">
        <v>238</v>
      </c>
      <c r="DH650" s="5" t="s">
        <v>238</v>
      </c>
      <c r="DI650" s="5" t="s">
        <v>238</v>
      </c>
      <c r="DJ650" s="5" t="s">
        <v>238</v>
      </c>
      <c r="DK650" s="5" t="s">
        <v>271</v>
      </c>
      <c r="DL650" s="5" t="s">
        <v>272</v>
      </c>
      <c r="DM650" s="7">
        <f>63.18</f>
        <v>63.18</v>
      </c>
      <c r="DN650" s="5" t="s">
        <v>238</v>
      </c>
      <c r="DO650" s="5" t="s">
        <v>238</v>
      </c>
      <c r="DP650" s="5" t="s">
        <v>238</v>
      </c>
      <c r="DQ650" s="5" t="s">
        <v>238</v>
      </c>
      <c r="DT650" s="5" t="s">
        <v>2768</v>
      </c>
      <c r="DU650" s="5" t="s">
        <v>274</v>
      </c>
      <c r="HM650" s="5" t="s">
        <v>271</v>
      </c>
      <c r="HP650" s="5" t="s">
        <v>272</v>
      </c>
      <c r="HQ650" s="5" t="s">
        <v>272</v>
      </c>
    </row>
    <row r="651" spans="1:225" x14ac:dyDescent="0.4">
      <c r="A651" s="5">
        <v>734</v>
      </c>
      <c r="B651" s="5">
        <v>1</v>
      </c>
      <c r="C651" s="5">
        <v>1</v>
      </c>
      <c r="D651" s="5" t="s">
        <v>2765</v>
      </c>
      <c r="E651" s="5" t="s">
        <v>277</v>
      </c>
      <c r="F651" s="5" t="s">
        <v>282</v>
      </c>
      <c r="G651" s="5" t="s">
        <v>2491</v>
      </c>
      <c r="H651" s="6" t="s">
        <v>2767</v>
      </c>
      <c r="I651" s="5" t="s">
        <v>2489</v>
      </c>
      <c r="J651" s="7">
        <f>31.59</f>
        <v>31.59</v>
      </c>
      <c r="K651" s="5" t="s">
        <v>270</v>
      </c>
      <c r="L651" s="8">
        <f>1</f>
        <v>1</v>
      </c>
      <c r="M651" s="8">
        <f>3159000</f>
        <v>3159000</v>
      </c>
      <c r="N651" s="6" t="s">
        <v>2766</v>
      </c>
      <c r="O651" s="5" t="s">
        <v>286</v>
      </c>
      <c r="P651" s="5" t="s">
        <v>898</v>
      </c>
      <c r="R651" s="8">
        <f>3158999</f>
        <v>3158999</v>
      </c>
      <c r="S651" s="5" t="s">
        <v>240</v>
      </c>
      <c r="T651" s="5" t="s">
        <v>237</v>
      </c>
      <c r="U651" s="5" t="s">
        <v>238</v>
      </c>
      <c r="V651" s="5" t="s">
        <v>238</v>
      </c>
      <c r="W651" s="5" t="s">
        <v>241</v>
      </c>
      <c r="X651" s="5" t="s">
        <v>276</v>
      </c>
      <c r="Y651" s="5" t="s">
        <v>238</v>
      </c>
      <c r="AB651" s="5" t="s">
        <v>238</v>
      </c>
      <c r="AD651" s="6" t="s">
        <v>238</v>
      </c>
      <c r="AG651" s="6" t="s">
        <v>246</v>
      </c>
      <c r="AH651" s="5" t="s">
        <v>247</v>
      </c>
      <c r="AI651" s="5" t="s">
        <v>248</v>
      </c>
      <c r="AY651" s="5" t="s">
        <v>250</v>
      </c>
      <c r="AZ651" s="5" t="s">
        <v>238</v>
      </c>
      <c r="BA651" s="5" t="s">
        <v>251</v>
      </c>
      <c r="BB651" s="5" t="s">
        <v>238</v>
      </c>
      <c r="BC651" s="5" t="s">
        <v>253</v>
      </c>
      <c r="BD651" s="5" t="s">
        <v>238</v>
      </c>
      <c r="BF651" s="5" t="s">
        <v>238</v>
      </c>
      <c r="BH651" s="5" t="s">
        <v>798</v>
      </c>
      <c r="BI651" s="6" t="s">
        <v>376</v>
      </c>
      <c r="BJ651" s="5" t="s">
        <v>255</v>
      </c>
      <c r="BK651" s="5" t="s">
        <v>256</v>
      </c>
      <c r="BL651" s="5" t="s">
        <v>238</v>
      </c>
      <c r="BM651" s="7">
        <f>0</f>
        <v>0</v>
      </c>
      <c r="BN651" s="8">
        <f>0</f>
        <v>0</v>
      </c>
      <c r="BO651" s="5" t="s">
        <v>257</v>
      </c>
      <c r="BP651" s="5" t="s">
        <v>258</v>
      </c>
      <c r="CD651" s="5" t="s">
        <v>238</v>
      </c>
      <c r="CE651" s="5" t="s">
        <v>238</v>
      </c>
      <c r="CI651" s="5" t="s">
        <v>527</v>
      </c>
      <c r="CJ651" s="5" t="s">
        <v>260</v>
      </c>
      <c r="CK651" s="5" t="s">
        <v>238</v>
      </c>
      <c r="CM651" s="5" t="s">
        <v>897</v>
      </c>
      <c r="CN651" s="6" t="s">
        <v>262</v>
      </c>
      <c r="CO651" s="5" t="s">
        <v>263</v>
      </c>
      <c r="CP651" s="5" t="s">
        <v>264</v>
      </c>
      <c r="CQ651" s="5" t="s">
        <v>238</v>
      </c>
      <c r="CR651" s="5" t="s">
        <v>238</v>
      </c>
      <c r="CS651" s="5">
        <v>0</v>
      </c>
      <c r="CT651" s="5" t="s">
        <v>265</v>
      </c>
      <c r="CU651" s="5" t="s">
        <v>1360</v>
      </c>
      <c r="CV651" s="5" t="s">
        <v>267</v>
      </c>
      <c r="CX651" s="8">
        <f>3159000</f>
        <v>3159000</v>
      </c>
      <c r="CY651" s="8">
        <f>0</f>
        <v>0</v>
      </c>
      <c r="DA651" s="5" t="s">
        <v>238</v>
      </c>
      <c r="DB651" s="5" t="s">
        <v>238</v>
      </c>
      <c r="DD651" s="5" t="s">
        <v>238</v>
      </c>
      <c r="DG651" s="5" t="s">
        <v>238</v>
      </c>
      <c r="DH651" s="5" t="s">
        <v>238</v>
      </c>
      <c r="DI651" s="5" t="s">
        <v>238</v>
      </c>
      <c r="DJ651" s="5" t="s">
        <v>238</v>
      </c>
      <c r="DK651" s="5" t="s">
        <v>271</v>
      </c>
      <c r="DL651" s="5" t="s">
        <v>272</v>
      </c>
      <c r="DM651" s="7">
        <f>31.59</f>
        <v>31.59</v>
      </c>
      <c r="DN651" s="5" t="s">
        <v>238</v>
      </c>
      <c r="DO651" s="5" t="s">
        <v>238</v>
      </c>
      <c r="DP651" s="5" t="s">
        <v>238</v>
      </c>
      <c r="DQ651" s="5" t="s">
        <v>238</v>
      </c>
      <c r="DT651" s="5" t="s">
        <v>2768</v>
      </c>
      <c r="DU651" s="5" t="s">
        <v>310</v>
      </c>
      <c r="HM651" s="5" t="s">
        <v>271</v>
      </c>
      <c r="HP651" s="5" t="s">
        <v>272</v>
      </c>
      <c r="HQ651" s="5" t="s">
        <v>272</v>
      </c>
    </row>
    <row r="652" spans="1:225" x14ac:dyDescent="0.4">
      <c r="A652" s="5">
        <v>737</v>
      </c>
      <c r="B652" s="5">
        <v>1</v>
      </c>
      <c r="C652" s="5">
        <v>1</v>
      </c>
      <c r="D652" s="5" t="s">
        <v>2765</v>
      </c>
      <c r="E652" s="5" t="s">
        <v>277</v>
      </c>
      <c r="F652" s="5" t="s">
        <v>282</v>
      </c>
      <c r="G652" s="5" t="s">
        <v>2491</v>
      </c>
      <c r="H652" s="6" t="s">
        <v>2767</v>
      </c>
      <c r="I652" s="5" t="s">
        <v>2521</v>
      </c>
      <c r="J652" s="7">
        <f>63.18</f>
        <v>63.18</v>
      </c>
      <c r="K652" s="5" t="s">
        <v>270</v>
      </c>
      <c r="L652" s="8">
        <f>1</f>
        <v>1</v>
      </c>
      <c r="M652" s="8">
        <f>6318000</f>
        <v>6318000</v>
      </c>
      <c r="N652" s="6" t="s">
        <v>2766</v>
      </c>
      <c r="O652" s="5" t="s">
        <v>286</v>
      </c>
      <c r="P652" s="5" t="s">
        <v>898</v>
      </c>
      <c r="R652" s="8">
        <f>6317999</f>
        <v>6317999</v>
      </c>
      <c r="S652" s="5" t="s">
        <v>240</v>
      </c>
      <c r="T652" s="5" t="s">
        <v>237</v>
      </c>
      <c r="U652" s="5" t="s">
        <v>238</v>
      </c>
      <c r="V652" s="5" t="s">
        <v>238</v>
      </c>
      <c r="W652" s="5" t="s">
        <v>241</v>
      </c>
      <c r="X652" s="5" t="s">
        <v>276</v>
      </c>
      <c r="Y652" s="5" t="s">
        <v>238</v>
      </c>
      <c r="AB652" s="5" t="s">
        <v>238</v>
      </c>
      <c r="AD652" s="6" t="s">
        <v>238</v>
      </c>
      <c r="AG652" s="6" t="s">
        <v>246</v>
      </c>
      <c r="AH652" s="5" t="s">
        <v>247</v>
      </c>
      <c r="AI652" s="5" t="s">
        <v>248</v>
      </c>
      <c r="AY652" s="5" t="s">
        <v>250</v>
      </c>
      <c r="AZ652" s="5" t="s">
        <v>238</v>
      </c>
      <c r="BA652" s="5" t="s">
        <v>251</v>
      </c>
      <c r="BB652" s="5" t="s">
        <v>238</v>
      </c>
      <c r="BC652" s="5" t="s">
        <v>253</v>
      </c>
      <c r="BD652" s="5" t="s">
        <v>238</v>
      </c>
      <c r="BF652" s="5" t="s">
        <v>238</v>
      </c>
      <c r="BH652" s="5" t="s">
        <v>697</v>
      </c>
      <c r="BI652" s="6" t="s">
        <v>698</v>
      </c>
      <c r="BJ652" s="5" t="s">
        <v>255</v>
      </c>
      <c r="BK652" s="5" t="s">
        <v>256</v>
      </c>
      <c r="BL652" s="5" t="s">
        <v>238</v>
      </c>
      <c r="BM652" s="7">
        <f>0</f>
        <v>0</v>
      </c>
      <c r="BN652" s="8">
        <f>0</f>
        <v>0</v>
      </c>
      <c r="BO652" s="5" t="s">
        <v>257</v>
      </c>
      <c r="BP652" s="5" t="s">
        <v>258</v>
      </c>
      <c r="CD652" s="5" t="s">
        <v>238</v>
      </c>
      <c r="CE652" s="5" t="s">
        <v>238</v>
      </c>
      <c r="CI652" s="5" t="s">
        <v>527</v>
      </c>
      <c r="CJ652" s="5" t="s">
        <v>260</v>
      </c>
      <c r="CK652" s="5" t="s">
        <v>238</v>
      </c>
      <c r="CM652" s="5" t="s">
        <v>897</v>
      </c>
      <c r="CN652" s="6" t="s">
        <v>262</v>
      </c>
      <c r="CO652" s="5" t="s">
        <v>263</v>
      </c>
      <c r="CP652" s="5" t="s">
        <v>264</v>
      </c>
      <c r="CQ652" s="5" t="s">
        <v>238</v>
      </c>
      <c r="CR652" s="5" t="s">
        <v>238</v>
      </c>
      <c r="CS652" s="5">
        <v>0</v>
      </c>
      <c r="CT652" s="5" t="s">
        <v>265</v>
      </c>
      <c r="CU652" s="5" t="s">
        <v>1360</v>
      </c>
      <c r="CV652" s="5" t="s">
        <v>267</v>
      </c>
      <c r="CX652" s="8">
        <f>6318000</f>
        <v>6318000</v>
      </c>
      <c r="CY652" s="8">
        <f>0</f>
        <v>0</v>
      </c>
      <c r="DA652" s="5" t="s">
        <v>238</v>
      </c>
      <c r="DB652" s="5" t="s">
        <v>238</v>
      </c>
      <c r="DD652" s="5" t="s">
        <v>238</v>
      </c>
      <c r="DG652" s="5" t="s">
        <v>238</v>
      </c>
      <c r="DH652" s="5" t="s">
        <v>238</v>
      </c>
      <c r="DI652" s="5" t="s">
        <v>238</v>
      </c>
      <c r="DJ652" s="5" t="s">
        <v>238</v>
      </c>
      <c r="DK652" s="5" t="s">
        <v>271</v>
      </c>
      <c r="DL652" s="5" t="s">
        <v>272</v>
      </c>
      <c r="DM652" s="7">
        <f>63.18</f>
        <v>63.18</v>
      </c>
      <c r="DN652" s="5" t="s">
        <v>238</v>
      </c>
      <c r="DO652" s="5" t="s">
        <v>238</v>
      </c>
      <c r="DP652" s="5" t="s">
        <v>238</v>
      </c>
      <c r="DQ652" s="5" t="s">
        <v>238</v>
      </c>
      <c r="DT652" s="5" t="s">
        <v>2768</v>
      </c>
      <c r="DU652" s="5" t="s">
        <v>389</v>
      </c>
      <c r="HM652" s="5" t="s">
        <v>271</v>
      </c>
      <c r="HP652" s="5" t="s">
        <v>272</v>
      </c>
      <c r="HQ652" s="5" t="s">
        <v>272</v>
      </c>
    </row>
    <row r="653" spans="1:225" x14ac:dyDescent="0.4">
      <c r="A653" s="5">
        <v>738</v>
      </c>
      <c r="B653" s="5">
        <v>1</v>
      </c>
      <c r="C653" s="5">
        <v>1</v>
      </c>
      <c r="D653" s="5" t="s">
        <v>2765</v>
      </c>
      <c r="E653" s="5" t="s">
        <v>277</v>
      </c>
      <c r="F653" s="5" t="s">
        <v>282</v>
      </c>
      <c r="G653" s="5" t="s">
        <v>2491</v>
      </c>
      <c r="H653" s="6" t="s">
        <v>2767</v>
      </c>
      <c r="I653" s="5" t="s">
        <v>2500</v>
      </c>
      <c r="J653" s="7">
        <f>36.45</f>
        <v>36.450000000000003</v>
      </c>
      <c r="K653" s="5" t="s">
        <v>270</v>
      </c>
      <c r="L653" s="8">
        <f>1</f>
        <v>1</v>
      </c>
      <c r="M653" s="8">
        <f>3645000</f>
        <v>3645000</v>
      </c>
      <c r="N653" s="6" t="s">
        <v>2766</v>
      </c>
      <c r="O653" s="5" t="s">
        <v>286</v>
      </c>
      <c r="P653" s="5" t="s">
        <v>898</v>
      </c>
      <c r="R653" s="8">
        <f>3644999</f>
        <v>3644999</v>
      </c>
      <c r="S653" s="5" t="s">
        <v>240</v>
      </c>
      <c r="T653" s="5" t="s">
        <v>237</v>
      </c>
      <c r="U653" s="5" t="s">
        <v>238</v>
      </c>
      <c r="V653" s="5" t="s">
        <v>238</v>
      </c>
      <c r="W653" s="5" t="s">
        <v>241</v>
      </c>
      <c r="X653" s="5" t="s">
        <v>276</v>
      </c>
      <c r="Y653" s="5" t="s">
        <v>238</v>
      </c>
      <c r="AB653" s="5" t="s">
        <v>238</v>
      </c>
      <c r="AD653" s="6" t="s">
        <v>238</v>
      </c>
      <c r="AG653" s="6" t="s">
        <v>246</v>
      </c>
      <c r="AH653" s="5" t="s">
        <v>247</v>
      </c>
      <c r="AI653" s="5" t="s">
        <v>248</v>
      </c>
      <c r="AY653" s="5" t="s">
        <v>250</v>
      </c>
      <c r="AZ653" s="5" t="s">
        <v>238</v>
      </c>
      <c r="BA653" s="5" t="s">
        <v>251</v>
      </c>
      <c r="BB653" s="5" t="s">
        <v>238</v>
      </c>
      <c r="BC653" s="5" t="s">
        <v>253</v>
      </c>
      <c r="BD653" s="5" t="s">
        <v>238</v>
      </c>
      <c r="BF653" s="5" t="s">
        <v>238</v>
      </c>
      <c r="BH653" s="5" t="s">
        <v>798</v>
      </c>
      <c r="BI653" s="6" t="s">
        <v>799</v>
      </c>
      <c r="BJ653" s="5" t="s">
        <v>255</v>
      </c>
      <c r="BK653" s="5" t="s">
        <v>256</v>
      </c>
      <c r="BL653" s="5" t="s">
        <v>238</v>
      </c>
      <c r="BM653" s="7">
        <f>0</f>
        <v>0</v>
      </c>
      <c r="BN653" s="8">
        <f>0</f>
        <v>0</v>
      </c>
      <c r="BO653" s="5" t="s">
        <v>257</v>
      </c>
      <c r="BP653" s="5" t="s">
        <v>258</v>
      </c>
      <c r="CD653" s="5" t="s">
        <v>238</v>
      </c>
      <c r="CE653" s="5" t="s">
        <v>238</v>
      </c>
      <c r="CI653" s="5" t="s">
        <v>527</v>
      </c>
      <c r="CJ653" s="5" t="s">
        <v>260</v>
      </c>
      <c r="CK653" s="5" t="s">
        <v>238</v>
      </c>
      <c r="CM653" s="5" t="s">
        <v>897</v>
      </c>
      <c r="CN653" s="6" t="s">
        <v>262</v>
      </c>
      <c r="CO653" s="5" t="s">
        <v>263</v>
      </c>
      <c r="CP653" s="5" t="s">
        <v>264</v>
      </c>
      <c r="CQ653" s="5" t="s">
        <v>238</v>
      </c>
      <c r="CR653" s="5" t="s">
        <v>238</v>
      </c>
      <c r="CS653" s="5">
        <v>0</v>
      </c>
      <c r="CT653" s="5" t="s">
        <v>265</v>
      </c>
      <c r="CU653" s="5" t="s">
        <v>1360</v>
      </c>
      <c r="CV653" s="5" t="s">
        <v>267</v>
      </c>
      <c r="CX653" s="8">
        <f>3645000</f>
        <v>3645000</v>
      </c>
      <c r="CY653" s="8">
        <f>0</f>
        <v>0</v>
      </c>
      <c r="DA653" s="5" t="s">
        <v>238</v>
      </c>
      <c r="DB653" s="5" t="s">
        <v>238</v>
      </c>
      <c r="DD653" s="5" t="s">
        <v>238</v>
      </c>
      <c r="DG653" s="5" t="s">
        <v>238</v>
      </c>
      <c r="DH653" s="5" t="s">
        <v>238</v>
      </c>
      <c r="DI653" s="5" t="s">
        <v>238</v>
      </c>
      <c r="DJ653" s="5" t="s">
        <v>238</v>
      </c>
      <c r="DK653" s="5" t="s">
        <v>271</v>
      </c>
      <c r="DL653" s="5" t="s">
        <v>272</v>
      </c>
      <c r="DM653" s="7">
        <f>36.45</f>
        <v>36.450000000000003</v>
      </c>
      <c r="DN653" s="5" t="s">
        <v>238</v>
      </c>
      <c r="DO653" s="5" t="s">
        <v>238</v>
      </c>
      <c r="DP653" s="5" t="s">
        <v>238</v>
      </c>
      <c r="DQ653" s="5" t="s">
        <v>238</v>
      </c>
      <c r="DT653" s="5" t="s">
        <v>2768</v>
      </c>
      <c r="DU653" s="5" t="s">
        <v>354</v>
      </c>
      <c r="HM653" s="5" t="s">
        <v>271</v>
      </c>
      <c r="HP653" s="5" t="s">
        <v>272</v>
      </c>
      <c r="HQ653" s="5" t="s">
        <v>272</v>
      </c>
    </row>
    <row r="654" spans="1:225" x14ac:dyDescent="0.4">
      <c r="A654" s="5">
        <v>739</v>
      </c>
      <c r="B654" s="5">
        <v>1</v>
      </c>
      <c r="C654" s="5">
        <v>1</v>
      </c>
      <c r="D654" s="5" t="s">
        <v>2765</v>
      </c>
      <c r="E654" s="5" t="s">
        <v>277</v>
      </c>
      <c r="F654" s="5" t="s">
        <v>282</v>
      </c>
      <c r="G654" s="5" t="s">
        <v>2491</v>
      </c>
      <c r="H654" s="6" t="s">
        <v>2767</v>
      </c>
      <c r="I654" s="5" t="s">
        <v>2526</v>
      </c>
      <c r="J654" s="7">
        <f>36.45</f>
        <v>36.450000000000003</v>
      </c>
      <c r="K654" s="5" t="s">
        <v>270</v>
      </c>
      <c r="L654" s="8">
        <f>1</f>
        <v>1</v>
      </c>
      <c r="M654" s="8">
        <f>3645000</f>
        <v>3645000</v>
      </c>
      <c r="N654" s="6" t="s">
        <v>2766</v>
      </c>
      <c r="O654" s="5" t="s">
        <v>286</v>
      </c>
      <c r="P654" s="5" t="s">
        <v>898</v>
      </c>
      <c r="R654" s="8">
        <f>3644999</f>
        <v>3644999</v>
      </c>
      <c r="S654" s="5" t="s">
        <v>240</v>
      </c>
      <c r="T654" s="5" t="s">
        <v>237</v>
      </c>
      <c r="U654" s="5" t="s">
        <v>238</v>
      </c>
      <c r="V654" s="5" t="s">
        <v>238</v>
      </c>
      <c r="W654" s="5" t="s">
        <v>241</v>
      </c>
      <c r="X654" s="5" t="s">
        <v>276</v>
      </c>
      <c r="Y654" s="5" t="s">
        <v>238</v>
      </c>
      <c r="AB654" s="5" t="s">
        <v>238</v>
      </c>
      <c r="AD654" s="6" t="s">
        <v>238</v>
      </c>
      <c r="AG654" s="6" t="s">
        <v>246</v>
      </c>
      <c r="AH654" s="5" t="s">
        <v>247</v>
      </c>
      <c r="AI654" s="5" t="s">
        <v>248</v>
      </c>
      <c r="AY654" s="5" t="s">
        <v>250</v>
      </c>
      <c r="AZ654" s="5" t="s">
        <v>238</v>
      </c>
      <c r="BA654" s="5" t="s">
        <v>251</v>
      </c>
      <c r="BB654" s="5" t="s">
        <v>238</v>
      </c>
      <c r="BC654" s="5" t="s">
        <v>253</v>
      </c>
      <c r="BD654" s="5" t="s">
        <v>238</v>
      </c>
      <c r="BF654" s="5" t="s">
        <v>238</v>
      </c>
      <c r="BH654" s="5" t="s">
        <v>254</v>
      </c>
      <c r="BI654" s="6" t="s">
        <v>246</v>
      </c>
      <c r="BJ654" s="5" t="s">
        <v>255</v>
      </c>
      <c r="BK654" s="5" t="s">
        <v>256</v>
      </c>
      <c r="BL654" s="5" t="s">
        <v>238</v>
      </c>
      <c r="BM654" s="7">
        <f>0</f>
        <v>0</v>
      </c>
      <c r="BN654" s="8">
        <f>0</f>
        <v>0</v>
      </c>
      <c r="BO654" s="5" t="s">
        <v>257</v>
      </c>
      <c r="BP654" s="5" t="s">
        <v>258</v>
      </c>
      <c r="CD654" s="5" t="s">
        <v>238</v>
      </c>
      <c r="CE654" s="5" t="s">
        <v>238</v>
      </c>
      <c r="CI654" s="5" t="s">
        <v>527</v>
      </c>
      <c r="CJ654" s="5" t="s">
        <v>260</v>
      </c>
      <c r="CK654" s="5" t="s">
        <v>238</v>
      </c>
      <c r="CM654" s="5" t="s">
        <v>897</v>
      </c>
      <c r="CN654" s="6" t="s">
        <v>262</v>
      </c>
      <c r="CO654" s="5" t="s">
        <v>263</v>
      </c>
      <c r="CP654" s="5" t="s">
        <v>264</v>
      </c>
      <c r="CQ654" s="5" t="s">
        <v>238</v>
      </c>
      <c r="CR654" s="5" t="s">
        <v>238</v>
      </c>
      <c r="CS654" s="5">
        <v>0</v>
      </c>
      <c r="CT654" s="5" t="s">
        <v>265</v>
      </c>
      <c r="CU654" s="5" t="s">
        <v>1360</v>
      </c>
      <c r="CV654" s="5" t="s">
        <v>267</v>
      </c>
      <c r="CX654" s="8">
        <f>3645000</f>
        <v>3645000</v>
      </c>
      <c r="CY654" s="8">
        <f>0</f>
        <v>0</v>
      </c>
      <c r="DA654" s="5" t="s">
        <v>238</v>
      </c>
      <c r="DB654" s="5" t="s">
        <v>238</v>
      </c>
      <c r="DD654" s="5" t="s">
        <v>238</v>
      </c>
      <c r="DG654" s="5" t="s">
        <v>238</v>
      </c>
      <c r="DH654" s="5" t="s">
        <v>238</v>
      </c>
      <c r="DI654" s="5" t="s">
        <v>238</v>
      </c>
      <c r="DJ654" s="5" t="s">
        <v>238</v>
      </c>
      <c r="DK654" s="5" t="s">
        <v>271</v>
      </c>
      <c r="DL654" s="5" t="s">
        <v>272</v>
      </c>
      <c r="DM654" s="7">
        <f>36.45</f>
        <v>36.450000000000003</v>
      </c>
      <c r="DN654" s="5" t="s">
        <v>238</v>
      </c>
      <c r="DO654" s="5" t="s">
        <v>238</v>
      </c>
      <c r="DP654" s="5" t="s">
        <v>238</v>
      </c>
      <c r="DQ654" s="5" t="s">
        <v>238</v>
      </c>
      <c r="DT654" s="5" t="s">
        <v>2768</v>
      </c>
      <c r="DU654" s="5" t="s">
        <v>361</v>
      </c>
      <c r="HM654" s="5" t="s">
        <v>271</v>
      </c>
      <c r="HP654" s="5" t="s">
        <v>272</v>
      </c>
      <c r="HQ654" s="5" t="s">
        <v>272</v>
      </c>
    </row>
    <row r="655" spans="1:225" x14ac:dyDescent="0.4">
      <c r="A655" s="5">
        <v>740</v>
      </c>
      <c r="B655" s="5">
        <v>1</v>
      </c>
      <c r="C655" s="5">
        <v>1</v>
      </c>
      <c r="D655" s="5" t="s">
        <v>2765</v>
      </c>
      <c r="E655" s="5" t="s">
        <v>277</v>
      </c>
      <c r="F655" s="5" t="s">
        <v>282</v>
      </c>
      <c r="G655" s="5" t="s">
        <v>2491</v>
      </c>
      <c r="H655" s="6" t="s">
        <v>2767</v>
      </c>
      <c r="I655" s="5" t="s">
        <v>2848</v>
      </c>
      <c r="J655" s="7">
        <f>63.18</f>
        <v>63.18</v>
      </c>
      <c r="K655" s="5" t="s">
        <v>270</v>
      </c>
      <c r="L655" s="8">
        <f>1</f>
        <v>1</v>
      </c>
      <c r="M655" s="8">
        <f>6318000</f>
        <v>6318000</v>
      </c>
      <c r="N655" s="6" t="s">
        <v>2766</v>
      </c>
      <c r="O655" s="5" t="s">
        <v>286</v>
      </c>
      <c r="P655" s="5" t="s">
        <v>898</v>
      </c>
      <c r="R655" s="8">
        <f>6317999</f>
        <v>6317999</v>
      </c>
      <c r="S655" s="5" t="s">
        <v>240</v>
      </c>
      <c r="T655" s="5" t="s">
        <v>237</v>
      </c>
      <c r="U655" s="5" t="s">
        <v>238</v>
      </c>
      <c r="V655" s="5" t="s">
        <v>238</v>
      </c>
      <c r="W655" s="5" t="s">
        <v>241</v>
      </c>
      <c r="X655" s="5" t="s">
        <v>276</v>
      </c>
      <c r="Y655" s="5" t="s">
        <v>238</v>
      </c>
      <c r="AB655" s="5" t="s">
        <v>238</v>
      </c>
      <c r="AD655" s="6" t="s">
        <v>238</v>
      </c>
      <c r="AG655" s="6" t="s">
        <v>246</v>
      </c>
      <c r="AH655" s="5" t="s">
        <v>247</v>
      </c>
      <c r="AI655" s="5" t="s">
        <v>248</v>
      </c>
      <c r="AY655" s="5" t="s">
        <v>250</v>
      </c>
      <c r="AZ655" s="5" t="s">
        <v>238</v>
      </c>
      <c r="BA655" s="5" t="s">
        <v>251</v>
      </c>
      <c r="BB655" s="5" t="s">
        <v>238</v>
      </c>
      <c r="BC655" s="5" t="s">
        <v>253</v>
      </c>
      <c r="BD655" s="5" t="s">
        <v>238</v>
      </c>
      <c r="BF655" s="5" t="s">
        <v>238</v>
      </c>
      <c r="BH655" s="5" t="s">
        <v>859</v>
      </c>
      <c r="BI655" s="6" t="s">
        <v>368</v>
      </c>
      <c r="BJ655" s="5" t="s">
        <v>255</v>
      </c>
      <c r="BK655" s="5" t="s">
        <v>256</v>
      </c>
      <c r="BL655" s="5" t="s">
        <v>238</v>
      </c>
      <c r="BM655" s="7">
        <f>0</f>
        <v>0</v>
      </c>
      <c r="BN655" s="8">
        <f>0</f>
        <v>0</v>
      </c>
      <c r="BO655" s="5" t="s">
        <v>257</v>
      </c>
      <c r="BP655" s="5" t="s">
        <v>258</v>
      </c>
      <c r="CD655" s="5" t="s">
        <v>238</v>
      </c>
      <c r="CE655" s="5" t="s">
        <v>238</v>
      </c>
      <c r="CI655" s="5" t="s">
        <v>527</v>
      </c>
      <c r="CJ655" s="5" t="s">
        <v>260</v>
      </c>
      <c r="CK655" s="5" t="s">
        <v>238</v>
      </c>
      <c r="CM655" s="5" t="s">
        <v>897</v>
      </c>
      <c r="CN655" s="6" t="s">
        <v>262</v>
      </c>
      <c r="CO655" s="5" t="s">
        <v>263</v>
      </c>
      <c r="CP655" s="5" t="s">
        <v>264</v>
      </c>
      <c r="CQ655" s="5" t="s">
        <v>238</v>
      </c>
      <c r="CR655" s="5" t="s">
        <v>238</v>
      </c>
      <c r="CS655" s="5">
        <v>0</v>
      </c>
      <c r="CT655" s="5" t="s">
        <v>265</v>
      </c>
      <c r="CU655" s="5" t="s">
        <v>1360</v>
      </c>
      <c r="CV655" s="5" t="s">
        <v>267</v>
      </c>
      <c r="CX655" s="8">
        <f>6318000</f>
        <v>6318000</v>
      </c>
      <c r="CY655" s="8">
        <f>0</f>
        <v>0</v>
      </c>
      <c r="DA655" s="5" t="s">
        <v>238</v>
      </c>
      <c r="DB655" s="5" t="s">
        <v>238</v>
      </c>
      <c r="DD655" s="5" t="s">
        <v>238</v>
      </c>
      <c r="DG655" s="5" t="s">
        <v>238</v>
      </c>
      <c r="DH655" s="5" t="s">
        <v>238</v>
      </c>
      <c r="DI655" s="5" t="s">
        <v>238</v>
      </c>
      <c r="DJ655" s="5" t="s">
        <v>238</v>
      </c>
      <c r="DK655" s="5" t="s">
        <v>271</v>
      </c>
      <c r="DL655" s="5" t="s">
        <v>272</v>
      </c>
      <c r="DM655" s="7">
        <f>63.18</f>
        <v>63.18</v>
      </c>
      <c r="DN655" s="5" t="s">
        <v>238</v>
      </c>
      <c r="DO655" s="5" t="s">
        <v>238</v>
      </c>
      <c r="DP655" s="5" t="s">
        <v>238</v>
      </c>
      <c r="DQ655" s="5" t="s">
        <v>238</v>
      </c>
      <c r="DT655" s="5" t="s">
        <v>2768</v>
      </c>
      <c r="DU655" s="5" t="s">
        <v>377</v>
      </c>
      <c r="HM655" s="5" t="s">
        <v>271</v>
      </c>
      <c r="HP655" s="5" t="s">
        <v>272</v>
      </c>
      <c r="HQ655" s="5" t="s">
        <v>272</v>
      </c>
    </row>
    <row r="656" spans="1:225" x14ac:dyDescent="0.4">
      <c r="A656" s="5">
        <v>743</v>
      </c>
      <c r="B656" s="5">
        <v>1</v>
      </c>
      <c r="C656" s="5">
        <v>1</v>
      </c>
      <c r="D656" s="5" t="s">
        <v>2871</v>
      </c>
      <c r="E656" s="5" t="s">
        <v>277</v>
      </c>
      <c r="F656" s="5" t="s">
        <v>282</v>
      </c>
      <c r="G656" s="5" t="s">
        <v>2491</v>
      </c>
      <c r="H656" s="6" t="s">
        <v>2872</v>
      </c>
      <c r="I656" s="5" t="s">
        <v>2495</v>
      </c>
      <c r="J656" s="7">
        <f>332.82</f>
        <v>332.82</v>
      </c>
      <c r="K656" s="5" t="s">
        <v>270</v>
      </c>
      <c r="L656" s="8">
        <f>1</f>
        <v>1</v>
      </c>
      <c r="M656" s="8">
        <f>34946100</f>
        <v>34946100</v>
      </c>
      <c r="N656" s="6" t="s">
        <v>912</v>
      </c>
      <c r="O656" s="5" t="s">
        <v>639</v>
      </c>
      <c r="P656" s="5" t="s">
        <v>915</v>
      </c>
      <c r="R656" s="8">
        <f>34946099</f>
        <v>34946099</v>
      </c>
      <c r="S656" s="5" t="s">
        <v>240</v>
      </c>
      <c r="T656" s="5" t="s">
        <v>237</v>
      </c>
      <c r="U656" s="5" t="s">
        <v>238</v>
      </c>
      <c r="V656" s="5" t="s">
        <v>238</v>
      </c>
      <c r="W656" s="5" t="s">
        <v>241</v>
      </c>
      <c r="X656" s="5" t="s">
        <v>276</v>
      </c>
      <c r="Y656" s="5" t="s">
        <v>238</v>
      </c>
      <c r="AB656" s="5" t="s">
        <v>238</v>
      </c>
      <c r="AD656" s="6" t="s">
        <v>238</v>
      </c>
      <c r="AG656" s="6" t="s">
        <v>246</v>
      </c>
      <c r="AH656" s="5" t="s">
        <v>247</v>
      </c>
      <c r="AI656" s="5" t="s">
        <v>248</v>
      </c>
      <c r="AY656" s="5" t="s">
        <v>250</v>
      </c>
      <c r="AZ656" s="5" t="s">
        <v>238</v>
      </c>
      <c r="BA656" s="5" t="s">
        <v>251</v>
      </c>
      <c r="BB656" s="5" t="s">
        <v>238</v>
      </c>
      <c r="BC656" s="5" t="s">
        <v>253</v>
      </c>
      <c r="BD656" s="5" t="s">
        <v>238</v>
      </c>
      <c r="BF656" s="5" t="s">
        <v>238</v>
      </c>
      <c r="BH656" s="5" t="s">
        <v>254</v>
      </c>
      <c r="BI656" s="6" t="s">
        <v>246</v>
      </c>
      <c r="BJ656" s="5" t="s">
        <v>255</v>
      </c>
      <c r="BK656" s="5" t="s">
        <v>256</v>
      </c>
      <c r="BL656" s="5" t="s">
        <v>238</v>
      </c>
      <c r="BM656" s="7">
        <f>0</f>
        <v>0</v>
      </c>
      <c r="BN656" s="8">
        <f>0</f>
        <v>0</v>
      </c>
      <c r="BO656" s="5" t="s">
        <v>257</v>
      </c>
      <c r="BP656" s="5" t="s">
        <v>258</v>
      </c>
      <c r="CD656" s="5" t="s">
        <v>238</v>
      </c>
      <c r="CE656" s="5" t="s">
        <v>238</v>
      </c>
      <c r="CI656" s="5" t="s">
        <v>527</v>
      </c>
      <c r="CJ656" s="5" t="s">
        <v>260</v>
      </c>
      <c r="CK656" s="5" t="s">
        <v>238</v>
      </c>
      <c r="CM656" s="5" t="s">
        <v>914</v>
      </c>
      <c r="CN656" s="6" t="s">
        <v>262</v>
      </c>
      <c r="CO656" s="5" t="s">
        <v>263</v>
      </c>
      <c r="CP656" s="5" t="s">
        <v>264</v>
      </c>
      <c r="CQ656" s="5" t="s">
        <v>238</v>
      </c>
      <c r="CR656" s="5" t="s">
        <v>238</v>
      </c>
      <c r="CS656" s="5">
        <v>0</v>
      </c>
      <c r="CT656" s="5" t="s">
        <v>265</v>
      </c>
      <c r="CU656" s="5" t="s">
        <v>1360</v>
      </c>
      <c r="CV656" s="5" t="s">
        <v>2508</v>
      </c>
      <c r="CX656" s="8">
        <f>34946100</f>
        <v>34946100</v>
      </c>
      <c r="CY656" s="8">
        <f>0</f>
        <v>0</v>
      </c>
      <c r="DA656" s="5" t="s">
        <v>238</v>
      </c>
      <c r="DB656" s="5" t="s">
        <v>238</v>
      </c>
      <c r="DD656" s="5" t="s">
        <v>238</v>
      </c>
      <c r="DG656" s="5" t="s">
        <v>238</v>
      </c>
      <c r="DH656" s="5" t="s">
        <v>238</v>
      </c>
      <c r="DI656" s="5" t="s">
        <v>238</v>
      </c>
      <c r="DJ656" s="5" t="s">
        <v>238</v>
      </c>
      <c r="DK656" s="5" t="s">
        <v>274</v>
      </c>
      <c r="DL656" s="5" t="s">
        <v>272</v>
      </c>
      <c r="DM656" s="7">
        <f>332.82</f>
        <v>332.82</v>
      </c>
      <c r="DN656" s="5" t="s">
        <v>238</v>
      </c>
      <c r="DO656" s="5" t="s">
        <v>238</v>
      </c>
      <c r="DP656" s="5" t="s">
        <v>238</v>
      </c>
      <c r="DQ656" s="5" t="s">
        <v>238</v>
      </c>
      <c r="DT656" s="5" t="s">
        <v>2873</v>
      </c>
      <c r="DU656" s="5" t="s">
        <v>271</v>
      </c>
      <c r="HM656" s="5" t="s">
        <v>271</v>
      </c>
      <c r="HP656" s="5" t="s">
        <v>272</v>
      </c>
      <c r="HQ656" s="5" t="s">
        <v>272</v>
      </c>
    </row>
    <row r="657" spans="1:238" x14ac:dyDescent="0.4">
      <c r="A657" s="5">
        <v>744</v>
      </c>
      <c r="B657" s="5">
        <v>1</v>
      </c>
      <c r="C657" s="5">
        <v>1</v>
      </c>
      <c r="D657" s="5" t="s">
        <v>2871</v>
      </c>
      <c r="E657" s="5" t="s">
        <v>277</v>
      </c>
      <c r="F657" s="5" t="s">
        <v>282</v>
      </c>
      <c r="G657" s="5" t="s">
        <v>2491</v>
      </c>
      <c r="H657" s="6" t="s">
        <v>2872</v>
      </c>
      <c r="I657" s="5" t="s">
        <v>2505</v>
      </c>
      <c r="J657" s="7">
        <f>297.66</f>
        <v>297.66000000000003</v>
      </c>
      <c r="K657" s="5" t="s">
        <v>270</v>
      </c>
      <c r="L657" s="8">
        <f>1</f>
        <v>1</v>
      </c>
      <c r="M657" s="8">
        <f>31254300</f>
        <v>31254300</v>
      </c>
      <c r="N657" s="6" t="s">
        <v>912</v>
      </c>
      <c r="O657" s="5" t="s">
        <v>639</v>
      </c>
      <c r="P657" s="5" t="s">
        <v>915</v>
      </c>
      <c r="R657" s="8">
        <f>31254299</f>
        <v>31254299</v>
      </c>
      <c r="S657" s="5" t="s">
        <v>240</v>
      </c>
      <c r="T657" s="5" t="s">
        <v>237</v>
      </c>
      <c r="U657" s="5" t="s">
        <v>238</v>
      </c>
      <c r="V657" s="5" t="s">
        <v>238</v>
      </c>
      <c r="W657" s="5" t="s">
        <v>241</v>
      </c>
      <c r="X657" s="5" t="s">
        <v>276</v>
      </c>
      <c r="Y657" s="5" t="s">
        <v>238</v>
      </c>
      <c r="AB657" s="5" t="s">
        <v>238</v>
      </c>
      <c r="AD657" s="6" t="s">
        <v>238</v>
      </c>
      <c r="AG657" s="6" t="s">
        <v>246</v>
      </c>
      <c r="AH657" s="5" t="s">
        <v>247</v>
      </c>
      <c r="AI657" s="5" t="s">
        <v>248</v>
      </c>
      <c r="AY657" s="5" t="s">
        <v>250</v>
      </c>
      <c r="AZ657" s="5" t="s">
        <v>238</v>
      </c>
      <c r="BA657" s="5" t="s">
        <v>251</v>
      </c>
      <c r="BB657" s="5" t="s">
        <v>238</v>
      </c>
      <c r="BC657" s="5" t="s">
        <v>253</v>
      </c>
      <c r="BD657" s="5" t="s">
        <v>238</v>
      </c>
      <c r="BF657" s="5" t="s">
        <v>238</v>
      </c>
      <c r="BH657" s="5" t="s">
        <v>859</v>
      </c>
      <c r="BI657" s="6" t="s">
        <v>368</v>
      </c>
      <c r="BJ657" s="5" t="s">
        <v>255</v>
      </c>
      <c r="BK657" s="5" t="s">
        <v>256</v>
      </c>
      <c r="BL657" s="5" t="s">
        <v>238</v>
      </c>
      <c r="BM657" s="7">
        <f>0</f>
        <v>0</v>
      </c>
      <c r="BN657" s="8">
        <f>0</f>
        <v>0</v>
      </c>
      <c r="BO657" s="5" t="s">
        <v>257</v>
      </c>
      <c r="BP657" s="5" t="s">
        <v>258</v>
      </c>
      <c r="CD657" s="5" t="s">
        <v>238</v>
      </c>
      <c r="CE657" s="5" t="s">
        <v>238</v>
      </c>
      <c r="CI657" s="5" t="s">
        <v>527</v>
      </c>
      <c r="CJ657" s="5" t="s">
        <v>260</v>
      </c>
      <c r="CK657" s="5" t="s">
        <v>238</v>
      </c>
      <c r="CM657" s="5" t="s">
        <v>914</v>
      </c>
      <c r="CN657" s="6" t="s">
        <v>262</v>
      </c>
      <c r="CO657" s="5" t="s">
        <v>263</v>
      </c>
      <c r="CP657" s="5" t="s">
        <v>264</v>
      </c>
      <c r="CQ657" s="5" t="s">
        <v>238</v>
      </c>
      <c r="CR657" s="5" t="s">
        <v>238</v>
      </c>
      <c r="CS657" s="5">
        <v>0</v>
      </c>
      <c r="CT657" s="5" t="s">
        <v>265</v>
      </c>
      <c r="CU657" s="5" t="s">
        <v>1360</v>
      </c>
      <c r="CV657" s="5" t="s">
        <v>2508</v>
      </c>
      <c r="CX657" s="8">
        <f>31254300</f>
        <v>31254300</v>
      </c>
      <c r="CY657" s="8">
        <f>0</f>
        <v>0</v>
      </c>
      <c r="DA657" s="5" t="s">
        <v>238</v>
      </c>
      <c r="DB657" s="5" t="s">
        <v>238</v>
      </c>
      <c r="DD657" s="5" t="s">
        <v>238</v>
      </c>
      <c r="DG657" s="5" t="s">
        <v>238</v>
      </c>
      <c r="DH657" s="5" t="s">
        <v>238</v>
      </c>
      <c r="DI657" s="5" t="s">
        <v>238</v>
      </c>
      <c r="DJ657" s="5" t="s">
        <v>238</v>
      </c>
      <c r="DK657" s="5" t="s">
        <v>274</v>
      </c>
      <c r="DL657" s="5" t="s">
        <v>272</v>
      </c>
      <c r="DM657" s="7">
        <f>297.66</f>
        <v>297.66000000000003</v>
      </c>
      <c r="DN657" s="5" t="s">
        <v>238</v>
      </c>
      <c r="DO657" s="5" t="s">
        <v>238</v>
      </c>
      <c r="DP657" s="5" t="s">
        <v>238</v>
      </c>
      <c r="DQ657" s="5" t="s">
        <v>238</v>
      </c>
      <c r="DT657" s="5" t="s">
        <v>2873</v>
      </c>
      <c r="DU657" s="5" t="s">
        <v>274</v>
      </c>
      <c r="HM657" s="5" t="s">
        <v>271</v>
      </c>
      <c r="HP657" s="5" t="s">
        <v>272</v>
      </c>
      <c r="HQ657" s="5" t="s">
        <v>272</v>
      </c>
    </row>
    <row r="658" spans="1:238" x14ac:dyDescent="0.4">
      <c r="A658" s="5">
        <v>745</v>
      </c>
      <c r="B658" s="5">
        <v>1</v>
      </c>
      <c r="C658" s="5">
        <v>1</v>
      </c>
      <c r="D658" s="5" t="s">
        <v>2869</v>
      </c>
      <c r="E658" s="5" t="s">
        <v>277</v>
      </c>
      <c r="F658" s="5" t="s">
        <v>282</v>
      </c>
      <c r="G658" s="5" t="s">
        <v>2491</v>
      </c>
      <c r="H658" s="6" t="s">
        <v>292</v>
      </c>
      <c r="I658" s="5" t="s">
        <v>2495</v>
      </c>
      <c r="J658" s="7">
        <f>332.82</f>
        <v>332.82</v>
      </c>
      <c r="K658" s="5" t="s">
        <v>270</v>
      </c>
      <c r="L658" s="8">
        <f>1</f>
        <v>1</v>
      </c>
      <c r="M658" s="8">
        <f>34946100</f>
        <v>34946100</v>
      </c>
      <c r="N658" s="6" t="s">
        <v>2799</v>
      </c>
      <c r="O658" s="5" t="s">
        <v>639</v>
      </c>
      <c r="P658" s="5" t="s">
        <v>975</v>
      </c>
      <c r="R658" s="8">
        <f>34946099</f>
        <v>34946099</v>
      </c>
      <c r="S658" s="5" t="s">
        <v>240</v>
      </c>
      <c r="T658" s="5" t="s">
        <v>237</v>
      </c>
      <c r="U658" s="5" t="s">
        <v>238</v>
      </c>
      <c r="V658" s="5" t="s">
        <v>238</v>
      </c>
      <c r="W658" s="5" t="s">
        <v>241</v>
      </c>
      <c r="X658" s="5" t="s">
        <v>276</v>
      </c>
      <c r="Y658" s="5" t="s">
        <v>238</v>
      </c>
      <c r="AB658" s="5" t="s">
        <v>238</v>
      </c>
      <c r="AD658" s="6" t="s">
        <v>238</v>
      </c>
      <c r="AG658" s="6" t="s">
        <v>246</v>
      </c>
      <c r="AH658" s="5" t="s">
        <v>247</v>
      </c>
      <c r="AI658" s="5" t="s">
        <v>248</v>
      </c>
      <c r="AY658" s="5" t="s">
        <v>250</v>
      </c>
      <c r="AZ658" s="5" t="s">
        <v>238</v>
      </c>
      <c r="BA658" s="5" t="s">
        <v>251</v>
      </c>
      <c r="BB658" s="5" t="s">
        <v>238</v>
      </c>
      <c r="BC658" s="5" t="s">
        <v>253</v>
      </c>
      <c r="BD658" s="5" t="s">
        <v>238</v>
      </c>
      <c r="BF658" s="5" t="s">
        <v>238</v>
      </c>
      <c r="BH658" s="5" t="s">
        <v>254</v>
      </c>
      <c r="BI658" s="6" t="s">
        <v>246</v>
      </c>
      <c r="BJ658" s="5" t="s">
        <v>255</v>
      </c>
      <c r="BK658" s="5" t="s">
        <v>256</v>
      </c>
      <c r="BL658" s="5" t="s">
        <v>238</v>
      </c>
      <c r="BM658" s="7">
        <f>0</f>
        <v>0</v>
      </c>
      <c r="BN658" s="8">
        <f>0</f>
        <v>0</v>
      </c>
      <c r="BO658" s="5" t="s">
        <v>257</v>
      </c>
      <c r="BP658" s="5" t="s">
        <v>258</v>
      </c>
      <c r="CD658" s="5" t="s">
        <v>238</v>
      </c>
      <c r="CE658" s="5" t="s">
        <v>238</v>
      </c>
      <c r="CI658" s="5" t="s">
        <v>527</v>
      </c>
      <c r="CJ658" s="5" t="s">
        <v>260</v>
      </c>
      <c r="CK658" s="5" t="s">
        <v>238</v>
      </c>
      <c r="CM658" s="5" t="s">
        <v>974</v>
      </c>
      <c r="CN658" s="6" t="s">
        <v>262</v>
      </c>
      <c r="CO658" s="5" t="s">
        <v>263</v>
      </c>
      <c r="CP658" s="5" t="s">
        <v>264</v>
      </c>
      <c r="CQ658" s="5" t="s">
        <v>238</v>
      </c>
      <c r="CR658" s="5" t="s">
        <v>238</v>
      </c>
      <c r="CS658" s="5">
        <v>0</v>
      </c>
      <c r="CT658" s="5" t="s">
        <v>265</v>
      </c>
      <c r="CU658" s="5" t="s">
        <v>1360</v>
      </c>
      <c r="CV658" s="5" t="s">
        <v>2508</v>
      </c>
      <c r="CX658" s="8">
        <f>34946100</f>
        <v>34946100</v>
      </c>
      <c r="CY658" s="8">
        <f>0</f>
        <v>0</v>
      </c>
      <c r="DA658" s="5" t="s">
        <v>238</v>
      </c>
      <c r="DB658" s="5" t="s">
        <v>238</v>
      </c>
      <c r="DD658" s="5" t="s">
        <v>238</v>
      </c>
      <c r="DG658" s="5" t="s">
        <v>238</v>
      </c>
      <c r="DH658" s="5" t="s">
        <v>238</v>
      </c>
      <c r="DI658" s="5" t="s">
        <v>238</v>
      </c>
      <c r="DJ658" s="5" t="s">
        <v>238</v>
      </c>
      <c r="DK658" s="5" t="s">
        <v>274</v>
      </c>
      <c r="DL658" s="5" t="s">
        <v>272</v>
      </c>
      <c r="DM658" s="7">
        <f>332.82</f>
        <v>332.82</v>
      </c>
      <c r="DN658" s="5" t="s">
        <v>238</v>
      </c>
      <c r="DO658" s="5" t="s">
        <v>238</v>
      </c>
      <c r="DP658" s="5" t="s">
        <v>238</v>
      </c>
      <c r="DQ658" s="5" t="s">
        <v>238</v>
      </c>
      <c r="DT658" s="5" t="s">
        <v>2870</v>
      </c>
      <c r="DU658" s="5" t="s">
        <v>271</v>
      </c>
      <c r="HM658" s="5" t="s">
        <v>271</v>
      </c>
      <c r="HP658" s="5" t="s">
        <v>272</v>
      </c>
      <c r="HQ658" s="5" t="s">
        <v>272</v>
      </c>
    </row>
    <row r="659" spans="1:238" x14ac:dyDescent="0.4">
      <c r="A659" s="5">
        <v>746</v>
      </c>
      <c r="B659" s="5">
        <v>1</v>
      </c>
      <c r="C659" s="5">
        <v>1</v>
      </c>
      <c r="D659" s="5" t="s">
        <v>2869</v>
      </c>
      <c r="E659" s="5" t="s">
        <v>277</v>
      </c>
      <c r="F659" s="5" t="s">
        <v>282</v>
      </c>
      <c r="G659" s="5" t="s">
        <v>2491</v>
      </c>
      <c r="H659" s="6" t="s">
        <v>292</v>
      </c>
      <c r="I659" s="5" t="s">
        <v>2505</v>
      </c>
      <c r="J659" s="7">
        <f>297.66</f>
        <v>297.66000000000003</v>
      </c>
      <c r="K659" s="5" t="s">
        <v>270</v>
      </c>
      <c r="L659" s="8">
        <f>1</f>
        <v>1</v>
      </c>
      <c r="M659" s="8">
        <f>31254300</f>
        <v>31254300</v>
      </c>
      <c r="N659" s="6" t="s">
        <v>2799</v>
      </c>
      <c r="O659" s="5" t="s">
        <v>639</v>
      </c>
      <c r="P659" s="5" t="s">
        <v>975</v>
      </c>
      <c r="R659" s="8">
        <f>31254299</f>
        <v>31254299</v>
      </c>
      <c r="S659" s="5" t="s">
        <v>240</v>
      </c>
      <c r="T659" s="5" t="s">
        <v>237</v>
      </c>
      <c r="U659" s="5" t="s">
        <v>238</v>
      </c>
      <c r="V659" s="5" t="s">
        <v>238</v>
      </c>
      <c r="W659" s="5" t="s">
        <v>241</v>
      </c>
      <c r="X659" s="5" t="s">
        <v>276</v>
      </c>
      <c r="Y659" s="5" t="s">
        <v>238</v>
      </c>
      <c r="AB659" s="5" t="s">
        <v>238</v>
      </c>
      <c r="AD659" s="6" t="s">
        <v>238</v>
      </c>
      <c r="AG659" s="6" t="s">
        <v>246</v>
      </c>
      <c r="AH659" s="5" t="s">
        <v>247</v>
      </c>
      <c r="AI659" s="5" t="s">
        <v>248</v>
      </c>
      <c r="AY659" s="5" t="s">
        <v>250</v>
      </c>
      <c r="AZ659" s="5" t="s">
        <v>238</v>
      </c>
      <c r="BA659" s="5" t="s">
        <v>251</v>
      </c>
      <c r="BB659" s="5" t="s">
        <v>238</v>
      </c>
      <c r="BC659" s="5" t="s">
        <v>253</v>
      </c>
      <c r="BD659" s="5" t="s">
        <v>238</v>
      </c>
      <c r="BF659" s="5" t="s">
        <v>238</v>
      </c>
      <c r="BH659" s="5" t="s">
        <v>254</v>
      </c>
      <c r="BI659" s="6" t="s">
        <v>246</v>
      </c>
      <c r="BJ659" s="5" t="s">
        <v>255</v>
      </c>
      <c r="BK659" s="5" t="s">
        <v>256</v>
      </c>
      <c r="BL659" s="5" t="s">
        <v>238</v>
      </c>
      <c r="BM659" s="7">
        <f>0</f>
        <v>0</v>
      </c>
      <c r="BN659" s="8">
        <f>0</f>
        <v>0</v>
      </c>
      <c r="BO659" s="5" t="s">
        <v>257</v>
      </c>
      <c r="BP659" s="5" t="s">
        <v>258</v>
      </c>
      <c r="CD659" s="5" t="s">
        <v>238</v>
      </c>
      <c r="CE659" s="5" t="s">
        <v>238</v>
      </c>
      <c r="CI659" s="5" t="s">
        <v>527</v>
      </c>
      <c r="CJ659" s="5" t="s">
        <v>260</v>
      </c>
      <c r="CK659" s="5" t="s">
        <v>238</v>
      </c>
      <c r="CM659" s="5" t="s">
        <v>974</v>
      </c>
      <c r="CN659" s="6" t="s">
        <v>262</v>
      </c>
      <c r="CO659" s="5" t="s">
        <v>263</v>
      </c>
      <c r="CP659" s="5" t="s">
        <v>264</v>
      </c>
      <c r="CQ659" s="5" t="s">
        <v>238</v>
      </c>
      <c r="CR659" s="5" t="s">
        <v>238</v>
      </c>
      <c r="CS659" s="5">
        <v>0</v>
      </c>
      <c r="CT659" s="5" t="s">
        <v>265</v>
      </c>
      <c r="CU659" s="5" t="s">
        <v>1360</v>
      </c>
      <c r="CV659" s="5" t="s">
        <v>2508</v>
      </c>
      <c r="CX659" s="8">
        <f>31254300</f>
        <v>31254300</v>
      </c>
      <c r="CY659" s="8">
        <f>0</f>
        <v>0</v>
      </c>
      <c r="DA659" s="5" t="s">
        <v>238</v>
      </c>
      <c r="DB659" s="5" t="s">
        <v>238</v>
      </c>
      <c r="DD659" s="5" t="s">
        <v>238</v>
      </c>
      <c r="DG659" s="5" t="s">
        <v>238</v>
      </c>
      <c r="DH659" s="5" t="s">
        <v>238</v>
      </c>
      <c r="DI659" s="5" t="s">
        <v>238</v>
      </c>
      <c r="DJ659" s="5" t="s">
        <v>238</v>
      </c>
      <c r="DK659" s="5" t="s">
        <v>274</v>
      </c>
      <c r="DL659" s="5" t="s">
        <v>272</v>
      </c>
      <c r="DM659" s="7">
        <f>297.66</f>
        <v>297.66000000000003</v>
      </c>
      <c r="DN659" s="5" t="s">
        <v>238</v>
      </c>
      <c r="DO659" s="5" t="s">
        <v>238</v>
      </c>
      <c r="DP659" s="5" t="s">
        <v>238</v>
      </c>
      <c r="DQ659" s="5" t="s">
        <v>238</v>
      </c>
      <c r="DT659" s="5" t="s">
        <v>2870</v>
      </c>
      <c r="DU659" s="5" t="s">
        <v>274</v>
      </c>
      <c r="HM659" s="5" t="s">
        <v>271</v>
      </c>
      <c r="HP659" s="5" t="s">
        <v>272</v>
      </c>
      <c r="HQ659" s="5" t="s">
        <v>272</v>
      </c>
    </row>
    <row r="660" spans="1:238" x14ac:dyDescent="0.4">
      <c r="A660" s="5">
        <v>747</v>
      </c>
      <c r="B660" s="5">
        <v>1</v>
      </c>
      <c r="C660" s="5">
        <v>3</v>
      </c>
      <c r="D660" s="5" t="s">
        <v>2538</v>
      </c>
      <c r="E660" s="5" t="s">
        <v>277</v>
      </c>
      <c r="F660" s="5" t="s">
        <v>282</v>
      </c>
      <c r="G660" s="5" t="s">
        <v>2491</v>
      </c>
      <c r="H660" s="6" t="s">
        <v>2539</v>
      </c>
      <c r="I660" s="5" t="s">
        <v>2495</v>
      </c>
      <c r="J660" s="7">
        <f>131.98</f>
        <v>131.97999999999999</v>
      </c>
      <c r="K660" s="5" t="s">
        <v>270</v>
      </c>
      <c r="L660" s="8">
        <f>1</f>
        <v>1</v>
      </c>
      <c r="M660" s="8">
        <f>13857900</f>
        <v>13857900</v>
      </c>
      <c r="N660" s="6" t="s">
        <v>1131</v>
      </c>
      <c r="O660" s="5" t="s">
        <v>639</v>
      </c>
      <c r="P660" s="5" t="s">
        <v>971</v>
      </c>
      <c r="Q660" s="8">
        <f>13868</f>
        <v>13868</v>
      </c>
      <c r="R660" s="8">
        <f>13857899</f>
        <v>13857899</v>
      </c>
      <c r="S660" s="5" t="s">
        <v>240</v>
      </c>
      <c r="T660" s="5" t="s">
        <v>237</v>
      </c>
      <c r="U660" s="5" t="s">
        <v>238</v>
      </c>
      <c r="V660" s="5" t="s">
        <v>238</v>
      </c>
      <c r="W660" s="5" t="s">
        <v>241</v>
      </c>
      <c r="X660" s="5" t="s">
        <v>276</v>
      </c>
      <c r="Y660" s="5" t="s">
        <v>238</v>
      </c>
      <c r="AB660" s="5" t="s">
        <v>238</v>
      </c>
      <c r="AC660" s="6" t="s">
        <v>238</v>
      </c>
      <c r="AD660" s="6" t="s">
        <v>238</v>
      </c>
      <c r="AF660" s="6" t="s">
        <v>238</v>
      </c>
      <c r="AG660" s="6" t="s">
        <v>246</v>
      </c>
      <c r="AH660" s="5" t="s">
        <v>247</v>
      </c>
      <c r="AI660" s="5" t="s">
        <v>248</v>
      </c>
      <c r="AO660" s="5" t="s">
        <v>238</v>
      </c>
      <c r="AP660" s="5" t="s">
        <v>238</v>
      </c>
      <c r="AQ660" s="5" t="s">
        <v>238</v>
      </c>
      <c r="AR660" s="6" t="s">
        <v>238</v>
      </c>
      <c r="AS660" s="6" t="s">
        <v>238</v>
      </c>
      <c r="AT660" s="6" t="s">
        <v>238</v>
      </c>
      <c r="AW660" s="5" t="s">
        <v>304</v>
      </c>
      <c r="AX660" s="5" t="s">
        <v>304</v>
      </c>
      <c r="AY660" s="5" t="s">
        <v>250</v>
      </c>
      <c r="AZ660" s="5" t="s">
        <v>305</v>
      </c>
      <c r="BA660" s="5" t="s">
        <v>251</v>
      </c>
      <c r="BB660" s="5" t="s">
        <v>238</v>
      </c>
      <c r="BC660" s="5" t="s">
        <v>253</v>
      </c>
      <c r="BD660" s="5" t="s">
        <v>238</v>
      </c>
      <c r="BF660" s="5" t="s">
        <v>238</v>
      </c>
      <c r="BH660" s="5" t="s">
        <v>1076</v>
      </c>
      <c r="BI660" s="6" t="s">
        <v>1077</v>
      </c>
      <c r="BJ660" s="5" t="s">
        <v>294</v>
      </c>
      <c r="BK660" s="5" t="s">
        <v>294</v>
      </c>
      <c r="BL660" s="5" t="s">
        <v>238</v>
      </c>
      <c r="BM660" s="7">
        <f>0</f>
        <v>0</v>
      </c>
      <c r="BN660" s="8">
        <f>-13868</f>
        <v>-13868</v>
      </c>
      <c r="BO660" s="5" t="s">
        <v>257</v>
      </c>
      <c r="BP660" s="5" t="s">
        <v>258</v>
      </c>
      <c r="BQ660" s="5" t="s">
        <v>238</v>
      </c>
      <c r="BR660" s="5" t="s">
        <v>238</v>
      </c>
      <c r="BS660" s="5" t="s">
        <v>238</v>
      </c>
      <c r="BT660" s="5" t="s">
        <v>238</v>
      </c>
      <c r="CC660" s="5" t="s">
        <v>258</v>
      </c>
      <c r="CD660" s="5" t="s">
        <v>238</v>
      </c>
      <c r="CE660" s="5" t="s">
        <v>238</v>
      </c>
      <c r="CI660" s="5" t="s">
        <v>527</v>
      </c>
      <c r="CJ660" s="5" t="s">
        <v>260</v>
      </c>
      <c r="CK660" s="5" t="s">
        <v>238</v>
      </c>
      <c r="CM660" s="5" t="s">
        <v>990</v>
      </c>
      <c r="CN660" s="6" t="s">
        <v>262</v>
      </c>
      <c r="CO660" s="5" t="s">
        <v>263</v>
      </c>
      <c r="CP660" s="5" t="s">
        <v>264</v>
      </c>
      <c r="CQ660" s="5" t="s">
        <v>285</v>
      </c>
      <c r="CR660" s="5" t="s">
        <v>238</v>
      </c>
      <c r="CS660" s="5">
        <v>2.7E-2</v>
      </c>
      <c r="CT660" s="5" t="s">
        <v>265</v>
      </c>
      <c r="CU660" s="5" t="s">
        <v>1360</v>
      </c>
      <c r="CV660" s="5" t="s">
        <v>2508</v>
      </c>
      <c r="CW660" s="7">
        <f>0</f>
        <v>0</v>
      </c>
      <c r="CX660" s="8">
        <f>13857900</f>
        <v>13857900</v>
      </c>
      <c r="CY660" s="8">
        <f>1</f>
        <v>1</v>
      </c>
      <c r="DA660" s="5" t="s">
        <v>238</v>
      </c>
      <c r="DB660" s="5" t="s">
        <v>238</v>
      </c>
      <c r="DD660" s="5" t="s">
        <v>238</v>
      </c>
      <c r="DE660" s="8">
        <f>0</f>
        <v>0</v>
      </c>
      <c r="DG660" s="5" t="s">
        <v>238</v>
      </c>
      <c r="DH660" s="5" t="s">
        <v>238</v>
      </c>
      <c r="DI660" s="5" t="s">
        <v>238</v>
      </c>
      <c r="DJ660" s="5" t="s">
        <v>238</v>
      </c>
      <c r="DK660" s="5" t="s">
        <v>274</v>
      </c>
      <c r="DL660" s="5" t="s">
        <v>272</v>
      </c>
      <c r="DM660" s="7">
        <f>131.98</f>
        <v>131.97999999999999</v>
      </c>
      <c r="DN660" s="5" t="s">
        <v>238</v>
      </c>
      <c r="DO660" s="5" t="s">
        <v>238</v>
      </c>
      <c r="DP660" s="5" t="s">
        <v>238</v>
      </c>
      <c r="DQ660" s="5" t="s">
        <v>238</v>
      </c>
      <c r="DT660" s="5" t="s">
        <v>2540</v>
      </c>
      <c r="DU660" s="5" t="s">
        <v>271</v>
      </c>
      <c r="GL660" s="5" t="s">
        <v>2545</v>
      </c>
      <c r="HM660" s="5" t="s">
        <v>313</v>
      </c>
      <c r="HP660" s="5" t="s">
        <v>272</v>
      </c>
      <c r="HQ660" s="5" t="s">
        <v>272</v>
      </c>
      <c r="HR660" s="5" t="s">
        <v>238</v>
      </c>
      <c r="HS660" s="5" t="s">
        <v>238</v>
      </c>
      <c r="HT660" s="5" t="s">
        <v>238</v>
      </c>
      <c r="HU660" s="5" t="s">
        <v>238</v>
      </c>
      <c r="HV660" s="5" t="s">
        <v>238</v>
      </c>
      <c r="HW660" s="5" t="s">
        <v>238</v>
      </c>
      <c r="HX660" s="5" t="s">
        <v>238</v>
      </c>
      <c r="HY660" s="5" t="s">
        <v>238</v>
      </c>
      <c r="HZ660" s="5" t="s">
        <v>238</v>
      </c>
      <c r="IA660" s="5" t="s">
        <v>238</v>
      </c>
      <c r="IB660" s="5" t="s">
        <v>238</v>
      </c>
      <c r="IC660" s="5" t="s">
        <v>238</v>
      </c>
      <c r="ID660" s="5" t="s">
        <v>238</v>
      </c>
    </row>
    <row r="661" spans="1:238" x14ac:dyDescent="0.4">
      <c r="A661" s="5">
        <v>748</v>
      </c>
      <c r="B661" s="5">
        <v>1</v>
      </c>
      <c r="C661" s="5">
        <v>3</v>
      </c>
      <c r="D661" s="5" t="s">
        <v>2538</v>
      </c>
      <c r="E661" s="5" t="s">
        <v>277</v>
      </c>
      <c r="F661" s="5" t="s">
        <v>282</v>
      </c>
      <c r="G661" s="5" t="s">
        <v>2491</v>
      </c>
      <c r="H661" s="6" t="s">
        <v>2539</v>
      </c>
      <c r="I661" s="5" t="s">
        <v>2505</v>
      </c>
      <c r="J661" s="7">
        <f>124.58</f>
        <v>124.58</v>
      </c>
      <c r="K661" s="5" t="s">
        <v>270</v>
      </c>
      <c r="L661" s="8">
        <f>1</f>
        <v>1</v>
      </c>
      <c r="M661" s="8">
        <f>13080900</f>
        <v>13080900</v>
      </c>
      <c r="N661" s="6" t="s">
        <v>1131</v>
      </c>
      <c r="O661" s="5" t="s">
        <v>639</v>
      </c>
      <c r="P661" s="5" t="s">
        <v>971</v>
      </c>
      <c r="Q661" s="8">
        <f>13091</f>
        <v>13091</v>
      </c>
      <c r="R661" s="8">
        <f>13080899</f>
        <v>13080899</v>
      </c>
      <c r="S661" s="5" t="s">
        <v>240</v>
      </c>
      <c r="T661" s="5" t="s">
        <v>237</v>
      </c>
      <c r="U661" s="5" t="s">
        <v>238</v>
      </c>
      <c r="V661" s="5" t="s">
        <v>238</v>
      </c>
      <c r="W661" s="5" t="s">
        <v>241</v>
      </c>
      <c r="X661" s="5" t="s">
        <v>276</v>
      </c>
      <c r="Y661" s="5" t="s">
        <v>238</v>
      </c>
      <c r="AB661" s="5" t="s">
        <v>238</v>
      </c>
      <c r="AC661" s="6" t="s">
        <v>238</v>
      </c>
      <c r="AD661" s="6" t="s">
        <v>238</v>
      </c>
      <c r="AF661" s="6" t="s">
        <v>238</v>
      </c>
      <c r="AG661" s="6" t="s">
        <v>246</v>
      </c>
      <c r="AH661" s="5" t="s">
        <v>247</v>
      </c>
      <c r="AI661" s="5" t="s">
        <v>248</v>
      </c>
      <c r="AO661" s="5" t="s">
        <v>238</v>
      </c>
      <c r="AP661" s="5" t="s">
        <v>238</v>
      </c>
      <c r="AQ661" s="5" t="s">
        <v>238</v>
      </c>
      <c r="AR661" s="6" t="s">
        <v>238</v>
      </c>
      <c r="AS661" s="6" t="s">
        <v>238</v>
      </c>
      <c r="AT661" s="6" t="s">
        <v>238</v>
      </c>
      <c r="AW661" s="5" t="s">
        <v>304</v>
      </c>
      <c r="AX661" s="5" t="s">
        <v>304</v>
      </c>
      <c r="AY661" s="5" t="s">
        <v>250</v>
      </c>
      <c r="AZ661" s="5" t="s">
        <v>305</v>
      </c>
      <c r="BA661" s="5" t="s">
        <v>251</v>
      </c>
      <c r="BB661" s="5" t="s">
        <v>238</v>
      </c>
      <c r="BC661" s="5" t="s">
        <v>253</v>
      </c>
      <c r="BD661" s="5" t="s">
        <v>238</v>
      </c>
      <c r="BF661" s="5" t="s">
        <v>238</v>
      </c>
      <c r="BH661" s="5" t="s">
        <v>1076</v>
      </c>
      <c r="BI661" s="6" t="s">
        <v>1077</v>
      </c>
      <c r="BJ661" s="5" t="s">
        <v>294</v>
      </c>
      <c r="BK661" s="5" t="s">
        <v>294</v>
      </c>
      <c r="BL661" s="5" t="s">
        <v>238</v>
      </c>
      <c r="BM661" s="7">
        <f>0</f>
        <v>0</v>
      </c>
      <c r="BN661" s="8">
        <f>-13091</f>
        <v>-13091</v>
      </c>
      <c r="BO661" s="5" t="s">
        <v>257</v>
      </c>
      <c r="BP661" s="5" t="s">
        <v>258</v>
      </c>
      <c r="BQ661" s="5" t="s">
        <v>238</v>
      </c>
      <c r="BR661" s="5" t="s">
        <v>238</v>
      </c>
      <c r="BS661" s="5" t="s">
        <v>238</v>
      </c>
      <c r="BT661" s="5" t="s">
        <v>238</v>
      </c>
      <c r="CC661" s="5" t="s">
        <v>258</v>
      </c>
      <c r="CD661" s="5" t="s">
        <v>238</v>
      </c>
      <c r="CE661" s="5" t="s">
        <v>238</v>
      </c>
      <c r="CI661" s="5" t="s">
        <v>527</v>
      </c>
      <c r="CJ661" s="5" t="s">
        <v>260</v>
      </c>
      <c r="CK661" s="5" t="s">
        <v>238</v>
      </c>
      <c r="CM661" s="5" t="s">
        <v>990</v>
      </c>
      <c r="CN661" s="6" t="s">
        <v>262</v>
      </c>
      <c r="CO661" s="5" t="s">
        <v>263</v>
      </c>
      <c r="CP661" s="5" t="s">
        <v>264</v>
      </c>
      <c r="CQ661" s="5" t="s">
        <v>285</v>
      </c>
      <c r="CR661" s="5" t="s">
        <v>238</v>
      </c>
      <c r="CS661" s="5">
        <v>2.7E-2</v>
      </c>
      <c r="CT661" s="5" t="s">
        <v>265</v>
      </c>
      <c r="CU661" s="5" t="s">
        <v>1360</v>
      </c>
      <c r="CV661" s="5" t="s">
        <v>2508</v>
      </c>
      <c r="CW661" s="7">
        <f>0</f>
        <v>0</v>
      </c>
      <c r="CX661" s="8">
        <f>13080900</f>
        <v>13080900</v>
      </c>
      <c r="CY661" s="8">
        <f>1</f>
        <v>1</v>
      </c>
      <c r="DA661" s="5" t="s">
        <v>238</v>
      </c>
      <c r="DB661" s="5" t="s">
        <v>238</v>
      </c>
      <c r="DD661" s="5" t="s">
        <v>238</v>
      </c>
      <c r="DE661" s="8">
        <f>0</f>
        <v>0</v>
      </c>
      <c r="DG661" s="5" t="s">
        <v>238</v>
      </c>
      <c r="DH661" s="5" t="s">
        <v>238</v>
      </c>
      <c r="DI661" s="5" t="s">
        <v>238</v>
      </c>
      <c r="DJ661" s="5" t="s">
        <v>238</v>
      </c>
      <c r="DK661" s="5" t="s">
        <v>274</v>
      </c>
      <c r="DL661" s="5" t="s">
        <v>272</v>
      </c>
      <c r="DM661" s="7">
        <f>124.58</f>
        <v>124.58</v>
      </c>
      <c r="DN661" s="5" t="s">
        <v>238</v>
      </c>
      <c r="DO661" s="5" t="s">
        <v>238</v>
      </c>
      <c r="DP661" s="5" t="s">
        <v>238</v>
      </c>
      <c r="DQ661" s="5" t="s">
        <v>238</v>
      </c>
      <c r="DT661" s="5" t="s">
        <v>2540</v>
      </c>
      <c r="DU661" s="5" t="s">
        <v>274</v>
      </c>
      <c r="GL661" s="5" t="s">
        <v>2544</v>
      </c>
      <c r="HM661" s="5" t="s">
        <v>313</v>
      </c>
      <c r="HP661" s="5" t="s">
        <v>272</v>
      </c>
      <c r="HQ661" s="5" t="s">
        <v>272</v>
      </c>
      <c r="HR661" s="5" t="s">
        <v>238</v>
      </c>
      <c r="HS661" s="5" t="s">
        <v>238</v>
      </c>
      <c r="HT661" s="5" t="s">
        <v>238</v>
      </c>
      <c r="HU661" s="5" t="s">
        <v>238</v>
      </c>
      <c r="HV661" s="5" t="s">
        <v>238</v>
      </c>
      <c r="HW661" s="5" t="s">
        <v>238</v>
      </c>
      <c r="HX661" s="5" t="s">
        <v>238</v>
      </c>
      <c r="HY661" s="5" t="s">
        <v>238</v>
      </c>
      <c r="HZ661" s="5" t="s">
        <v>238</v>
      </c>
      <c r="IA661" s="5" t="s">
        <v>238</v>
      </c>
      <c r="IB661" s="5" t="s">
        <v>238</v>
      </c>
      <c r="IC661" s="5" t="s">
        <v>238</v>
      </c>
      <c r="ID661" s="5" t="s">
        <v>238</v>
      </c>
    </row>
    <row r="662" spans="1:238" x14ac:dyDescent="0.4">
      <c r="A662" s="5">
        <v>749</v>
      </c>
      <c r="B662" s="5">
        <v>1</v>
      </c>
      <c r="C662" s="5">
        <v>3</v>
      </c>
      <c r="D662" s="5" t="s">
        <v>2538</v>
      </c>
      <c r="E662" s="5" t="s">
        <v>277</v>
      </c>
      <c r="F662" s="5" t="s">
        <v>282</v>
      </c>
      <c r="G662" s="5" t="s">
        <v>2491</v>
      </c>
      <c r="H662" s="6" t="s">
        <v>2539</v>
      </c>
      <c r="I662" s="5" t="s">
        <v>2504</v>
      </c>
      <c r="J662" s="7">
        <f>131.98</f>
        <v>131.97999999999999</v>
      </c>
      <c r="K662" s="5" t="s">
        <v>270</v>
      </c>
      <c r="L662" s="8">
        <f>1</f>
        <v>1</v>
      </c>
      <c r="M662" s="8">
        <f>13857900</f>
        <v>13857900</v>
      </c>
      <c r="N662" s="6" t="s">
        <v>1131</v>
      </c>
      <c r="O662" s="5" t="s">
        <v>639</v>
      </c>
      <c r="P662" s="5" t="s">
        <v>971</v>
      </c>
      <c r="Q662" s="8">
        <f>13868</f>
        <v>13868</v>
      </c>
      <c r="R662" s="8">
        <f>13857899</f>
        <v>13857899</v>
      </c>
      <c r="S662" s="5" t="s">
        <v>240</v>
      </c>
      <c r="T662" s="5" t="s">
        <v>237</v>
      </c>
      <c r="U662" s="5" t="s">
        <v>238</v>
      </c>
      <c r="V662" s="5" t="s">
        <v>238</v>
      </c>
      <c r="W662" s="5" t="s">
        <v>241</v>
      </c>
      <c r="X662" s="5" t="s">
        <v>276</v>
      </c>
      <c r="Y662" s="5" t="s">
        <v>238</v>
      </c>
      <c r="AB662" s="5" t="s">
        <v>238</v>
      </c>
      <c r="AC662" s="6" t="s">
        <v>238</v>
      </c>
      <c r="AD662" s="6" t="s">
        <v>238</v>
      </c>
      <c r="AF662" s="6" t="s">
        <v>238</v>
      </c>
      <c r="AG662" s="6" t="s">
        <v>246</v>
      </c>
      <c r="AH662" s="5" t="s">
        <v>247</v>
      </c>
      <c r="AI662" s="5" t="s">
        <v>248</v>
      </c>
      <c r="AO662" s="5" t="s">
        <v>238</v>
      </c>
      <c r="AP662" s="5" t="s">
        <v>238</v>
      </c>
      <c r="AQ662" s="5" t="s">
        <v>238</v>
      </c>
      <c r="AR662" s="6" t="s">
        <v>238</v>
      </c>
      <c r="AS662" s="6" t="s">
        <v>238</v>
      </c>
      <c r="AT662" s="6" t="s">
        <v>238</v>
      </c>
      <c r="AW662" s="5" t="s">
        <v>304</v>
      </c>
      <c r="AX662" s="5" t="s">
        <v>304</v>
      </c>
      <c r="AY662" s="5" t="s">
        <v>250</v>
      </c>
      <c r="AZ662" s="5" t="s">
        <v>305</v>
      </c>
      <c r="BA662" s="5" t="s">
        <v>251</v>
      </c>
      <c r="BB662" s="5" t="s">
        <v>238</v>
      </c>
      <c r="BC662" s="5" t="s">
        <v>253</v>
      </c>
      <c r="BD662" s="5" t="s">
        <v>238</v>
      </c>
      <c r="BF662" s="5" t="s">
        <v>238</v>
      </c>
      <c r="BH662" s="5" t="s">
        <v>1076</v>
      </c>
      <c r="BI662" s="6" t="s">
        <v>1077</v>
      </c>
      <c r="BJ662" s="5" t="s">
        <v>294</v>
      </c>
      <c r="BK662" s="5" t="s">
        <v>294</v>
      </c>
      <c r="BL662" s="5" t="s">
        <v>238</v>
      </c>
      <c r="BM662" s="7">
        <f>0</f>
        <v>0</v>
      </c>
      <c r="BN662" s="8">
        <f>-13868</f>
        <v>-13868</v>
      </c>
      <c r="BO662" s="5" t="s">
        <v>257</v>
      </c>
      <c r="BP662" s="5" t="s">
        <v>258</v>
      </c>
      <c r="BQ662" s="5" t="s">
        <v>238</v>
      </c>
      <c r="BR662" s="5" t="s">
        <v>238</v>
      </c>
      <c r="BS662" s="5" t="s">
        <v>238</v>
      </c>
      <c r="BT662" s="5" t="s">
        <v>238</v>
      </c>
      <c r="CC662" s="5" t="s">
        <v>258</v>
      </c>
      <c r="CD662" s="5" t="s">
        <v>238</v>
      </c>
      <c r="CE662" s="5" t="s">
        <v>238</v>
      </c>
      <c r="CI662" s="5" t="s">
        <v>527</v>
      </c>
      <c r="CJ662" s="5" t="s">
        <v>260</v>
      </c>
      <c r="CK662" s="5" t="s">
        <v>238</v>
      </c>
      <c r="CM662" s="5" t="s">
        <v>990</v>
      </c>
      <c r="CN662" s="6" t="s">
        <v>262</v>
      </c>
      <c r="CO662" s="5" t="s">
        <v>263</v>
      </c>
      <c r="CP662" s="5" t="s">
        <v>264</v>
      </c>
      <c r="CQ662" s="5" t="s">
        <v>285</v>
      </c>
      <c r="CR662" s="5" t="s">
        <v>238</v>
      </c>
      <c r="CS662" s="5">
        <v>2.7E-2</v>
      </c>
      <c r="CT662" s="5" t="s">
        <v>265</v>
      </c>
      <c r="CU662" s="5" t="s">
        <v>1360</v>
      </c>
      <c r="CV662" s="5" t="s">
        <v>2508</v>
      </c>
      <c r="CW662" s="7">
        <f>0</f>
        <v>0</v>
      </c>
      <c r="CX662" s="8">
        <f>13857900</f>
        <v>13857900</v>
      </c>
      <c r="CY662" s="8">
        <f>1</f>
        <v>1</v>
      </c>
      <c r="DA662" s="5" t="s">
        <v>238</v>
      </c>
      <c r="DB662" s="5" t="s">
        <v>238</v>
      </c>
      <c r="DD662" s="5" t="s">
        <v>238</v>
      </c>
      <c r="DE662" s="8">
        <f>0</f>
        <v>0</v>
      </c>
      <c r="DG662" s="5" t="s">
        <v>238</v>
      </c>
      <c r="DH662" s="5" t="s">
        <v>238</v>
      </c>
      <c r="DI662" s="5" t="s">
        <v>238</v>
      </c>
      <c r="DJ662" s="5" t="s">
        <v>238</v>
      </c>
      <c r="DK662" s="5" t="s">
        <v>274</v>
      </c>
      <c r="DL662" s="5" t="s">
        <v>272</v>
      </c>
      <c r="DM662" s="7">
        <f>131.98</f>
        <v>131.97999999999999</v>
      </c>
      <c r="DN662" s="5" t="s">
        <v>238</v>
      </c>
      <c r="DO662" s="5" t="s">
        <v>238</v>
      </c>
      <c r="DP662" s="5" t="s">
        <v>238</v>
      </c>
      <c r="DQ662" s="5" t="s">
        <v>238</v>
      </c>
      <c r="DT662" s="5" t="s">
        <v>2540</v>
      </c>
      <c r="DU662" s="5" t="s">
        <v>356</v>
      </c>
      <c r="GL662" s="5" t="s">
        <v>2543</v>
      </c>
      <c r="HM662" s="5" t="s">
        <v>313</v>
      </c>
      <c r="HP662" s="5" t="s">
        <v>272</v>
      </c>
      <c r="HQ662" s="5" t="s">
        <v>272</v>
      </c>
      <c r="HR662" s="5" t="s">
        <v>238</v>
      </c>
      <c r="HS662" s="5" t="s">
        <v>238</v>
      </c>
      <c r="HT662" s="5" t="s">
        <v>238</v>
      </c>
      <c r="HU662" s="5" t="s">
        <v>238</v>
      </c>
      <c r="HV662" s="5" t="s">
        <v>238</v>
      </c>
      <c r="HW662" s="5" t="s">
        <v>238</v>
      </c>
      <c r="HX662" s="5" t="s">
        <v>238</v>
      </c>
      <c r="HY662" s="5" t="s">
        <v>238</v>
      </c>
      <c r="HZ662" s="5" t="s">
        <v>238</v>
      </c>
      <c r="IA662" s="5" t="s">
        <v>238</v>
      </c>
      <c r="IB662" s="5" t="s">
        <v>238</v>
      </c>
      <c r="IC662" s="5" t="s">
        <v>238</v>
      </c>
      <c r="ID662" s="5" t="s">
        <v>238</v>
      </c>
    </row>
    <row r="663" spans="1:238" x14ac:dyDescent="0.4">
      <c r="A663" s="5">
        <v>750</v>
      </c>
      <c r="B663" s="5">
        <v>1</v>
      </c>
      <c r="C663" s="5">
        <v>3</v>
      </c>
      <c r="D663" s="5" t="s">
        <v>2538</v>
      </c>
      <c r="E663" s="5" t="s">
        <v>277</v>
      </c>
      <c r="F663" s="5" t="s">
        <v>282</v>
      </c>
      <c r="G663" s="5" t="s">
        <v>2491</v>
      </c>
      <c r="H663" s="6" t="s">
        <v>2539</v>
      </c>
      <c r="I663" s="5" t="s">
        <v>2494</v>
      </c>
      <c r="J663" s="7">
        <f>124.58</f>
        <v>124.58</v>
      </c>
      <c r="K663" s="5" t="s">
        <v>270</v>
      </c>
      <c r="L663" s="8">
        <f>1</f>
        <v>1</v>
      </c>
      <c r="M663" s="8">
        <f>13080900</f>
        <v>13080900</v>
      </c>
      <c r="N663" s="6" t="s">
        <v>1131</v>
      </c>
      <c r="O663" s="5" t="s">
        <v>639</v>
      </c>
      <c r="P663" s="5" t="s">
        <v>971</v>
      </c>
      <c r="Q663" s="8">
        <f>13091</f>
        <v>13091</v>
      </c>
      <c r="R663" s="8">
        <f>13080899</f>
        <v>13080899</v>
      </c>
      <c r="S663" s="5" t="s">
        <v>240</v>
      </c>
      <c r="T663" s="5" t="s">
        <v>237</v>
      </c>
      <c r="U663" s="5" t="s">
        <v>238</v>
      </c>
      <c r="V663" s="5" t="s">
        <v>238</v>
      </c>
      <c r="W663" s="5" t="s">
        <v>241</v>
      </c>
      <c r="X663" s="5" t="s">
        <v>276</v>
      </c>
      <c r="Y663" s="5" t="s">
        <v>238</v>
      </c>
      <c r="AB663" s="5" t="s">
        <v>238</v>
      </c>
      <c r="AC663" s="6" t="s">
        <v>238</v>
      </c>
      <c r="AD663" s="6" t="s">
        <v>238</v>
      </c>
      <c r="AF663" s="6" t="s">
        <v>238</v>
      </c>
      <c r="AG663" s="6" t="s">
        <v>246</v>
      </c>
      <c r="AH663" s="5" t="s">
        <v>247</v>
      </c>
      <c r="AI663" s="5" t="s">
        <v>248</v>
      </c>
      <c r="AO663" s="5" t="s">
        <v>238</v>
      </c>
      <c r="AP663" s="5" t="s">
        <v>238</v>
      </c>
      <c r="AQ663" s="5" t="s">
        <v>238</v>
      </c>
      <c r="AR663" s="6" t="s">
        <v>238</v>
      </c>
      <c r="AS663" s="6" t="s">
        <v>238</v>
      </c>
      <c r="AT663" s="6" t="s">
        <v>238</v>
      </c>
      <c r="AW663" s="5" t="s">
        <v>304</v>
      </c>
      <c r="AX663" s="5" t="s">
        <v>304</v>
      </c>
      <c r="AY663" s="5" t="s">
        <v>250</v>
      </c>
      <c r="AZ663" s="5" t="s">
        <v>305</v>
      </c>
      <c r="BA663" s="5" t="s">
        <v>251</v>
      </c>
      <c r="BB663" s="5" t="s">
        <v>238</v>
      </c>
      <c r="BC663" s="5" t="s">
        <v>253</v>
      </c>
      <c r="BD663" s="5" t="s">
        <v>238</v>
      </c>
      <c r="BF663" s="5" t="s">
        <v>238</v>
      </c>
      <c r="BH663" s="5" t="s">
        <v>1076</v>
      </c>
      <c r="BI663" s="6" t="s">
        <v>1077</v>
      </c>
      <c r="BJ663" s="5" t="s">
        <v>294</v>
      </c>
      <c r="BK663" s="5" t="s">
        <v>294</v>
      </c>
      <c r="BL663" s="5" t="s">
        <v>238</v>
      </c>
      <c r="BM663" s="7">
        <f>0</f>
        <v>0</v>
      </c>
      <c r="BN663" s="8">
        <f>-13091</f>
        <v>-13091</v>
      </c>
      <c r="BO663" s="5" t="s">
        <v>257</v>
      </c>
      <c r="BP663" s="5" t="s">
        <v>258</v>
      </c>
      <c r="BQ663" s="5" t="s">
        <v>238</v>
      </c>
      <c r="BR663" s="5" t="s">
        <v>238</v>
      </c>
      <c r="BS663" s="5" t="s">
        <v>238</v>
      </c>
      <c r="BT663" s="5" t="s">
        <v>238</v>
      </c>
      <c r="CC663" s="5" t="s">
        <v>258</v>
      </c>
      <c r="CD663" s="5" t="s">
        <v>238</v>
      </c>
      <c r="CE663" s="5" t="s">
        <v>238</v>
      </c>
      <c r="CI663" s="5" t="s">
        <v>527</v>
      </c>
      <c r="CJ663" s="5" t="s">
        <v>260</v>
      </c>
      <c r="CK663" s="5" t="s">
        <v>238</v>
      </c>
      <c r="CM663" s="5" t="s">
        <v>990</v>
      </c>
      <c r="CN663" s="6" t="s">
        <v>262</v>
      </c>
      <c r="CO663" s="5" t="s">
        <v>263</v>
      </c>
      <c r="CP663" s="5" t="s">
        <v>264</v>
      </c>
      <c r="CQ663" s="5" t="s">
        <v>285</v>
      </c>
      <c r="CR663" s="5" t="s">
        <v>238</v>
      </c>
      <c r="CS663" s="5">
        <v>2.7E-2</v>
      </c>
      <c r="CT663" s="5" t="s">
        <v>265</v>
      </c>
      <c r="CU663" s="5" t="s">
        <v>1360</v>
      </c>
      <c r="CV663" s="5" t="s">
        <v>2508</v>
      </c>
      <c r="CW663" s="7">
        <f>0</f>
        <v>0</v>
      </c>
      <c r="CX663" s="8">
        <f>13080900</f>
        <v>13080900</v>
      </c>
      <c r="CY663" s="8">
        <f>1</f>
        <v>1</v>
      </c>
      <c r="DA663" s="5" t="s">
        <v>238</v>
      </c>
      <c r="DB663" s="5" t="s">
        <v>238</v>
      </c>
      <c r="DD663" s="5" t="s">
        <v>238</v>
      </c>
      <c r="DE663" s="8">
        <f>0</f>
        <v>0</v>
      </c>
      <c r="DG663" s="5" t="s">
        <v>238</v>
      </c>
      <c r="DH663" s="5" t="s">
        <v>238</v>
      </c>
      <c r="DI663" s="5" t="s">
        <v>238</v>
      </c>
      <c r="DJ663" s="5" t="s">
        <v>238</v>
      </c>
      <c r="DK663" s="5" t="s">
        <v>274</v>
      </c>
      <c r="DL663" s="5" t="s">
        <v>272</v>
      </c>
      <c r="DM663" s="7">
        <f>124.58</f>
        <v>124.58</v>
      </c>
      <c r="DN663" s="5" t="s">
        <v>238</v>
      </c>
      <c r="DO663" s="5" t="s">
        <v>238</v>
      </c>
      <c r="DP663" s="5" t="s">
        <v>238</v>
      </c>
      <c r="DQ663" s="5" t="s">
        <v>238</v>
      </c>
      <c r="DT663" s="5" t="s">
        <v>2540</v>
      </c>
      <c r="DU663" s="5" t="s">
        <v>310</v>
      </c>
      <c r="GL663" s="5" t="s">
        <v>2542</v>
      </c>
      <c r="HM663" s="5" t="s">
        <v>313</v>
      </c>
      <c r="HP663" s="5" t="s">
        <v>272</v>
      </c>
      <c r="HQ663" s="5" t="s">
        <v>272</v>
      </c>
      <c r="HR663" s="5" t="s">
        <v>238</v>
      </c>
      <c r="HS663" s="5" t="s">
        <v>238</v>
      </c>
      <c r="HT663" s="5" t="s">
        <v>238</v>
      </c>
      <c r="HU663" s="5" t="s">
        <v>238</v>
      </c>
      <c r="HV663" s="5" t="s">
        <v>238</v>
      </c>
      <c r="HW663" s="5" t="s">
        <v>238</v>
      </c>
      <c r="HX663" s="5" t="s">
        <v>238</v>
      </c>
      <c r="HY663" s="5" t="s">
        <v>238</v>
      </c>
      <c r="HZ663" s="5" t="s">
        <v>238</v>
      </c>
      <c r="IA663" s="5" t="s">
        <v>238</v>
      </c>
      <c r="IB663" s="5" t="s">
        <v>238</v>
      </c>
      <c r="IC663" s="5" t="s">
        <v>238</v>
      </c>
      <c r="ID663" s="5" t="s">
        <v>238</v>
      </c>
    </row>
    <row r="664" spans="1:238" x14ac:dyDescent="0.4">
      <c r="A664" s="5">
        <v>751</v>
      </c>
      <c r="B664" s="5">
        <v>1</v>
      </c>
      <c r="C664" s="5">
        <v>3</v>
      </c>
      <c r="D664" s="5" t="s">
        <v>2538</v>
      </c>
      <c r="E664" s="5" t="s">
        <v>277</v>
      </c>
      <c r="F664" s="5" t="s">
        <v>282</v>
      </c>
      <c r="G664" s="5" t="s">
        <v>2491</v>
      </c>
      <c r="H664" s="6" t="s">
        <v>2539</v>
      </c>
      <c r="I664" s="5" t="s">
        <v>2489</v>
      </c>
      <c r="J664" s="7">
        <f>124.58</f>
        <v>124.58</v>
      </c>
      <c r="K664" s="5" t="s">
        <v>270</v>
      </c>
      <c r="L664" s="8">
        <f>1</f>
        <v>1</v>
      </c>
      <c r="M664" s="8">
        <f>13080900</f>
        <v>13080900</v>
      </c>
      <c r="N664" s="6" t="s">
        <v>1131</v>
      </c>
      <c r="O664" s="5" t="s">
        <v>639</v>
      </c>
      <c r="P664" s="5" t="s">
        <v>971</v>
      </c>
      <c r="Q664" s="8">
        <f>13091</f>
        <v>13091</v>
      </c>
      <c r="R664" s="8">
        <f>13080899</f>
        <v>13080899</v>
      </c>
      <c r="S664" s="5" t="s">
        <v>240</v>
      </c>
      <c r="T664" s="5" t="s">
        <v>237</v>
      </c>
      <c r="U664" s="5" t="s">
        <v>238</v>
      </c>
      <c r="V664" s="5" t="s">
        <v>238</v>
      </c>
      <c r="W664" s="5" t="s">
        <v>241</v>
      </c>
      <c r="X664" s="5" t="s">
        <v>276</v>
      </c>
      <c r="Y664" s="5" t="s">
        <v>238</v>
      </c>
      <c r="AB664" s="5" t="s">
        <v>238</v>
      </c>
      <c r="AC664" s="6" t="s">
        <v>238</v>
      </c>
      <c r="AD664" s="6" t="s">
        <v>238</v>
      </c>
      <c r="AF664" s="6" t="s">
        <v>238</v>
      </c>
      <c r="AG664" s="6" t="s">
        <v>246</v>
      </c>
      <c r="AH664" s="5" t="s">
        <v>247</v>
      </c>
      <c r="AI664" s="5" t="s">
        <v>248</v>
      </c>
      <c r="AO664" s="5" t="s">
        <v>238</v>
      </c>
      <c r="AP664" s="5" t="s">
        <v>238</v>
      </c>
      <c r="AQ664" s="5" t="s">
        <v>238</v>
      </c>
      <c r="AR664" s="6" t="s">
        <v>238</v>
      </c>
      <c r="AS664" s="6" t="s">
        <v>238</v>
      </c>
      <c r="AT664" s="6" t="s">
        <v>238</v>
      </c>
      <c r="AW664" s="5" t="s">
        <v>304</v>
      </c>
      <c r="AX664" s="5" t="s">
        <v>304</v>
      </c>
      <c r="AY664" s="5" t="s">
        <v>250</v>
      </c>
      <c r="AZ664" s="5" t="s">
        <v>305</v>
      </c>
      <c r="BA664" s="5" t="s">
        <v>251</v>
      </c>
      <c r="BB664" s="5" t="s">
        <v>238</v>
      </c>
      <c r="BC664" s="5" t="s">
        <v>253</v>
      </c>
      <c r="BD664" s="5" t="s">
        <v>238</v>
      </c>
      <c r="BF664" s="5" t="s">
        <v>238</v>
      </c>
      <c r="BH664" s="5" t="s">
        <v>1076</v>
      </c>
      <c r="BI664" s="6" t="s">
        <v>1077</v>
      </c>
      <c r="BJ664" s="5" t="s">
        <v>294</v>
      </c>
      <c r="BK664" s="5" t="s">
        <v>294</v>
      </c>
      <c r="BL664" s="5" t="s">
        <v>238</v>
      </c>
      <c r="BM664" s="7">
        <f>0</f>
        <v>0</v>
      </c>
      <c r="BN664" s="8">
        <f>-13091</f>
        <v>-13091</v>
      </c>
      <c r="BO664" s="5" t="s">
        <v>257</v>
      </c>
      <c r="BP664" s="5" t="s">
        <v>258</v>
      </c>
      <c r="BQ664" s="5" t="s">
        <v>238</v>
      </c>
      <c r="BR664" s="5" t="s">
        <v>238</v>
      </c>
      <c r="BS664" s="5" t="s">
        <v>238</v>
      </c>
      <c r="BT664" s="5" t="s">
        <v>238</v>
      </c>
      <c r="CC664" s="5" t="s">
        <v>258</v>
      </c>
      <c r="CD664" s="5" t="s">
        <v>238</v>
      </c>
      <c r="CE664" s="5" t="s">
        <v>238</v>
      </c>
      <c r="CI664" s="5" t="s">
        <v>527</v>
      </c>
      <c r="CJ664" s="5" t="s">
        <v>260</v>
      </c>
      <c r="CK664" s="5" t="s">
        <v>238</v>
      </c>
      <c r="CM664" s="5" t="s">
        <v>990</v>
      </c>
      <c r="CN664" s="6" t="s">
        <v>262</v>
      </c>
      <c r="CO664" s="5" t="s">
        <v>263</v>
      </c>
      <c r="CP664" s="5" t="s">
        <v>264</v>
      </c>
      <c r="CQ664" s="5" t="s">
        <v>285</v>
      </c>
      <c r="CR664" s="5" t="s">
        <v>238</v>
      </c>
      <c r="CS664" s="5">
        <v>2.7E-2</v>
      </c>
      <c r="CT664" s="5" t="s">
        <v>265</v>
      </c>
      <c r="CU664" s="5" t="s">
        <v>1360</v>
      </c>
      <c r="CV664" s="5" t="s">
        <v>2508</v>
      </c>
      <c r="CW664" s="7">
        <f>0</f>
        <v>0</v>
      </c>
      <c r="CX664" s="8">
        <f>13080900</f>
        <v>13080900</v>
      </c>
      <c r="CY664" s="8">
        <f>1</f>
        <v>1</v>
      </c>
      <c r="DA664" s="5" t="s">
        <v>238</v>
      </c>
      <c r="DB664" s="5" t="s">
        <v>238</v>
      </c>
      <c r="DD664" s="5" t="s">
        <v>238</v>
      </c>
      <c r="DE664" s="8">
        <f>0</f>
        <v>0</v>
      </c>
      <c r="DG664" s="5" t="s">
        <v>238</v>
      </c>
      <c r="DH664" s="5" t="s">
        <v>238</v>
      </c>
      <c r="DI664" s="5" t="s">
        <v>238</v>
      </c>
      <c r="DJ664" s="5" t="s">
        <v>238</v>
      </c>
      <c r="DK664" s="5" t="s">
        <v>274</v>
      </c>
      <c r="DL664" s="5" t="s">
        <v>272</v>
      </c>
      <c r="DM664" s="7">
        <f>124.58</f>
        <v>124.58</v>
      </c>
      <c r="DN664" s="5" t="s">
        <v>238</v>
      </c>
      <c r="DO664" s="5" t="s">
        <v>238</v>
      </c>
      <c r="DP664" s="5" t="s">
        <v>238</v>
      </c>
      <c r="DQ664" s="5" t="s">
        <v>238</v>
      </c>
      <c r="DT664" s="5" t="s">
        <v>2540</v>
      </c>
      <c r="DU664" s="5" t="s">
        <v>379</v>
      </c>
      <c r="GL664" s="5" t="s">
        <v>2541</v>
      </c>
      <c r="HM664" s="5" t="s">
        <v>313</v>
      </c>
      <c r="HP664" s="5" t="s">
        <v>272</v>
      </c>
      <c r="HQ664" s="5" t="s">
        <v>272</v>
      </c>
      <c r="HR664" s="5" t="s">
        <v>238</v>
      </c>
      <c r="HS664" s="5" t="s">
        <v>238</v>
      </c>
      <c r="HT664" s="5" t="s">
        <v>238</v>
      </c>
      <c r="HU664" s="5" t="s">
        <v>238</v>
      </c>
      <c r="HV664" s="5" t="s">
        <v>238</v>
      </c>
      <c r="HW664" s="5" t="s">
        <v>238</v>
      </c>
      <c r="HX664" s="5" t="s">
        <v>238</v>
      </c>
      <c r="HY664" s="5" t="s">
        <v>238</v>
      </c>
      <c r="HZ664" s="5" t="s">
        <v>238</v>
      </c>
      <c r="IA664" s="5" t="s">
        <v>238</v>
      </c>
      <c r="IB664" s="5" t="s">
        <v>238</v>
      </c>
      <c r="IC664" s="5" t="s">
        <v>238</v>
      </c>
      <c r="ID664" s="5" t="s">
        <v>238</v>
      </c>
    </row>
    <row r="665" spans="1:238" x14ac:dyDescent="0.4">
      <c r="A665" s="5">
        <v>752</v>
      </c>
      <c r="B665" s="5">
        <v>1</v>
      </c>
      <c r="C665" s="5">
        <v>1</v>
      </c>
      <c r="D665" s="5" t="s">
        <v>2762</v>
      </c>
      <c r="E665" s="5" t="s">
        <v>277</v>
      </c>
      <c r="F665" s="5" t="s">
        <v>282</v>
      </c>
      <c r="G665" s="5" t="s">
        <v>2491</v>
      </c>
      <c r="H665" s="6" t="s">
        <v>2763</v>
      </c>
      <c r="I665" s="5" t="s">
        <v>2495</v>
      </c>
      <c r="J665" s="7">
        <f>142.98</f>
        <v>142.97999999999999</v>
      </c>
      <c r="K665" s="5" t="s">
        <v>270</v>
      </c>
      <c r="L665" s="8">
        <f>1</f>
        <v>1</v>
      </c>
      <c r="M665" s="8">
        <f>14726940</f>
        <v>14726940</v>
      </c>
      <c r="N665" s="6" t="s">
        <v>1532</v>
      </c>
      <c r="O665" s="5" t="s">
        <v>286</v>
      </c>
      <c r="P665" s="5" t="s">
        <v>1091</v>
      </c>
      <c r="R665" s="8">
        <f>14726939</f>
        <v>14726939</v>
      </c>
      <c r="S665" s="5" t="s">
        <v>240</v>
      </c>
      <c r="T665" s="5" t="s">
        <v>237</v>
      </c>
      <c r="U665" s="5" t="s">
        <v>238</v>
      </c>
      <c r="V665" s="5" t="s">
        <v>238</v>
      </c>
      <c r="W665" s="5" t="s">
        <v>241</v>
      </c>
      <c r="X665" s="5" t="s">
        <v>276</v>
      </c>
      <c r="Y665" s="5" t="s">
        <v>238</v>
      </c>
      <c r="AB665" s="5" t="s">
        <v>238</v>
      </c>
      <c r="AD665" s="6" t="s">
        <v>238</v>
      </c>
      <c r="AG665" s="6" t="s">
        <v>246</v>
      </c>
      <c r="AH665" s="5" t="s">
        <v>247</v>
      </c>
      <c r="AI665" s="5" t="s">
        <v>248</v>
      </c>
      <c r="AY665" s="5" t="s">
        <v>250</v>
      </c>
      <c r="AZ665" s="5" t="s">
        <v>238</v>
      </c>
      <c r="BA665" s="5" t="s">
        <v>251</v>
      </c>
      <c r="BB665" s="5" t="s">
        <v>238</v>
      </c>
      <c r="BC665" s="5" t="s">
        <v>253</v>
      </c>
      <c r="BD665" s="5" t="s">
        <v>238</v>
      </c>
      <c r="BF665" s="5" t="s">
        <v>238</v>
      </c>
      <c r="BH665" s="5" t="s">
        <v>697</v>
      </c>
      <c r="BI665" s="6" t="s">
        <v>698</v>
      </c>
      <c r="BJ665" s="5" t="s">
        <v>255</v>
      </c>
      <c r="BK665" s="5" t="s">
        <v>256</v>
      </c>
      <c r="BL665" s="5" t="s">
        <v>238</v>
      </c>
      <c r="BM665" s="7">
        <f>0</f>
        <v>0</v>
      </c>
      <c r="BN665" s="8">
        <f>0</f>
        <v>0</v>
      </c>
      <c r="BO665" s="5" t="s">
        <v>257</v>
      </c>
      <c r="BP665" s="5" t="s">
        <v>258</v>
      </c>
      <c r="CD665" s="5" t="s">
        <v>238</v>
      </c>
      <c r="CE665" s="5" t="s">
        <v>238</v>
      </c>
      <c r="CI665" s="5" t="s">
        <v>259</v>
      </c>
      <c r="CJ665" s="5" t="s">
        <v>260</v>
      </c>
      <c r="CK665" s="5" t="s">
        <v>238</v>
      </c>
      <c r="CM665" s="5" t="s">
        <v>306</v>
      </c>
      <c r="CN665" s="6" t="s">
        <v>262</v>
      </c>
      <c r="CO665" s="5" t="s">
        <v>263</v>
      </c>
      <c r="CP665" s="5" t="s">
        <v>264</v>
      </c>
      <c r="CQ665" s="5" t="s">
        <v>238</v>
      </c>
      <c r="CR665" s="5" t="s">
        <v>238</v>
      </c>
      <c r="CS665" s="5">
        <v>0</v>
      </c>
      <c r="CT665" s="5" t="s">
        <v>265</v>
      </c>
      <c r="CU665" s="5" t="s">
        <v>1360</v>
      </c>
      <c r="CV665" s="5" t="s">
        <v>267</v>
      </c>
      <c r="CX665" s="8">
        <f>14726940</f>
        <v>14726940</v>
      </c>
      <c r="CY665" s="8">
        <f>0</f>
        <v>0</v>
      </c>
      <c r="DA665" s="5" t="s">
        <v>238</v>
      </c>
      <c r="DB665" s="5" t="s">
        <v>238</v>
      </c>
      <c r="DD665" s="5" t="s">
        <v>238</v>
      </c>
      <c r="DG665" s="5" t="s">
        <v>238</v>
      </c>
      <c r="DH665" s="5" t="s">
        <v>238</v>
      </c>
      <c r="DI665" s="5" t="s">
        <v>238</v>
      </c>
      <c r="DJ665" s="5" t="s">
        <v>238</v>
      </c>
      <c r="DK665" s="5" t="s">
        <v>274</v>
      </c>
      <c r="DL665" s="5" t="s">
        <v>272</v>
      </c>
      <c r="DM665" s="7">
        <f>142.98</f>
        <v>142.97999999999999</v>
      </c>
      <c r="DN665" s="5" t="s">
        <v>238</v>
      </c>
      <c r="DO665" s="5" t="s">
        <v>238</v>
      </c>
      <c r="DP665" s="5" t="s">
        <v>238</v>
      </c>
      <c r="DQ665" s="5" t="s">
        <v>238</v>
      </c>
      <c r="DT665" s="5" t="s">
        <v>2764</v>
      </c>
      <c r="DU665" s="5" t="s">
        <v>271</v>
      </c>
      <c r="HM665" s="5" t="s">
        <v>271</v>
      </c>
      <c r="HP665" s="5" t="s">
        <v>272</v>
      </c>
      <c r="HQ665" s="5" t="s">
        <v>272</v>
      </c>
    </row>
    <row r="666" spans="1:238" x14ac:dyDescent="0.4">
      <c r="A666" s="5">
        <v>753</v>
      </c>
      <c r="B666" s="5">
        <v>1</v>
      </c>
      <c r="C666" s="5">
        <v>1</v>
      </c>
      <c r="D666" s="5" t="s">
        <v>2762</v>
      </c>
      <c r="E666" s="5" t="s">
        <v>277</v>
      </c>
      <c r="F666" s="5" t="s">
        <v>282</v>
      </c>
      <c r="G666" s="5" t="s">
        <v>2491</v>
      </c>
      <c r="H666" s="6" t="s">
        <v>2763</v>
      </c>
      <c r="I666" s="5" t="s">
        <v>2505</v>
      </c>
      <c r="J666" s="7">
        <f>142.98</f>
        <v>142.97999999999999</v>
      </c>
      <c r="K666" s="5" t="s">
        <v>270</v>
      </c>
      <c r="L666" s="8">
        <f>1</f>
        <v>1</v>
      </c>
      <c r="M666" s="8">
        <f>14726940</f>
        <v>14726940</v>
      </c>
      <c r="N666" s="6" t="s">
        <v>1532</v>
      </c>
      <c r="O666" s="5" t="s">
        <v>286</v>
      </c>
      <c r="P666" s="5" t="s">
        <v>1091</v>
      </c>
      <c r="R666" s="8">
        <f>14726939</f>
        <v>14726939</v>
      </c>
      <c r="S666" s="5" t="s">
        <v>240</v>
      </c>
      <c r="T666" s="5" t="s">
        <v>237</v>
      </c>
      <c r="U666" s="5" t="s">
        <v>238</v>
      </c>
      <c r="V666" s="5" t="s">
        <v>238</v>
      </c>
      <c r="W666" s="5" t="s">
        <v>241</v>
      </c>
      <c r="X666" s="5" t="s">
        <v>276</v>
      </c>
      <c r="Y666" s="5" t="s">
        <v>238</v>
      </c>
      <c r="AB666" s="5" t="s">
        <v>238</v>
      </c>
      <c r="AD666" s="6" t="s">
        <v>238</v>
      </c>
      <c r="AG666" s="6" t="s">
        <v>246</v>
      </c>
      <c r="AH666" s="5" t="s">
        <v>247</v>
      </c>
      <c r="AI666" s="5" t="s">
        <v>248</v>
      </c>
      <c r="AY666" s="5" t="s">
        <v>250</v>
      </c>
      <c r="AZ666" s="5" t="s">
        <v>238</v>
      </c>
      <c r="BA666" s="5" t="s">
        <v>251</v>
      </c>
      <c r="BB666" s="5" t="s">
        <v>238</v>
      </c>
      <c r="BC666" s="5" t="s">
        <v>253</v>
      </c>
      <c r="BD666" s="5" t="s">
        <v>238</v>
      </c>
      <c r="BF666" s="5" t="s">
        <v>238</v>
      </c>
      <c r="BH666" s="5" t="s">
        <v>798</v>
      </c>
      <c r="BI666" s="6" t="s">
        <v>799</v>
      </c>
      <c r="BJ666" s="5" t="s">
        <v>255</v>
      </c>
      <c r="BK666" s="5" t="s">
        <v>256</v>
      </c>
      <c r="BL666" s="5" t="s">
        <v>238</v>
      </c>
      <c r="BM666" s="7">
        <f>0</f>
        <v>0</v>
      </c>
      <c r="BN666" s="8">
        <f>0</f>
        <v>0</v>
      </c>
      <c r="BO666" s="5" t="s">
        <v>257</v>
      </c>
      <c r="BP666" s="5" t="s">
        <v>258</v>
      </c>
      <c r="CD666" s="5" t="s">
        <v>238</v>
      </c>
      <c r="CE666" s="5" t="s">
        <v>238</v>
      </c>
      <c r="CI666" s="5" t="s">
        <v>259</v>
      </c>
      <c r="CJ666" s="5" t="s">
        <v>260</v>
      </c>
      <c r="CK666" s="5" t="s">
        <v>238</v>
      </c>
      <c r="CM666" s="5" t="s">
        <v>306</v>
      </c>
      <c r="CN666" s="6" t="s">
        <v>262</v>
      </c>
      <c r="CO666" s="5" t="s">
        <v>263</v>
      </c>
      <c r="CP666" s="5" t="s">
        <v>264</v>
      </c>
      <c r="CQ666" s="5" t="s">
        <v>238</v>
      </c>
      <c r="CR666" s="5" t="s">
        <v>238</v>
      </c>
      <c r="CS666" s="5">
        <v>0</v>
      </c>
      <c r="CT666" s="5" t="s">
        <v>265</v>
      </c>
      <c r="CU666" s="5" t="s">
        <v>1360</v>
      </c>
      <c r="CV666" s="5" t="s">
        <v>267</v>
      </c>
      <c r="CX666" s="8">
        <f>14726940</f>
        <v>14726940</v>
      </c>
      <c r="CY666" s="8">
        <f>0</f>
        <v>0</v>
      </c>
      <c r="DA666" s="5" t="s">
        <v>238</v>
      </c>
      <c r="DB666" s="5" t="s">
        <v>238</v>
      </c>
      <c r="DD666" s="5" t="s">
        <v>238</v>
      </c>
      <c r="DG666" s="5" t="s">
        <v>238</v>
      </c>
      <c r="DH666" s="5" t="s">
        <v>238</v>
      </c>
      <c r="DI666" s="5" t="s">
        <v>238</v>
      </c>
      <c r="DJ666" s="5" t="s">
        <v>238</v>
      </c>
      <c r="DK666" s="5" t="s">
        <v>274</v>
      </c>
      <c r="DL666" s="5" t="s">
        <v>272</v>
      </c>
      <c r="DM666" s="7">
        <f>142.98</f>
        <v>142.97999999999999</v>
      </c>
      <c r="DN666" s="5" t="s">
        <v>238</v>
      </c>
      <c r="DO666" s="5" t="s">
        <v>238</v>
      </c>
      <c r="DP666" s="5" t="s">
        <v>238</v>
      </c>
      <c r="DQ666" s="5" t="s">
        <v>238</v>
      </c>
      <c r="DT666" s="5" t="s">
        <v>2764</v>
      </c>
      <c r="DU666" s="5" t="s">
        <v>274</v>
      </c>
      <c r="HM666" s="5" t="s">
        <v>271</v>
      </c>
      <c r="HP666" s="5" t="s">
        <v>272</v>
      </c>
      <c r="HQ666" s="5" t="s">
        <v>272</v>
      </c>
    </row>
    <row r="667" spans="1:238" x14ac:dyDescent="0.4">
      <c r="A667" s="5">
        <v>754</v>
      </c>
      <c r="B667" s="5">
        <v>1</v>
      </c>
      <c r="C667" s="5">
        <v>1</v>
      </c>
      <c r="D667" s="5" t="s">
        <v>2762</v>
      </c>
      <c r="E667" s="5" t="s">
        <v>277</v>
      </c>
      <c r="F667" s="5" t="s">
        <v>282</v>
      </c>
      <c r="G667" s="5" t="s">
        <v>2491</v>
      </c>
      <c r="H667" s="6" t="s">
        <v>2763</v>
      </c>
      <c r="I667" s="5" t="s">
        <v>2504</v>
      </c>
      <c r="J667" s="7">
        <f>142.98</f>
        <v>142.97999999999999</v>
      </c>
      <c r="K667" s="5" t="s">
        <v>270</v>
      </c>
      <c r="L667" s="8">
        <f>1</f>
        <v>1</v>
      </c>
      <c r="M667" s="8">
        <f>14726940</f>
        <v>14726940</v>
      </c>
      <c r="N667" s="6" t="s">
        <v>1532</v>
      </c>
      <c r="O667" s="5" t="s">
        <v>286</v>
      </c>
      <c r="P667" s="5" t="s">
        <v>1091</v>
      </c>
      <c r="R667" s="8">
        <f>14726939</f>
        <v>14726939</v>
      </c>
      <c r="S667" s="5" t="s">
        <v>240</v>
      </c>
      <c r="T667" s="5" t="s">
        <v>237</v>
      </c>
      <c r="U667" s="5" t="s">
        <v>238</v>
      </c>
      <c r="V667" s="5" t="s">
        <v>238</v>
      </c>
      <c r="W667" s="5" t="s">
        <v>241</v>
      </c>
      <c r="X667" s="5" t="s">
        <v>276</v>
      </c>
      <c r="Y667" s="5" t="s">
        <v>238</v>
      </c>
      <c r="AB667" s="5" t="s">
        <v>238</v>
      </c>
      <c r="AD667" s="6" t="s">
        <v>238</v>
      </c>
      <c r="AG667" s="6" t="s">
        <v>246</v>
      </c>
      <c r="AH667" s="5" t="s">
        <v>247</v>
      </c>
      <c r="AI667" s="5" t="s">
        <v>248</v>
      </c>
      <c r="AY667" s="5" t="s">
        <v>250</v>
      </c>
      <c r="AZ667" s="5" t="s">
        <v>238</v>
      </c>
      <c r="BA667" s="5" t="s">
        <v>251</v>
      </c>
      <c r="BB667" s="5" t="s">
        <v>238</v>
      </c>
      <c r="BC667" s="5" t="s">
        <v>253</v>
      </c>
      <c r="BD667" s="5" t="s">
        <v>238</v>
      </c>
      <c r="BF667" s="5" t="s">
        <v>238</v>
      </c>
      <c r="BH667" s="5" t="s">
        <v>254</v>
      </c>
      <c r="BI667" s="6" t="s">
        <v>246</v>
      </c>
      <c r="BJ667" s="5" t="s">
        <v>255</v>
      </c>
      <c r="BK667" s="5" t="s">
        <v>256</v>
      </c>
      <c r="BL667" s="5" t="s">
        <v>238</v>
      </c>
      <c r="BM667" s="7">
        <f>0</f>
        <v>0</v>
      </c>
      <c r="BN667" s="8">
        <f>0</f>
        <v>0</v>
      </c>
      <c r="BO667" s="5" t="s">
        <v>257</v>
      </c>
      <c r="BP667" s="5" t="s">
        <v>258</v>
      </c>
      <c r="CD667" s="5" t="s">
        <v>238</v>
      </c>
      <c r="CE667" s="5" t="s">
        <v>238</v>
      </c>
      <c r="CI667" s="5" t="s">
        <v>259</v>
      </c>
      <c r="CJ667" s="5" t="s">
        <v>260</v>
      </c>
      <c r="CK667" s="5" t="s">
        <v>238</v>
      </c>
      <c r="CM667" s="5" t="s">
        <v>306</v>
      </c>
      <c r="CN667" s="6" t="s">
        <v>262</v>
      </c>
      <c r="CO667" s="5" t="s">
        <v>263</v>
      </c>
      <c r="CP667" s="5" t="s">
        <v>264</v>
      </c>
      <c r="CQ667" s="5" t="s">
        <v>238</v>
      </c>
      <c r="CR667" s="5" t="s">
        <v>238</v>
      </c>
      <c r="CS667" s="5">
        <v>0</v>
      </c>
      <c r="CT667" s="5" t="s">
        <v>265</v>
      </c>
      <c r="CU667" s="5" t="s">
        <v>1360</v>
      </c>
      <c r="CV667" s="5" t="s">
        <v>267</v>
      </c>
      <c r="CX667" s="8">
        <f>14726940</f>
        <v>14726940</v>
      </c>
      <c r="CY667" s="8">
        <f>0</f>
        <v>0</v>
      </c>
      <c r="DA667" s="5" t="s">
        <v>238</v>
      </c>
      <c r="DB667" s="5" t="s">
        <v>238</v>
      </c>
      <c r="DD667" s="5" t="s">
        <v>238</v>
      </c>
      <c r="DG667" s="5" t="s">
        <v>238</v>
      </c>
      <c r="DH667" s="5" t="s">
        <v>238</v>
      </c>
      <c r="DI667" s="5" t="s">
        <v>238</v>
      </c>
      <c r="DJ667" s="5" t="s">
        <v>238</v>
      </c>
      <c r="DK667" s="5" t="s">
        <v>274</v>
      </c>
      <c r="DL667" s="5" t="s">
        <v>272</v>
      </c>
      <c r="DM667" s="7">
        <f>142.98</f>
        <v>142.97999999999999</v>
      </c>
      <c r="DN667" s="5" t="s">
        <v>238</v>
      </c>
      <c r="DO667" s="5" t="s">
        <v>238</v>
      </c>
      <c r="DP667" s="5" t="s">
        <v>238</v>
      </c>
      <c r="DQ667" s="5" t="s">
        <v>238</v>
      </c>
      <c r="DT667" s="5" t="s">
        <v>2764</v>
      </c>
      <c r="DU667" s="5" t="s">
        <v>356</v>
      </c>
      <c r="HM667" s="5" t="s">
        <v>271</v>
      </c>
      <c r="HP667" s="5" t="s">
        <v>272</v>
      </c>
      <c r="HQ667" s="5" t="s">
        <v>272</v>
      </c>
    </row>
    <row r="668" spans="1:238" x14ac:dyDescent="0.4">
      <c r="A668" s="5">
        <v>755</v>
      </c>
      <c r="B668" s="5">
        <v>1</v>
      </c>
      <c r="C668" s="5">
        <v>1</v>
      </c>
      <c r="D668" s="5" t="s">
        <v>2858</v>
      </c>
      <c r="E668" s="5" t="s">
        <v>277</v>
      </c>
      <c r="F668" s="5" t="s">
        <v>282</v>
      </c>
      <c r="G668" s="5" t="s">
        <v>2491</v>
      </c>
      <c r="H668" s="6" t="s">
        <v>2859</v>
      </c>
      <c r="I668" s="5" t="s">
        <v>2482</v>
      </c>
      <c r="J668" s="7">
        <f>36.3</f>
        <v>36.299999999999997</v>
      </c>
      <c r="K668" s="5" t="s">
        <v>270</v>
      </c>
      <c r="L668" s="8">
        <f>1</f>
        <v>1</v>
      </c>
      <c r="M668" s="8">
        <f>3630000</f>
        <v>3630000</v>
      </c>
      <c r="N668" s="6" t="s">
        <v>2770</v>
      </c>
      <c r="O668" s="5" t="s">
        <v>286</v>
      </c>
      <c r="P668" s="5" t="s">
        <v>1586</v>
      </c>
      <c r="R668" s="8">
        <f>3629999</f>
        <v>3629999</v>
      </c>
      <c r="S668" s="5" t="s">
        <v>240</v>
      </c>
      <c r="T668" s="5" t="s">
        <v>237</v>
      </c>
      <c r="U668" s="5" t="s">
        <v>238</v>
      </c>
      <c r="V668" s="5" t="s">
        <v>238</v>
      </c>
      <c r="W668" s="5" t="s">
        <v>241</v>
      </c>
      <c r="X668" s="5" t="s">
        <v>276</v>
      </c>
      <c r="Y668" s="5" t="s">
        <v>238</v>
      </c>
      <c r="AB668" s="5" t="s">
        <v>238</v>
      </c>
      <c r="AD668" s="6" t="s">
        <v>238</v>
      </c>
      <c r="AG668" s="6" t="s">
        <v>246</v>
      </c>
      <c r="AH668" s="5" t="s">
        <v>247</v>
      </c>
      <c r="AI668" s="5" t="s">
        <v>248</v>
      </c>
      <c r="AY668" s="5" t="s">
        <v>250</v>
      </c>
      <c r="AZ668" s="5" t="s">
        <v>238</v>
      </c>
      <c r="BA668" s="5" t="s">
        <v>251</v>
      </c>
      <c r="BB668" s="5" t="s">
        <v>238</v>
      </c>
      <c r="BC668" s="5" t="s">
        <v>253</v>
      </c>
      <c r="BD668" s="5" t="s">
        <v>238</v>
      </c>
      <c r="BF668" s="5" t="s">
        <v>238</v>
      </c>
      <c r="BH668" s="5" t="s">
        <v>859</v>
      </c>
      <c r="BI668" s="6" t="s">
        <v>368</v>
      </c>
      <c r="BJ668" s="5" t="s">
        <v>255</v>
      </c>
      <c r="BK668" s="5" t="s">
        <v>256</v>
      </c>
      <c r="BL668" s="5" t="s">
        <v>238</v>
      </c>
      <c r="BM668" s="7">
        <f>0</f>
        <v>0</v>
      </c>
      <c r="BN668" s="8">
        <f>0</f>
        <v>0</v>
      </c>
      <c r="BO668" s="5" t="s">
        <v>257</v>
      </c>
      <c r="BP668" s="5" t="s">
        <v>258</v>
      </c>
      <c r="CD668" s="5" t="s">
        <v>238</v>
      </c>
      <c r="CE668" s="5" t="s">
        <v>238</v>
      </c>
      <c r="CI668" s="5" t="s">
        <v>527</v>
      </c>
      <c r="CJ668" s="5" t="s">
        <v>260</v>
      </c>
      <c r="CK668" s="5" t="s">
        <v>238</v>
      </c>
      <c r="CM668" s="5" t="s">
        <v>1585</v>
      </c>
      <c r="CN668" s="6" t="s">
        <v>262</v>
      </c>
      <c r="CO668" s="5" t="s">
        <v>263</v>
      </c>
      <c r="CP668" s="5" t="s">
        <v>264</v>
      </c>
      <c r="CQ668" s="5" t="s">
        <v>238</v>
      </c>
      <c r="CR668" s="5" t="s">
        <v>238</v>
      </c>
      <c r="CS668" s="5">
        <v>0</v>
      </c>
      <c r="CT668" s="5" t="s">
        <v>265</v>
      </c>
      <c r="CU668" s="5" t="s">
        <v>1360</v>
      </c>
      <c r="CV668" s="5" t="s">
        <v>267</v>
      </c>
      <c r="CX668" s="8">
        <f>3630000</f>
        <v>3630000</v>
      </c>
      <c r="CY668" s="8">
        <f>0</f>
        <v>0</v>
      </c>
      <c r="DA668" s="5" t="s">
        <v>238</v>
      </c>
      <c r="DB668" s="5" t="s">
        <v>238</v>
      </c>
      <c r="DD668" s="5" t="s">
        <v>238</v>
      </c>
      <c r="DG668" s="5" t="s">
        <v>238</v>
      </c>
      <c r="DH668" s="5" t="s">
        <v>238</v>
      </c>
      <c r="DI668" s="5" t="s">
        <v>238</v>
      </c>
      <c r="DJ668" s="5" t="s">
        <v>238</v>
      </c>
      <c r="DK668" s="5" t="s">
        <v>271</v>
      </c>
      <c r="DL668" s="5" t="s">
        <v>272</v>
      </c>
      <c r="DM668" s="7">
        <f>36.3</f>
        <v>36.299999999999997</v>
      </c>
      <c r="DN668" s="5" t="s">
        <v>238</v>
      </c>
      <c r="DO668" s="5" t="s">
        <v>238</v>
      </c>
      <c r="DP668" s="5" t="s">
        <v>238</v>
      </c>
      <c r="DQ668" s="5" t="s">
        <v>238</v>
      </c>
      <c r="DT668" s="5" t="s">
        <v>2860</v>
      </c>
      <c r="DU668" s="5" t="s">
        <v>271</v>
      </c>
      <c r="HM668" s="5" t="s">
        <v>271</v>
      </c>
      <c r="HP668" s="5" t="s">
        <v>272</v>
      </c>
      <c r="HQ668" s="5" t="s">
        <v>272</v>
      </c>
    </row>
    <row r="669" spans="1:238" x14ac:dyDescent="0.4">
      <c r="A669" s="5">
        <v>756</v>
      </c>
      <c r="B669" s="5">
        <v>1</v>
      </c>
      <c r="C669" s="5">
        <v>1</v>
      </c>
      <c r="D669" s="5" t="s">
        <v>2858</v>
      </c>
      <c r="E669" s="5" t="s">
        <v>277</v>
      </c>
      <c r="F669" s="5" t="s">
        <v>282</v>
      </c>
      <c r="G669" s="5" t="s">
        <v>2491</v>
      </c>
      <c r="H669" s="6" t="s">
        <v>2859</v>
      </c>
      <c r="I669" s="5" t="s">
        <v>2482</v>
      </c>
      <c r="J669" s="7">
        <f>36.3</f>
        <v>36.299999999999997</v>
      </c>
      <c r="K669" s="5" t="s">
        <v>270</v>
      </c>
      <c r="L669" s="8">
        <f>1</f>
        <v>1</v>
      </c>
      <c r="M669" s="8">
        <f>3630000</f>
        <v>3630000</v>
      </c>
      <c r="N669" s="6" t="s">
        <v>2770</v>
      </c>
      <c r="O669" s="5" t="s">
        <v>286</v>
      </c>
      <c r="P669" s="5" t="s">
        <v>1586</v>
      </c>
      <c r="R669" s="8">
        <f>3629999</f>
        <v>3629999</v>
      </c>
      <c r="S669" s="5" t="s">
        <v>240</v>
      </c>
      <c r="T669" s="5" t="s">
        <v>237</v>
      </c>
      <c r="U669" s="5" t="s">
        <v>238</v>
      </c>
      <c r="V669" s="5" t="s">
        <v>238</v>
      </c>
      <c r="W669" s="5" t="s">
        <v>241</v>
      </c>
      <c r="X669" s="5" t="s">
        <v>276</v>
      </c>
      <c r="Y669" s="5" t="s">
        <v>238</v>
      </c>
      <c r="AB669" s="5" t="s">
        <v>238</v>
      </c>
      <c r="AD669" s="6" t="s">
        <v>238</v>
      </c>
      <c r="AG669" s="6" t="s">
        <v>246</v>
      </c>
      <c r="AH669" s="5" t="s">
        <v>247</v>
      </c>
      <c r="AI669" s="5" t="s">
        <v>248</v>
      </c>
      <c r="AY669" s="5" t="s">
        <v>250</v>
      </c>
      <c r="AZ669" s="5" t="s">
        <v>238</v>
      </c>
      <c r="BA669" s="5" t="s">
        <v>251</v>
      </c>
      <c r="BB669" s="5" t="s">
        <v>238</v>
      </c>
      <c r="BC669" s="5" t="s">
        <v>253</v>
      </c>
      <c r="BD669" s="5" t="s">
        <v>238</v>
      </c>
      <c r="BF669" s="5" t="s">
        <v>238</v>
      </c>
      <c r="BH669" s="5" t="s">
        <v>697</v>
      </c>
      <c r="BI669" s="6" t="s">
        <v>698</v>
      </c>
      <c r="BJ669" s="5" t="s">
        <v>255</v>
      </c>
      <c r="BK669" s="5" t="s">
        <v>256</v>
      </c>
      <c r="BL669" s="5" t="s">
        <v>238</v>
      </c>
      <c r="BM669" s="7">
        <f>0</f>
        <v>0</v>
      </c>
      <c r="BN669" s="8">
        <f>0</f>
        <v>0</v>
      </c>
      <c r="BO669" s="5" t="s">
        <v>257</v>
      </c>
      <c r="BP669" s="5" t="s">
        <v>258</v>
      </c>
      <c r="CD669" s="5" t="s">
        <v>238</v>
      </c>
      <c r="CE669" s="5" t="s">
        <v>238</v>
      </c>
      <c r="CI669" s="5" t="s">
        <v>527</v>
      </c>
      <c r="CJ669" s="5" t="s">
        <v>260</v>
      </c>
      <c r="CK669" s="5" t="s">
        <v>238</v>
      </c>
      <c r="CM669" s="5" t="s">
        <v>1585</v>
      </c>
      <c r="CN669" s="6" t="s">
        <v>262</v>
      </c>
      <c r="CO669" s="5" t="s">
        <v>263</v>
      </c>
      <c r="CP669" s="5" t="s">
        <v>264</v>
      </c>
      <c r="CQ669" s="5" t="s">
        <v>238</v>
      </c>
      <c r="CR669" s="5" t="s">
        <v>238</v>
      </c>
      <c r="CS669" s="5">
        <v>0</v>
      </c>
      <c r="CT669" s="5" t="s">
        <v>265</v>
      </c>
      <c r="CU669" s="5" t="s">
        <v>1360</v>
      </c>
      <c r="CV669" s="5" t="s">
        <v>267</v>
      </c>
      <c r="CX669" s="8">
        <f>3630000</f>
        <v>3630000</v>
      </c>
      <c r="CY669" s="8">
        <f>0</f>
        <v>0</v>
      </c>
      <c r="DA669" s="5" t="s">
        <v>238</v>
      </c>
      <c r="DB669" s="5" t="s">
        <v>238</v>
      </c>
      <c r="DD669" s="5" t="s">
        <v>238</v>
      </c>
      <c r="DG669" s="5" t="s">
        <v>238</v>
      </c>
      <c r="DH669" s="5" t="s">
        <v>238</v>
      </c>
      <c r="DI669" s="5" t="s">
        <v>238</v>
      </c>
      <c r="DJ669" s="5" t="s">
        <v>238</v>
      </c>
      <c r="DK669" s="5" t="s">
        <v>271</v>
      </c>
      <c r="DL669" s="5" t="s">
        <v>272</v>
      </c>
      <c r="DM669" s="7">
        <f>36.3</f>
        <v>36.299999999999997</v>
      </c>
      <c r="DN669" s="5" t="s">
        <v>238</v>
      </c>
      <c r="DO669" s="5" t="s">
        <v>238</v>
      </c>
      <c r="DP669" s="5" t="s">
        <v>238</v>
      </c>
      <c r="DQ669" s="5" t="s">
        <v>238</v>
      </c>
      <c r="DT669" s="5" t="s">
        <v>2860</v>
      </c>
      <c r="DU669" s="5" t="s">
        <v>274</v>
      </c>
      <c r="HM669" s="5" t="s">
        <v>271</v>
      </c>
      <c r="HP669" s="5" t="s">
        <v>272</v>
      </c>
      <c r="HQ669" s="5" t="s">
        <v>272</v>
      </c>
    </row>
    <row r="670" spans="1:238" x14ac:dyDescent="0.4">
      <c r="A670" s="5">
        <v>757</v>
      </c>
      <c r="B670" s="5">
        <v>1</v>
      </c>
      <c r="C670" s="5">
        <v>1</v>
      </c>
      <c r="D670" s="5" t="s">
        <v>2858</v>
      </c>
      <c r="E670" s="5" t="s">
        <v>277</v>
      </c>
      <c r="F670" s="5" t="s">
        <v>282</v>
      </c>
      <c r="G670" s="5" t="s">
        <v>2491</v>
      </c>
      <c r="H670" s="6" t="s">
        <v>2859</v>
      </c>
      <c r="I670" s="5" t="s">
        <v>2482</v>
      </c>
      <c r="J670" s="7">
        <f>36.3</f>
        <v>36.299999999999997</v>
      </c>
      <c r="K670" s="5" t="s">
        <v>270</v>
      </c>
      <c r="L670" s="8">
        <f>1</f>
        <v>1</v>
      </c>
      <c r="M670" s="8">
        <f>3630000</f>
        <v>3630000</v>
      </c>
      <c r="N670" s="6" t="s">
        <v>2770</v>
      </c>
      <c r="O670" s="5" t="s">
        <v>286</v>
      </c>
      <c r="P670" s="5" t="s">
        <v>1586</v>
      </c>
      <c r="R670" s="8">
        <f>3629999</f>
        <v>3629999</v>
      </c>
      <c r="S670" s="5" t="s">
        <v>240</v>
      </c>
      <c r="T670" s="5" t="s">
        <v>237</v>
      </c>
      <c r="U670" s="5" t="s">
        <v>238</v>
      </c>
      <c r="V670" s="5" t="s">
        <v>238</v>
      </c>
      <c r="W670" s="5" t="s">
        <v>241</v>
      </c>
      <c r="X670" s="5" t="s">
        <v>276</v>
      </c>
      <c r="Y670" s="5" t="s">
        <v>238</v>
      </c>
      <c r="AB670" s="5" t="s">
        <v>238</v>
      </c>
      <c r="AD670" s="6" t="s">
        <v>238</v>
      </c>
      <c r="AG670" s="6" t="s">
        <v>246</v>
      </c>
      <c r="AH670" s="5" t="s">
        <v>247</v>
      </c>
      <c r="AI670" s="5" t="s">
        <v>248</v>
      </c>
      <c r="AY670" s="5" t="s">
        <v>250</v>
      </c>
      <c r="AZ670" s="5" t="s">
        <v>238</v>
      </c>
      <c r="BA670" s="5" t="s">
        <v>251</v>
      </c>
      <c r="BB670" s="5" t="s">
        <v>238</v>
      </c>
      <c r="BC670" s="5" t="s">
        <v>253</v>
      </c>
      <c r="BD670" s="5" t="s">
        <v>238</v>
      </c>
      <c r="BF670" s="5" t="s">
        <v>238</v>
      </c>
      <c r="BH670" s="5" t="s">
        <v>798</v>
      </c>
      <c r="BI670" s="6" t="s">
        <v>799</v>
      </c>
      <c r="BJ670" s="5" t="s">
        <v>255</v>
      </c>
      <c r="BK670" s="5" t="s">
        <v>256</v>
      </c>
      <c r="BL670" s="5" t="s">
        <v>238</v>
      </c>
      <c r="BM670" s="7">
        <f>0</f>
        <v>0</v>
      </c>
      <c r="BN670" s="8">
        <f>0</f>
        <v>0</v>
      </c>
      <c r="BO670" s="5" t="s">
        <v>257</v>
      </c>
      <c r="BP670" s="5" t="s">
        <v>258</v>
      </c>
      <c r="CD670" s="5" t="s">
        <v>238</v>
      </c>
      <c r="CE670" s="5" t="s">
        <v>238</v>
      </c>
      <c r="CI670" s="5" t="s">
        <v>527</v>
      </c>
      <c r="CJ670" s="5" t="s">
        <v>260</v>
      </c>
      <c r="CK670" s="5" t="s">
        <v>238</v>
      </c>
      <c r="CM670" s="5" t="s">
        <v>1585</v>
      </c>
      <c r="CN670" s="6" t="s">
        <v>262</v>
      </c>
      <c r="CO670" s="5" t="s">
        <v>263</v>
      </c>
      <c r="CP670" s="5" t="s">
        <v>264</v>
      </c>
      <c r="CQ670" s="5" t="s">
        <v>238</v>
      </c>
      <c r="CR670" s="5" t="s">
        <v>238</v>
      </c>
      <c r="CS670" s="5">
        <v>0</v>
      </c>
      <c r="CT670" s="5" t="s">
        <v>265</v>
      </c>
      <c r="CU670" s="5" t="s">
        <v>1360</v>
      </c>
      <c r="CV670" s="5" t="s">
        <v>267</v>
      </c>
      <c r="CX670" s="8">
        <f>3630000</f>
        <v>3630000</v>
      </c>
      <c r="CY670" s="8">
        <f>0</f>
        <v>0</v>
      </c>
      <c r="DA670" s="5" t="s">
        <v>238</v>
      </c>
      <c r="DB670" s="5" t="s">
        <v>238</v>
      </c>
      <c r="DD670" s="5" t="s">
        <v>238</v>
      </c>
      <c r="DG670" s="5" t="s">
        <v>238</v>
      </c>
      <c r="DH670" s="5" t="s">
        <v>238</v>
      </c>
      <c r="DI670" s="5" t="s">
        <v>238</v>
      </c>
      <c r="DJ670" s="5" t="s">
        <v>238</v>
      </c>
      <c r="DK670" s="5" t="s">
        <v>271</v>
      </c>
      <c r="DL670" s="5" t="s">
        <v>272</v>
      </c>
      <c r="DM670" s="7">
        <f>36.3</f>
        <v>36.299999999999997</v>
      </c>
      <c r="DN670" s="5" t="s">
        <v>238</v>
      </c>
      <c r="DO670" s="5" t="s">
        <v>238</v>
      </c>
      <c r="DP670" s="5" t="s">
        <v>238</v>
      </c>
      <c r="DQ670" s="5" t="s">
        <v>238</v>
      </c>
      <c r="DT670" s="5" t="s">
        <v>2860</v>
      </c>
      <c r="DU670" s="5" t="s">
        <v>356</v>
      </c>
      <c r="HM670" s="5" t="s">
        <v>271</v>
      </c>
      <c r="HP670" s="5" t="s">
        <v>272</v>
      </c>
      <c r="HQ670" s="5" t="s">
        <v>272</v>
      </c>
    </row>
    <row r="671" spans="1:238" x14ac:dyDescent="0.4">
      <c r="A671" s="5">
        <v>760</v>
      </c>
      <c r="B671" s="5">
        <v>1</v>
      </c>
      <c r="C671" s="5">
        <v>1</v>
      </c>
      <c r="D671" s="5" t="s">
        <v>2786</v>
      </c>
      <c r="E671" s="5" t="s">
        <v>277</v>
      </c>
      <c r="F671" s="5" t="s">
        <v>282</v>
      </c>
      <c r="G671" s="5" t="s">
        <v>2491</v>
      </c>
      <c r="H671" s="6" t="s">
        <v>2788</v>
      </c>
      <c r="I671" s="5" t="s">
        <v>2482</v>
      </c>
      <c r="J671" s="7">
        <f>64.8</f>
        <v>64.8</v>
      </c>
      <c r="K671" s="5" t="s">
        <v>270</v>
      </c>
      <c r="L671" s="8">
        <f>1</f>
        <v>1</v>
      </c>
      <c r="M671" s="8">
        <f>6480000</f>
        <v>6480000</v>
      </c>
      <c r="N671" s="6" t="s">
        <v>2854</v>
      </c>
      <c r="O671" s="5" t="s">
        <v>286</v>
      </c>
      <c r="P671" s="5" t="s">
        <v>1793</v>
      </c>
      <c r="R671" s="8">
        <f>6479999</f>
        <v>6479999</v>
      </c>
      <c r="S671" s="5" t="s">
        <v>240</v>
      </c>
      <c r="T671" s="5" t="s">
        <v>237</v>
      </c>
      <c r="U671" s="5" t="s">
        <v>238</v>
      </c>
      <c r="V671" s="5" t="s">
        <v>238</v>
      </c>
      <c r="W671" s="5" t="s">
        <v>241</v>
      </c>
      <c r="X671" s="5" t="s">
        <v>276</v>
      </c>
      <c r="Y671" s="5" t="s">
        <v>238</v>
      </c>
      <c r="AB671" s="5" t="s">
        <v>238</v>
      </c>
      <c r="AD671" s="6" t="s">
        <v>238</v>
      </c>
      <c r="AG671" s="6" t="s">
        <v>246</v>
      </c>
      <c r="AH671" s="5" t="s">
        <v>247</v>
      </c>
      <c r="AI671" s="5" t="s">
        <v>248</v>
      </c>
      <c r="AY671" s="5" t="s">
        <v>250</v>
      </c>
      <c r="AZ671" s="5" t="s">
        <v>238</v>
      </c>
      <c r="BA671" s="5" t="s">
        <v>251</v>
      </c>
      <c r="BB671" s="5" t="s">
        <v>238</v>
      </c>
      <c r="BC671" s="5" t="s">
        <v>253</v>
      </c>
      <c r="BD671" s="5" t="s">
        <v>238</v>
      </c>
      <c r="BF671" s="5" t="s">
        <v>238</v>
      </c>
      <c r="BH671" s="5" t="s">
        <v>859</v>
      </c>
      <c r="BI671" s="6" t="s">
        <v>368</v>
      </c>
      <c r="BJ671" s="5" t="s">
        <v>255</v>
      </c>
      <c r="BK671" s="5" t="s">
        <v>256</v>
      </c>
      <c r="BL671" s="5" t="s">
        <v>238</v>
      </c>
      <c r="BM671" s="7">
        <f>0</f>
        <v>0</v>
      </c>
      <c r="BN671" s="8">
        <f>0</f>
        <v>0</v>
      </c>
      <c r="BO671" s="5" t="s">
        <v>257</v>
      </c>
      <c r="BP671" s="5" t="s">
        <v>258</v>
      </c>
      <c r="CD671" s="5" t="s">
        <v>238</v>
      </c>
      <c r="CE671" s="5" t="s">
        <v>238</v>
      </c>
      <c r="CI671" s="5" t="s">
        <v>527</v>
      </c>
      <c r="CJ671" s="5" t="s">
        <v>260</v>
      </c>
      <c r="CK671" s="5" t="s">
        <v>238</v>
      </c>
      <c r="CM671" s="5" t="s">
        <v>1792</v>
      </c>
      <c r="CN671" s="6" t="s">
        <v>262</v>
      </c>
      <c r="CO671" s="5" t="s">
        <v>263</v>
      </c>
      <c r="CP671" s="5" t="s">
        <v>264</v>
      </c>
      <c r="CQ671" s="5" t="s">
        <v>238</v>
      </c>
      <c r="CR671" s="5" t="s">
        <v>238</v>
      </c>
      <c r="CS671" s="5">
        <v>0</v>
      </c>
      <c r="CT671" s="5" t="s">
        <v>265</v>
      </c>
      <c r="CU671" s="5" t="s">
        <v>1360</v>
      </c>
      <c r="CV671" s="5" t="s">
        <v>267</v>
      </c>
      <c r="CX671" s="8">
        <f>6480000</f>
        <v>6480000</v>
      </c>
      <c r="CY671" s="8">
        <f>0</f>
        <v>0</v>
      </c>
      <c r="DA671" s="5" t="s">
        <v>238</v>
      </c>
      <c r="DB671" s="5" t="s">
        <v>238</v>
      </c>
      <c r="DD671" s="5" t="s">
        <v>238</v>
      </c>
      <c r="DG671" s="5" t="s">
        <v>238</v>
      </c>
      <c r="DH671" s="5" t="s">
        <v>238</v>
      </c>
      <c r="DI671" s="5" t="s">
        <v>238</v>
      </c>
      <c r="DJ671" s="5" t="s">
        <v>238</v>
      </c>
      <c r="DK671" s="5" t="s">
        <v>271</v>
      </c>
      <c r="DL671" s="5" t="s">
        <v>272</v>
      </c>
      <c r="DM671" s="7">
        <f>64.8</f>
        <v>64.8</v>
      </c>
      <c r="DN671" s="5" t="s">
        <v>238</v>
      </c>
      <c r="DO671" s="5" t="s">
        <v>238</v>
      </c>
      <c r="DP671" s="5" t="s">
        <v>238</v>
      </c>
      <c r="DQ671" s="5" t="s">
        <v>238</v>
      </c>
      <c r="DT671" s="5" t="s">
        <v>2857</v>
      </c>
      <c r="DU671" s="5" t="s">
        <v>274</v>
      </c>
      <c r="HM671" s="5" t="s">
        <v>271</v>
      </c>
      <c r="HP671" s="5" t="s">
        <v>272</v>
      </c>
      <c r="HQ671" s="5" t="s">
        <v>272</v>
      </c>
    </row>
    <row r="672" spans="1:238" x14ac:dyDescent="0.4">
      <c r="A672" s="5">
        <v>761</v>
      </c>
      <c r="B672" s="5">
        <v>1</v>
      </c>
      <c r="C672" s="5">
        <v>1</v>
      </c>
      <c r="D672" s="5" t="s">
        <v>2786</v>
      </c>
      <c r="E672" s="5" t="s">
        <v>277</v>
      </c>
      <c r="F672" s="5" t="s">
        <v>282</v>
      </c>
      <c r="G672" s="5" t="s">
        <v>2491</v>
      </c>
      <c r="H672" s="6" t="s">
        <v>2788</v>
      </c>
      <c r="I672" s="5" t="s">
        <v>2482</v>
      </c>
      <c r="J672" s="7">
        <f>32.4</f>
        <v>32.4</v>
      </c>
      <c r="K672" s="5" t="s">
        <v>270</v>
      </c>
      <c r="L672" s="8">
        <f>1</f>
        <v>1</v>
      </c>
      <c r="M672" s="8">
        <f>3240000</f>
        <v>3240000</v>
      </c>
      <c r="N672" s="6" t="s">
        <v>2854</v>
      </c>
      <c r="O672" s="5" t="s">
        <v>286</v>
      </c>
      <c r="P672" s="5" t="s">
        <v>1793</v>
      </c>
      <c r="R672" s="8">
        <f>3239999</f>
        <v>3239999</v>
      </c>
      <c r="S672" s="5" t="s">
        <v>240</v>
      </c>
      <c r="T672" s="5" t="s">
        <v>237</v>
      </c>
      <c r="U672" s="5" t="s">
        <v>238</v>
      </c>
      <c r="V672" s="5" t="s">
        <v>238</v>
      </c>
      <c r="W672" s="5" t="s">
        <v>241</v>
      </c>
      <c r="X672" s="5" t="s">
        <v>276</v>
      </c>
      <c r="Y672" s="5" t="s">
        <v>238</v>
      </c>
      <c r="AB672" s="5" t="s">
        <v>238</v>
      </c>
      <c r="AD672" s="6" t="s">
        <v>238</v>
      </c>
      <c r="AG672" s="6" t="s">
        <v>246</v>
      </c>
      <c r="AH672" s="5" t="s">
        <v>247</v>
      </c>
      <c r="AI672" s="5" t="s">
        <v>248</v>
      </c>
      <c r="AY672" s="5" t="s">
        <v>250</v>
      </c>
      <c r="AZ672" s="5" t="s">
        <v>238</v>
      </c>
      <c r="BA672" s="5" t="s">
        <v>251</v>
      </c>
      <c r="BB672" s="5" t="s">
        <v>238</v>
      </c>
      <c r="BC672" s="5" t="s">
        <v>253</v>
      </c>
      <c r="BD672" s="5" t="s">
        <v>238</v>
      </c>
      <c r="BF672" s="5" t="s">
        <v>238</v>
      </c>
      <c r="BH672" s="5" t="s">
        <v>697</v>
      </c>
      <c r="BI672" s="6" t="s">
        <v>698</v>
      </c>
      <c r="BJ672" s="5" t="s">
        <v>255</v>
      </c>
      <c r="BK672" s="5" t="s">
        <v>256</v>
      </c>
      <c r="BL672" s="5" t="s">
        <v>238</v>
      </c>
      <c r="BM672" s="7">
        <f>0</f>
        <v>0</v>
      </c>
      <c r="BN672" s="8">
        <f>0</f>
        <v>0</v>
      </c>
      <c r="BO672" s="5" t="s">
        <v>257</v>
      </c>
      <c r="BP672" s="5" t="s">
        <v>258</v>
      </c>
      <c r="CD672" s="5" t="s">
        <v>238</v>
      </c>
      <c r="CE672" s="5" t="s">
        <v>238</v>
      </c>
      <c r="CI672" s="5" t="s">
        <v>527</v>
      </c>
      <c r="CJ672" s="5" t="s">
        <v>260</v>
      </c>
      <c r="CK672" s="5" t="s">
        <v>238</v>
      </c>
      <c r="CM672" s="5" t="s">
        <v>1792</v>
      </c>
      <c r="CN672" s="6" t="s">
        <v>262</v>
      </c>
      <c r="CO672" s="5" t="s">
        <v>263</v>
      </c>
      <c r="CP672" s="5" t="s">
        <v>264</v>
      </c>
      <c r="CQ672" s="5" t="s">
        <v>238</v>
      </c>
      <c r="CR672" s="5" t="s">
        <v>238</v>
      </c>
      <c r="CS672" s="5">
        <v>0</v>
      </c>
      <c r="CT672" s="5" t="s">
        <v>265</v>
      </c>
      <c r="CU672" s="5" t="s">
        <v>1360</v>
      </c>
      <c r="CV672" s="5" t="s">
        <v>267</v>
      </c>
      <c r="CX672" s="8">
        <f>3240000</f>
        <v>3240000</v>
      </c>
      <c r="CY672" s="8">
        <f>0</f>
        <v>0</v>
      </c>
      <c r="DA672" s="5" t="s">
        <v>238</v>
      </c>
      <c r="DB672" s="5" t="s">
        <v>238</v>
      </c>
      <c r="DD672" s="5" t="s">
        <v>238</v>
      </c>
      <c r="DG672" s="5" t="s">
        <v>238</v>
      </c>
      <c r="DH672" s="5" t="s">
        <v>238</v>
      </c>
      <c r="DI672" s="5" t="s">
        <v>238</v>
      </c>
      <c r="DJ672" s="5" t="s">
        <v>238</v>
      </c>
      <c r="DK672" s="5" t="s">
        <v>271</v>
      </c>
      <c r="DL672" s="5" t="s">
        <v>272</v>
      </c>
      <c r="DM672" s="7">
        <f>32.4</f>
        <v>32.4</v>
      </c>
      <c r="DN672" s="5" t="s">
        <v>238</v>
      </c>
      <c r="DO672" s="5" t="s">
        <v>238</v>
      </c>
      <c r="DP672" s="5" t="s">
        <v>238</v>
      </c>
      <c r="DQ672" s="5" t="s">
        <v>238</v>
      </c>
      <c r="DT672" s="5" t="s">
        <v>2857</v>
      </c>
      <c r="DU672" s="5" t="s">
        <v>356</v>
      </c>
      <c r="HM672" s="5" t="s">
        <v>271</v>
      </c>
      <c r="HP672" s="5" t="s">
        <v>272</v>
      </c>
      <c r="HQ672" s="5" t="s">
        <v>272</v>
      </c>
    </row>
    <row r="673" spans="1:225" x14ac:dyDescent="0.4">
      <c r="A673" s="5">
        <v>762</v>
      </c>
      <c r="B673" s="5">
        <v>1</v>
      </c>
      <c r="C673" s="5">
        <v>1</v>
      </c>
      <c r="D673" s="5" t="s">
        <v>2853</v>
      </c>
      <c r="E673" s="5" t="s">
        <v>277</v>
      </c>
      <c r="F673" s="5" t="s">
        <v>282</v>
      </c>
      <c r="G673" s="5" t="s">
        <v>2491</v>
      </c>
      <c r="H673" s="6" t="s">
        <v>2855</v>
      </c>
      <c r="I673" s="5" t="s">
        <v>2482</v>
      </c>
      <c r="J673" s="7">
        <f>32.4</f>
        <v>32.4</v>
      </c>
      <c r="K673" s="5" t="s">
        <v>270</v>
      </c>
      <c r="L673" s="8">
        <f>1</f>
        <v>1</v>
      </c>
      <c r="M673" s="8">
        <f>3240000</f>
        <v>3240000</v>
      </c>
      <c r="N673" s="6" t="s">
        <v>2854</v>
      </c>
      <c r="O673" s="5" t="s">
        <v>286</v>
      </c>
      <c r="P673" s="5" t="s">
        <v>1793</v>
      </c>
      <c r="R673" s="8">
        <f>3239999</f>
        <v>3239999</v>
      </c>
      <c r="S673" s="5" t="s">
        <v>240</v>
      </c>
      <c r="T673" s="5" t="s">
        <v>237</v>
      </c>
      <c r="U673" s="5" t="s">
        <v>238</v>
      </c>
      <c r="V673" s="5" t="s">
        <v>238</v>
      </c>
      <c r="W673" s="5" t="s">
        <v>241</v>
      </c>
      <c r="X673" s="5" t="s">
        <v>276</v>
      </c>
      <c r="Y673" s="5" t="s">
        <v>238</v>
      </c>
      <c r="AB673" s="5" t="s">
        <v>238</v>
      </c>
      <c r="AD673" s="6" t="s">
        <v>238</v>
      </c>
      <c r="AG673" s="6" t="s">
        <v>246</v>
      </c>
      <c r="AH673" s="5" t="s">
        <v>247</v>
      </c>
      <c r="AI673" s="5" t="s">
        <v>248</v>
      </c>
      <c r="AY673" s="5" t="s">
        <v>250</v>
      </c>
      <c r="AZ673" s="5" t="s">
        <v>238</v>
      </c>
      <c r="BA673" s="5" t="s">
        <v>251</v>
      </c>
      <c r="BB673" s="5" t="s">
        <v>238</v>
      </c>
      <c r="BC673" s="5" t="s">
        <v>253</v>
      </c>
      <c r="BD673" s="5" t="s">
        <v>238</v>
      </c>
      <c r="BF673" s="5" t="s">
        <v>238</v>
      </c>
      <c r="BH673" s="5" t="s">
        <v>798</v>
      </c>
      <c r="BI673" s="6" t="s">
        <v>799</v>
      </c>
      <c r="BJ673" s="5" t="s">
        <v>255</v>
      </c>
      <c r="BK673" s="5" t="s">
        <v>256</v>
      </c>
      <c r="BL673" s="5" t="s">
        <v>238</v>
      </c>
      <c r="BM673" s="7">
        <f>0</f>
        <v>0</v>
      </c>
      <c r="BN673" s="8">
        <f>0</f>
        <v>0</v>
      </c>
      <c r="BO673" s="5" t="s">
        <v>257</v>
      </c>
      <c r="BP673" s="5" t="s">
        <v>258</v>
      </c>
      <c r="CD673" s="5" t="s">
        <v>238</v>
      </c>
      <c r="CE673" s="5" t="s">
        <v>238</v>
      </c>
      <c r="CI673" s="5" t="s">
        <v>527</v>
      </c>
      <c r="CJ673" s="5" t="s">
        <v>260</v>
      </c>
      <c r="CK673" s="5" t="s">
        <v>238</v>
      </c>
      <c r="CM673" s="5" t="s">
        <v>1792</v>
      </c>
      <c r="CN673" s="6" t="s">
        <v>262</v>
      </c>
      <c r="CO673" s="5" t="s">
        <v>263</v>
      </c>
      <c r="CP673" s="5" t="s">
        <v>264</v>
      </c>
      <c r="CQ673" s="5" t="s">
        <v>238</v>
      </c>
      <c r="CR673" s="5" t="s">
        <v>238</v>
      </c>
      <c r="CS673" s="5">
        <v>0</v>
      </c>
      <c r="CT673" s="5" t="s">
        <v>265</v>
      </c>
      <c r="CU673" s="5" t="s">
        <v>1360</v>
      </c>
      <c r="CV673" s="5" t="s">
        <v>267</v>
      </c>
      <c r="CX673" s="8">
        <f>3240000</f>
        <v>3240000</v>
      </c>
      <c r="CY673" s="8">
        <f>0</f>
        <v>0</v>
      </c>
      <c r="DA673" s="5" t="s">
        <v>238</v>
      </c>
      <c r="DB673" s="5" t="s">
        <v>238</v>
      </c>
      <c r="DD673" s="5" t="s">
        <v>238</v>
      </c>
      <c r="DG673" s="5" t="s">
        <v>238</v>
      </c>
      <c r="DH673" s="5" t="s">
        <v>238</v>
      </c>
      <c r="DI673" s="5" t="s">
        <v>238</v>
      </c>
      <c r="DJ673" s="5" t="s">
        <v>238</v>
      </c>
      <c r="DK673" s="5" t="s">
        <v>271</v>
      </c>
      <c r="DL673" s="5" t="s">
        <v>272</v>
      </c>
      <c r="DM673" s="7">
        <f>32.4</f>
        <v>32.4</v>
      </c>
      <c r="DN673" s="5" t="s">
        <v>238</v>
      </c>
      <c r="DO673" s="5" t="s">
        <v>238</v>
      </c>
      <c r="DP673" s="5" t="s">
        <v>238</v>
      </c>
      <c r="DQ673" s="5" t="s">
        <v>238</v>
      </c>
      <c r="DT673" s="5" t="s">
        <v>2856</v>
      </c>
      <c r="DU673" s="5" t="s">
        <v>271</v>
      </c>
      <c r="HM673" s="5" t="s">
        <v>271</v>
      </c>
      <c r="HP673" s="5" t="s">
        <v>272</v>
      </c>
      <c r="HQ673" s="5" t="s">
        <v>272</v>
      </c>
    </row>
    <row r="674" spans="1:225" x14ac:dyDescent="0.4">
      <c r="A674" s="5">
        <v>763</v>
      </c>
      <c r="B674" s="5">
        <v>1</v>
      </c>
      <c r="C674" s="5">
        <v>1</v>
      </c>
      <c r="D674" s="5" t="s">
        <v>2853</v>
      </c>
      <c r="E674" s="5" t="s">
        <v>277</v>
      </c>
      <c r="F674" s="5" t="s">
        <v>282</v>
      </c>
      <c r="G674" s="5" t="s">
        <v>2491</v>
      </c>
      <c r="H674" s="6" t="s">
        <v>2855</v>
      </c>
      <c r="I674" s="5" t="s">
        <v>2482</v>
      </c>
      <c r="J674" s="7">
        <f>32.4</f>
        <v>32.4</v>
      </c>
      <c r="K674" s="5" t="s">
        <v>270</v>
      </c>
      <c r="L674" s="8">
        <f>1</f>
        <v>1</v>
      </c>
      <c r="M674" s="8">
        <f>3240000</f>
        <v>3240000</v>
      </c>
      <c r="N674" s="6" t="s">
        <v>2854</v>
      </c>
      <c r="O674" s="5" t="s">
        <v>286</v>
      </c>
      <c r="P674" s="5" t="s">
        <v>1793</v>
      </c>
      <c r="R674" s="8">
        <f>3239999</f>
        <v>3239999</v>
      </c>
      <c r="S674" s="5" t="s">
        <v>240</v>
      </c>
      <c r="T674" s="5" t="s">
        <v>237</v>
      </c>
      <c r="U674" s="5" t="s">
        <v>238</v>
      </c>
      <c r="V674" s="5" t="s">
        <v>238</v>
      </c>
      <c r="W674" s="5" t="s">
        <v>241</v>
      </c>
      <c r="X674" s="5" t="s">
        <v>276</v>
      </c>
      <c r="Y674" s="5" t="s">
        <v>238</v>
      </c>
      <c r="AB674" s="5" t="s">
        <v>238</v>
      </c>
      <c r="AD674" s="6" t="s">
        <v>238</v>
      </c>
      <c r="AG674" s="6" t="s">
        <v>246</v>
      </c>
      <c r="AH674" s="5" t="s">
        <v>247</v>
      </c>
      <c r="AI674" s="5" t="s">
        <v>248</v>
      </c>
      <c r="AY674" s="5" t="s">
        <v>250</v>
      </c>
      <c r="AZ674" s="5" t="s">
        <v>238</v>
      </c>
      <c r="BA674" s="5" t="s">
        <v>251</v>
      </c>
      <c r="BB674" s="5" t="s">
        <v>238</v>
      </c>
      <c r="BC674" s="5" t="s">
        <v>253</v>
      </c>
      <c r="BD674" s="5" t="s">
        <v>238</v>
      </c>
      <c r="BF674" s="5" t="s">
        <v>238</v>
      </c>
      <c r="BH674" s="5" t="s">
        <v>254</v>
      </c>
      <c r="BI674" s="6" t="s">
        <v>246</v>
      </c>
      <c r="BJ674" s="5" t="s">
        <v>255</v>
      </c>
      <c r="BK674" s="5" t="s">
        <v>256</v>
      </c>
      <c r="BL674" s="5" t="s">
        <v>238</v>
      </c>
      <c r="BM674" s="7">
        <f>0</f>
        <v>0</v>
      </c>
      <c r="BN674" s="8">
        <f>0</f>
        <v>0</v>
      </c>
      <c r="BO674" s="5" t="s">
        <v>257</v>
      </c>
      <c r="BP674" s="5" t="s">
        <v>258</v>
      </c>
      <c r="CD674" s="5" t="s">
        <v>238</v>
      </c>
      <c r="CE674" s="5" t="s">
        <v>238</v>
      </c>
      <c r="CI674" s="5" t="s">
        <v>527</v>
      </c>
      <c r="CJ674" s="5" t="s">
        <v>260</v>
      </c>
      <c r="CK674" s="5" t="s">
        <v>238</v>
      </c>
      <c r="CM674" s="5" t="s">
        <v>1792</v>
      </c>
      <c r="CN674" s="6" t="s">
        <v>262</v>
      </c>
      <c r="CO674" s="5" t="s">
        <v>263</v>
      </c>
      <c r="CP674" s="5" t="s">
        <v>264</v>
      </c>
      <c r="CQ674" s="5" t="s">
        <v>238</v>
      </c>
      <c r="CR674" s="5" t="s">
        <v>238</v>
      </c>
      <c r="CS674" s="5">
        <v>0</v>
      </c>
      <c r="CT674" s="5" t="s">
        <v>265</v>
      </c>
      <c r="CU674" s="5" t="s">
        <v>1360</v>
      </c>
      <c r="CV674" s="5" t="s">
        <v>267</v>
      </c>
      <c r="CX674" s="8">
        <f>3240000</f>
        <v>3240000</v>
      </c>
      <c r="CY674" s="8">
        <f>0</f>
        <v>0</v>
      </c>
      <c r="DA674" s="5" t="s">
        <v>238</v>
      </c>
      <c r="DB674" s="5" t="s">
        <v>238</v>
      </c>
      <c r="DD674" s="5" t="s">
        <v>238</v>
      </c>
      <c r="DG674" s="5" t="s">
        <v>238</v>
      </c>
      <c r="DH674" s="5" t="s">
        <v>238</v>
      </c>
      <c r="DI674" s="5" t="s">
        <v>238</v>
      </c>
      <c r="DJ674" s="5" t="s">
        <v>238</v>
      </c>
      <c r="DK674" s="5" t="s">
        <v>271</v>
      </c>
      <c r="DL674" s="5" t="s">
        <v>272</v>
      </c>
      <c r="DM674" s="7">
        <f>32.4</f>
        <v>32.4</v>
      </c>
      <c r="DN674" s="5" t="s">
        <v>238</v>
      </c>
      <c r="DO674" s="5" t="s">
        <v>238</v>
      </c>
      <c r="DP674" s="5" t="s">
        <v>238</v>
      </c>
      <c r="DQ674" s="5" t="s">
        <v>238</v>
      </c>
      <c r="DT674" s="5" t="s">
        <v>2856</v>
      </c>
      <c r="DU674" s="5" t="s">
        <v>274</v>
      </c>
      <c r="HM674" s="5" t="s">
        <v>271</v>
      </c>
      <c r="HP674" s="5" t="s">
        <v>272</v>
      </c>
      <c r="HQ674" s="5" t="s">
        <v>272</v>
      </c>
    </row>
    <row r="675" spans="1:225" x14ac:dyDescent="0.4">
      <c r="A675" s="5">
        <v>764</v>
      </c>
      <c r="B675" s="5">
        <v>1</v>
      </c>
      <c r="C675" s="5">
        <v>1</v>
      </c>
      <c r="D675" s="5" t="s">
        <v>2853</v>
      </c>
      <c r="E675" s="5" t="s">
        <v>277</v>
      </c>
      <c r="F675" s="5" t="s">
        <v>282</v>
      </c>
      <c r="G675" s="5" t="s">
        <v>2491</v>
      </c>
      <c r="H675" s="6" t="s">
        <v>2855</v>
      </c>
      <c r="I675" s="5" t="s">
        <v>2482</v>
      </c>
      <c r="J675" s="7">
        <f>32.4</f>
        <v>32.4</v>
      </c>
      <c r="K675" s="5" t="s">
        <v>270</v>
      </c>
      <c r="L675" s="8">
        <f>1</f>
        <v>1</v>
      </c>
      <c r="M675" s="8">
        <f>3240000</f>
        <v>3240000</v>
      </c>
      <c r="N675" s="6" t="s">
        <v>2854</v>
      </c>
      <c r="O675" s="5" t="s">
        <v>286</v>
      </c>
      <c r="P675" s="5" t="s">
        <v>1793</v>
      </c>
      <c r="R675" s="8">
        <f>3239999</f>
        <v>3239999</v>
      </c>
      <c r="S675" s="5" t="s">
        <v>240</v>
      </c>
      <c r="T675" s="5" t="s">
        <v>237</v>
      </c>
      <c r="U675" s="5" t="s">
        <v>238</v>
      </c>
      <c r="V675" s="5" t="s">
        <v>238</v>
      </c>
      <c r="W675" s="5" t="s">
        <v>241</v>
      </c>
      <c r="X675" s="5" t="s">
        <v>276</v>
      </c>
      <c r="Y675" s="5" t="s">
        <v>238</v>
      </c>
      <c r="AB675" s="5" t="s">
        <v>238</v>
      </c>
      <c r="AD675" s="6" t="s">
        <v>238</v>
      </c>
      <c r="AG675" s="6" t="s">
        <v>246</v>
      </c>
      <c r="AH675" s="5" t="s">
        <v>247</v>
      </c>
      <c r="AI675" s="5" t="s">
        <v>248</v>
      </c>
      <c r="AY675" s="5" t="s">
        <v>250</v>
      </c>
      <c r="AZ675" s="5" t="s">
        <v>238</v>
      </c>
      <c r="BA675" s="5" t="s">
        <v>251</v>
      </c>
      <c r="BB675" s="5" t="s">
        <v>238</v>
      </c>
      <c r="BC675" s="5" t="s">
        <v>253</v>
      </c>
      <c r="BD675" s="5" t="s">
        <v>238</v>
      </c>
      <c r="BF675" s="5" t="s">
        <v>238</v>
      </c>
      <c r="BH675" s="5" t="s">
        <v>254</v>
      </c>
      <c r="BI675" s="6" t="s">
        <v>246</v>
      </c>
      <c r="BJ675" s="5" t="s">
        <v>255</v>
      </c>
      <c r="BK675" s="5" t="s">
        <v>256</v>
      </c>
      <c r="BL675" s="5" t="s">
        <v>238</v>
      </c>
      <c r="BM675" s="7">
        <f>0</f>
        <v>0</v>
      </c>
      <c r="BN675" s="8">
        <f>0</f>
        <v>0</v>
      </c>
      <c r="BO675" s="5" t="s">
        <v>257</v>
      </c>
      <c r="BP675" s="5" t="s">
        <v>258</v>
      </c>
      <c r="CD675" s="5" t="s">
        <v>238</v>
      </c>
      <c r="CE675" s="5" t="s">
        <v>238</v>
      </c>
      <c r="CI675" s="5" t="s">
        <v>527</v>
      </c>
      <c r="CJ675" s="5" t="s">
        <v>260</v>
      </c>
      <c r="CK675" s="5" t="s">
        <v>238</v>
      </c>
      <c r="CM675" s="5" t="s">
        <v>1792</v>
      </c>
      <c r="CN675" s="6" t="s">
        <v>262</v>
      </c>
      <c r="CO675" s="5" t="s">
        <v>263</v>
      </c>
      <c r="CP675" s="5" t="s">
        <v>264</v>
      </c>
      <c r="CQ675" s="5" t="s">
        <v>238</v>
      </c>
      <c r="CR675" s="5" t="s">
        <v>238</v>
      </c>
      <c r="CS675" s="5">
        <v>0</v>
      </c>
      <c r="CT675" s="5" t="s">
        <v>265</v>
      </c>
      <c r="CU675" s="5" t="s">
        <v>1360</v>
      </c>
      <c r="CV675" s="5" t="s">
        <v>267</v>
      </c>
      <c r="CX675" s="8">
        <f>3240000</f>
        <v>3240000</v>
      </c>
      <c r="CY675" s="8">
        <f>0</f>
        <v>0</v>
      </c>
      <c r="DA675" s="5" t="s">
        <v>238</v>
      </c>
      <c r="DB675" s="5" t="s">
        <v>238</v>
      </c>
      <c r="DD675" s="5" t="s">
        <v>238</v>
      </c>
      <c r="DG675" s="5" t="s">
        <v>238</v>
      </c>
      <c r="DH675" s="5" t="s">
        <v>238</v>
      </c>
      <c r="DI675" s="5" t="s">
        <v>238</v>
      </c>
      <c r="DJ675" s="5" t="s">
        <v>238</v>
      </c>
      <c r="DK675" s="5" t="s">
        <v>271</v>
      </c>
      <c r="DL675" s="5" t="s">
        <v>272</v>
      </c>
      <c r="DM675" s="7">
        <f>32.4</f>
        <v>32.4</v>
      </c>
      <c r="DN675" s="5" t="s">
        <v>238</v>
      </c>
      <c r="DO675" s="5" t="s">
        <v>238</v>
      </c>
      <c r="DP675" s="5" t="s">
        <v>238</v>
      </c>
      <c r="DQ675" s="5" t="s">
        <v>238</v>
      </c>
      <c r="DT675" s="5" t="s">
        <v>2856</v>
      </c>
      <c r="DU675" s="5" t="s">
        <v>356</v>
      </c>
      <c r="HM675" s="5" t="s">
        <v>271</v>
      </c>
      <c r="HP675" s="5" t="s">
        <v>272</v>
      </c>
      <c r="HQ675" s="5" t="s">
        <v>272</v>
      </c>
    </row>
    <row r="676" spans="1:225" x14ac:dyDescent="0.4">
      <c r="A676" s="5">
        <v>765</v>
      </c>
      <c r="B676" s="5">
        <v>1</v>
      </c>
      <c r="C676" s="5">
        <v>1</v>
      </c>
      <c r="D676" s="5" t="s">
        <v>2853</v>
      </c>
      <c r="E676" s="5" t="s">
        <v>277</v>
      </c>
      <c r="F676" s="5" t="s">
        <v>282</v>
      </c>
      <c r="G676" s="5" t="s">
        <v>2491</v>
      </c>
      <c r="H676" s="6" t="s">
        <v>2855</v>
      </c>
      <c r="I676" s="5" t="s">
        <v>2482</v>
      </c>
      <c r="J676" s="7">
        <f>32.4</f>
        <v>32.4</v>
      </c>
      <c r="K676" s="5" t="s">
        <v>270</v>
      </c>
      <c r="L676" s="8">
        <f>1</f>
        <v>1</v>
      </c>
      <c r="M676" s="8">
        <f>3240000</f>
        <v>3240000</v>
      </c>
      <c r="N676" s="6" t="s">
        <v>2854</v>
      </c>
      <c r="O676" s="5" t="s">
        <v>286</v>
      </c>
      <c r="P676" s="5" t="s">
        <v>1793</v>
      </c>
      <c r="R676" s="8">
        <f>3239999</f>
        <v>3239999</v>
      </c>
      <c r="S676" s="5" t="s">
        <v>240</v>
      </c>
      <c r="T676" s="5" t="s">
        <v>237</v>
      </c>
      <c r="U676" s="5" t="s">
        <v>238</v>
      </c>
      <c r="V676" s="5" t="s">
        <v>238</v>
      </c>
      <c r="W676" s="5" t="s">
        <v>241</v>
      </c>
      <c r="X676" s="5" t="s">
        <v>276</v>
      </c>
      <c r="Y676" s="5" t="s">
        <v>238</v>
      </c>
      <c r="AB676" s="5" t="s">
        <v>238</v>
      </c>
      <c r="AD676" s="6" t="s">
        <v>238</v>
      </c>
      <c r="AG676" s="6" t="s">
        <v>246</v>
      </c>
      <c r="AH676" s="5" t="s">
        <v>247</v>
      </c>
      <c r="AI676" s="5" t="s">
        <v>248</v>
      </c>
      <c r="AY676" s="5" t="s">
        <v>250</v>
      </c>
      <c r="AZ676" s="5" t="s">
        <v>238</v>
      </c>
      <c r="BA676" s="5" t="s">
        <v>251</v>
      </c>
      <c r="BB676" s="5" t="s">
        <v>238</v>
      </c>
      <c r="BC676" s="5" t="s">
        <v>253</v>
      </c>
      <c r="BD676" s="5" t="s">
        <v>238</v>
      </c>
      <c r="BF676" s="5" t="s">
        <v>238</v>
      </c>
      <c r="BH676" s="5" t="s">
        <v>254</v>
      </c>
      <c r="BI676" s="6" t="s">
        <v>246</v>
      </c>
      <c r="BJ676" s="5" t="s">
        <v>255</v>
      </c>
      <c r="BK676" s="5" t="s">
        <v>256</v>
      </c>
      <c r="BL676" s="5" t="s">
        <v>238</v>
      </c>
      <c r="BM676" s="7">
        <f>0</f>
        <v>0</v>
      </c>
      <c r="BN676" s="8">
        <f>0</f>
        <v>0</v>
      </c>
      <c r="BO676" s="5" t="s">
        <v>257</v>
      </c>
      <c r="BP676" s="5" t="s">
        <v>258</v>
      </c>
      <c r="CD676" s="5" t="s">
        <v>238</v>
      </c>
      <c r="CE676" s="5" t="s">
        <v>238</v>
      </c>
      <c r="CI676" s="5" t="s">
        <v>527</v>
      </c>
      <c r="CJ676" s="5" t="s">
        <v>260</v>
      </c>
      <c r="CK676" s="5" t="s">
        <v>238</v>
      </c>
      <c r="CM676" s="5" t="s">
        <v>1792</v>
      </c>
      <c r="CN676" s="6" t="s">
        <v>262</v>
      </c>
      <c r="CO676" s="5" t="s">
        <v>263</v>
      </c>
      <c r="CP676" s="5" t="s">
        <v>264</v>
      </c>
      <c r="CQ676" s="5" t="s">
        <v>238</v>
      </c>
      <c r="CR676" s="5" t="s">
        <v>238</v>
      </c>
      <c r="CS676" s="5">
        <v>0</v>
      </c>
      <c r="CT676" s="5" t="s">
        <v>265</v>
      </c>
      <c r="CU676" s="5" t="s">
        <v>1360</v>
      </c>
      <c r="CV676" s="5" t="s">
        <v>267</v>
      </c>
      <c r="CX676" s="8">
        <f>3240000</f>
        <v>3240000</v>
      </c>
      <c r="CY676" s="8">
        <f>0</f>
        <v>0</v>
      </c>
      <c r="DA676" s="5" t="s">
        <v>238</v>
      </c>
      <c r="DB676" s="5" t="s">
        <v>238</v>
      </c>
      <c r="DD676" s="5" t="s">
        <v>238</v>
      </c>
      <c r="DG676" s="5" t="s">
        <v>238</v>
      </c>
      <c r="DH676" s="5" t="s">
        <v>238</v>
      </c>
      <c r="DI676" s="5" t="s">
        <v>238</v>
      </c>
      <c r="DJ676" s="5" t="s">
        <v>238</v>
      </c>
      <c r="DK676" s="5" t="s">
        <v>271</v>
      </c>
      <c r="DL676" s="5" t="s">
        <v>272</v>
      </c>
      <c r="DM676" s="7">
        <f>32.4</f>
        <v>32.4</v>
      </c>
      <c r="DN676" s="5" t="s">
        <v>238</v>
      </c>
      <c r="DO676" s="5" t="s">
        <v>238</v>
      </c>
      <c r="DP676" s="5" t="s">
        <v>238</v>
      </c>
      <c r="DQ676" s="5" t="s">
        <v>238</v>
      </c>
      <c r="DT676" s="5" t="s">
        <v>2856</v>
      </c>
      <c r="DU676" s="5" t="s">
        <v>310</v>
      </c>
      <c r="HM676" s="5" t="s">
        <v>271</v>
      </c>
      <c r="HP676" s="5" t="s">
        <v>272</v>
      </c>
      <c r="HQ676" s="5" t="s">
        <v>272</v>
      </c>
    </row>
    <row r="677" spans="1:225" x14ac:dyDescent="0.4">
      <c r="A677" s="5">
        <v>766</v>
      </c>
      <c r="B677" s="5">
        <v>1</v>
      </c>
      <c r="C677" s="5">
        <v>1</v>
      </c>
      <c r="D677" s="5" t="s">
        <v>2849</v>
      </c>
      <c r="E677" s="5" t="s">
        <v>277</v>
      </c>
      <c r="F677" s="5" t="s">
        <v>282</v>
      </c>
      <c r="G677" s="5" t="s">
        <v>2491</v>
      </c>
      <c r="H677" s="6" t="s">
        <v>2851</v>
      </c>
      <c r="I677" s="5" t="s">
        <v>2495</v>
      </c>
      <c r="J677" s="7">
        <f>83.14</f>
        <v>83.14</v>
      </c>
      <c r="K677" s="5" t="s">
        <v>270</v>
      </c>
      <c r="L677" s="8">
        <f>1</f>
        <v>1</v>
      </c>
      <c r="M677" s="8">
        <f>7482600</f>
        <v>7482600</v>
      </c>
      <c r="N677" s="6" t="s">
        <v>2850</v>
      </c>
      <c r="O677" s="5" t="s">
        <v>784</v>
      </c>
      <c r="P677" s="5" t="s">
        <v>922</v>
      </c>
      <c r="R677" s="8">
        <f>7482599</f>
        <v>7482599</v>
      </c>
      <c r="S677" s="5" t="s">
        <v>240</v>
      </c>
      <c r="T677" s="5" t="s">
        <v>237</v>
      </c>
      <c r="U677" s="5" t="s">
        <v>238</v>
      </c>
      <c r="V677" s="5" t="s">
        <v>238</v>
      </c>
      <c r="W677" s="5" t="s">
        <v>241</v>
      </c>
      <c r="X677" s="5" t="s">
        <v>276</v>
      </c>
      <c r="Y677" s="5" t="s">
        <v>238</v>
      </c>
      <c r="AB677" s="5" t="s">
        <v>238</v>
      </c>
      <c r="AD677" s="6" t="s">
        <v>238</v>
      </c>
      <c r="AG677" s="6" t="s">
        <v>246</v>
      </c>
      <c r="AH677" s="5" t="s">
        <v>247</v>
      </c>
      <c r="AI677" s="5" t="s">
        <v>248</v>
      </c>
      <c r="AY677" s="5" t="s">
        <v>250</v>
      </c>
      <c r="AZ677" s="5" t="s">
        <v>238</v>
      </c>
      <c r="BA677" s="5" t="s">
        <v>251</v>
      </c>
      <c r="BB677" s="5" t="s">
        <v>238</v>
      </c>
      <c r="BC677" s="5" t="s">
        <v>253</v>
      </c>
      <c r="BD677" s="5" t="s">
        <v>238</v>
      </c>
      <c r="BF677" s="5" t="s">
        <v>238</v>
      </c>
      <c r="BH677" s="5" t="s">
        <v>254</v>
      </c>
      <c r="BI677" s="6" t="s">
        <v>246</v>
      </c>
      <c r="BJ677" s="5" t="s">
        <v>255</v>
      </c>
      <c r="BK677" s="5" t="s">
        <v>256</v>
      </c>
      <c r="BL677" s="5" t="s">
        <v>238</v>
      </c>
      <c r="BM677" s="7">
        <f>0</f>
        <v>0</v>
      </c>
      <c r="BN677" s="8">
        <f>0</f>
        <v>0</v>
      </c>
      <c r="BO677" s="5" t="s">
        <v>257</v>
      </c>
      <c r="BP677" s="5" t="s">
        <v>258</v>
      </c>
      <c r="CD677" s="5" t="s">
        <v>238</v>
      </c>
      <c r="CE677" s="5" t="s">
        <v>238</v>
      </c>
      <c r="CI677" s="5" t="s">
        <v>527</v>
      </c>
      <c r="CJ677" s="5" t="s">
        <v>260</v>
      </c>
      <c r="CK677" s="5" t="s">
        <v>238</v>
      </c>
      <c r="CM677" s="5" t="s">
        <v>921</v>
      </c>
      <c r="CN677" s="6" t="s">
        <v>262</v>
      </c>
      <c r="CO677" s="5" t="s">
        <v>263</v>
      </c>
      <c r="CP677" s="5" t="s">
        <v>264</v>
      </c>
      <c r="CQ677" s="5" t="s">
        <v>238</v>
      </c>
      <c r="CR677" s="5" t="s">
        <v>238</v>
      </c>
      <c r="CS677" s="5">
        <v>0</v>
      </c>
      <c r="CT677" s="5" t="s">
        <v>265</v>
      </c>
      <c r="CU677" s="5" t="s">
        <v>1360</v>
      </c>
      <c r="CV677" s="5" t="s">
        <v>331</v>
      </c>
      <c r="CX677" s="8">
        <f>7482600</f>
        <v>7482600</v>
      </c>
      <c r="CY677" s="8">
        <f>0</f>
        <v>0</v>
      </c>
      <c r="DA677" s="5" t="s">
        <v>238</v>
      </c>
      <c r="DB677" s="5" t="s">
        <v>238</v>
      </c>
      <c r="DD677" s="5" t="s">
        <v>238</v>
      </c>
      <c r="DG677" s="5" t="s">
        <v>238</v>
      </c>
      <c r="DH677" s="5" t="s">
        <v>238</v>
      </c>
      <c r="DI677" s="5" t="s">
        <v>238</v>
      </c>
      <c r="DJ677" s="5" t="s">
        <v>238</v>
      </c>
      <c r="DK677" s="5" t="s">
        <v>271</v>
      </c>
      <c r="DL677" s="5" t="s">
        <v>272</v>
      </c>
      <c r="DM677" s="7">
        <f>83.14</f>
        <v>83.14</v>
      </c>
      <c r="DN677" s="5" t="s">
        <v>238</v>
      </c>
      <c r="DO677" s="5" t="s">
        <v>238</v>
      </c>
      <c r="DP677" s="5" t="s">
        <v>238</v>
      </c>
      <c r="DQ677" s="5" t="s">
        <v>238</v>
      </c>
      <c r="DT677" s="5" t="s">
        <v>2852</v>
      </c>
      <c r="DU677" s="5" t="s">
        <v>271</v>
      </c>
      <c r="HM677" s="5" t="s">
        <v>271</v>
      </c>
      <c r="HP677" s="5" t="s">
        <v>272</v>
      </c>
      <c r="HQ677" s="5" t="s">
        <v>272</v>
      </c>
    </row>
    <row r="678" spans="1:225" x14ac:dyDescent="0.4">
      <c r="A678" s="5">
        <v>767</v>
      </c>
      <c r="B678" s="5">
        <v>1</v>
      </c>
      <c r="C678" s="5">
        <v>1</v>
      </c>
      <c r="D678" s="5" t="s">
        <v>2849</v>
      </c>
      <c r="E678" s="5" t="s">
        <v>277</v>
      </c>
      <c r="F678" s="5" t="s">
        <v>282</v>
      </c>
      <c r="G678" s="5" t="s">
        <v>2491</v>
      </c>
      <c r="H678" s="6" t="s">
        <v>2851</v>
      </c>
      <c r="I678" s="5" t="s">
        <v>2505</v>
      </c>
      <c r="J678" s="7">
        <f>166.28</f>
        <v>166.28</v>
      </c>
      <c r="K678" s="5" t="s">
        <v>270</v>
      </c>
      <c r="L678" s="8">
        <f>1</f>
        <v>1</v>
      </c>
      <c r="M678" s="8">
        <f>14965200</f>
        <v>14965200</v>
      </c>
      <c r="N678" s="6" t="s">
        <v>2850</v>
      </c>
      <c r="O678" s="5" t="s">
        <v>784</v>
      </c>
      <c r="P678" s="5" t="s">
        <v>922</v>
      </c>
      <c r="R678" s="8">
        <f>14965199</f>
        <v>14965199</v>
      </c>
      <c r="S678" s="5" t="s">
        <v>240</v>
      </c>
      <c r="T678" s="5" t="s">
        <v>237</v>
      </c>
      <c r="U678" s="5" t="s">
        <v>238</v>
      </c>
      <c r="V678" s="5" t="s">
        <v>238</v>
      </c>
      <c r="W678" s="5" t="s">
        <v>241</v>
      </c>
      <c r="X678" s="5" t="s">
        <v>276</v>
      </c>
      <c r="Y678" s="5" t="s">
        <v>238</v>
      </c>
      <c r="AB678" s="5" t="s">
        <v>238</v>
      </c>
      <c r="AD678" s="6" t="s">
        <v>238</v>
      </c>
      <c r="AG678" s="6" t="s">
        <v>246</v>
      </c>
      <c r="AH678" s="5" t="s">
        <v>247</v>
      </c>
      <c r="AI678" s="5" t="s">
        <v>248</v>
      </c>
      <c r="AY678" s="5" t="s">
        <v>250</v>
      </c>
      <c r="AZ678" s="5" t="s">
        <v>238</v>
      </c>
      <c r="BA678" s="5" t="s">
        <v>251</v>
      </c>
      <c r="BB678" s="5" t="s">
        <v>238</v>
      </c>
      <c r="BC678" s="5" t="s">
        <v>253</v>
      </c>
      <c r="BD678" s="5" t="s">
        <v>238</v>
      </c>
      <c r="BF678" s="5" t="s">
        <v>238</v>
      </c>
      <c r="BH678" s="5" t="s">
        <v>859</v>
      </c>
      <c r="BI678" s="6" t="s">
        <v>368</v>
      </c>
      <c r="BJ678" s="5" t="s">
        <v>255</v>
      </c>
      <c r="BK678" s="5" t="s">
        <v>256</v>
      </c>
      <c r="BL678" s="5" t="s">
        <v>238</v>
      </c>
      <c r="BM678" s="7">
        <f>0</f>
        <v>0</v>
      </c>
      <c r="BN678" s="8">
        <f>0</f>
        <v>0</v>
      </c>
      <c r="BO678" s="5" t="s">
        <v>257</v>
      </c>
      <c r="BP678" s="5" t="s">
        <v>258</v>
      </c>
      <c r="CD678" s="5" t="s">
        <v>238</v>
      </c>
      <c r="CE678" s="5" t="s">
        <v>238</v>
      </c>
      <c r="CI678" s="5" t="s">
        <v>527</v>
      </c>
      <c r="CJ678" s="5" t="s">
        <v>260</v>
      </c>
      <c r="CK678" s="5" t="s">
        <v>238</v>
      </c>
      <c r="CM678" s="5" t="s">
        <v>921</v>
      </c>
      <c r="CN678" s="6" t="s">
        <v>262</v>
      </c>
      <c r="CO678" s="5" t="s">
        <v>263</v>
      </c>
      <c r="CP678" s="5" t="s">
        <v>264</v>
      </c>
      <c r="CQ678" s="5" t="s">
        <v>238</v>
      </c>
      <c r="CR678" s="5" t="s">
        <v>238</v>
      </c>
      <c r="CS678" s="5">
        <v>0</v>
      </c>
      <c r="CT678" s="5" t="s">
        <v>265</v>
      </c>
      <c r="CU678" s="5" t="s">
        <v>1360</v>
      </c>
      <c r="CV678" s="5" t="s">
        <v>331</v>
      </c>
      <c r="CX678" s="8">
        <f>14965200</f>
        <v>14965200</v>
      </c>
      <c r="CY678" s="8">
        <f>0</f>
        <v>0</v>
      </c>
      <c r="DA678" s="5" t="s">
        <v>238</v>
      </c>
      <c r="DB678" s="5" t="s">
        <v>238</v>
      </c>
      <c r="DD678" s="5" t="s">
        <v>238</v>
      </c>
      <c r="DG678" s="5" t="s">
        <v>238</v>
      </c>
      <c r="DH678" s="5" t="s">
        <v>238</v>
      </c>
      <c r="DI678" s="5" t="s">
        <v>238</v>
      </c>
      <c r="DJ678" s="5" t="s">
        <v>238</v>
      </c>
      <c r="DK678" s="5" t="s">
        <v>271</v>
      </c>
      <c r="DL678" s="5" t="s">
        <v>272</v>
      </c>
      <c r="DM678" s="7">
        <f>166.28</f>
        <v>166.28</v>
      </c>
      <c r="DN678" s="5" t="s">
        <v>238</v>
      </c>
      <c r="DO678" s="5" t="s">
        <v>238</v>
      </c>
      <c r="DP678" s="5" t="s">
        <v>238</v>
      </c>
      <c r="DQ678" s="5" t="s">
        <v>238</v>
      </c>
      <c r="DT678" s="5" t="s">
        <v>2852</v>
      </c>
      <c r="DU678" s="5" t="s">
        <v>274</v>
      </c>
      <c r="HM678" s="5" t="s">
        <v>271</v>
      </c>
      <c r="HP678" s="5" t="s">
        <v>272</v>
      </c>
      <c r="HQ678" s="5" t="s">
        <v>272</v>
      </c>
    </row>
    <row r="679" spans="1:225" x14ac:dyDescent="0.4">
      <c r="A679" s="5">
        <v>768</v>
      </c>
      <c r="B679" s="5">
        <v>1</v>
      </c>
      <c r="C679" s="5">
        <v>1</v>
      </c>
      <c r="D679" s="5" t="s">
        <v>2849</v>
      </c>
      <c r="E679" s="5" t="s">
        <v>277</v>
      </c>
      <c r="F679" s="5" t="s">
        <v>282</v>
      </c>
      <c r="G679" s="5" t="s">
        <v>2491</v>
      </c>
      <c r="H679" s="6" t="s">
        <v>2851</v>
      </c>
      <c r="I679" s="5" t="s">
        <v>2504</v>
      </c>
      <c r="J679" s="7">
        <f>166.28</f>
        <v>166.28</v>
      </c>
      <c r="K679" s="5" t="s">
        <v>270</v>
      </c>
      <c r="L679" s="8">
        <f>1</f>
        <v>1</v>
      </c>
      <c r="M679" s="8">
        <f>14965200</f>
        <v>14965200</v>
      </c>
      <c r="N679" s="6" t="s">
        <v>2850</v>
      </c>
      <c r="O679" s="5" t="s">
        <v>784</v>
      </c>
      <c r="P679" s="5" t="s">
        <v>922</v>
      </c>
      <c r="R679" s="8">
        <f>14965199</f>
        <v>14965199</v>
      </c>
      <c r="S679" s="5" t="s">
        <v>240</v>
      </c>
      <c r="T679" s="5" t="s">
        <v>237</v>
      </c>
      <c r="U679" s="5" t="s">
        <v>238</v>
      </c>
      <c r="V679" s="5" t="s">
        <v>238</v>
      </c>
      <c r="W679" s="5" t="s">
        <v>241</v>
      </c>
      <c r="X679" s="5" t="s">
        <v>276</v>
      </c>
      <c r="Y679" s="5" t="s">
        <v>238</v>
      </c>
      <c r="AB679" s="5" t="s">
        <v>238</v>
      </c>
      <c r="AD679" s="6" t="s">
        <v>238</v>
      </c>
      <c r="AG679" s="6" t="s">
        <v>246</v>
      </c>
      <c r="AH679" s="5" t="s">
        <v>247</v>
      </c>
      <c r="AI679" s="5" t="s">
        <v>248</v>
      </c>
      <c r="AY679" s="5" t="s">
        <v>250</v>
      </c>
      <c r="AZ679" s="5" t="s">
        <v>238</v>
      </c>
      <c r="BA679" s="5" t="s">
        <v>251</v>
      </c>
      <c r="BB679" s="5" t="s">
        <v>238</v>
      </c>
      <c r="BC679" s="5" t="s">
        <v>253</v>
      </c>
      <c r="BD679" s="5" t="s">
        <v>238</v>
      </c>
      <c r="BF679" s="5" t="s">
        <v>238</v>
      </c>
      <c r="BH679" s="5" t="s">
        <v>697</v>
      </c>
      <c r="BI679" s="6" t="s">
        <v>698</v>
      </c>
      <c r="BJ679" s="5" t="s">
        <v>255</v>
      </c>
      <c r="BK679" s="5" t="s">
        <v>256</v>
      </c>
      <c r="BL679" s="5" t="s">
        <v>238</v>
      </c>
      <c r="BM679" s="7">
        <f>0</f>
        <v>0</v>
      </c>
      <c r="BN679" s="8">
        <f>0</f>
        <v>0</v>
      </c>
      <c r="BO679" s="5" t="s">
        <v>257</v>
      </c>
      <c r="BP679" s="5" t="s">
        <v>258</v>
      </c>
      <c r="CD679" s="5" t="s">
        <v>238</v>
      </c>
      <c r="CE679" s="5" t="s">
        <v>238</v>
      </c>
      <c r="CI679" s="5" t="s">
        <v>527</v>
      </c>
      <c r="CJ679" s="5" t="s">
        <v>260</v>
      </c>
      <c r="CK679" s="5" t="s">
        <v>238</v>
      </c>
      <c r="CM679" s="5" t="s">
        <v>921</v>
      </c>
      <c r="CN679" s="6" t="s">
        <v>262</v>
      </c>
      <c r="CO679" s="5" t="s">
        <v>263</v>
      </c>
      <c r="CP679" s="5" t="s">
        <v>264</v>
      </c>
      <c r="CQ679" s="5" t="s">
        <v>238</v>
      </c>
      <c r="CR679" s="5" t="s">
        <v>238</v>
      </c>
      <c r="CS679" s="5">
        <v>0</v>
      </c>
      <c r="CT679" s="5" t="s">
        <v>265</v>
      </c>
      <c r="CU679" s="5" t="s">
        <v>1360</v>
      </c>
      <c r="CV679" s="5" t="s">
        <v>331</v>
      </c>
      <c r="CX679" s="8">
        <f>14965200</f>
        <v>14965200</v>
      </c>
      <c r="CY679" s="8">
        <f>0</f>
        <v>0</v>
      </c>
      <c r="DA679" s="5" t="s">
        <v>238</v>
      </c>
      <c r="DB679" s="5" t="s">
        <v>238</v>
      </c>
      <c r="DD679" s="5" t="s">
        <v>238</v>
      </c>
      <c r="DG679" s="5" t="s">
        <v>238</v>
      </c>
      <c r="DH679" s="5" t="s">
        <v>238</v>
      </c>
      <c r="DI679" s="5" t="s">
        <v>238</v>
      </c>
      <c r="DJ679" s="5" t="s">
        <v>238</v>
      </c>
      <c r="DK679" s="5" t="s">
        <v>271</v>
      </c>
      <c r="DL679" s="5" t="s">
        <v>272</v>
      </c>
      <c r="DM679" s="7">
        <f>166.28</f>
        <v>166.28</v>
      </c>
      <c r="DN679" s="5" t="s">
        <v>238</v>
      </c>
      <c r="DO679" s="5" t="s">
        <v>238</v>
      </c>
      <c r="DP679" s="5" t="s">
        <v>238</v>
      </c>
      <c r="DQ679" s="5" t="s">
        <v>238</v>
      </c>
      <c r="DT679" s="5" t="s">
        <v>2852</v>
      </c>
      <c r="DU679" s="5" t="s">
        <v>356</v>
      </c>
      <c r="HM679" s="5" t="s">
        <v>271</v>
      </c>
      <c r="HP679" s="5" t="s">
        <v>272</v>
      </c>
      <c r="HQ679" s="5" t="s">
        <v>272</v>
      </c>
    </row>
    <row r="680" spans="1:225" x14ac:dyDescent="0.4">
      <c r="A680" s="5">
        <v>769</v>
      </c>
      <c r="B680" s="5">
        <v>1</v>
      </c>
      <c r="C680" s="5">
        <v>1</v>
      </c>
      <c r="D680" s="5" t="s">
        <v>2527</v>
      </c>
      <c r="E680" s="5" t="s">
        <v>277</v>
      </c>
      <c r="F680" s="5" t="s">
        <v>282</v>
      </c>
      <c r="G680" s="5" t="s">
        <v>2491</v>
      </c>
      <c r="H680" s="6" t="s">
        <v>2529</v>
      </c>
      <c r="I680" s="5" t="s">
        <v>2495</v>
      </c>
      <c r="J680" s="7">
        <f>311.45</f>
        <v>311.45</v>
      </c>
      <c r="K680" s="5" t="s">
        <v>270</v>
      </c>
      <c r="L680" s="8">
        <f>1</f>
        <v>1</v>
      </c>
      <c r="M680" s="8">
        <f>32702250</f>
        <v>32702250</v>
      </c>
      <c r="N680" s="6" t="s">
        <v>2528</v>
      </c>
      <c r="O680" s="5" t="s">
        <v>639</v>
      </c>
      <c r="P680" s="5" t="s">
        <v>639</v>
      </c>
      <c r="R680" s="8">
        <f>32702249</f>
        <v>32702249</v>
      </c>
      <c r="S680" s="5" t="s">
        <v>240</v>
      </c>
      <c r="T680" s="5" t="s">
        <v>237</v>
      </c>
      <c r="U680" s="5" t="s">
        <v>238</v>
      </c>
      <c r="V680" s="5" t="s">
        <v>238</v>
      </c>
      <c r="W680" s="5" t="s">
        <v>241</v>
      </c>
      <c r="X680" s="5" t="s">
        <v>276</v>
      </c>
      <c r="Y680" s="5" t="s">
        <v>238</v>
      </c>
      <c r="AB680" s="5" t="s">
        <v>238</v>
      </c>
      <c r="AD680" s="6" t="s">
        <v>238</v>
      </c>
      <c r="AG680" s="6" t="s">
        <v>246</v>
      </c>
      <c r="AH680" s="5" t="s">
        <v>247</v>
      </c>
      <c r="AI680" s="5" t="s">
        <v>248</v>
      </c>
      <c r="AY680" s="5" t="s">
        <v>250</v>
      </c>
      <c r="AZ680" s="5" t="s">
        <v>238</v>
      </c>
      <c r="BA680" s="5" t="s">
        <v>251</v>
      </c>
      <c r="BB680" s="5" t="s">
        <v>238</v>
      </c>
      <c r="BC680" s="5" t="s">
        <v>253</v>
      </c>
      <c r="BD680" s="5" t="s">
        <v>238</v>
      </c>
      <c r="BF680" s="5" t="s">
        <v>238</v>
      </c>
      <c r="BH680" s="5" t="s">
        <v>798</v>
      </c>
      <c r="BI680" s="6" t="s">
        <v>799</v>
      </c>
      <c r="BJ680" s="5" t="s">
        <v>255</v>
      </c>
      <c r="BK680" s="5" t="s">
        <v>294</v>
      </c>
      <c r="BL680" s="5" t="s">
        <v>238</v>
      </c>
      <c r="BM680" s="7">
        <f>0</f>
        <v>0</v>
      </c>
      <c r="BN680" s="8">
        <f>0</f>
        <v>0</v>
      </c>
      <c r="BO680" s="5" t="s">
        <v>257</v>
      </c>
      <c r="BP680" s="5" t="s">
        <v>258</v>
      </c>
      <c r="CD680" s="5" t="s">
        <v>238</v>
      </c>
      <c r="CE680" s="5" t="s">
        <v>238</v>
      </c>
      <c r="CI680" s="5" t="s">
        <v>527</v>
      </c>
      <c r="CJ680" s="5" t="s">
        <v>260</v>
      </c>
      <c r="CK680" s="5" t="s">
        <v>238</v>
      </c>
      <c r="CM680" s="5" t="s">
        <v>1020</v>
      </c>
      <c r="CN680" s="6" t="s">
        <v>262</v>
      </c>
      <c r="CO680" s="5" t="s">
        <v>263</v>
      </c>
      <c r="CP680" s="5" t="s">
        <v>264</v>
      </c>
      <c r="CQ680" s="5" t="s">
        <v>238</v>
      </c>
      <c r="CR680" s="5" t="s">
        <v>238</v>
      </c>
      <c r="CS680" s="5">
        <v>0</v>
      </c>
      <c r="CT680" s="5" t="s">
        <v>265</v>
      </c>
      <c r="CU680" s="5" t="s">
        <v>1360</v>
      </c>
      <c r="CV680" s="5" t="s">
        <v>2508</v>
      </c>
      <c r="CX680" s="8">
        <f>32702250</f>
        <v>32702250</v>
      </c>
      <c r="CY680" s="8">
        <f>0</f>
        <v>0</v>
      </c>
      <c r="DA680" s="5" t="s">
        <v>238</v>
      </c>
      <c r="DB680" s="5" t="s">
        <v>238</v>
      </c>
      <c r="DD680" s="5" t="s">
        <v>238</v>
      </c>
      <c r="DG680" s="5" t="s">
        <v>238</v>
      </c>
      <c r="DH680" s="5" t="s">
        <v>238</v>
      </c>
      <c r="DI680" s="5" t="s">
        <v>238</v>
      </c>
      <c r="DJ680" s="5" t="s">
        <v>238</v>
      </c>
      <c r="DK680" s="5" t="s">
        <v>274</v>
      </c>
      <c r="DL680" s="5" t="s">
        <v>272</v>
      </c>
      <c r="DM680" s="7">
        <f>311.45</f>
        <v>311.45</v>
      </c>
      <c r="DN680" s="5" t="s">
        <v>238</v>
      </c>
      <c r="DO680" s="5" t="s">
        <v>238</v>
      </c>
      <c r="DP680" s="5" t="s">
        <v>238</v>
      </c>
      <c r="DQ680" s="5" t="s">
        <v>238</v>
      </c>
      <c r="DT680" s="5" t="s">
        <v>2530</v>
      </c>
      <c r="DU680" s="5" t="s">
        <v>271</v>
      </c>
      <c r="HM680" s="5" t="s">
        <v>379</v>
      </c>
      <c r="HP680" s="5" t="s">
        <v>272</v>
      </c>
      <c r="HQ680" s="5" t="s">
        <v>272</v>
      </c>
    </row>
    <row r="681" spans="1:225" x14ac:dyDescent="0.4">
      <c r="A681" s="5">
        <v>770</v>
      </c>
      <c r="B681" s="5">
        <v>1</v>
      </c>
      <c r="C681" s="5">
        <v>1</v>
      </c>
      <c r="D681" s="5" t="s">
        <v>2527</v>
      </c>
      <c r="E681" s="5" t="s">
        <v>277</v>
      </c>
      <c r="F681" s="5" t="s">
        <v>282</v>
      </c>
      <c r="G681" s="5" t="s">
        <v>2491</v>
      </c>
      <c r="H681" s="6" t="s">
        <v>2529</v>
      </c>
      <c r="I681" s="5" t="s">
        <v>2505</v>
      </c>
      <c r="J681" s="7">
        <f>311.45</f>
        <v>311.45</v>
      </c>
      <c r="K681" s="5" t="s">
        <v>270</v>
      </c>
      <c r="L681" s="8">
        <f>1</f>
        <v>1</v>
      </c>
      <c r="M681" s="8">
        <f>32702250</f>
        <v>32702250</v>
      </c>
      <c r="N681" s="6" t="s">
        <v>2528</v>
      </c>
      <c r="O681" s="5" t="s">
        <v>639</v>
      </c>
      <c r="P681" s="5" t="s">
        <v>639</v>
      </c>
      <c r="R681" s="8">
        <f>32702249</f>
        <v>32702249</v>
      </c>
      <c r="S681" s="5" t="s">
        <v>240</v>
      </c>
      <c r="T681" s="5" t="s">
        <v>237</v>
      </c>
      <c r="U681" s="5" t="s">
        <v>238</v>
      </c>
      <c r="V681" s="5" t="s">
        <v>238</v>
      </c>
      <c r="W681" s="5" t="s">
        <v>241</v>
      </c>
      <c r="X681" s="5" t="s">
        <v>276</v>
      </c>
      <c r="Y681" s="5" t="s">
        <v>238</v>
      </c>
      <c r="AB681" s="5" t="s">
        <v>238</v>
      </c>
      <c r="AD681" s="6" t="s">
        <v>238</v>
      </c>
      <c r="AG681" s="6" t="s">
        <v>246</v>
      </c>
      <c r="AH681" s="5" t="s">
        <v>247</v>
      </c>
      <c r="AI681" s="5" t="s">
        <v>248</v>
      </c>
      <c r="AY681" s="5" t="s">
        <v>250</v>
      </c>
      <c r="AZ681" s="5" t="s">
        <v>238</v>
      </c>
      <c r="BA681" s="5" t="s">
        <v>251</v>
      </c>
      <c r="BB681" s="5" t="s">
        <v>238</v>
      </c>
      <c r="BC681" s="5" t="s">
        <v>253</v>
      </c>
      <c r="BD681" s="5" t="s">
        <v>238</v>
      </c>
      <c r="BF681" s="5" t="s">
        <v>238</v>
      </c>
      <c r="BH681" s="5" t="s">
        <v>254</v>
      </c>
      <c r="BI681" s="6" t="s">
        <v>246</v>
      </c>
      <c r="BJ681" s="5" t="s">
        <v>255</v>
      </c>
      <c r="BK681" s="5" t="s">
        <v>294</v>
      </c>
      <c r="BL681" s="5" t="s">
        <v>238</v>
      </c>
      <c r="BM681" s="7">
        <f>0</f>
        <v>0</v>
      </c>
      <c r="BN681" s="8">
        <f>0</f>
        <v>0</v>
      </c>
      <c r="BO681" s="5" t="s">
        <v>257</v>
      </c>
      <c r="BP681" s="5" t="s">
        <v>258</v>
      </c>
      <c r="CD681" s="5" t="s">
        <v>238</v>
      </c>
      <c r="CE681" s="5" t="s">
        <v>238</v>
      </c>
      <c r="CI681" s="5" t="s">
        <v>527</v>
      </c>
      <c r="CJ681" s="5" t="s">
        <v>260</v>
      </c>
      <c r="CK681" s="5" t="s">
        <v>238</v>
      </c>
      <c r="CM681" s="5" t="s">
        <v>1020</v>
      </c>
      <c r="CN681" s="6" t="s">
        <v>262</v>
      </c>
      <c r="CO681" s="5" t="s">
        <v>263</v>
      </c>
      <c r="CP681" s="5" t="s">
        <v>264</v>
      </c>
      <c r="CQ681" s="5" t="s">
        <v>238</v>
      </c>
      <c r="CR681" s="5" t="s">
        <v>238</v>
      </c>
      <c r="CS681" s="5">
        <v>0</v>
      </c>
      <c r="CT681" s="5" t="s">
        <v>265</v>
      </c>
      <c r="CU681" s="5" t="s">
        <v>1360</v>
      </c>
      <c r="CV681" s="5" t="s">
        <v>2508</v>
      </c>
      <c r="CX681" s="8">
        <f>32702250</f>
        <v>32702250</v>
      </c>
      <c r="CY681" s="8">
        <f>0</f>
        <v>0</v>
      </c>
      <c r="DA681" s="5" t="s">
        <v>238</v>
      </c>
      <c r="DB681" s="5" t="s">
        <v>238</v>
      </c>
      <c r="DD681" s="5" t="s">
        <v>238</v>
      </c>
      <c r="DG681" s="5" t="s">
        <v>238</v>
      </c>
      <c r="DH681" s="5" t="s">
        <v>238</v>
      </c>
      <c r="DI681" s="5" t="s">
        <v>238</v>
      </c>
      <c r="DJ681" s="5" t="s">
        <v>238</v>
      </c>
      <c r="DK681" s="5" t="s">
        <v>274</v>
      </c>
      <c r="DL681" s="5" t="s">
        <v>272</v>
      </c>
      <c r="DM681" s="7">
        <f>311.45</f>
        <v>311.45</v>
      </c>
      <c r="DN681" s="5" t="s">
        <v>238</v>
      </c>
      <c r="DO681" s="5" t="s">
        <v>238</v>
      </c>
      <c r="DP681" s="5" t="s">
        <v>238</v>
      </c>
      <c r="DQ681" s="5" t="s">
        <v>238</v>
      </c>
      <c r="DT681" s="5" t="s">
        <v>2530</v>
      </c>
      <c r="DU681" s="5" t="s">
        <v>274</v>
      </c>
      <c r="HM681" s="5" t="s">
        <v>379</v>
      </c>
      <c r="HP681" s="5" t="s">
        <v>272</v>
      </c>
      <c r="HQ681" s="5" t="s">
        <v>272</v>
      </c>
    </row>
    <row r="682" spans="1:225" x14ac:dyDescent="0.4">
      <c r="A682" s="5">
        <v>771</v>
      </c>
      <c r="B682" s="5">
        <v>1</v>
      </c>
      <c r="C682" s="5">
        <v>1</v>
      </c>
      <c r="D682" s="5" t="s">
        <v>2527</v>
      </c>
      <c r="E682" s="5" t="s">
        <v>277</v>
      </c>
      <c r="F682" s="5" t="s">
        <v>282</v>
      </c>
      <c r="G682" s="5" t="s">
        <v>2491</v>
      </c>
      <c r="H682" s="6" t="s">
        <v>2529</v>
      </c>
      <c r="I682" s="5" t="s">
        <v>2504</v>
      </c>
      <c r="J682" s="7">
        <f>249.16</f>
        <v>249.16</v>
      </c>
      <c r="K682" s="5" t="s">
        <v>270</v>
      </c>
      <c r="L682" s="8">
        <f>1</f>
        <v>1</v>
      </c>
      <c r="M682" s="8">
        <f>26161800</f>
        <v>26161800</v>
      </c>
      <c r="N682" s="6" t="s">
        <v>2528</v>
      </c>
      <c r="O682" s="5" t="s">
        <v>639</v>
      </c>
      <c r="P682" s="5" t="s">
        <v>639</v>
      </c>
      <c r="R682" s="8">
        <f>26161799</f>
        <v>26161799</v>
      </c>
      <c r="S682" s="5" t="s">
        <v>240</v>
      </c>
      <c r="T682" s="5" t="s">
        <v>237</v>
      </c>
      <c r="U682" s="5" t="s">
        <v>238</v>
      </c>
      <c r="V682" s="5" t="s">
        <v>238</v>
      </c>
      <c r="W682" s="5" t="s">
        <v>241</v>
      </c>
      <c r="X682" s="5" t="s">
        <v>276</v>
      </c>
      <c r="Y682" s="5" t="s">
        <v>238</v>
      </c>
      <c r="AB682" s="5" t="s">
        <v>238</v>
      </c>
      <c r="AD682" s="6" t="s">
        <v>238</v>
      </c>
      <c r="AG682" s="6" t="s">
        <v>246</v>
      </c>
      <c r="AH682" s="5" t="s">
        <v>247</v>
      </c>
      <c r="AI682" s="5" t="s">
        <v>248</v>
      </c>
      <c r="AY682" s="5" t="s">
        <v>250</v>
      </c>
      <c r="AZ682" s="5" t="s">
        <v>238</v>
      </c>
      <c r="BA682" s="5" t="s">
        <v>251</v>
      </c>
      <c r="BB682" s="5" t="s">
        <v>238</v>
      </c>
      <c r="BC682" s="5" t="s">
        <v>253</v>
      </c>
      <c r="BD682" s="5" t="s">
        <v>238</v>
      </c>
      <c r="BF682" s="5" t="s">
        <v>238</v>
      </c>
      <c r="BH682" s="5" t="s">
        <v>254</v>
      </c>
      <c r="BI682" s="6" t="s">
        <v>246</v>
      </c>
      <c r="BJ682" s="5" t="s">
        <v>255</v>
      </c>
      <c r="BK682" s="5" t="s">
        <v>294</v>
      </c>
      <c r="BL682" s="5" t="s">
        <v>238</v>
      </c>
      <c r="BM682" s="7">
        <f>0</f>
        <v>0</v>
      </c>
      <c r="BN682" s="8">
        <f>0</f>
        <v>0</v>
      </c>
      <c r="BO682" s="5" t="s">
        <v>257</v>
      </c>
      <c r="BP682" s="5" t="s">
        <v>258</v>
      </c>
      <c r="CD682" s="5" t="s">
        <v>238</v>
      </c>
      <c r="CE682" s="5" t="s">
        <v>238</v>
      </c>
      <c r="CI682" s="5" t="s">
        <v>527</v>
      </c>
      <c r="CJ682" s="5" t="s">
        <v>260</v>
      </c>
      <c r="CK682" s="5" t="s">
        <v>238</v>
      </c>
      <c r="CM682" s="5" t="s">
        <v>1020</v>
      </c>
      <c r="CN682" s="6" t="s">
        <v>262</v>
      </c>
      <c r="CO682" s="5" t="s">
        <v>263</v>
      </c>
      <c r="CP682" s="5" t="s">
        <v>264</v>
      </c>
      <c r="CQ682" s="5" t="s">
        <v>238</v>
      </c>
      <c r="CR682" s="5" t="s">
        <v>238</v>
      </c>
      <c r="CS682" s="5">
        <v>0</v>
      </c>
      <c r="CT682" s="5" t="s">
        <v>265</v>
      </c>
      <c r="CU682" s="5" t="s">
        <v>1360</v>
      </c>
      <c r="CV682" s="5" t="s">
        <v>2508</v>
      </c>
      <c r="CX682" s="8">
        <f>26161800</f>
        <v>26161800</v>
      </c>
      <c r="CY682" s="8">
        <f>0</f>
        <v>0</v>
      </c>
      <c r="DA682" s="5" t="s">
        <v>238</v>
      </c>
      <c r="DB682" s="5" t="s">
        <v>238</v>
      </c>
      <c r="DD682" s="5" t="s">
        <v>238</v>
      </c>
      <c r="DG682" s="5" t="s">
        <v>238</v>
      </c>
      <c r="DH682" s="5" t="s">
        <v>238</v>
      </c>
      <c r="DI682" s="5" t="s">
        <v>238</v>
      </c>
      <c r="DJ682" s="5" t="s">
        <v>238</v>
      </c>
      <c r="DK682" s="5" t="s">
        <v>274</v>
      </c>
      <c r="DL682" s="5" t="s">
        <v>272</v>
      </c>
      <c r="DM682" s="7">
        <f>249.16</f>
        <v>249.16</v>
      </c>
      <c r="DN682" s="5" t="s">
        <v>238</v>
      </c>
      <c r="DO682" s="5" t="s">
        <v>238</v>
      </c>
      <c r="DP682" s="5" t="s">
        <v>238</v>
      </c>
      <c r="DQ682" s="5" t="s">
        <v>238</v>
      </c>
      <c r="DT682" s="5" t="s">
        <v>2530</v>
      </c>
      <c r="DU682" s="5" t="s">
        <v>356</v>
      </c>
      <c r="HM682" s="5" t="s">
        <v>379</v>
      </c>
      <c r="HP682" s="5" t="s">
        <v>272</v>
      </c>
      <c r="HQ682" s="5" t="s">
        <v>272</v>
      </c>
    </row>
    <row r="683" spans="1:225" x14ac:dyDescent="0.4">
      <c r="A683" s="5">
        <v>773</v>
      </c>
      <c r="B683" s="5">
        <v>1</v>
      </c>
      <c r="C683" s="5">
        <v>1</v>
      </c>
      <c r="D683" s="5" t="s">
        <v>2838</v>
      </c>
      <c r="E683" s="5" t="s">
        <v>277</v>
      </c>
      <c r="F683" s="5" t="s">
        <v>282</v>
      </c>
      <c r="G683" s="5" t="s">
        <v>2491</v>
      </c>
      <c r="H683" s="6" t="s">
        <v>2840</v>
      </c>
      <c r="I683" s="5" t="s">
        <v>2495</v>
      </c>
      <c r="J683" s="7">
        <f t="shared" ref="J683:J688" si="17">122.82</f>
        <v>122.82</v>
      </c>
      <c r="K683" s="5" t="s">
        <v>270</v>
      </c>
      <c r="L683" s="8">
        <f>1</f>
        <v>1</v>
      </c>
      <c r="M683" s="8">
        <f t="shared" ref="M683:M688" si="18">18791460</f>
        <v>18791460</v>
      </c>
      <c r="N683" s="6" t="s">
        <v>2839</v>
      </c>
      <c r="O683" s="5" t="s">
        <v>286</v>
      </c>
      <c r="P683" s="5" t="s">
        <v>332</v>
      </c>
      <c r="R683" s="8">
        <f t="shared" ref="R683:R688" si="19">18791459</f>
        <v>18791459</v>
      </c>
      <c r="S683" s="5" t="s">
        <v>240</v>
      </c>
      <c r="T683" s="5" t="s">
        <v>237</v>
      </c>
      <c r="U683" s="5" t="s">
        <v>238</v>
      </c>
      <c r="V683" s="5" t="s">
        <v>238</v>
      </c>
      <c r="W683" s="5" t="s">
        <v>241</v>
      </c>
      <c r="X683" s="5" t="s">
        <v>276</v>
      </c>
      <c r="Y683" s="5" t="s">
        <v>238</v>
      </c>
      <c r="AB683" s="5" t="s">
        <v>238</v>
      </c>
      <c r="AD683" s="6" t="s">
        <v>238</v>
      </c>
      <c r="AG683" s="6" t="s">
        <v>246</v>
      </c>
      <c r="AH683" s="5" t="s">
        <v>247</v>
      </c>
      <c r="AI683" s="5" t="s">
        <v>248</v>
      </c>
      <c r="AY683" s="5" t="s">
        <v>250</v>
      </c>
      <c r="AZ683" s="5" t="s">
        <v>238</v>
      </c>
      <c r="BA683" s="5" t="s">
        <v>251</v>
      </c>
      <c r="BB683" s="5" t="s">
        <v>238</v>
      </c>
      <c r="BC683" s="5" t="s">
        <v>253</v>
      </c>
      <c r="BD683" s="5" t="s">
        <v>238</v>
      </c>
      <c r="BF683" s="5" t="s">
        <v>238</v>
      </c>
      <c r="BH683" s="5" t="s">
        <v>254</v>
      </c>
      <c r="BI683" s="6" t="s">
        <v>246</v>
      </c>
      <c r="BJ683" s="5" t="s">
        <v>255</v>
      </c>
      <c r="BK683" s="5" t="s">
        <v>256</v>
      </c>
      <c r="BL683" s="5" t="s">
        <v>238</v>
      </c>
      <c r="BM683" s="7">
        <f>0</f>
        <v>0</v>
      </c>
      <c r="BN683" s="8">
        <f>0</f>
        <v>0</v>
      </c>
      <c r="BO683" s="5" t="s">
        <v>257</v>
      </c>
      <c r="BP683" s="5" t="s">
        <v>258</v>
      </c>
      <c r="CD683" s="5" t="s">
        <v>238</v>
      </c>
      <c r="CE683" s="5" t="s">
        <v>238</v>
      </c>
      <c r="CI683" s="5" t="s">
        <v>259</v>
      </c>
      <c r="CJ683" s="5" t="s">
        <v>260</v>
      </c>
      <c r="CK683" s="5" t="s">
        <v>238</v>
      </c>
      <c r="CM683" s="5" t="s">
        <v>882</v>
      </c>
      <c r="CN683" s="6" t="s">
        <v>262</v>
      </c>
      <c r="CO683" s="5" t="s">
        <v>263</v>
      </c>
      <c r="CP683" s="5" t="s">
        <v>264</v>
      </c>
      <c r="CQ683" s="5" t="s">
        <v>238</v>
      </c>
      <c r="CR683" s="5" t="s">
        <v>238</v>
      </c>
      <c r="CS683" s="5">
        <v>0</v>
      </c>
      <c r="CT683" s="5" t="s">
        <v>265</v>
      </c>
      <c r="CU683" s="5" t="s">
        <v>1360</v>
      </c>
      <c r="CV683" s="5" t="s">
        <v>267</v>
      </c>
      <c r="CX683" s="8">
        <f t="shared" ref="CX683:CX688" si="20">18791460</f>
        <v>18791460</v>
      </c>
      <c r="CY683" s="8">
        <f>0</f>
        <v>0</v>
      </c>
      <c r="DA683" s="5" t="s">
        <v>238</v>
      </c>
      <c r="DB683" s="5" t="s">
        <v>238</v>
      </c>
      <c r="DD683" s="5" t="s">
        <v>238</v>
      </c>
      <c r="DG683" s="5" t="s">
        <v>238</v>
      </c>
      <c r="DH683" s="5" t="s">
        <v>238</v>
      </c>
      <c r="DI683" s="5" t="s">
        <v>238</v>
      </c>
      <c r="DJ683" s="5" t="s">
        <v>238</v>
      </c>
      <c r="DK683" s="5" t="s">
        <v>271</v>
      </c>
      <c r="DL683" s="5" t="s">
        <v>272</v>
      </c>
      <c r="DM683" s="7">
        <f t="shared" ref="DM683:DM688" si="21">122.82</f>
        <v>122.82</v>
      </c>
      <c r="DN683" s="5" t="s">
        <v>238</v>
      </c>
      <c r="DO683" s="5" t="s">
        <v>238</v>
      </c>
      <c r="DP683" s="5" t="s">
        <v>238</v>
      </c>
      <c r="DQ683" s="5" t="s">
        <v>238</v>
      </c>
      <c r="DT683" s="5" t="s">
        <v>2841</v>
      </c>
      <c r="DU683" s="5" t="s">
        <v>271</v>
      </c>
      <c r="HM683" s="5" t="s">
        <v>271</v>
      </c>
      <c r="HP683" s="5" t="s">
        <v>272</v>
      </c>
      <c r="HQ683" s="5" t="s">
        <v>272</v>
      </c>
    </row>
    <row r="684" spans="1:225" x14ac:dyDescent="0.4">
      <c r="A684" s="5">
        <v>774</v>
      </c>
      <c r="B684" s="5">
        <v>1</v>
      </c>
      <c r="C684" s="5">
        <v>1</v>
      </c>
      <c r="D684" s="5" t="s">
        <v>2838</v>
      </c>
      <c r="E684" s="5" t="s">
        <v>277</v>
      </c>
      <c r="F684" s="5" t="s">
        <v>282</v>
      </c>
      <c r="G684" s="5" t="s">
        <v>2491</v>
      </c>
      <c r="H684" s="6" t="s">
        <v>2840</v>
      </c>
      <c r="I684" s="5" t="s">
        <v>2505</v>
      </c>
      <c r="J684" s="7">
        <f t="shared" si="17"/>
        <v>122.82</v>
      </c>
      <c r="K684" s="5" t="s">
        <v>270</v>
      </c>
      <c r="L684" s="8">
        <f>1</f>
        <v>1</v>
      </c>
      <c r="M684" s="8">
        <f t="shared" si="18"/>
        <v>18791460</v>
      </c>
      <c r="N684" s="6" t="s">
        <v>2839</v>
      </c>
      <c r="O684" s="5" t="s">
        <v>286</v>
      </c>
      <c r="P684" s="5" t="s">
        <v>332</v>
      </c>
      <c r="R684" s="8">
        <f t="shared" si="19"/>
        <v>18791459</v>
      </c>
      <c r="S684" s="5" t="s">
        <v>240</v>
      </c>
      <c r="T684" s="5" t="s">
        <v>237</v>
      </c>
      <c r="U684" s="5" t="s">
        <v>238</v>
      </c>
      <c r="V684" s="5" t="s">
        <v>238</v>
      </c>
      <c r="W684" s="5" t="s">
        <v>241</v>
      </c>
      <c r="X684" s="5" t="s">
        <v>276</v>
      </c>
      <c r="Y684" s="5" t="s">
        <v>238</v>
      </c>
      <c r="AB684" s="5" t="s">
        <v>238</v>
      </c>
      <c r="AD684" s="6" t="s">
        <v>238</v>
      </c>
      <c r="AG684" s="6" t="s">
        <v>246</v>
      </c>
      <c r="AH684" s="5" t="s">
        <v>247</v>
      </c>
      <c r="AI684" s="5" t="s">
        <v>248</v>
      </c>
      <c r="AY684" s="5" t="s">
        <v>250</v>
      </c>
      <c r="AZ684" s="5" t="s">
        <v>238</v>
      </c>
      <c r="BA684" s="5" t="s">
        <v>251</v>
      </c>
      <c r="BB684" s="5" t="s">
        <v>238</v>
      </c>
      <c r="BC684" s="5" t="s">
        <v>253</v>
      </c>
      <c r="BD684" s="5" t="s">
        <v>238</v>
      </c>
      <c r="BF684" s="5" t="s">
        <v>238</v>
      </c>
      <c r="BH684" s="5" t="s">
        <v>859</v>
      </c>
      <c r="BI684" s="6" t="s">
        <v>368</v>
      </c>
      <c r="BJ684" s="5" t="s">
        <v>255</v>
      </c>
      <c r="BK684" s="5" t="s">
        <v>256</v>
      </c>
      <c r="BL684" s="5" t="s">
        <v>238</v>
      </c>
      <c r="BM684" s="7">
        <f>0</f>
        <v>0</v>
      </c>
      <c r="BN684" s="8">
        <f>0</f>
        <v>0</v>
      </c>
      <c r="BO684" s="5" t="s">
        <v>257</v>
      </c>
      <c r="BP684" s="5" t="s">
        <v>258</v>
      </c>
      <c r="CD684" s="5" t="s">
        <v>238</v>
      </c>
      <c r="CE684" s="5" t="s">
        <v>238</v>
      </c>
      <c r="CI684" s="5" t="s">
        <v>259</v>
      </c>
      <c r="CJ684" s="5" t="s">
        <v>260</v>
      </c>
      <c r="CK684" s="5" t="s">
        <v>238</v>
      </c>
      <c r="CM684" s="5" t="s">
        <v>882</v>
      </c>
      <c r="CN684" s="6" t="s">
        <v>262</v>
      </c>
      <c r="CO684" s="5" t="s">
        <v>263</v>
      </c>
      <c r="CP684" s="5" t="s">
        <v>264</v>
      </c>
      <c r="CQ684" s="5" t="s">
        <v>238</v>
      </c>
      <c r="CR684" s="5" t="s">
        <v>238</v>
      </c>
      <c r="CS684" s="5">
        <v>0</v>
      </c>
      <c r="CT684" s="5" t="s">
        <v>265</v>
      </c>
      <c r="CU684" s="5" t="s">
        <v>1360</v>
      </c>
      <c r="CV684" s="5" t="s">
        <v>267</v>
      </c>
      <c r="CX684" s="8">
        <f t="shared" si="20"/>
        <v>18791460</v>
      </c>
      <c r="CY684" s="8">
        <f>0</f>
        <v>0</v>
      </c>
      <c r="DA684" s="5" t="s">
        <v>238</v>
      </c>
      <c r="DB684" s="5" t="s">
        <v>238</v>
      </c>
      <c r="DD684" s="5" t="s">
        <v>238</v>
      </c>
      <c r="DG684" s="5" t="s">
        <v>238</v>
      </c>
      <c r="DH684" s="5" t="s">
        <v>238</v>
      </c>
      <c r="DI684" s="5" t="s">
        <v>238</v>
      </c>
      <c r="DJ684" s="5" t="s">
        <v>238</v>
      </c>
      <c r="DK684" s="5" t="s">
        <v>271</v>
      </c>
      <c r="DL684" s="5" t="s">
        <v>272</v>
      </c>
      <c r="DM684" s="7">
        <f t="shared" si="21"/>
        <v>122.82</v>
      </c>
      <c r="DN684" s="5" t="s">
        <v>238</v>
      </c>
      <c r="DO684" s="5" t="s">
        <v>238</v>
      </c>
      <c r="DP684" s="5" t="s">
        <v>238</v>
      </c>
      <c r="DQ684" s="5" t="s">
        <v>238</v>
      </c>
      <c r="DT684" s="5" t="s">
        <v>2841</v>
      </c>
      <c r="DU684" s="5" t="s">
        <v>274</v>
      </c>
      <c r="HM684" s="5" t="s">
        <v>271</v>
      </c>
      <c r="HP684" s="5" t="s">
        <v>272</v>
      </c>
      <c r="HQ684" s="5" t="s">
        <v>272</v>
      </c>
    </row>
    <row r="685" spans="1:225" x14ac:dyDescent="0.4">
      <c r="A685" s="5">
        <v>775</v>
      </c>
      <c r="B685" s="5">
        <v>1</v>
      </c>
      <c r="C685" s="5">
        <v>1</v>
      </c>
      <c r="D685" s="5" t="s">
        <v>2838</v>
      </c>
      <c r="E685" s="5" t="s">
        <v>277</v>
      </c>
      <c r="F685" s="5" t="s">
        <v>282</v>
      </c>
      <c r="G685" s="5" t="s">
        <v>2491</v>
      </c>
      <c r="H685" s="6" t="s">
        <v>2840</v>
      </c>
      <c r="I685" s="5" t="s">
        <v>2504</v>
      </c>
      <c r="J685" s="7">
        <f t="shared" si="17"/>
        <v>122.82</v>
      </c>
      <c r="K685" s="5" t="s">
        <v>270</v>
      </c>
      <c r="L685" s="8">
        <f>1</f>
        <v>1</v>
      </c>
      <c r="M685" s="8">
        <f t="shared" si="18"/>
        <v>18791460</v>
      </c>
      <c r="N685" s="6" t="s">
        <v>2839</v>
      </c>
      <c r="O685" s="5" t="s">
        <v>286</v>
      </c>
      <c r="P685" s="5" t="s">
        <v>332</v>
      </c>
      <c r="R685" s="8">
        <f t="shared" si="19"/>
        <v>18791459</v>
      </c>
      <c r="S685" s="5" t="s">
        <v>240</v>
      </c>
      <c r="T685" s="5" t="s">
        <v>237</v>
      </c>
      <c r="U685" s="5" t="s">
        <v>238</v>
      </c>
      <c r="V685" s="5" t="s">
        <v>238</v>
      </c>
      <c r="W685" s="5" t="s">
        <v>241</v>
      </c>
      <c r="X685" s="5" t="s">
        <v>276</v>
      </c>
      <c r="Y685" s="5" t="s">
        <v>238</v>
      </c>
      <c r="AB685" s="5" t="s">
        <v>238</v>
      </c>
      <c r="AD685" s="6" t="s">
        <v>238</v>
      </c>
      <c r="AG685" s="6" t="s">
        <v>246</v>
      </c>
      <c r="AH685" s="5" t="s">
        <v>247</v>
      </c>
      <c r="AI685" s="5" t="s">
        <v>248</v>
      </c>
      <c r="AY685" s="5" t="s">
        <v>250</v>
      </c>
      <c r="AZ685" s="5" t="s">
        <v>238</v>
      </c>
      <c r="BA685" s="5" t="s">
        <v>251</v>
      </c>
      <c r="BB685" s="5" t="s">
        <v>238</v>
      </c>
      <c r="BC685" s="5" t="s">
        <v>253</v>
      </c>
      <c r="BD685" s="5" t="s">
        <v>238</v>
      </c>
      <c r="BF685" s="5" t="s">
        <v>238</v>
      </c>
      <c r="BH685" s="5" t="s">
        <v>697</v>
      </c>
      <c r="BI685" s="6" t="s">
        <v>698</v>
      </c>
      <c r="BJ685" s="5" t="s">
        <v>255</v>
      </c>
      <c r="BK685" s="5" t="s">
        <v>256</v>
      </c>
      <c r="BL685" s="5" t="s">
        <v>238</v>
      </c>
      <c r="BM685" s="7">
        <f>0</f>
        <v>0</v>
      </c>
      <c r="BN685" s="8">
        <f>0</f>
        <v>0</v>
      </c>
      <c r="BO685" s="5" t="s">
        <v>257</v>
      </c>
      <c r="BP685" s="5" t="s">
        <v>258</v>
      </c>
      <c r="CD685" s="5" t="s">
        <v>238</v>
      </c>
      <c r="CE685" s="5" t="s">
        <v>238</v>
      </c>
      <c r="CI685" s="5" t="s">
        <v>259</v>
      </c>
      <c r="CJ685" s="5" t="s">
        <v>260</v>
      </c>
      <c r="CK685" s="5" t="s">
        <v>238</v>
      </c>
      <c r="CM685" s="5" t="s">
        <v>882</v>
      </c>
      <c r="CN685" s="6" t="s">
        <v>262</v>
      </c>
      <c r="CO685" s="5" t="s">
        <v>263</v>
      </c>
      <c r="CP685" s="5" t="s">
        <v>264</v>
      </c>
      <c r="CQ685" s="5" t="s">
        <v>238</v>
      </c>
      <c r="CR685" s="5" t="s">
        <v>238</v>
      </c>
      <c r="CS685" s="5">
        <v>0</v>
      </c>
      <c r="CT685" s="5" t="s">
        <v>265</v>
      </c>
      <c r="CU685" s="5" t="s">
        <v>1360</v>
      </c>
      <c r="CV685" s="5" t="s">
        <v>267</v>
      </c>
      <c r="CX685" s="8">
        <f t="shared" si="20"/>
        <v>18791460</v>
      </c>
      <c r="CY685" s="8">
        <f>0</f>
        <v>0</v>
      </c>
      <c r="DA685" s="5" t="s">
        <v>238</v>
      </c>
      <c r="DB685" s="5" t="s">
        <v>238</v>
      </c>
      <c r="DD685" s="5" t="s">
        <v>238</v>
      </c>
      <c r="DG685" s="5" t="s">
        <v>238</v>
      </c>
      <c r="DH685" s="5" t="s">
        <v>238</v>
      </c>
      <c r="DI685" s="5" t="s">
        <v>238</v>
      </c>
      <c r="DJ685" s="5" t="s">
        <v>238</v>
      </c>
      <c r="DK685" s="5" t="s">
        <v>271</v>
      </c>
      <c r="DL685" s="5" t="s">
        <v>272</v>
      </c>
      <c r="DM685" s="7">
        <f t="shared" si="21"/>
        <v>122.82</v>
      </c>
      <c r="DN685" s="5" t="s">
        <v>238</v>
      </c>
      <c r="DO685" s="5" t="s">
        <v>238</v>
      </c>
      <c r="DP685" s="5" t="s">
        <v>238</v>
      </c>
      <c r="DQ685" s="5" t="s">
        <v>238</v>
      </c>
      <c r="DT685" s="5" t="s">
        <v>2841</v>
      </c>
      <c r="DU685" s="5" t="s">
        <v>356</v>
      </c>
      <c r="HM685" s="5" t="s">
        <v>271</v>
      </c>
      <c r="HP685" s="5" t="s">
        <v>272</v>
      </c>
      <c r="HQ685" s="5" t="s">
        <v>272</v>
      </c>
    </row>
    <row r="686" spans="1:225" x14ac:dyDescent="0.4">
      <c r="A686" s="5">
        <v>776</v>
      </c>
      <c r="B686" s="5">
        <v>1</v>
      </c>
      <c r="C686" s="5">
        <v>1</v>
      </c>
      <c r="D686" s="5" t="s">
        <v>2838</v>
      </c>
      <c r="E686" s="5" t="s">
        <v>277</v>
      </c>
      <c r="F686" s="5" t="s">
        <v>282</v>
      </c>
      <c r="G686" s="5" t="s">
        <v>2491</v>
      </c>
      <c r="H686" s="6" t="s">
        <v>2840</v>
      </c>
      <c r="I686" s="5" t="s">
        <v>2494</v>
      </c>
      <c r="J686" s="7">
        <f t="shared" si="17"/>
        <v>122.82</v>
      </c>
      <c r="K686" s="5" t="s">
        <v>270</v>
      </c>
      <c r="L686" s="8">
        <f>1</f>
        <v>1</v>
      </c>
      <c r="M686" s="8">
        <f t="shared" si="18"/>
        <v>18791460</v>
      </c>
      <c r="N686" s="6" t="s">
        <v>2839</v>
      </c>
      <c r="O686" s="5" t="s">
        <v>286</v>
      </c>
      <c r="P686" s="5" t="s">
        <v>332</v>
      </c>
      <c r="R686" s="8">
        <f t="shared" si="19"/>
        <v>18791459</v>
      </c>
      <c r="S686" s="5" t="s">
        <v>240</v>
      </c>
      <c r="T686" s="5" t="s">
        <v>237</v>
      </c>
      <c r="U686" s="5" t="s">
        <v>238</v>
      </c>
      <c r="V686" s="5" t="s">
        <v>238</v>
      </c>
      <c r="W686" s="5" t="s">
        <v>241</v>
      </c>
      <c r="X686" s="5" t="s">
        <v>276</v>
      </c>
      <c r="Y686" s="5" t="s">
        <v>238</v>
      </c>
      <c r="AB686" s="5" t="s">
        <v>238</v>
      </c>
      <c r="AD686" s="6" t="s">
        <v>238</v>
      </c>
      <c r="AG686" s="6" t="s">
        <v>246</v>
      </c>
      <c r="AH686" s="5" t="s">
        <v>247</v>
      </c>
      <c r="AI686" s="5" t="s">
        <v>248</v>
      </c>
      <c r="AY686" s="5" t="s">
        <v>250</v>
      </c>
      <c r="AZ686" s="5" t="s">
        <v>238</v>
      </c>
      <c r="BA686" s="5" t="s">
        <v>251</v>
      </c>
      <c r="BB686" s="5" t="s">
        <v>238</v>
      </c>
      <c r="BC686" s="5" t="s">
        <v>253</v>
      </c>
      <c r="BD686" s="5" t="s">
        <v>238</v>
      </c>
      <c r="BF686" s="5" t="s">
        <v>238</v>
      </c>
      <c r="BH686" s="5" t="s">
        <v>798</v>
      </c>
      <c r="BI686" s="6" t="s">
        <v>799</v>
      </c>
      <c r="BJ686" s="5" t="s">
        <v>255</v>
      </c>
      <c r="BK686" s="5" t="s">
        <v>256</v>
      </c>
      <c r="BL686" s="5" t="s">
        <v>238</v>
      </c>
      <c r="BM686" s="7">
        <f>0</f>
        <v>0</v>
      </c>
      <c r="BN686" s="8">
        <f>0</f>
        <v>0</v>
      </c>
      <c r="BO686" s="5" t="s">
        <v>257</v>
      </c>
      <c r="BP686" s="5" t="s">
        <v>258</v>
      </c>
      <c r="CD686" s="5" t="s">
        <v>238</v>
      </c>
      <c r="CE686" s="5" t="s">
        <v>238</v>
      </c>
      <c r="CI686" s="5" t="s">
        <v>259</v>
      </c>
      <c r="CJ686" s="5" t="s">
        <v>260</v>
      </c>
      <c r="CK686" s="5" t="s">
        <v>238</v>
      </c>
      <c r="CM686" s="5" t="s">
        <v>882</v>
      </c>
      <c r="CN686" s="6" t="s">
        <v>262</v>
      </c>
      <c r="CO686" s="5" t="s">
        <v>263</v>
      </c>
      <c r="CP686" s="5" t="s">
        <v>264</v>
      </c>
      <c r="CQ686" s="5" t="s">
        <v>238</v>
      </c>
      <c r="CR686" s="5" t="s">
        <v>238</v>
      </c>
      <c r="CS686" s="5">
        <v>0</v>
      </c>
      <c r="CT686" s="5" t="s">
        <v>265</v>
      </c>
      <c r="CU686" s="5" t="s">
        <v>1360</v>
      </c>
      <c r="CV686" s="5" t="s">
        <v>267</v>
      </c>
      <c r="CX686" s="8">
        <f t="shared" si="20"/>
        <v>18791460</v>
      </c>
      <c r="CY686" s="8">
        <f>0</f>
        <v>0</v>
      </c>
      <c r="DA686" s="5" t="s">
        <v>238</v>
      </c>
      <c r="DB686" s="5" t="s">
        <v>238</v>
      </c>
      <c r="DD686" s="5" t="s">
        <v>238</v>
      </c>
      <c r="DG686" s="5" t="s">
        <v>238</v>
      </c>
      <c r="DH686" s="5" t="s">
        <v>238</v>
      </c>
      <c r="DI686" s="5" t="s">
        <v>238</v>
      </c>
      <c r="DJ686" s="5" t="s">
        <v>238</v>
      </c>
      <c r="DK686" s="5" t="s">
        <v>271</v>
      </c>
      <c r="DL686" s="5" t="s">
        <v>272</v>
      </c>
      <c r="DM686" s="7">
        <f t="shared" si="21"/>
        <v>122.82</v>
      </c>
      <c r="DN686" s="5" t="s">
        <v>238</v>
      </c>
      <c r="DO686" s="5" t="s">
        <v>238</v>
      </c>
      <c r="DP686" s="5" t="s">
        <v>238</v>
      </c>
      <c r="DQ686" s="5" t="s">
        <v>238</v>
      </c>
      <c r="DT686" s="5" t="s">
        <v>2841</v>
      </c>
      <c r="DU686" s="5" t="s">
        <v>310</v>
      </c>
      <c r="HM686" s="5" t="s">
        <v>271</v>
      </c>
      <c r="HP686" s="5" t="s">
        <v>272</v>
      </c>
      <c r="HQ686" s="5" t="s">
        <v>272</v>
      </c>
    </row>
    <row r="687" spans="1:225" x14ac:dyDescent="0.4">
      <c r="A687" s="5">
        <v>777</v>
      </c>
      <c r="B687" s="5">
        <v>1</v>
      </c>
      <c r="C687" s="5">
        <v>1</v>
      </c>
      <c r="D687" s="5" t="s">
        <v>2838</v>
      </c>
      <c r="E687" s="5" t="s">
        <v>277</v>
      </c>
      <c r="F687" s="5" t="s">
        <v>282</v>
      </c>
      <c r="G687" s="5" t="s">
        <v>2491</v>
      </c>
      <c r="H687" s="6" t="s">
        <v>2840</v>
      </c>
      <c r="I687" s="5" t="s">
        <v>2489</v>
      </c>
      <c r="J687" s="7">
        <f t="shared" si="17"/>
        <v>122.82</v>
      </c>
      <c r="K687" s="5" t="s">
        <v>270</v>
      </c>
      <c r="L687" s="8">
        <f>1</f>
        <v>1</v>
      </c>
      <c r="M687" s="8">
        <f t="shared" si="18"/>
        <v>18791460</v>
      </c>
      <c r="N687" s="6" t="s">
        <v>2839</v>
      </c>
      <c r="O687" s="5" t="s">
        <v>286</v>
      </c>
      <c r="P687" s="5" t="s">
        <v>332</v>
      </c>
      <c r="R687" s="8">
        <f t="shared" si="19"/>
        <v>18791459</v>
      </c>
      <c r="S687" s="5" t="s">
        <v>240</v>
      </c>
      <c r="T687" s="5" t="s">
        <v>237</v>
      </c>
      <c r="U687" s="5" t="s">
        <v>238</v>
      </c>
      <c r="V687" s="5" t="s">
        <v>238</v>
      </c>
      <c r="W687" s="5" t="s">
        <v>241</v>
      </c>
      <c r="X687" s="5" t="s">
        <v>276</v>
      </c>
      <c r="Y687" s="5" t="s">
        <v>238</v>
      </c>
      <c r="AB687" s="5" t="s">
        <v>238</v>
      </c>
      <c r="AD687" s="6" t="s">
        <v>238</v>
      </c>
      <c r="AG687" s="6" t="s">
        <v>246</v>
      </c>
      <c r="AH687" s="5" t="s">
        <v>247</v>
      </c>
      <c r="AI687" s="5" t="s">
        <v>248</v>
      </c>
      <c r="AY687" s="5" t="s">
        <v>250</v>
      </c>
      <c r="AZ687" s="5" t="s">
        <v>238</v>
      </c>
      <c r="BA687" s="5" t="s">
        <v>251</v>
      </c>
      <c r="BB687" s="5" t="s">
        <v>238</v>
      </c>
      <c r="BC687" s="5" t="s">
        <v>253</v>
      </c>
      <c r="BD687" s="5" t="s">
        <v>238</v>
      </c>
      <c r="BF687" s="5" t="s">
        <v>238</v>
      </c>
      <c r="BH687" s="5" t="s">
        <v>254</v>
      </c>
      <c r="BI687" s="6" t="s">
        <v>246</v>
      </c>
      <c r="BJ687" s="5" t="s">
        <v>255</v>
      </c>
      <c r="BK687" s="5" t="s">
        <v>256</v>
      </c>
      <c r="BL687" s="5" t="s">
        <v>238</v>
      </c>
      <c r="BM687" s="7">
        <f>0</f>
        <v>0</v>
      </c>
      <c r="BN687" s="8">
        <f>0</f>
        <v>0</v>
      </c>
      <c r="BO687" s="5" t="s">
        <v>257</v>
      </c>
      <c r="BP687" s="5" t="s">
        <v>258</v>
      </c>
      <c r="CD687" s="5" t="s">
        <v>238</v>
      </c>
      <c r="CE687" s="5" t="s">
        <v>238</v>
      </c>
      <c r="CI687" s="5" t="s">
        <v>259</v>
      </c>
      <c r="CJ687" s="5" t="s">
        <v>260</v>
      </c>
      <c r="CK687" s="5" t="s">
        <v>238</v>
      </c>
      <c r="CM687" s="5" t="s">
        <v>882</v>
      </c>
      <c r="CN687" s="6" t="s">
        <v>262</v>
      </c>
      <c r="CO687" s="5" t="s">
        <v>263</v>
      </c>
      <c r="CP687" s="5" t="s">
        <v>264</v>
      </c>
      <c r="CQ687" s="5" t="s">
        <v>238</v>
      </c>
      <c r="CR687" s="5" t="s">
        <v>238</v>
      </c>
      <c r="CS687" s="5">
        <v>0</v>
      </c>
      <c r="CT687" s="5" t="s">
        <v>265</v>
      </c>
      <c r="CU687" s="5" t="s">
        <v>1360</v>
      </c>
      <c r="CV687" s="5" t="s">
        <v>267</v>
      </c>
      <c r="CX687" s="8">
        <f t="shared" si="20"/>
        <v>18791460</v>
      </c>
      <c r="CY687" s="8">
        <f>0</f>
        <v>0</v>
      </c>
      <c r="DA687" s="5" t="s">
        <v>238</v>
      </c>
      <c r="DB687" s="5" t="s">
        <v>238</v>
      </c>
      <c r="DD687" s="5" t="s">
        <v>238</v>
      </c>
      <c r="DG687" s="5" t="s">
        <v>238</v>
      </c>
      <c r="DH687" s="5" t="s">
        <v>238</v>
      </c>
      <c r="DI687" s="5" t="s">
        <v>238</v>
      </c>
      <c r="DJ687" s="5" t="s">
        <v>238</v>
      </c>
      <c r="DK687" s="5" t="s">
        <v>271</v>
      </c>
      <c r="DL687" s="5" t="s">
        <v>272</v>
      </c>
      <c r="DM687" s="7">
        <f t="shared" si="21"/>
        <v>122.82</v>
      </c>
      <c r="DN687" s="5" t="s">
        <v>238</v>
      </c>
      <c r="DO687" s="5" t="s">
        <v>238</v>
      </c>
      <c r="DP687" s="5" t="s">
        <v>238</v>
      </c>
      <c r="DQ687" s="5" t="s">
        <v>238</v>
      </c>
      <c r="DT687" s="5" t="s">
        <v>2841</v>
      </c>
      <c r="DU687" s="5" t="s">
        <v>379</v>
      </c>
      <c r="HM687" s="5" t="s">
        <v>271</v>
      </c>
      <c r="HP687" s="5" t="s">
        <v>272</v>
      </c>
      <c r="HQ687" s="5" t="s">
        <v>272</v>
      </c>
    </row>
    <row r="688" spans="1:225" x14ac:dyDescent="0.4">
      <c r="A688" s="5">
        <v>778</v>
      </c>
      <c r="B688" s="5">
        <v>1</v>
      </c>
      <c r="C688" s="5">
        <v>1</v>
      </c>
      <c r="D688" s="5" t="s">
        <v>2838</v>
      </c>
      <c r="E688" s="5" t="s">
        <v>277</v>
      </c>
      <c r="F688" s="5" t="s">
        <v>282</v>
      </c>
      <c r="G688" s="5" t="s">
        <v>2491</v>
      </c>
      <c r="H688" s="6" t="s">
        <v>2840</v>
      </c>
      <c r="I688" s="5" t="s">
        <v>2520</v>
      </c>
      <c r="J688" s="7">
        <f t="shared" si="17"/>
        <v>122.82</v>
      </c>
      <c r="K688" s="5" t="s">
        <v>270</v>
      </c>
      <c r="L688" s="8">
        <f>1</f>
        <v>1</v>
      </c>
      <c r="M688" s="8">
        <f t="shared" si="18"/>
        <v>18791460</v>
      </c>
      <c r="N688" s="6" t="s">
        <v>2839</v>
      </c>
      <c r="O688" s="5" t="s">
        <v>286</v>
      </c>
      <c r="P688" s="5" t="s">
        <v>332</v>
      </c>
      <c r="R688" s="8">
        <f t="shared" si="19"/>
        <v>18791459</v>
      </c>
      <c r="S688" s="5" t="s">
        <v>240</v>
      </c>
      <c r="T688" s="5" t="s">
        <v>237</v>
      </c>
      <c r="U688" s="5" t="s">
        <v>238</v>
      </c>
      <c r="V688" s="5" t="s">
        <v>238</v>
      </c>
      <c r="W688" s="5" t="s">
        <v>241</v>
      </c>
      <c r="X688" s="5" t="s">
        <v>276</v>
      </c>
      <c r="Y688" s="5" t="s">
        <v>238</v>
      </c>
      <c r="AB688" s="5" t="s">
        <v>238</v>
      </c>
      <c r="AD688" s="6" t="s">
        <v>238</v>
      </c>
      <c r="AG688" s="6" t="s">
        <v>246</v>
      </c>
      <c r="AH688" s="5" t="s">
        <v>247</v>
      </c>
      <c r="AI688" s="5" t="s">
        <v>248</v>
      </c>
      <c r="AY688" s="5" t="s">
        <v>250</v>
      </c>
      <c r="AZ688" s="5" t="s">
        <v>238</v>
      </c>
      <c r="BA688" s="5" t="s">
        <v>251</v>
      </c>
      <c r="BB688" s="5" t="s">
        <v>238</v>
      </c>
      <c r="BC688" s="5" t="s">
        <v>253</v>
      </c>
      <c r="BD688" s="5" t="s">
        <v>238</v>
      </c>
      <c r="BF688" s="5" t="s">
        <v>238</v>
      </c>
      <c r="BH688" s="5" t="s">
        <v>859</v>
      </c>
      <c r="BI688" s="6" t="s">
        <v>368</v>
      </c>
      <c r="BJ688" s="5" t="s">
        <v>255</v>
      </c>
      <c r="BK688" s="5" t="s">
        <v>256</v>
      </c>
      <c r="BL688" s="5" t="s">
        <v>238</v>
      </c>
      <c r="BM688" s="7">
        <f>0</f>
        <v>0</v>
      </c>
      <c r="BN688" s="8">
        <f>0</f>
        <v>0</v>
      </c>
      <c r="BO688" s="5" t="s">
        <v>257</v>
      </c>
      <c r="BP688" s="5" t="s">
        <v>258</v>
      </c>
      <c r="CD688" s="5" t="s">
        <v>238</v>
      </c>
      <c r="CE688" s="5" t="s">
        <v>238</v>
      </c>
      <c r="CI688" s="5" t="s">
        <v>259</v>
      </c>
      <c r="CJ688" s="5" t="s">
        <v>260</v>
      </c>
      <c r="CK688" s="5" t="s">
        <v>238</v>
      </c>
      <c r="CM688" s="5" t="s">
        <v>882</v>
      </c>
      <c r="CN688" s="6" t="s">
        <v>262</v>
      </c>
      <c r="CO688" s="5" t="s">
        <v>263</v>
      </c>
      <c r="CP688" s="5" t="s">
        <v>264</v>
      </c>
      <c r="CQ688" s="5" t="s">
        <v>238</v>
      </c>
      <c r="CR688" s="5" t="s">
        <v>238</v>
      </c>
      <c r="CS688" s="5">
        <v>0</v>
      </c>
      <c r="CT688" s="5" t="s">
        <v>265</v>
      </c>
      <c r="CU688" s="5" t="s">
        <v>1360</v>
      </c>
      <c r="CV688" s="5" t="s">
        <v>267</v>
      </c>
      <c r="CX688" s="8">
        <f t="shared" si="20"/>
        <v>18791460</v>
      </c>
      <c r="CY688" s="8">
        <f>0</f>
        <v>0</v>
      </c>
      <c r="DA688" s="5" t="s">
        <v>238</v>
      </c>
      <c r="DB688" s="5" t="s">
        <v>238</v>
      </c>
      <c r="DD688" s="5" t="s">
        <v>238</v>
      </c>
      <c r="DG688" s="5" t="s">
        <v>238</v>
      </c>
      <c r="DH688" s="5" t="s">
        <v>238</v>
      </c>
      <c r="DI688" s="5" t="s">
        <v>238</v>
      </c>
      <c r="DJ688" s="5" t="s">
        <v>238</v>
      </c>
      <c r="DK688" s="5" t="s">
        <v>271</v>
      </c>
      <c r="DL688" s="5" t="s">
        <v>272</v>
      </c>
      <c r="DM688" s="7">
        <f t="shared" si="21"/>
        <v>122.82</v>
      </c>
      <c r="DN688" s="5" t="s">
        <v>238</v>
      </c>
      <c r="DO688" s="5" t="s">
        <v>238</v>
      </c>
      <c r="DP688" s="5" t="s">
        <v>238</v>
      </c>
      <c r="DQ688" s="5" t="s">
        <v>238</v>
      </c>
      <c r="DT688" s="5" t="s">
        <v>2841</v>
      </c>
      <c r="DU688" s="5" t="s">
        <v>313</v>
      </c>
      <c r="HM688" s="5" t="s">
        <v>271</v>
      </c>
      <c r="HP688" s="5" t="s">
        <v>272</v>
      </c>
      <c r="HQ688" s="5" t="s">
        <v>272</v>
      </c>
    </row>
    <row r="689" spans="1:225" x14ac:dyDescent="0.4">
      <c r="A689" s="5">
        <v>779</v>
      </c>
      <c r="B689" s="5">
        <v>1</v>
      </c>
      <c r="C689" s="5">
        <v>1</v>
      </c>
      <c r="D689" s="5" t="s">
        <v>2838</v>
      </c>
      <c r="E689" s="5" t="s">
        <v>277</v>
      </c>
      <c r="F689" s="5" t="s">
        <v>282</v>
      </c>
      <c r="G689" s="5" t="s">
        <v>2491</v>
      </c>
      <c r="H689" s="6" t="s">
        <v>2840</v>
      </c>
      <c r="I689" s="5" t="s">
        <v>2516</v>
      </c>
      <c r="J689" s="7">
        <f t="shared" ref="J689:J702" si="22">117.86</f>
        <v>117.86</v>
      </c>
      <c r="K689" s="5" t="s">
        <v>270</v>
      </c>
      <c r="L689" s="8">
        <f>1</f>
        <v>1</v>
      </c>
      <c r="M689" s="8">
        <f t="shared" ref="M689:M702" si="23">18032580</f>
        <v>18032580</v>
      </c>
      <c r="N689" s="6" t="s">
        <v>2839</v>
      </c>
      <c r="O689" s="5" t="s">
        <v>286</v>
      </c>
      <c r="P689" s="5" t="s">
        <v>332</v>
      </c>
      <c r="R689" s="8">
        <f t="shared" ref="R689:R702" si="24">18032579</f>
        <v>18032579</v>
      </c>
      <c r="S689" s="5" t="s">
        <v>240</v>
      </c>
      <c r="T689" s="5" t="s">
        <v>237</v>
      </c>
      <c r="U689" s="5" t="s">
        <v>238</v>
      </c>
      <c r="V689" s="5" t="s">
        <v>238</v>
      </c>
      <c r="W689" s="5" t="s">
        <v>241</v>
      </c>
      <c r="X689" s="5" t="s">
        <v>276</v>
      </c>
      <c r="Y689" s="5" t="s">
        <v>238</v>
      </c>
      <c r="AB689" s="5" t="s">
        <v>238</v>
      </c>
      <c r="AD689" s="6" t="s">
        <v>238</v>
      </c>
      <c r="AG689" s="6" t="s">
        <v>246</v>
      </c>
      <c r="AH689" s="5" t="s">
        <v>247</v>
      </c>
      <c r="AI689" s="5" t="s">
        <v>248</v>
      </c>
      <c r="AY689" s="5" t="s">
        <v>250</v>
      </c>
      <c r="AZ689" s="5" t="s">
        <v>238</v>
      </c>
      <c r="BA689" s="5" t="s">
        <v>251</v>
      </c>
      <c r="BB689" s="5" t="s">
        <v>238</v>
      </c>
      <c r="BC689" s="5" t="s">
        <v>253</v>
      </c>
      <c r="BD689" s="5" t="s">
        <v>238</v>
      </c>
      <c r="BF689" s="5" t="s">
        <v>238</v>
      </c>
      <c r="BH689" s="5" t="s">
        <v>697</v>
      </c>
      <c r="BI689" s="6" t="s">
        <v>698</v>
      </c>
      <c r="BJ689" s="5" t="s">
        <v>255</v>
      </c>
      <c r="BK689" s="5" t="s">
        <v>256</v>
      </c>
      <c r="BL689" s="5" t="s">
        <v>238</v>
      </c>
      <c r="BM689" s="7">
        <f>0</f>
        <v>0</v>
      </c>
      <c r="BN689" s="8">
        <f>0</f>
        <v>0</v>
      </c>
      <c r="BO689" s="5" t="s">
        <v>257</v>
      </c>
      <c r="BP689" s="5" t="s">
        <v>258</v>
      </c>
      <c r="CD689" s="5" t="s">
        <v>238</v>
      </c>
      <c r="CE689" s="5" t="s">
        <v>238</v>
      </c>
      <c r="CI689" s="5" t="s">
        <v>259</v>
      </c>
      <c r="CJ689" s="5" t="s">
        <v>260</v>
      </c>
      <c r="CK689" s="5" t="s">
        <v>238</v>
      </c>
      <c r="CM689" s="5" t="s">
        <v>882</v>
      </c>
      <c r="CN689" s="6" t="s">
        <v>262</v>
      </c>
      <c r="CO689" s="5" t="s">
        <v>263</v>
      </c>
      <c r="CP689" s="5" t="s">
        <v>264</v>
      </c>
      <c r="CQ689" s="5" t="s">
        <v>238</v>
      </c>
      <c r="CR689" s="5" t="s">
        <v>238</v>
      </c>
      <c r="CS689" s="5">
        <v>0</v>
      </c>
      <c r="CT689" s="5" t="s">
        <v>265</v>
      </c>
      <c r="CU689" s="5" t="s">
        <v>1360</v>
      </c>
      <c r="CV689" s="5" t="s">
        <v>267</v>
      </c>
      <c r="CX689" s="8">
        <f t="shared" ref="CX689:CX702" si="25">18032580</f>
        <v>18032580</v>
      </c>
      <c r="CY689" s="8">
        <f>0</f>
        <v>0</v>
      </c>
      <c r="DA689" s="5" t="s">
        <v>238</v>
      </c>
      <c r="DB689" s="5" t="s">
        <v>238</v>
      </c>
      <c r="DD689" s="5" t="s">
        <v>238</v>
      </c>
      <c r="DG689" s="5" t="s">
        <v>238</v>
      </c>
      <c r="DH689" s="5" t="s">
        <v>238</v>
      </c>
      <c r="DI689" s="5" t="s">
        <v>238</v>
      </c>
      <c r="DJ689" s="5" t="s">
        <v>238</v>
      </c>
      <c r="DK689" s="5" t="s">
        <v>271</v>
      </c>
      <c r="DL689" s="5" t="s">
        <v>272</v>
      </c>
      <c r="DM689" s="7">
        <f t="shared" ref="DM689:DM702" si="26">117.86</f>
        <v>117.86</v>
      </c>
      <c r="DN689" s="5" t="s">
        <v>238</v>
      </c>
      <c r="DO689" s="5" t="s">
        <v>238</v>
      </c>
      <c r="DP689" s="5" t="s">
        <v>238</v>
      </c>
      <c r="DQ689" s="5" t="s">
        <v>238</v>
      </c>
      <c r="DT689" s="5" t="s">
        <v>2841</v>
      </c>
      <c r="DU689" s="5" t="s">
        <v>389</v>
      </c>
      <c r="HM689" s="5" t="s">
        <v>271</v>
      </c>
      <c r="HP689" s="5" t="s">
        <v>272</v>
      </c>
      <c r="HQ689" s="5" t="s">
        <v>272</v>
      </c>
    </row>
    <row r="690" spans="1:225" x14ac:dyDescent="0.4">
      <c r="A690" s="5">
        <v>780</v>
      </c>
      <c r="B690" s="5">
        <v>1</v>
      </c>
      <c r="C690" s="5">
        <v>1</v>
      </c>
      <c r="D690" s="5" t="s">
        <v>2838</v>
      </c>
      <c r="E690" s="5" t="s">
        <v>277</v>
      </c>
      <c r="F690" s="5" t="s">
        <v>282</v>
      </c>
      <c r="G690" s="5" t="s">
        <v>2491</v>
      </c>
      <c r="H690" s="6" t="s">
        <v>2840</v>
      </c>
      <c r="I690" s="5" t="s">
        <v>2521</v>
      </c>
      <c r="J690" s="7">
        <f t="shared" si="22"/>
        <v>117.86</v>
      </c>
      <c r="K690" s="5" t="s">
        <v>270</v>
      </c>
      <c r="L690" s="8">
        <f>1</f>
        <v>1</v>
      </c>
      <c r="M690" s="8">
        <f t="shared" si="23"/>
        <v>18032580</v>
      </c>
      <c r="N690" s="6" t="s">
        <v>2839</v>
      </c>
      <c r="O690" s="5" t="s">
        <v>286</v>
      </c>
      <c r="P690" s="5" t="s">
        <v>332</v>
      </c>
      <c r="R690" s="8">
        <f t="shared" si="24"/>
        <v>18032579</v>
      </c>
      <c r="S690" s="5" t="s">
        <v>240</v>
      </c>
      <c r="T690" s="5" t="s">
        <v>237</v>
      </c>
      <c r="U690" s="5" t="s">
        <v>238</v>
      </c>
      <c r="V690" s="5" t="s">
        <v>238</v>
      </c>
      <c r="W690" s="5" t="s">
        <v>241</v>
      </c>
      <c r="X690" s="5" t="s">
        <v>276</v>
      </c>
      <c r="Y690" s="5" t="s">
        <v>238</v>
      </c>
      <c r="AB690" s="5" t="s">
        <v>238</v>
      </c>
      <c r="AD690" s="6" t="s">
        <v>238</v>
      </c>
      <c r="AG690" s="6" t="s">
        <v>246</v>
      </c>
      <c r="AH690" s="5" t="s">
        <v>247</v>
      </c>
      <c r="AI690" s="5" t="s">
        <v>248</v>
      </c>
      <c r="AY690" s="5" t="s">
        <v>250</v>
      </c>
      <c r="AZ690" s="5" t="s">
        <v>238</v>
      </c>
      <c r="BA690" s="5" t="s">
        <v>251</v>
      </c>
      <c r="BB690" s="5" t="s">
        <v>238</v>
      </c>
      <c r="BC690" s="5" t="s">
        <v>253</v>
      </c>
      <c r="BD690" s="5" t="s">
        <v>238</v>
      </c>
      <c r="BF690" s="5" t="s">
        <v>238</v>
      </c>
      <c r="BH690" s="5" t="s">
        <v>798</v>
      </c>
      <c r="BI690" s="6" t="s">
        <v>799</v>
      </c>
      <c r="BJ690" s="5" t="s">
        <v>255</v>
      </c>
      <c r="BK690" s="5" t="s">
        <v>256</v>
      </c>
      <c r="BL690" s="5" t="s">
        <v>238</v>
      </c>
      <c r="BM690" s="7">
        <f>0</f>
        <v>0</v>
      </c>
      <c r="BN690" s="8">
        <f>0</f>
        <v>0</v>
      </c>
      <c r="BO690" s="5" t="s">
        <v>257</v>
      </c>
      <c r="BP690" s="5" t="s">
        <v>258</v>
      </c>
      <c r="CD690" s="5" t="s">
        <v>238</v>
      </c>
      <c r="CE690" s="5" t="s">
        <v>238</v>
      </c>
      <c r="CI690" s="5" t="s">
        <v>259</v>
      </c>
      <c r="CJ690" s="5" t="s">
        <v>260</v>
      </c>
      <c r="CK690" s="5" t="s">
        <v>238</v>
      </c>
      <c r="CM690" s="5" t="s">
        <v>882</v>
      </c>
      <c r="CN690" s="6" t="s">
        <v>262</v>
      </c>
      <c r="CO690" s="5" t="s">
        <v>263</v>
      </c>
      <c r="CP690" s="5" t="s">
        <v>264</v>
      </c>
      <c r="CQ690" s="5" t="s">
        <v>238</v>
      </c>
      <c r="CR690" s="5" t="s">
        <v>238</v>
      </c>
      <c r="CS690" s="5">
        <v>0</v>
      </c>
      <c r="CT690" s="5" t="s">
        <v>265</v>
      </c>
      <c r="CU690" s="5" t="s">
        <v>1360</v>
      </c>
      <c r="CV690" s="5" t="s">
        <v>267</v>
      </c>
      <c r="CX690" s="8">
        <f t="shared" si="25"/>
        <v>18032580</v>
      </c>
      <c r="CY690" s="8">
        <f>0</f>
        <v>0</v>
      </c>
      <c r="DA690" s="5" t="s">
        <v>238</v>
      </c>
      <c r="DB690" s="5" t="s">
        <v>238</v>
      </c>
      <c r="DD690" s="5" t="s">
        <v>238</v>
      </c>
      <c r="DG690" s="5" t="s">
        <v>238</v>
      </c>
      <c r="DH690" s="5" t="s">
        <v>238</v>
      </c>
      <c r="DI690" s="5" t="s">
        <v>238</v>
      </c>
      <c r="DJ690" s="5" t="s">
        <v>238</v>
      </c>
      <c r="DK690" s="5" t="s">
        <v>271</v>
      </c>
      <c r="DL690" s="5" t="s">
        <v>272</v>
      </c>
      <c r="DM690" s="7">
        <f t="shared" si="26"/>
        <v>117.86</v>
      </c>
      <c r="DN690" s="5" t="s">
        <v>238</v>
      </c>
      <c r="DO690" s="5" t="s">
        <v>238</v>
      </c>
      <c r="DP690" s="5" t="s">
        <v>238</v>
      </c>
      <c r="DQ690" s="5" t="s">
        <v>238</v>
      </c>
      <c r="DT690" s="5" t="s">
        <v>2841</v>
      </c>
      <c r="DU690" s="5" t="s">
        <v>354</v>
      </c>
      <c r="HM690" s="5" t="s">
        <v>271</v>
      </c>
      <c r="HP690" s="5" t="s">
        <v>272</v>
      </c>
      <c r="HQ690" s="5" t="s">
        <v>272</v>
      </c>
    </row>
    <row r="691" spans="1:225" x14ac:dyDescent="0.4">
      <c r="A691" s="5">
        <v>781</v>
      </c>
      <c r="B691" s="5">
        <v>1</v>
      </c>
      <c r="C691" s="5">
        <v>1</v>
      </c>
      <c r="D691" s="5" t="s">
        <v>2838</v>
      </c>
      <c r="E691" s="5" t="s">
        <v>277</v>
      </c>
      <c r="F691" s="5" t="s">
        <v>282</v>
      </c>
      <c r="G691" s="5" t="s">
        <v>2491</v>
      </c>
      <c r="H691" s="6" t="s">
        <v>2840</v>
      </c>
      <c r="I691" s="5" t="s">
        <v>2500</v>
      </c>
      <c r="J691" s="7">
        <f t="shared" si="22"/>
        <v>117.86</v>
      </c>
      <c r="K691" s="5" t="s">
        <v>270</v>
      </c>
      <c r="L691" s="8">
        <f>1</f>
        <v>1</v>
      </c>
      <c r="M691" s="8">
        <f t="shared" si="23"/>
        <v>18032580</v>
      </c>
      <c r="N691" s="6" t="s">
        <v>2839</v>
      </c>
      <c r="O691" s="5" t="s">
        <v>286</v>
      </c>
      <c r="P691" s="5" t="s">
        <v>332</v>
      </c>
      <c r="R691" s="8">
        <f t="shared" si="24"/>
        <v>18032579</v>
      </c>
      <c r="S691" s="5" t="s">
        <v>240</v>
      </c>
      <c r="T691" s="5" t="s">
        <v>237</v>
      </c>
      <c r="U691" s="5" t="s">
        <v>238</v>
      </c>
      <c r="V691" s="5" t="s">
        <v>238</v>
      </c>
      <c r="W691" s="5" t="s">
        <v>241</v>
      </c>
      <c r="X691" s="5" t="s">
        <v>276</v>
      </c>
      <c r="Y691" s="5" t="s">
        <v>238</v>
      </c>
      <c r="AB691" s="5" t="s">
        <v>238</v>
      </c>
      <c r="AD691" s="6" t="s">
        <v>238</v>
      </c>
      <c r="AG691" s="6" t="s">
        <v>246</v>
      </c>
      <c r="AH691" s="5" t="s">
        <v>247</v>
      </c>
      <c r="AI691" s="5" t="s">
        <v>248</v>
      </c>
      <c r="AY691" s="5" t="s">
        <v>250</v>
      </c>
      <c r="AZ691" s="5" t="s">
        <v>238</v>
      </c>
      <c r="BA691" s="5" t="s">
        <v>251</v>
      </c>
      <c r="BB691" s="5" t="s">
        <v>238</v>
      </c>
      <c r="BC691" s="5" t="s">
        <v>253</v>
      </c>
      <c r="BD691" s="5" t="s">
        <v>238</v>
      </c>
      <c r="BF691" s="5" t="s">
        <v>238</v>
      </c>
      <c r="BH691" s="5" t="s">
        <v>254</v>
      </c>
      <c r="BI691" s="6" t="s">
        <v>246</v>
      </c>
      <c r="BJ691" s="5" t="s">
        <v>255</v>
      </c>
      <c r="BK691" s="5" t="s">
        <v>256</v>
      </c>
      <c r="BL691" s="5" t="s">
        <v>238</v>
      </c>
      <c r="BM691" s="7">
        <f>0</f>
        <v>0</v>
      </c>
      <c r="BN691" s="8">
        <f>0</f>
        <v>0</v>
      </c>
      <c r="BO691" s="5" t="s">
        <v>257</v>
      </c>
      <c r="BP691" s="5" t="s">
        <v>258</v>
      </c>
      <c r="CD691" s="5" t="s">
        <v>238</v>
      </c>
      <c r="CE691" s="5" t="s">
        <v>238</v>
      </c>
      <c r="CI691" s="5" t="s">
        <v>259</v>
      </c>
      <c r="CJ691" s="5" t="s">
        <v>260</v>
      </c>
      <c r="CK691" s="5" t="s">
        <v>238</v>
      </c>
      <c r="CM691" s="5" t="s">
        <v>882</v>
      </c>
      <c r="CN691" s="6" t="s">
        <v>262</v>
      </c>
      <c r="CO691" s="5" t="s">
        <v>263</v>
      </c>
      <c r="CP691" s="5" t="s">
        <v>264</v>
      </c>
      <c r="CQ691" s="5" t="s">
        <v>238</v>
      </c>
      <c r="CR691" s="5" t="s">
        <v>238</v>
      </c>
      <c r="CS691" s="5">
        <v>0</v>
      </c>
      <c r="CT691" s="5" t="s">
        <v>265</v>
      </c>
      <c r="CU691" s="5" t="s">
        <v>1360</v>
      </c>
      <c r="CV691" s="5" t="s">
        <v>267</v>
      </c>
      <c r="CX691" s="8">
        <f t="shared" si="25"/>
        <v>18032580</v>
      </c>
      <c r="CY691" s="8">
        <f>0</f>
        <v>0</v>
      </c>
      <c r="DA691" s="5" t="s">
        <v>238</v>
      </c>
      <c r="DB691" s="5" t="s">
        <v>238</v>
      </c>
      <c r="DD691" s="5" t="s">
        <v>238</v>
      </c>
      <c r="DG691" s="5" t="s">
        <v>238</v>
      </c>
      <c r="DH691" s="5" t="s">
        <v>238</v>
      </c>
      <c r="DI691" s="5" t="s">
        <v>238</v>
      </c>
      <c r="DJ691" s="5" t="s">
        <v>238</v>
      </c>
      <c r="DK691" s="5" t="s">
        <v>271</v>
      </c>
      <c r="DL691" s="5" t="s">
        <v>272</v>
      </c>
      <c r="DM691" s="7">
        <f t="shared" si="26"/>
        <v>117.86</v>
      </c>
      <c r="DN691" s="5" t="s">
        <v>238</v>
      </c>
      <c r="DO691" s="5" t="s">
        <v>238</v>
      </c>
      <c r="DP691" s="5" t="s">
        <v>238</v>
      </c>
      <c r="DQ691" s="5" t="s">
        <v>238</v>
      </c>
      <c r="DT691" s="5" t="s">
        <v>2841</v>
      </c>
      <c r="DU691" s="5" t="s">
        <v>361</v>
      </c>
      <c r="HM691" s="5" t="s">
        <v>271</v>
      </c>
      <c r="HP691" s="5" t="s">
        <v>272</v>
      </c>
      <c r="HQ691" s="5" t="s">
        <v>272</v>
      </c>
    </row>
    <row r="692" spans="1:225" x14ac:dyDescent="0.4">
      <c r="A692" s="5">
        <v>782</v>
      </c>
      <c r="B692" s="5">
        <v>1</v>
      </c>
      <c r="C692" s="5">
        <v>1</v>
      </c>
      <c r="D692" s="5" t="s">
        <v>2838</v>
      </c>
      <c r="E692" s="5" t="s">
        <v>277</v>
      </c>
      <c r="F692" s="5" t="s">
        <v>282</v>
      </c>
      <c r="G692" s="5" t="s">
        <v>2491</v>
      </c>
      <c r="H692" s="6" t="s">
        <v>2840</v>
      </c>
      <c r="I692" s="5" t="s">
        <v>2526</v>
      </c>
      <c r="J692" s="7">
        <f t="shared" si="22"/>
        <v>117.86</v>
      </c>
      <c r="K692" s="5" t="s">
        <v>270</v>
      </c>
      <c r="L692" s="8">
        <f>1</f>
        <v>1</v>
      </c>
      <c r="M692" s="8">
        <f t="shared" si="23"/>
        <v>18032580</v>
      </c>
      <c r="N692" s="6" t="s">
        <v>2839</v>
      </c>
      <c r="O692" s="5" t="s">
        <v>286</v>
      </c>
      <c r="P692" s="5" t="s">
        <v>332</v>
      </c>
      <c r="R692" s="8">
        <f t="shared" si="24"/>
        <v>18032579</v>
      </c>
      <c r="S692" s="5" t="s">
        <v>240</v>
      </c>
      <c r="T692" s="5" t="s">
        <v>237</v>
      </c>
      <c r="U692" s="5" t="s">
        <v>238</v>
      </c>
      <c r="V692" s="5" t="s">
        <v>238</v>
      </c>
      <c r="W692" s="5" t="s">
        <v>241</v>
      </c>
      <c r="X692" s="5" t="s">
        <v>276</v>
      </c>
      <c r="Y692" s="5" t="s">
        <v>238</v>
      </c>
      <c r="AB692" s="5" t="s">
        <v>238</v>
      </c>
      <c r="AD692" s="6" t="s">
        <v>238</v>
      </c>
      <c r="AG692" s="6" t="s">
        <v>246</v>
      </c>
      <c r="AH692" s="5" t="s">
        <v>247</v>
      </c>
      <c r="AI692" s="5" t="s">
        <v>248</v>
      </c>
      <c r="AY692" s="5" t="s">
        <v>250</v>
      </c>
      <c r="AZ692" s="5" t="s">
        <v>238</v>
      </c>
      <c r="BA692" s="5" t="s">
        <v>251</v>
      </c>
      <c r="BB692" s="5" t="s">
        <v>238</v>
      </c>
      <c r="BC692" s="5" t="s">
        <v>253</v>
      </c>
      <c r="BD692" s="5" t="s">
        <v>238</v>
      </c>
      <c r="BF692" s="5" t="s">
        <v>238</v>
      </c>
      <c r="BH692" s="5" t="s">
        <v>859</v>
      </c>
      <c r="BI692" s="6" t="s">
        <v>368</v>
      </c>
      <c r="BJ692" s="5" t="s">
        <v>255</v>
      </c>
      <c r="BK692" s="5" t="s">
        <v>256</v>
      </c>
      <c r="BL692" s="5" t="s">
        <v>238</v>
      </c>
      <c r="BM692" s="7">
        <f>0</f>
        <v>0</v>
      </c>
      <c r="BN692" s="8">
        <f>0</f>
        <v>0</v>
      </c>
      <c r="BO692" s="5" t="s">
        <v>257</v>
      </c>
      <c r="BP692" s="5" t="s">
        <v>258</v>
      </c>
      <c r="CD692" s="5" t="s">
        <v>238</v>
      </c>
      <c r="CE692" s="5" t="s">
        <v>238</v>
      </c>
      <c r="CI692" s="5" t="s">
        <v>259</v>
      </c>
      <c r="CJ692" s="5" t="s">
        <v>260</v>
      </c>
      <c r="CK692" s="5" t="s">
        <v>238</v>
      </c>
      <c r="CM692" s="5" t="s">
        <v>882</v>
      </c>
      <c r="CN692" s="6" t="s">
        <v>262</v>
      </c>
      <c r="CO692" s="5" t="s">
        <v>263</v>
      </c>
      <c r="CP692" s="5" t="s">
        <v>264</v>
      </c>
      <c r="CQ692" s="5" t="s">
        <v>238</v>
      </c>
      <c r="CR692" s="5" t="s">
        <v>238</v>
      </c>
      <c r="CS692" s="5">
        <v>0</v>
      </c>
      <c r="CT692" s="5" t="s">
        <v>265</v>
      </c>
      <c r="CU692" s="5" t="s">
        <v>1360</v>
      </c>
      <c r="CV692" s="5" t="s">
        <v>267</v>
      </c>
      <c r="CX692" s="8">
        <f t="shared" si="25"/>
        <v>18032580</v>
      </c>
      <c r="CY692" s="8">
        <f>0</f>
        <v>0</v>
      </c>
      <c r="DA692" s="5" t="s">
        <v>238</v>
      </c>
      <c r="DB692" s="5" t="s">
        <v>238</v>
      </c>
      <c r="DD692" s="5" t="s">
        <v>238</v>
      </c>
      <c r="DG692" s="5" t="s">
        <v>238</v>
      </c>
      <c r="DH692" s="5" t="s">
        <v>238</v>
      </c>
      <c r="DI692" s="5" t="s">
        <v>238</v>
      </c>
      <c r="DJ692" s="5" t="s">
        <v>238</v>
      </c>
      <c r="DK692" s="5" t="s">
        <v>271</v>
      </c>
      <c r="DL692" s="5" t="s">
        <v>272</v>
      </c>
      <c r="DM692" s="7">
        <f t="shared" si="26"/>
        <v>117.86</v>
      </c>
      <c r="DN692" s="5" t="s">
        <v>238</v>
      </c>
      <c r="DO692" s="5" t="s">
        <v>238</v>
      </c>
      <c r="DP692" s="5" t="s">
        <v>238</v>
      </c>
      <c r="DQ692" s="5" t="s">
        <v>238</v>
      </c>
      <c r="DT692" s="5" t="s">
        <v>2841</v>
      </c>
      <c r="DU692" s="5" t="s">
        <v>377</v>
      </c>
      <c r="HM692" s="5" t="s">
        <v>271</v>
      </c>
      <c r="HP692" s="5" t="s">
        <v>272</v>
      </c>
      <c r="HQ692" s="5" t="s">
        <v>272</v>
      </c>
    </row>
    <row r="693" spans="1:225" x14ac:dyDescent="0.4">
      <c r="A693" s="5">
        <v>783</v>
      </c>
      <c r="B693" s="5">
        <v>1</v>
      </c>
      <c r="C693" s="5">
        <v>1</v>
      </c>
      <c r="D693" s="5" t="s">
        <v>2838</v>
      </c>
      <c r="E693" s="5" t="s">
        <v>277</v>
      </c>
      <c r="F693" s="5" t="s">
        <v>282</v>
      </c>
      <c r="G693" s="5" t="s">
        <v>2491</v>
      </c>
      <c r="H693" s="6" t="s">
        <v>2840</v>
      </c>
      <c r="I693" s="5" t="s">
        <v>2525</v>
      </c>
      <c r="J693" s="7">
        <f t="shared" si="22"/>
        <v>117.86</v>
      </c>
      <c r="K693" s="5" t="s">
        <v>270</v>
      </c>
      <c r="L693" s="8">
        <f>1</f>
        <v>1</v>
      </c>
      <c r="M693" s="8">
        <f t="shared" si="23"/>
        <v>18032580</v>
      </c>
      <c r="N693" s="6" t="s">
        <v>2839</v>
      </c>
      <c r="O693" s="5" t="s">
        <v>286</v>
      </c>
      <c r="P693" s="5" t="s">
        <v>332</v>
      </c>
      <c r="R693" s="8">
        <f t="shared" si="24"/>
        <v>18032579</v>
      </c>
      <c r="S693" s="5" t="s">
        <v>240</v>
      </c>
      <c r="T693" s="5" t="s">
        <v>237</v>
      </c>
      <c r="U693" s="5" t="s">
        <v>238</v>
      </c>
      <c r="V693" s="5" t="s">
        <v>238</v>
      </c>
      <c r="W693" s="5" t="s">
        <v>241</v>
      </c>
      <c r="X693" s="5" t="s">
        <v>276</v>
      </c>
      <c r="Y693" s="5" t="s">
        <v>238</v>
      </c>
      <c r="AB693" s="5" t="s">
        <v>238</v>
      </c>
      <c r="AD693" s="6" t="s">
        <v>238</v>
      </c>
      <c r="AG693" s="6" t="s">
        <v>246</v>
      </c>
      <c r="AH693" s="5" t="s">
        <v>247</v>
      </c>
      <c r="AI693" s="5" t="s">
        <v>248</v>
      </c>
      <c r="AY693" s="5" t="s">
        <v>250</v>
      </c>
      <c r="AZ693" s="5" t="s">
        <v>238</v>
      </c>
      <c r="BA693" s="5" t="s">
        <v>251</v>
      </c>
      <c r="BB693" s="5" t="s">
        <v>238</v>
      </c>
      <c r="BC693" s="5" t="s">
        <v>253</v>
      </c>
      <c r="BD693" s="5" t="s">
        <v>238</v>
      </c>
      <c r="BF693" s="5" t="s">
        <v>238</v>
      </c>
      <c r="BH693" s="5" t="s">
        <v>697</v>
      </c>
      <c r="BI693" s="6" t="s">
        <v>698</v>
      </c>
      <c r="BJ693" s="5" t="s">
        <v>255</v>
      </c>
      <c r="BK693" s="5" t="s">
        <v>256</v>
      </c>
      <c r="BL693" s="5" t="s">
        <v>238</v>
      </c>
      <c r="BM693" s="7">
        <f>0</f>
        <v>0</v>
      </c>
      <c r="BN693" s="8">
        <f>0</f>
        <v>0</v>
      </c>
      <c r="BO693" s="5" t="s">
        <v>257</v>
      </c>
      <c r="BP693" s="5" t="s">
        <v>258</v>
      </c>
      <c r="CD693" s="5" t="s">
        <v>238</v>
      </c>
      <c r="CE693" s="5" t="s">
        <v>238</v>
      </c>
      <c r="CI693" s="5" t="s">
        <v>259</v>
      </c>
      <c r="CJ693" s="5" t="s">
        <v>260</v>
      </c>
      <c r="CK693" s="5" t="s">
        <v>238</v>
      </c>
      <c r="CM693" s="5" t="s">
        <v>882</v>
      </c>
      <c r="CN693" s="6" t="s">
        <v>262</v>
      </c>
      <c r="CO693" s="5" t="s">
        <v>263</v>
      </c>
      <c r="CP693" s="5" t="s">
        <v>264</v>
      </c>
      <c r="CQ693" s="5" t="s">
        <v>238</v>
      </c>
      <c r="CR693" s="5" t="s">
        <v>238</v>
      </c>
      <c r="CS693" s="5">
        <v>0</v>
      </c>
      <c r="CT693" s="5" t="s">
        <v>265</v>
      </c>
      <c r="CU693" s="5" t="s">
        <v>1360</v>
      </c>
      <c r="CV693" s="5" t="s">
        <v>267</v>
      </c>
      <c r="CX693" s="8">
        <f t="shared" si="25"/>
        <v>18032580</v>
      </c>
      <c r="CY693" s="8">
        <f>0</f>
        <v>0</v>
      </c>
      <c r="DA693" s="5" t="s">
        <v>238</v>
      </c>
      <c r="DB693" s="5" t="s">
        <v>238</v>
      </c>
      <c r="DD693" s="5" t="s">
        <v>238</v>
      </c>
      <c r="DG693" s="5" t="s">
        <v>238</v>
      </c>
      <c r="DH693" s="5" t="s">
        <v>238</v>
      </c>
      <c r="DI693" s="5" t="s">
        <v>238</v>
      </c>
      <c r="DJ693" s="5" t="s">
        <v>238</v>
      </c>
      <c r="DK693" s="5" t="s">
        <v>271</v>
      </c>
      <c r="DL693" s="5" t="s">
        <v>272</v>
      </c>
      <c r="DM693" s="7">
        <f t="shared" si="26"/>
        <v>117.86</v>
      </c>
      <c r="DN693" s="5" t="s">
        <v>238</v>
      </c>
      <c r="DO693" s="5" t="s">
        <v>238</v>
      </c>
      <c r="DP693" s="5" t="s">
        <v>238</v>
      </c>
      <c r="DQ693" s="5" t="s">
        <v>238</v>
      </c>
      <c r="DT693" s="5" t="s">
        <v>2841</v>
      </c>
      <c r="DU693" s="5" t="s">
        <v>371</v>
      </c>
      <c r="HM693" s="5" t="s">
        <v>271</v>
      </c>
      <c r="HP693" s="5" t="s">
        <v>272</v>
      </c>
      <c r="HQ693" s="5" t="s">
        <v>272</v>
      </c>
    </row>
    <row r="694" spans="1:225" x14ac:dyDescent="0.4">
      <c r="A694" s="5">
        <v>784</v>
      </c>
      <c r="B694" s="5">
        <v>1</v>
      </c>
      <c r="C694" s="5">
        <v>1</v>
      </c>
      <c r="D694" s="5" t="s">
        <v>2838</v>
      </c>
      <c r="E694" s="5" t="s">
        <v>277</v>
      </c>
      <c r="F694" s="5" t="s">
        <v>282</v>
      </c>
      <c r="G694" s="5" t="s">
        <v>2491</v>
      </c>
      <c r="H694" s="6" t="s">
        <v>2840</v>
      </c>
      <c r="I694" s="5" t="s">
        <v>2722</v>
      </c>
      <c r="J694" s="7">
        <f t="shared" si="22"/>
        <v>117.86</v>
      </c>
      <c r="K694" s="5" t="s">
        <v>270</v>
      </c>
      <c r="L694" s="8">
        <f>1</f>
        <v>1</v>
      </c>
      <c r="M694" s="8">
        <f t="shared" si="23"/>
        <v>18032580</v>
      </c>
      <c r="N694" s="6" t="s">
        <v>2839</v>
      </c>
      <c r="O694" s="5" t="s">
        <v>286</v>
      </c>
      <c r="P694" s="5" t="s">
        <v>332</v>
      </c>
      <c r="R694" s="8">
        <f t="shared" si="24"/>
        <v>18032579</v>
      </c>
      <c r="S694" s="5" t="s">
        <v>240</v>
      </c>
      <c r="T694" s="5" t="s">
        <v>237</v>
      </c>
      <c r="U694" s="5" t="s">
        <v>238</v>
      </c>
      <c r="V694" s="5" t="s">
        <v>238</v>
      </c>
      <c r="W694" s="5" t="s">
        <v>241</v>
      </c>
      <c r="X694" s="5" t="s">
        <v>276</v>
      </c>
      <c r="Y694" s="5" t="s">
        <v>238</v>
      </c>
      <c r="AB694" s="5" t="s">
        <v>238</v>
      </c>
      <c r="AD694" s="6" t="s">
        <v>238</v>
      </c>
      <c r="AG694" s="6" t="s">
        <v>246</v>
      </c>
      <c r="AH694" s="5" t="s">
        <v>247</v>
      </c>
      <c r="AI694" s="5" t="s">
        <v>248</v>
      </c>
      <c r="AY694" s="5" t="s">
        <v>250</v>
      </c>
      <c r="AZ694" s="5" t="s">
        <v>238</v>
      </c>
      <c r="BA694" s="5" t="s">
        <v>251</v>
      </c>
      <c r="BB694" s="5" t="s">
        <v>238</v>
      </c>
      <c r="BC694" s="5" t="s">
        <v>253</v>
      </c>
      <c r="BD694" s="5" t="s">
        <v>238</v>
      </c>
      <c r="BF694" s="5" t="s">
        <v>238</v>
      </c>
      <c r="BH694" s="5" t="s">
        <v>798</v>
      </c>
      <c r="BI694" s="6" t="s">
        <v>799</v>
      </c>
      <c r="BJ694" s="5" t="s">
        <v>255</v>
      </c>
      <c r="BK694" s="5" t="s">
        <v>256</v>
      </c>
      <c r="BL694" s="5" t="s">
        <v>238</v>
      </c>
      <c r="BM694" s="7">
        <f>0</f>
        <v>0</v>
      </c>
      <c r="BN694" s="8">
        <f>0</f>
        <v>0</v>
      </c>
      <c r="BO694" s="5" t="s">
        <v>257</v>
      </c>
      <c r="BP694" s="5" t="s">
        <v>258</v>
      </c>
      <c r="CD694" s="5" t="s">
        <v>238</v>
      </c>
      <c r="CE694" s="5" t="s">
        <v>238</v>
      </c>
      <c r="CI694" s="5" t="s">
        <v>259</v>
      </c>
      <c r="CJ694" s="5" t="s">
        <v>260</v>
      </c>
      <c r="CK694" s="5" t="s">
        <v>238</v>
      </c>
      <c r="CM694" s="5" t="s">
        <v>882</v>
      </c>
      <c r="CN694" s="6" t="s">
        <v>262</v>
      </c>
      <c r="CO694" s="5" t="s">
        <v>263</v>
      </c>
      <c r="CP694" s="5" t="s">
        <v>264</v>
      </c>
      <c r="CQ694" s="5" t="s">
        <v>238</v>
      </c>
      <c r="CR694" s="5" t="s">
        <v>238</v>
      </c>
      <c r="CS694" s="5">
        <v>0</v>
      </c>
      <c r="CT694" s="5" t="s">
        <v>265</v>
      </c>
      <c r="CU694" s="5" t="s">
        <v>1360</v>
      </c>
      <c r="CV694" s="5" t="s">
        <v>267</v>
      </c>
      <c r="CX694" s="8">
        <f t="shared" si="25"/>
        <v>18032580</v>
      </c>
      <c r="CY694" s="8">
        <f>0</f>
        <v>0</v>
      </c>
      <c r="DA694" s="5" t="s">
        <v>238</v>
      </c>
      <c r="DB694" s="5" t="s">
        <v>238</v>
      </c>
      <c r="DD694" s="5" t="s">
        <v>238</v>
      </c>
      <c r="DG694" s="5" t="s">
        <v>238</v>
      </c>
      <c r="DH694" s="5" t="s">
        <v>238</v>
      </c>
      <c r="DI694" s="5" t="s">
        <v>238</v>
      </c>
      <c r="DJ694" s="5" t="s">
        <v>238</v>
      </c>
      <c r="DK694" s="5" t="s">
        <v>271</v>
      </c>
      <c r="DL694" s="5" t="s">
        <v>272</v>
      </c>
      <c r="DM694" s="7">
        <f t="shared" si="26"/>
        <v>117.86</v>
      </c>
      <c r="DN694" s="5" t="s">
        <v>238</v>
      </c>
      <c r="DO694" s="5" t="s">
        <v>238</v>
      </c>
      <c r="DP694" s="5" t="s">
        <v>238</v>
      </c>
      <c r="DQ694" s="5" t="s">
        <v>238</v>
      </c>
      <c r="DT694" s="5" t="s">
        <v>2841</v>
      </c>
      <c r="DU694" s="5" t="s">
        <v>395</v>
      </c>
      <c r="HM694" s="5" t="s">
        <v>271</v>
      </c>
      <c r="HP694" s="5" t="s">
        <v>272</v>
      </c>
      <c r="HQ694" s="5" t="s">
        <v>272</v>
      </c>
    </row>
    <row r="695" spans="1:225" x14ac:dyDescent="0.4">
      <c r="A695" s="5">
        <v>785</v>
      </c>
      <c r="B695" s="5">
        <v>1</v>
      </c>
      <c r="C695" s="5">
        <v>1</v>
      </c>
      <c r="D695" s="5" t="s">
        <v>2838</v>
      </c>
      <c r="E695" s="5" t="s">
        <v>277</v>
      </c>
      <c r="F695" s="5" t="s">
        <v>282</v>
      </c>
      <c r="G695" s="5" t="s">
        <v>2491</v>
      </c>
      <c r="H695" s="6" t="s">
        <v>2840</v>
      </c>
      <c r="I695" s="5" t="s">
        <v>2848</v>
      </c>
      <c r="J695" s="7">
        <f t="shared" si="22"/>
        <v>117.86</v>
      </c>
      <c r="K695" s="5" t="s">
        <v>270</v>
      </c>
      <c r="L695" s="8">
        <f>1</f>
        <v>1</v>
      </c>
      <c r="M695" s="8">
        <f t="shared" si="23"/>
        <v>18032580</v>
      </c>
      <c r="N695" s="6" t="s">
        <v>2839</v>
      </c>
      <c r="O695" s="5" t="s">
        <v>286</v>
      </c>
      <c r="P695" s="5" t="s">
        <v>332</v>
      </c>
      <c r="R695" s="8">
        <f t="shared" si="24"/>
        <v>18032579</v>
      </c>
      <c r="S695" s="5" t="s">
        <v>240</v>
      </c>
      <c r="T695" s="5" t="s">
        <v>237</v>
      </c>
      <c r="U695" s="5" t="s">
        <v>238</v>
      </c>
      <c r="V695" s="5" t="s">
        <v>238</v>
      </c>
      <c r="W695" s="5" t="s">
        <v>241</v>
      </c>
      <c r="X695" s="5" t="s">
        <v>276</v>
      </c>
      <c r="Y695" s="5" t="s">
        <v>238</v>
      </c>
      <c r="AB695" s="5" t="s">
        <v>238</v>
      </c>
      <c r="AD695" s="6" t="s">
        <v>238</v>
      </c>
      <c r="AG695" s="6" t="s">
        <v>246</v>
      </c>
      <c r="AH695" s="5" t="s">
        <v>247</v>
      </c>
      <c r="AI695" s="5" t="s">
        <v>248</v>
      </c>
      <c r="AY695" s="5" t="s">
        <v>250</v>
      </c>
      <c r="AZ695" s="5" t="s">
        <v>238</v>
      </c>
      <c r="BA695" s="5" t="s">
        <v>251</v>
      </c>
      <c r="BB695" s="5" t="s">
        <v>238</v>
      </c>
      <c r="BC695" s="5" t="s">
        <v>253</v>
      </c>
      <c r="BD695" s="5" t="s">
        <v>238</v>
      </c>
      <c r="BF695" s="5" t="s">
        <v>238</v>
      </c>
      <c r="BH695" s="5" t="s">
        <v>254</v>
      </c>
      <c r="BI695" s="6" t="s">
        <v>246</v>
      </c>
      <c r="BJ695" s="5" t="s">
        <v>255</v>
      </c>
      <c r="BK695" s="5" t="s">
        <v>256</v>
      </c>
      <c r="BL695" s="5" t="s">
        <v>238</v>
      </c>
      <c r="BM695" s="7">
        <f>0</f>
        <v>0</v>
      </c>
      <c r="BN695" s="8">
        <f>0</f>
        <v>0</v>
      </c>
      <c r="BO695" s="5" t="s">
        <v>257</v>
      </c>
      <c r="BP695" s="5" t="s">
        <v>258</v>
      </c>
      <c r="CD695" s="5" t="s">
        <v>238</v>
      </c>
      <c r="CE695" s="5" t="s">
        <v>238</v>
      </c>
      <c r="CI695" s="5" t="s">
        <v>259</v>
      </c>
      <c r="CJ695" s="5" t="s">
        <v>260</v>
      </c>
      <c r="CK695" s="5" t="s">
        <v>238</v>
      </c>
      <c r="CM695" s="5" t="s">
        <v>882</v>
      </c>
      <c r="CN695" s="6" t="s">
        <v>262</v>
      </c>
      <c r="CO695" s="5" t="s">
        <v>263</v>
      </c>
      <c r="CP695" s="5" t="s">
        <v>264</v>
      </c>
      <c r="CQ695" s="5" t="s">
        <v>238</v>
      </c>
      <c r="CR695" s="5" t="s">
        <v>238</v>
      </c>
      <c r="CS695" s="5">
        <v>0</v>
      </c>
      <c r="CT695" s="5" t="s">
        <v>265</v>
      </c>
      <c r="CU695" s="5" t="s">
        <v>1360</v>
      </c>
      <c r="CV695" s="5" t="s">
        <v>267</v>
      </c>
      <c r="CX695" s="8">
        <f t="shared" si="25"/>
        <v>18032580</v>
      </c>
      <c r="CY695" s="8">
        <f>0</f>
        <v>0</v>
      </c>
      <c r="DA695" s="5" t="s">
        <v>238</v>
      </c>
      <c r="DB695" s="5" t="s">
        <v>238</v>
      </c>
      <c r="DD695" s="5" t="s">
        <v>238</v>
      </c>
      <c r="DG695" s="5" t="s">
        <v>238</v>
      </c>
      <c r="DH695" s="5" t="s">
        <v>238</v>
      </c>
      <c r="DI695" s="5" t="s">
        <v>238</v>
      </c>
      <c r="DJ695" s="5" t="s">
        <v>238</v>
      </c>
      <c r="DK695" s="5" t="s">
        <v>271</v>
      </c>
      <c r="DL695" s="5" t="s">
        <v>272</v>
      </c>
      <c r="DM695" s="7">
        <f t="shared" si="26"/>
        <v>117.86</v>
      </c>
      <c r="DN695" s="5" t="s">
        <v>238</v>
      </c>
      <c r="DO695" s="5" t="s">
        <v>238</v>
      </c>
      <c r="DP695" s="5" t="s">
        <v>238</v>
      </c>
      <c r="DQ695" s="5" t="s">
        <v>238</v>
      </c>
      <c r="DT695" s="5" t="s">
        <v>2841</v>
      </c>
      <c r="DU695" s="5" t="s">
        <v>319</v>
      </c>
      <c r="HM695" s="5" t="s">
        <v>271</v>
      </c>
      <c r="HP695" s="5" t="s">
        <v>272</v>
      </c>
      <c r="HQ695" s="5" t="s">
        <v>272</v>
      </c>
    </row>
    <row r="696" spans="1:225" x14ac:dyDescent="0.4">
      <c r="A696" s="5">
        <v>786</v>
      </c>
      <c r="B696" s="5">
        <v>1</v>
      </c>
      <c r="C696" s="5">
        <v>1</v>
      </c>
      <c r="D696" s="5" t="s">
        <v>2838</v>
      </c>
      <c r="E696" s="5" t="s">
        <v>277</v>
      </c>
      <c r="F696" s="5" t="s">
        <v>282</v>
      </c>
      <c r="G696" s="5" t="s">
        <v>2491</v>
      </c>
      <c r="H696" s="6" t="s">
        <v>2840</v>
      </c>
      <c r="I696" s="5" t="s">
        <v>2847</v>
      </c>
      <c r="J696" s="7">
        <f t="shared" si="22"/>
        <v>117.86</v>
      </c>
      <c r="K696" s="5" t="s">
        <v>270</v>
      </c>
      <c r="L696" s="8">
        <f>1</f>
        <v>1</v>
      </c>
      <c r="M696" s="8">
        <f t="shared" si="23"/>
        <v>18032580</v>
      </c>
      <c r="N696" s="6" t="s">
        <v>2839</v>
      </c>
      <c r="O696" s="5" t="s">
        <v>286</v>
      </c>
      <c r="P696" s="5" t="s">
        <v>332</v>
      </c>
      <c r="R696" s="8">
        <f t="shared" si="24"/>
        <v>18032579</v>
      </c>
      <c r="S696" s="5" t="s">
        <v>240</v>
      </c>
      <c r="T696" s="5" t="s">
        <v>237</v>
      </c>
      <c r="U696" s="5" t="s">
        <v>238</v>
      </c>
      <c r="V696" s="5" t="s">
        <v>238</v>
      </c>
      <c r="W696" s="5" t="s">
        <v>241</v>
      </c>
      <c r="X696" s="5" t="s">
        <v>276</v>
      </c>
      <c r="Y696" s="5" t="s">
        <v>238</v>
      </c>
      <c r="AB696" s="5" t="s">
        <v>238</v>
      </c>
      <c r="AD696" s="6" t="s">
        <v>238</v>
      </c>
      <c r="AG696" s="6" t="s">
        <v>246</v>
      </c>
      <c r="AH696" s="5" t="s">
        <v>247</v>
      </c>
      <c r="AI696" s="5" t="s">
        <v>248</v>
      </c>
      <c r="AY696" s="5" t="s">
        <v>250</v>
      </c>
      <c r="AZ696" s="5" t="s">
        <v>238</v>
      </c>
      <c r="BA696" s="5" t="s">
        <v>251</v>
      </c>
      <c r="BB696" s="5" t="s">
        <v>238</v>
      </c>
      <c r="BC696" s="5" t="s">
        <v>253</v>
      </c>
      <c r="BD696" s="5" t="s">
        <v>238</v>
      </c>
      <c r="BF696" s="5" t="s">
        <v>238</v>
      </c>
      <c r="BH696" s="5" t="s">
        <v>859</v>
      </c>
      <c r="BI696" s="6" t="s">
        <v>368</v>
      </c>
      <c r="BJ696" s="5" t="s">
        <v>255</v>
      </c>
      <c r="BK696" s="5" t="s">
        <v>256</v>
      </c>
      <c r="BL696" s="5" t="s">
        <v>238</v>
      </c>
      <c r="BM696" s="7">
        <f>0</f>
        <v>0</v>
      </c>
      <c r="BN696" s="8">
        <f>0</f>
        <v>0</v>
      </c>
      <c r="BO696" s="5" t="s">
        <v>257</v>
      </c>
      <c r="BP696" s="5" t="s">
        <v>258</v>
      </c>
      <c r="CD696" s="5" t="s">
        <v>238</v>
      </c>
      <c r="CE696" s="5" t="s">
        <v>238</v>
      </c>
      <c r="CI696" s="5" t="s">
        <v>259</v>
      </c>
      <c r="CJ696" s="5" t="s">
        <v>260</v>
      </c>
      <c r="CK696" s="5" t="s">
        <v>238</v>
      </c>
      <c r="CM696" s="5" t="s">
        <v>882</v>
      </c>
      <c r="CN696" s="6" t="s">
        <v>262</v>
      </c>
      <c r="CO696" s="5" t="s">
        <v>263</v>
      </c>
      <c r="CP696" s="5" t="s">
        <v>264</v>
      </c>
      <c r="CQ696" s="5" t="s">
        <v>238</v>
      </c>
      <c r="CR696" s="5" t="s">
        <v>238</v>
      </c>
      <c r="CS696" s="5">
        <v>0</v>
      </c>
      <c r="CT696" s="5" t="s">
        <v>265</v>
      </c>
      <c r="CU696" s="5" t="s">
        <v>1360</v>
      </c>
      <c r="CV696" s="5" t="s">
        <v>267</v>
      </c>
      <c r="CX696" s="8">
        <f t="shared" si="25"/>
        <v>18032580</v>
      </c>
      <c r="CY696" s="8">
        <f>0</f>
        <v>0</v>
      </c>
      <c r="DA696" s="5" t="s">
        <v>238</v>
      </c>
      <c r="DB696" s="5" t="s">
        <v>238</v>
      </c>
      <c r="DD696" s="5" t="s">
        <v>238</v>
      </c>
      <c r="DG696" s="5" t="s">
        <v>238</v>
      </c>
      <c r="DH696" s="5" t="s">
        <v>238</v>
      </c>
      <c r="DI696" s="5" t="s">
        <v>238</v>
      </c>
      <c r="DJ696" s="5" t="s">
        <v>238</v>
      </c>
      <c r="DK696" s="5" t="s">
        <v>271</v>
      </c>
      <c r="DL696" s="5" t="s">
        <v>272</v>
      </c>
      <c r="DM696" s="7">
        <f t="shared" si="26"/>
        <v>117.86</v>
      </c>
      <c r="DN696" s="5" t="s">
        <v>238</v>
      </c>
      <c r="DO696" s="5" t="s">
        <v>238</v>
      </c>
      <c r="DP696" s="5" t="s">
        <v>238</v>
      </c>
      <c r="DQ696" s="5" t="s">
        <v>238</v>
      </c>
      <c r="DT696" s="5" t="s">
        <v>2841</v>
      </c>
      <c r="DU696" s="5" t="s">
        <v>1114</v>
      </c>
      <c r="HM696" s="5" t="s">
        <v>271</v>
      </c>
      <c r="HP696" s="5" t="s">
        <v>272</v>
      </c>
      <c r="HQ696" s="5" t="s">
        <v>272</v>
      </c>
    </row>
    <row r="697" spans="1:225" x14ac:dyDescent="0.4">
      <c r="A697" s="5">
        <v>787</v>
      </c>
      <c r="B697" s="5">
        <v>1</v>
      </c>
      <c r="C697" s="5">
        <v>1</v>
      </c>
      <c r="D697" s="5" t="s">
        <v>2838</v>
      </c>
      <c r="E697" s="5" t="s">
        <v>277</v>
      </c>
      <c r="F697" s="5" t="s">
        <v>282</v>
      </c>
      <c r="G697" s="5" t="s">
        <v>2491</v>
      </c>
      <c r="H697" s="6" t="s">
        <v>2840</v>
      </c>
      <c r="I697" s="5" t="s">
        <v>2846</v>
      </c>
      <c r="J697" s="7">
        <f t="shared" si="22"/>
        <v>117.86</v>
      </c>
      <c r="K697" s="5" t="s">
        <v>270</v>
      </c>
      <c r="L697" s="8">
        <f>1</f>
        <v>1</v>
      </c>
      <c r="M697" s="8">
        <f t="shared" si="23"/>
        <v>18032580</v>
      </c>
      <c r="N697" s="6" t="s">
        <v>2839</v>
      </c>
      <c r="O697" s="5" t="s">
        <v>286</v>
      </c>
      <c r="P697" s="5" t="s">
        <v>332</v>
      </c>
      <c r="R697" s="8">
        <f t="shared" si="24"/>
        <v>18032579</v>
      </c>
      <c r="S697" s="5" t="s">
        <v>240</v>
      </c>
      <c r="T697" s="5" t="s">
        <v>237</v>
      </c>
      <c r="U697" s="5" t="s">
        <v>238</v>
      </c>
      <c r="V697" s="5" t="s">
        <v>238</v>
      </c>
      <c r="W697" s="5" t="s">
        <v>241</v>
      </c>
      <c r="X697" s="5" t="s">
        <v>276</v>
      </c>
      <c r="Y697" s="5" t="s">
        <v>238</v>
      </c>
      <c r="AB697" s="5" t="s">
        <v>238</v>
      </c>
      <c r="AD697" s="6" t="s">
        <v>238</v>
      </c>
      <c r="AG697" s="6" t="s">
        <v>246</v>
      </c>
      <c r="AH697" s="5" t="s">
        <v>247</v>
      </c>
      <c r="AI697" s="5" t="s">
        <v>248</v>
      </c>
      <c r="AY697" s="5" t="s">
        <v>250</v>
      </c>
      <c r="AZ697" s="5" t="s">
        <v>238</v>
      </c>
      <c r="BA697" s="5" t="s">
        <v>251</v>
      </c>
      <c r="BB697" s="5" t="s">
        <v>238</v>
      </c>
      <c r="BC697" s="5" t="s">
        <v>253</v>
      </c>
      <c r="BD697" s="5" t="s">
        <v>238</v>
      </c>
      <c r="BF697" s="5" t="s">
        <v>238</v>
      </c>
      <c r="BH697" s="5" t="s">
        <v>697</v>
      </c>
      <c r="BI697" s="6" t="s">
        <v>698</v>
      </c>
      <c r="BJ697" s="5" t="s">
        <v>255</v>
      </c>
      <c r="BK697" s="5" t="s">
        <v>256</v>
      </c>
      <c r="BL697" s="5" t="s">
        <v>238</v>
      </c>
      <c r="BM697" s="7">
        <f>0</f>
        <v>0</v>
      </c>
      <c r="BN697" s="8">
        <f>0</f>
        <v>0</v>
      </c>
      <c r="BO697" s="5" t="s">
        <v>257</v>
      </c>
      <c r="BP697" s="5" t="s">
        <v>258</v>
      </c>
      <c r="CD697" s="5" t="s">
        <v>238</v>
      </c>
      <c r="CE697" s="5" t="s">
        <v>238</v>
      </c>
      <c r="CI697" s="5" t="s">
        <v>259</v>
      </c>
      <c r="CJ697" s="5" t="s">
        <v>260</v>
      </c>
      <c r="CK697" s="5" t="s">
        <v>238</v>
      </c>
      <c r="CM697" s="5" t="s">
        <v>882</v>
      </c>
      <c r="CN697" s="6" t="s">
        <v>262</v>
      </c>
      <c r="CO697" s="5" t="s">
        <v>263</v>
      </c>
      <c r="CP697" s="5" t="s">
        <v>264</v>
      </c>
      <c r="CQ697" s="5" t="s">
        <v>238</v>
      </c>
      <c r="CR697" s="5" t="s">
        <v>238</v>
      </c>
      <c r="CS697" s="5">
        <v>0</v>
      </c>
      <c r="CT697" s="5" t="s">
        <v>265</v>
      </c>
      <c r="CU697" s="5" t="s">
        <v>1360</v>
      </c>
      <c r="CV697" s="5" t="s">
        <v>267</v>
      </c>
      <c r="CX697" s="8">
        <f t="shared" si="25"/>
        <v>18032580</v>
      </c>
      <c r="CY697" s="8">
        <f>0</f>
        <v>0</v>
      </c>
      <c r="DA697" s="5" t="s">
        <v>238</v>
      </c>
      <c r="DB697" s="5" t="s">
        <v>238</v>
      </c>
      <c r="DD697" s="5" t="s">
        <v>238</v>
      </c>
      <c r="DG697" s="5" t="s">
        <v>238</v>
      </c>
      <c r="DH697" s="5" t="s">
        <v>238</v>
      </c>
      <c r="DI697" s="5" t="s">
        <v>238</v>
      </c>
      <c r="DJ697" s="5" t="s">
        <v>238</v>
      </c>
      <c r="DK697" s="5" t="s">
        <v>271</v>
      </c>
      <c r="DL697" s="5" t="s">
        <v>272</v>
      </c>
      <c r="DM697" s="7">
        <f t="shared" si="26"/>
        <v>117.86</v>
      </c>
      <c r="DN697" s="5" t="s">
        <v>238</v>
      </c>
      <c r="DO697" s="5" t="s">
        <v>238</v>
      </c>
      <c r="DP697" s="5" t="s">
        <v>238</v>
      </c>
      <c r="DQ697" s="5" t="s">
        <v>238</v>
      </c>
      <c r="DT697" s="5" t="s">
        <v>2841</v>
      </c>
      <c r="DU697" s="5" t="s">
        <v>268</v>
      </c>
      <c r="HM697" s="5" t="s">
        <v>271</v>
      </c>
      <c r="HP697" s="5" t="s">
        <v>272</v>
      </c>
      <c r="HQ697" s="5" t="s">
        <v>272</v>
      </c>
    </row>
    <row r="698" spans="1:225" x14ac:dyDescent="0.4">
      <c r="A698" s="5">
        <v>788</v>
      </c>
      <c r="B698" s="5">
        <v>1</v>
      </c>
      <c r="C698" s="5">
        <v>1</v>
      </c>
      <c r="D698" s="5" t="s">
        <v>2838</v>
      </c>
      <c r="E698" s="5" t="s">
        <v>277</v>
      </c>
      <c r="F698" s="5" t="s">
        <v>282</v>
      </c>
      <c r="G698" s="5" t="s">
        <v>2491</v>
      </c>
      <c r="H698" s="6" t="s">
        <v>2840</v>
      </c>
      <c r="I698" s="5" t="s">
        <v>2845</v>
      </c>
      <c r="J698" s="7">
        <f t="shared" si="22"/>
        <v>117.86</v>
      </c>
      <c r="K698" s="5" t="s">
        <v>270</v>
      </c>
      <c r="L698" s="8">
        <f>1</f>
        <v>1</v>
      </c>
      <c r="M698" s="8">
        <f t="shared" si="23"/>
        <v>18032580</v>
      </c>
      <c r="N698" s="6" t="s">
        <v>2839</v>
      </c>
      <c r="O698" s="5" t="s">
        <v>286</v>
      </c>
      <c r="P698" s="5" t="s">
        <v>332</v>
      </c>
      <c r="R698" s="8">
        <f t="shared" si="24"/>
        <v>18032579</v>
      </c>
      <c r="S698" s="5" t="s">
        <v>240</v>
      </c>
      <c r="T698" s="5" t="s">
        <v>237</v>
      </c>
      <c r="U698" s="5" t="s">
        <v>238</v>
      </c>
      <c r="V698" s="5" t="s">
        <v>238</v>
      </c>
      <c r="W698" s="5" t="s">
        <v>241</v>
      </c>
      <c r="X698" s="5" t="s">
        <v>276</v>
      </c>
      <c r="Y698" s="5" t="s">
        <v>238</v>
      </c>
      <c r="AB698" s="5" t="s">
        <v>238</v>
      </c>
      <c r="AD698" s="6" t="s">
        <v>238</v>
      </c>
      <c r="AG698" s="6" t="s">
        <v>246</v>
      </c>
      <c r="AH698" s="5" t="s">
        <v>247</v>
      </c>
      <c r="AI698" s="5" t="s">
        <v>248</v>
      </c>
      <c r="AY698" s="5" t="s">
        <v>250</v>
      </c>
      <c r="AZ698" s="5" t="s">
        <v>238</v>
      </c>
      <c r="BA698" s="5" t="s">
        <v>251</v>
      </c>
      <c r="BB698" s="5" t="s">
        <v>238</v>
      </c>
      <c r="BC698" s="5" t="s">
        <v>253</v>
      </c>
      <c r="BD698" s="5" t="s">
        <v>238</v>
      </c>
      <c r="BF698" s="5" t="s">
        <v>238</v>
      </c>
      <c r="BH698" s="5" t="s">
        <v>798</v>
      </c>
      <c r="BI698" s="6" t="s">
        <v>799</v>
      </c>
      <c r="BJ698" s="5" t="s">
        <v>255</v>
      </c>
      <c r="BK698" s="5" t="s">
        <v>256</v>
      </c>
      <c r="BL698" s="5" t="s">
        <v>238</v>
      </c>
      <c r="BM698" s="7">
        <f>0</f>
        <v>0</v>
      </c>
      <c r="BN698" s="8">
        <f>0</f>
        <v>0</v>
      </c>
      <c r="BO698" s="5" t="s">
        <v>257</v>
      </c>
      <c r="BP698" s="5" t="s">
        <v>258</v>
      </c>
      <c r="CD698" s="5" t="s">
        <v>238</v>
      </c>
      <c r="CE698" s="5" t="s">
        <v>238</v>
      </c>
      <c r="CI698" s="5" t="s">
        <v>259</v>
      </c>
      <c r="CJ698" s="5" t="s">
        <v>260</v>
      </c>
      <c r="CK698" s="5" t="s">
        <v>238</v>
      </c>
      <c r="CM698" s="5" t="s">
        <v>882</v>
      </c>
      <c r="CN698" s="6" t="s">
        <v>262</v>
      </c>
      <c r="CO698" s="5" t="s">
        <v>263</v>
      </c>
      <c r="CP698" s="5" t="s">
        <v>264</v>
      </c>
      <c r="CQ698" s="5" t="s">
        <v>238</v>
      </c>
      <c r="CR698" s="5" t="s">
        <v>238</v>
      </c>
      <c r="CS698" s="5">
        <v>0</v>
      </c>
      <c r="CT698" s="5" t="s">
        <v>265</v>
      </c>
      <c r="CU698" s="5" t="s">
        <v>1360</v>
      </c>
      <c r="CV698" s="5" t="s">
        <v>267</v>
      </c>
      <c r="CX698" s="8">
        <f t="shared" si="25"/>
        <v>18032580</v>
      </c>
      <c r="CY698" s="8">
        <f>0</f>
        <v>0</v>
      </c>
      <c r="DA698" s="5" t="s">
        <v>238</v>
      </c>
      <c r="DB698" s="5" t="s">
        <v>238</v>
      </c>
      <c r="DD698" s="5" t="s">
        <v>238</v>
      </c>
      <c r="DG698" s="5" t="s">
        <v>238</v>
      </c>
      <c r="DH698" s="5" t="s">
        <v>238</v>
      </c>
      <c r="DI698" s="5" t="s">
        <v>238</v>
      </c>
      <c r="DJ698" s="5" t="s">
        <v>238</v>
      </c>
      <c r="DK698" s="5" t="s">
        <v>271</v>
      </c>
      <c r="DL698" s="5" t="s">
        <v>272</v>
      </c>
      <c r="DM698" s="7">
        <f t="shared" si="26"/>
        <v>117.86</v>
      </c>
      <c r="DN698" s="5" t="s">
        <v>238</v>
      </c>
      <c r="DO698" s="5" t="s">
        <v>238</v>
      </c>
      <c r="DP698" s="5" t="s">
        <v>238</v>
      </c>
      <c r="DQ698" s="5" t="s">
        <v>238</v>
      </c>
      <c r="DT698" s="5" t="s">
        <v>2841</v>
      </c>
      <c r="DU698" s="5" t="s">
        <v>269</v>
      </c>
      <c r="HM698" s="5" t="s">
        <v>271</v>
      </c>
      <c r="HP698" s="5" t="s">
        <v>272</v>
      </c>
      <c r="HQ698" s="5" t="s">
        <v>272</v>
      </c>
    </row>
    <row r="699" spans="1:225" x14ac:dyDescent="0.4">
      <c r="A699" s="5">
        <v>789</v>
      </c>
      <c r="B699" s="5">
        <v>1</v>
      </c>
      <c r="C699" s="5">
        <v>1</v>
      </c>
      <c r="D699" s="5" t="s">
        <v>2838</v>
      </c>
      <c r="E699" s="5" t="s">
        <v>277</v>
      </c>
      <c r="F699" s="5" t="s">
        <v>282</v>
      </c>
      <c r="G699" s="5" t="s">
        <v>2491</v>
      </c>
      <c r="H699" s="6" t="s">
        <v>2840</v>
      </c>
      <c r="I699" s="5" t="s">
        <v>2844</v>
      </c>
      <c r="J699" s="7">
        <f t="shared" si="22"/>
        <v>117.86</v>
      </c>
      <c r="K699" s="5" t="s">
        <v>270</v>
      </c>
      <c r="L699" s="8">
        <f>1</f>
        <v>1</v>
      </c>
      <c r="M699" s="8">
        <f t="shared" si="23"/>
        <v>18032580</v>
      </c>
      <c r="N699" s="6" t="s">
        <v>2839</v>
      </c>
      <c r="O699" s="5" t="s">
        <v>286</v>
      </c>
      <c r="P699" s="5" t="s">
        <v>332</v>
      </c>
      <c r="R699" s="8">
        <f t="shared" si="24"/>
        <v>18032579</v>
      </c>
      <c r="S699" s="5" t="s">
        <v>240</v>
      </c>
      <c r="T699" s="5" t="s">
        <v>237</v>
      </c>
      <c r="U699" s="5" t="s">
        <v>238</v>
      </c>
      <c r="V699" s="5" t="s">
        <v>238</v>
      </c>
      <c r="W699" s="5" t="s">
        <v>241</v>
      </c>
      <c r="X699" s="5" t="s">
        <v>276</v>
      </c>
      <c r="Y699" s="5" t="s">
        <v>238</v>
      </c>
      <c r="AB699" s="5" t="s">
        <v>238</v>
      </c>
      <c r="AD699" s="6" t="s">
        <v>238</v>
      </c>
      <c r="AG699" s="6" t="s">
        <v>246</v>
      </c>
      <c r="AH699" s="5" t="s">
        <v>247</v>
      </c>
      <c r="AI699" s="5" t="s">
        <v>248</v>
      </c>
      <c r="AY699" s="5" t="s">
        <v>250</v>
      </c>
      <c r="AZ699" s="5" t="s">
        <v>238</v>
      </c>
      <c r="BA699" s="5" t="s">
        <v>251</v>
      </c>
      <c r="BB699" s="5" t="s">
        <v>238</v>
      </c>
      <c r="BC699" s="5" t="s">
        <v>253</v>
      </c>
      <c r="BD699" s="5" t="s">
        <v>238</v>
      </c>
      <c r="BF699" s="5" t="s">
        <v>238</v>
      </c>
      <c r="BH699" s="5" t="s">
        <v>254</v>
      </c>
      <c r="BI699" s="6" t="s">
        <v>246</v>
      </c>
      <c r="BJ699" s="5" t="s">
        <v>255</v>
      </c>
      <c r="BK699" s="5" t="s">
        <v>256</v>
      </c>
      <c r="BL699" s="5" t="s">
        <v>238</v>
      </c>
      <c r="BM699" s="7">
        <f>0</f>
        <v>0</v>
      </c>
      <c r="BN699" s="8">
        <f>0</f>
        <v>0</v>
      </c>
      <c r="BO699" s="5" t="s">
        <v>257</v>
      </c>
      <c r="BP699" s="5" t="s">
        <v>258</v>
      </c>
      <c r="CD699" s="5" t="s">
        <v>238</v>
      </c>
      <c r="CE699" s="5" t="s">
        <v>238</v>
      </c>
      <c r="CI699" s="5" t="s">
        <v>259</v>
      </c>
      <c r="CJ699" s="5" t="s">
        <v>260</v>
      </c>
      <c r="CK699" s="5" t="s">
        <v>238</v>
      </c>
      <c r="CM699" s="5" t="s">
        <v>882</v>
      </c>
      <c r="CN699" s="6" t="s">
        <v>262</v>
      </c>
      <c r="CO699" s="5" t="s">
        <v>263</v>
      </c>
      <c r="CP699" s="5" t="s">
        <v>264</v>
      </c>
      <c r="CQ699" s="5" t="s">
        <v>238</v>
      </c>
      <c r="CR699" s="5" t="s">
        <v>238</v>
      </c>
      <c r="CS699" s="5">
        <v>0</v>
      </c>
      <c r="CT699" s="5" t="s">
        <v>265</v>
      </c>
      <c r="CU699" s="5" t="s">
        <v>1360</v>
      </c>
      <c r="CV699" s="5" t="s">
        <v>267</v>
      </c>
      <c r="CX699" s="8">
        <f t="shared" si="25"/>
        <v>18032580</v>
      </c>
      <c r="CY699" s="8">
        <f>0</f>
        <v>0</v>
      </c>
      <c r="DA699" s="5" t="s">
        <v>238</v>
      </c>
      <c r="DB699" s="5" t="s">
        <v>238</v>
      </c>
      <c r="DD699" s="5" t="s">
        <v>238</v>
      </c>
      <c r="DG699" s="5" t="s">
        <v>238</v>
      </c>
      <c r="DH699" s="5" t="s">
        <v>238</v>
      </c>
      <c r="DI699" s="5" t="s">
        <v>238</v>
      </c>
      <c r="DJ699" s="5" t="s">
        <v>238</v>
      </c>
      <c r="DK699" s="5" t="s">
        <v>271</v>
      </c>
      <c r="DL699" s="5" t="s">
        <v>272</v>
      </c>
      <c r="DM699" s="7">
        <f t="shared" si="26"/>
        <v>117.86</v>
      </c>
      <c r="DN699" s="5" t="s">
        <v>238</v>
      </c>
      <c r="DO699" s="5" t="s">
        <v>238</v>
      </c>
      <c r="DP699" s="5" t="s">
        <v>238</v>
      </c>
      <c r="DQ699" s="5" t="s">
        <v>238</v>
      </c>
      <c r="DT699" s="5" t="s">
        <v>2841</v>
      </c>
      <c r="DU699" s="5" t="s">
        <v>631</v>
      </c>
      <c r="HM699" s="5" t="s">
        <v>271</v>
      </c>
      <c r="HP699" s="5" t="s">
        <v>272</v>
      </c>
      <c r="HQ699" s="5" t="s">
        <v>272</v>
      </c>
    </row>
    <row r="700" spans="1:225" x14ac:dyDescent="0.4">
      <c r="A700" s="5">
        <v>790</v>
      </c>
      <c r="B700" s="5">
        <v>1</v>
      </c>
      <c r="C700" s="5">
        <v>1</v>
      </c>
      <c r="D700" s="5" t="s">
        <v>2838</v>
      </c>
      <c r="E700" s="5" t="s">
        <v>277</v>
      </c>
      <c r="F700" s="5" t="s">
        <v>282</v>
      </c>
      <c r="G700" s="5" t="s">
        <v>2491</v>
      </c>
      <c r="H700" s="6" t="s">
        <v>2840</v>
      </c>
      <c r="I700" s="5" t="s">
        <v>2843</v>
      </c>
      <c r="J700" s="7">
        <f t="shared" si="22"/>
        <v>117.86</v>
      </c>
      <c r="K700" s="5" t="s">
        <v>270</v>
      </c>
      <c r="L700" s="8">
        <f>1</f>
        <v>1</v>
      </c>
      <c r="M700" s="8">
        <f t="shared" si="23"/>
        <v>18032580</v>
      </c>
      <c r="N700" s="6" t="s">
        <v>2839</v>
      </c>
      <c r="O700" s="5" t="s">
        <v>286</v>
      </c>
      <c r="P700" s="5" t="s">
        <v>332</v>
      </c>
      <c r="R700" s="8">
        <f t="shared" si="24"/>
        <v>18032579</v>
      </c>
      <c r="S700" s="5" t="s">
        <v>240</v>
      </c>
      <c r="T700" s="5" t="s">
        <v>237</v>
      </c>
      <c r="U700" s="5" t="s">
        <v>238</v>
      </c>
      <c r="V700" s="5" t="s">
        <v>238</v>
      </c>
      <c r="W700" s="5" t="s">
        <v>241</v>
      </c>
      <c r="X700" s="5" t="s">
        <v>276</v>
      </c>
      <c r="Y700" s="5" t="s">
        <v>238</v>
      </c>
      <c r="AB700" s="5" t="s">
        <v>238</v>
      </c>
      <c r="AD700" s="6" t="s">
        <v>238</v>
      </c>
      <c r="AG700" s="6" t="s">
        <v>246</v>
      </c>
      <c r="AH700" s="5" t="s">
        <v>247</v>
      </c>
      <c r="AI700" s="5" t="s">
        <v>248</v>
      </c>
      <c r="AY700" s="5" t="s">
        <v>250</v>
      </c>
      <c r="AZ700" s="5" t="s">
        <v>238</v>
      </c>
      <c r="BA700" s="5" t="s">
        <v>251</v>
      </c>
      <c r="BB700" s="5" t="s">
        <v>238</v>
      </c>
      <c r="BC700" s="5" t="s">
        <v>253</v>
      </c>
      <c r="BD700" s="5" t="s">
        <v>238</v>
      </c>
      <c r="BF700" s="5" t="s">
        <v>238</v>
      </c>
      <c r="BH700" s="5" t="s">
        <v>859</v>
      </c>
      <c r="BI700" s="6" t="s">
        <v>368</v>
      </c>
      <c r="BJ700" s="5" t="s">
        <v>255</v>
      </c>
      <c r="BK700" s="5" t="s">
        <v>256</v>
      </c>
      <c r="BL700" s="5" t="s">
        <v>238</v>
      </c>
      <c r="BM700" s="7">
        <f>0</f>
        <v>0</v>
      </c>
      <c r="BN700" s="8">
        <f>0</f>
        <v>0</v>
      </c>
      <c r="BO700" s="5" t="s">
        <v>257</v>
      </c>
      <c r="BP700" s="5" t="s">
        <v>258</v>
      </c>
      <c r="CD700" s="5" t="s">
        <v>238</v>
      </c>
      <c r="CE700" s="5" t="s">
        <v>238</v>
      </c>
      <c r="CI700" s="5" t="s">
        <v>259</v>
      </c>
      <c r="CJ700" s="5" t="s">
        <v>260</v>
      </c>
      <c r="CK700" s="5" t="s">
        <v>238</v>
      </c>
      <c r="CM700" s="5" t="s">
        <v>882</v>
      </c>
      <c r="CN700" s="6" t="s">
        <v>262</v>
      </c>
      <c r="CO700" s="5" t="s">
        <v>263</v>
      </c>
      <c r="CP700" s="5" t="s">
        <v>264</v>
      </c>
      <c r="CQ700" s="5" t="s">
        <v>238</v>
      </c>
      <c r="CR700" s="5" t="s">
        <v>238</v>
      </c>
      <c r="CS700" s="5">
        <v>0</v>
      </c>
      <c r="CT700" s="5" t="s">
        <v>265</v>
      </c>
      <c r="CU700" s="5" t="s">
        <v>1360</v>
      </c>
      <c r="CV700" s="5" t="s">
        <v>267</v>
      </c>
      <c r="CX700" s="8">
        <f t="shared" si="25"/>
        <v>18032580</v>
      </c>
      <c r="CY700" s="8">
        <f>0</f>
        <v>0</v>
      </c>
      <c r="DA700" s="5" t="s">
        <v>238</v>
      </c>
      <c r="DB700" s="5" t="s">
        <v>238</v>
      </c>
      <c r="DD700" s="5" t="s">
        <v>238</v>
      </c>
      <c r="DG700" s="5" t="s">
        <v>238</v>
      </c>
      <c r="DH700" s="5" t="s">
        <v>238</v>
      </c>
      <c r="DI700" s="5" t="s">
        <v>238</v>
      </c>
      <c r="DJ700" s="5" t="s">
        <v>238</v>
      </c>
      <c r="DK700" s="5" t="s">
        <v>271</v>
      </c>
      <c r="DL700" s="5" t="s">
        <v>272</v>
      </c>
      <c r="DM700" s="7">
        <f t="shared" si="26"/>
        <v>117.86</v>
      </c>
      <c r="DN700" s="5" t="s">
        <v>238</v>
      </c>
      <c r="DO700" s="5" t="s">
        <v>238</v>
      </c>
      <c r="DP700" s="5" t="s">
        <v>238</v>
      </c>
      <c r="DQ700" s="5" t="s">
        <v>238</v>
      </c>
      <c r="DT700" s="5" t="s">
        <v>2841</v>
      </c>
      <c r="DU700" s="5" t="s">
        <v>611</v>
      </c>
      <c r="HM700" s="5" t="s">
        <v>271</v>
      </c>
      <c r="HP700" s="5" t="s">
        <v>272</v>
      </c>
      <c r="HQ700" s="5" t="s">
        <v>272</v>
      </c>
    </row>
    <row r="701" spans="1:225" x14ac:dyDescent="0.4">
      <c r="A701" s="5">
        <v>791</v>
      </c>
      <c r="B701" s="5">
        <v>1</v>
      </c>
      <c r="C701" s="5">
        <v>1</v>
      </c>
      <c r="D701" s="5" t="s">
        <v>2838</v>
      </c>
      <c r="E701" s="5" t="s">
        <v>277</v>
      </c>
      <c r="F701" s="5" t="s">
        <v>282</v>
      </c>
      <c r="G701" s="5" t="s">
        <v>2491</v>
      </c>
      <c r="H701" s="6" t="s">
        <v>2840</v>
      </c>
      <c r="I701" s="5" t="s">
        <v>2842</v>
      </c>
      <c r="J701" s="7">
        <f t="shared" si="22"/>
        <v>117.86</v>
      </c>
      <c r="K701" s="5" t="s">
        <v>270</v>
      </c>
      <c r="L701" s="8">
        <f>1</f>
        <v>1</v>
      </c>
      <c r="M701" s="8">
        <f t="shared" si="23"/>
        <v>18032580</v>
      </c>
      <c r="N701" s="6" t="s">
        <v>2839</v>
      </c>
      <c r="O701" s="5" t="s">
        <v>286</v>
      </c>
      <c r="P701" s="5" t="s">
        <v>332</v>
      </c>
      <c r="R701" s="8">
        <f t="shared" si="24"/>
        <v>18032579</v>
      </c>
      <c r="S701" s="5" t="s">
        <v>240</v>
      </c>
      <c r="T701" s="5" t="s">
        <v>237</v>
      </c>
      <c r="U701" s="5" t="s">
        <v>238</v>
      </c>
      <c r="V701" s="5" t="s">
        <v>238</v>
      </c>
      <c r="W701" s="5" t="s">
        <v>241</v>
      </c>
      <c r="X701" s="5" t="s">
        <v>276</v>
      </c>
      <c r="Y701" s="5" t="s">
        <v>238</v>
      </c>
      <c r="AB701" s="5" t="s">
        <v>238</v>
      </c>
      <c r="AD701" s="6" t="s">
        <v>238</v>
      </c>
      <c r="AG701" s="6" t="s">
        <v>246</v>
      </c>
      <c r="AH701" s="5" t="s">
        <v>247</v>
      </c>
      <c r="AI701" s="5" t="s">
        <v>248</v>
      </c>
      <c r="AY701" s="5" t="s">
        <v>250</v>
      </c>
      <c r="AZ701" s="5" t="s">
        <v>238</v>
      </c>
      <c r="BA701" s="5" t="s">
        <v>251</v>
      </c>
      <c r="BB701" s="5" t="s">
        <v>238</v>
      </c>
      <c r="BC701" s="5" t="s">
        <v>253</v>
      </c>
      <c r="BD701" s="5" t="s">
        <v>238</v>
      </c>
      <c r="BF701" s="5" t="s">
        <v>238</v>
      </c>
      <c r="BH701" s="5" t="s">
        <v>697</v>
      </c>
      <c r="BI701" s="6" t="s">
        <v>698</v>
      </c>
      <c r="BJ701" s="5" t="s">
        <v>255</v>
      </c>
      <c r="BK701" s="5" t="s">
        <v>256</v>
      </c>
      <c r="BL701" s="5" t="s">
        <v>238</v>
      </c>
      <c r="BM701" s="7">
        <f>0</f>
        <v>0</v>
      </c>
      <c r="BN701" s="8">
        <f>0</f>
        <v>0</v>
      </c>
      <c r="BO701" s="5" t="s">
        <v>257</v>
      </c>
      <c r="BP701" s="5" t="s">
        <v>258</v>
      </c>
      <c r="CD701" s="5" t="s">
        <v>238</v>
      </c>
      <c r="CE701" s="5" t="s">
        <v>238</v>
      </c>
      <c r="CI701" s="5" t="s">
        <v>259</v>
      </c>
      <c r="CJ701" s="5" t="s">
        <v>260</v>
      </c>
      <c r="CK701" s="5" t="s">
        <v>238</v>
      </c>
      <c r="CM701" s="5" t="s">
        <v>882</v>
      </c>
      <c r="CN701" s="6" t="s">
        <v>262</v>
      </c>
      <c r="CO701" s="5" t="s">
        <v>263</v>
      </c>
      <c r="CP701" s="5" t="s">
        <v>264</v>
      </c>
      <c r="CQ701" s="5" t="s">
        <v>238</v>
      </c>
      <c r="CR701" s="5" t="s">
        <v>238</v>
      </c>
      <c r="CS701" s="5">
        <v>0</v>
      </c>
      <c r="CT701" s="5" t="s">
        <v>265</v>
      </c>
      <c r="CU701" s="5" t="s">
        <v>1360</v>
      </c>
      <c r="CV701" s="5" t="s">
        <v>267</v>
      </c>
      <c r="CX701" s="8">
        <f t="shared" si="25"/>
        <v>18032580</v>
      </c>
      <c r="CY701" s="8">
        <f>0</f>
        <v>0</v>
      </c>
      <c r="DA701" s="5" t="s">
        <v>238</v>
      </c>
      <c r="DB701" s="5" t="s">
        <v>238</v>
      </c>
      <c r="DD701" s="5" t="s">
        <v>238</v>
      </c>
      <c r="DG701" s="5" t="s">
        <v>238</v>
      </c>
      <c r="DH701" s="5" t="s">
        <v>238</v>
      </c>
      <c r="DI701" s="5" t="s">
        <v>238</v>
      </c>
      <c r="DJ701" s="5" t="s">
        <v>238</v>
      </c>
      <c r="DK701" s="5" t="s">
        <v>271</v>
      </c>
      <c r="DL701" s="5" t="s">
        <v>272</v>
      </c>
      <c r="DM701" s="7">
        <f t="shared" si="26"/>
        <v>117.86</v>
      </c>
      <c r="DN701" s="5" t="s">
        <v>238</v>
      </c>
      <c r="DO701" s="5" t="s">
        <v>238</v>
      </c>
      <c r="DP701" s="5" t="s">
        <v>238</v>
      </c>
      <c r="DQ701" s="5" t="s">
        <v>238</v>
      </c>
      <c r="DT701" s="5" t="s">
        <v>2841</v>
      </c>
      <c r="DU701" s="5" t="s">
        <v>658</v>
      </c>
      <c r="HM701" s="5" t="s">
        <v>271</v>
      </c>
      <c r="HP701" s="5" t="s">
        <v>272</v>
      </c>
      <c r="HQ701" s="5" t="s">
        <v>272</v>
      </c>
    </row>
    <row r="702" spans="1:225" x14ac:dyDescent="0.4">
      <c r="A702" s="5">
        <v>792</v>
      </c>
      <c r="B702" s="5">
        <v>1</v>
      </c>
      <c r="C702" s="5">
        <v>1</v>
      </c>
      <c r="D702" s="5" t="s">
        <v>2838</v>
      </c>
      <c r="E702" s="5" t="s">
        <v>277</v>
      </c>
      <c r="F702" s="5" t="s">
        <v>282</v>
      </c>
      <c r="G702" s="5" t="s">
        <v>2491</v>
      </c>
      <c r="H702" s="6" t="s">
        <v>2840</v>
      </c>
      <c r="I702" s="5" t="s">
        <v>2837</v>
      </c>
      <c r="J702" s="7">
        <f t="shared" si="22"/>
        <v>117.86</v>
      </c>
      <c r="K702" s="5" t="s">
        <v>270</v>
      </c>
      <c r="L702" s="8">
        <f>1</f>
        <v>1</v>
      </c>
      <c r="M702" s="8">
        <f t="shared" si="23"/>
        <v>18032580</v>
      </c>
      <c r="N702" s="6" t="s">
        <v>2839</v>
      </c>
      <c r="O702" s="5" t="s">
        <v>286</v>
      </c>
      <c r="P702" s="5" t="s">
        <v>332</v>
      </c>
      <c r="R702" s="8">
        <f t="shared" si="24"/>
        <v>18032579</v>
      </c>
      <c r="S702" s="5" t="s">
        <v>240</v>
      </c>
      <c r="T702" s="5" t="s">
        <v>237</v>
      </c>
      <c r="U702" s="5" t="s">
        <v>238</v>
      </c>
      <c r="V702" s="5" t="s">
        <v>238</v>
      </c>
      <c r="W702" s="5" t="s">
        <v>241</v>
      </c>
      <c r="X702" s="5" t="s">
        <v>276</v>
      </c>
      <c r="Y702" s="5" t="s">
        <v>238</v>
      </c>
      <c r="AB702" s="5" t="s">
        <v>238</v>
      </c>
      <c r="AD702" s="6" t="s">
        <v>238</v>
      </c>
      <c r="AG702" s="6" t="s">
        <v>246</v>
      </c>
      <c r="AH702" s="5" t="s">
        <v>247</v>
      </c>
      <c r="AI702" s="5" t="s">
        <v>248</v>
      </c>
      <c r="AY702" s="5" t="s">
        <v>250</v>
      </c>
      <c r="AZ702" s="5" t="s">
        <v>238</v>
      </c>
      <c r="BA702" s="5" t="s">
        <v>251</v>
      </c>
      <c r="BB702" s="5" t="s">
        <v>238</v>
      </c>
      <c r="BC702" s="5" t="s">
        <v>253</v>
      </c>
      <c r="BD702" s="5" t="s">
        <v>238</v>
      </c>
      <c r="BF702" s="5" t="s">
        <v>238</v>
      </c>
      <c r="BH702" s="5" t="s">
        <v>798</v>
      </c>
      <c r="BI702" s="6" t="s">
        <v>376</v>
      </c>
      <c r="BJ702" s="5" t="s">
        <v>255</v>
      </c>
      <c r="BK702" s="5" t="s">
        <v>256</v>
      </c>
      <c r="BL702" s="5" t="s">
        <v>238</v>
      </c>
      <c r="BM702" s="7">
        <f>0</f>
        <v>0</v>
      </c>
      <c r="BN702" s="8">
        <f>0</f>
        <v>0</v>
      </c>
      <c r="BO702" s="5" t="s">
        <v>257</v>
      </c>
      <c r="BP702" s="5" t="s">
        <v>258</v>
      </c>
      <c r="CD702" s="5" t="s">
        <v>238</v>
      </c>
      <c r="CE702" s="5" t="s">
        <v>238</v>
      </c>
      <c r="CI702" s="5" t="s">
        <v>259</v>
      </c>
      <c r="CJ702" s="5" t="s">
        <v>260</v>
      </c>
      <c r="CK702" s="5" t="s">
        <v>238</v>
      </c>
      <c r="CM702" s="5" t="s">
        <v>882</v>
      </c>
      <c r="CN702" s="6" t="s">
        <v>262</v>
      </c>
      <c r="CO702" s="5" t="s">
        <v>263</v>
      </c>
      <c r="CP702" s="5" t="s">
        <v>264</v>
      </c>
      <c r="CQ702" s="5" t="s">
        <v>238</v>
      </c>
      <c r="CR702" s="5" t="s">
        <v>238</v>
      </c>
      <c r="CS702" s="5">
        <v>0</v>
      </c>
      <c r="CT702" s="5" t="s">
        <v>265</v>
      </c>
      <c r="CU702" s="5" t="s">
        <v>1360</v>
      </c>
      <c r="CV702" s="5" t="s">
        <v>267</v>
      </c>
      <c r="CX702" s="8">
        <f t="shared" si="25"/>
        <v>18032580</v>
      </c>
      <c r="CY702" s="8">
        <f>0</f>
        <v>0</v>
      </c>
      <c r="DA702" s="5" t="s">
        <v>238</v>
      </c>
      <c r="DB702" s="5" t="s">
        <v>238</v>
      </c>
      <c r="DD702" s="5" t="s">
        <v>238</v>
      </c>
      <c r="DG702" s="5" t="s">
        <v>238</v>
      </c>
      <c r="DH702" s="5" t="s">
        <v>238</v>
      </c>
      <c r="DI702" s="5" t="s">
        <v>238</v>
      </c>
      <c r="DJ702" s="5" t="s">
        <v>238</v>
      </c>
      <c r="DK702" s="5" t="s">
        <v>271</v>
      </c>
      <c r="DL702" s="5" t="s">
        <v>272</v>
      </c>
      <c r="DM702" s="7">
        <f t="shared" si="26"/>
        <v>117.86</v>
      </c>
      <c r="DN702" s="5" t="s">
        <v>238</v>
      </c>
      <c r="DO702" s="5" t="s">
        <v>238</v>
      </c>
      <c r="DP702" s="5" t="s">
        <v>238</v>
      </c>
      <c r="DQ702" s="5" t="s">
        <v>238</v>
      </c>
      <c r="DT702" s="5" t="s">
        <v>2841</v>
      </c>
      <c r="DU702" s="5" t="s">
        <v>712</v>
      </c>
      <c r="HM702" s="5" t="s">
        <v>271</v>
      </c>
      <c r="HP702" s="5" t="s">
        <v>272</v>
      </c>
      <c r="HQ702" s="5" t="s">
        <v>272</v>
      </c>
    </row>
    <row r="703" spans="1:225" x14ac:dyDescent="0.4">
      <c r="A703" s="5">
        <v>793</v>
      </c>
      <c r="B703" s="5">
        <v>1</v>
      </c>
      <c r="C703" s="5">
        <v>1</v>
      </c>
      <c r="D703" s="5" t="s">
        <v>2501</v>
      </c>
      <c r="E703" s="5" t="s">
        <v>277</v>
      </c>
      <c r="F703" s="5" t="s">
        <v>282</v>
      </c>
      <c r="G703" s="5" t="s">
        <v>2491</v>
      </c>
      <c r="H703" s="6" t="s">
        <v>2502</v>
      </c>
      <c r="I703" s="5" t="s">
        <v>2495</v>
      </c>
      <c r="J703" s="7">
        <f>143.24</f>
        <v>143.24</v>
      </c>
      <c r="K703" s="5" t="s">
        <v>270</v>
      </c>
      <c r="L703" s="8">
        <f>1</f>
        <v>1</v>
      </c>
      <c r="M703" s="8">
        <f>26642640</f>
        <v>26642640</v>
      </c>
      <c r="N703" s="6" t="s">
        <v>1711</v>
      </c>
      <c r="O703" s="5" t="s">
        <v>286</v>
      </c>
      <c r="P703" s="5" t="s">
        <v>286</v>
      </c>
      <c r="R703" s="8">
        <f>26642639</f>
        <v>26642639</v>
      </c>
      <c r="S703" s="5" t="s">
        <v>240</v>
      </c>
      <c r="T703" s="5" t="s">
        <v>237</v>
      </c>
      <c r="U703" s="5" t="s">
        <v>238</v>
      </c>
      <c r="V703" s="5" t="s">
        <v>238</v>
      </c>
      <c r="W703" s="5" t="s">
        <v>241</v>
      </c>
      <c r="X703" s="5" t="s">
        <v>276</v>
      </c>
      <c r="Y703" s="5" t="s">
        <v>238</v>
      </c>
      <c r="AB703" s="5" t="s">
        <v>238</v>
      </c>
      <c r="AD703" s="6" t="s">
        <v>238</v>
      </c>
      <c r="AG703" s="6" t="s">
        <v>246</v>
      </c>
      <c r="AH703" s="5" t="s">
        <v>247</v>
      </c>
      <c r="AI703" s="5" t="s">
        <v>248</v>
      </c>
      <c r="AY703" s="5" t="s">
        <v>250</v>
      </c>
      <c r="AZ703" s="5" t="s">
        <v>238</v>
      </c>
      <c r="BA703" s="5" t="s">
        <v>251</v>
      </c>
      <c r="BB703" s="5" t="s">
        <v>238</v>
      </c>
      <c r="BC703" s="5" t="s">
        <v>253</v>
      </c>
      <c r="BD703" s="5" t="s">
        <v>238</v>
      </c>
      <c r="BF703" s="5" t="s">
        <v>2648</v>
      </c>
      <c r="BH703" s="5" t="s">
        <v>254</v>
      </c>
      <c r="BI703" s="6" t="s">
        <v>246</v>
      </c>
      <c r="BJ703" s="5" t="s">
        <v>255</v>
      </c>
      <c r="BK703" s="5" t="s">
        <v>256</v>
      </c>
      <c r="BL703" s="5" t="s">
        <v>238</v>
      </c>
      <c r="BM703" s="7">
        <f>0</f>
        <v>0</v>
      </c>
      <c r="BN703" s="8">
        <f>0</f>
        <v>0</v>
      </c>
      <c r="BO703" s="5" t="s">
        <v>257</v>
      </c>
      <c r="BP703" s="5" t="s">
        <v>258</v>
      </c>
      <c r="CD703" s="5" t="s">
        <v>238</v>
      </c>
      <c r="CE703" s="5" t="s">
        <v>238</v>
      </c>
      <c r="CI703" s="5" t="s">
        <v>259</v>
      </c>
      <c r="CJ703" s="5" t="s">
        <v>260</v>
      </c>
      <c r="CK703" s="5" t="s">
        <v>238</v>
      </c>
      <c r="CM703" s="5" t="s">
        <v>783</v>
      </c>
      <c r="CN703" s="6" t="s">
        <v>262</v>
      </c>
      <c r="CO703" s="5" t="s">
        <v>263</v>
      </c>
      <c r="CP703" s="5" t="s">
        <v>264</v>
      </c>
      <c r="CQ703" s="5" t="s">
        <v>238</v>
      </c>
      <c r="CR703" s="5" t="s">
        <v>238</v>
      </c>
      <c r="CS703" s="5">
        <v>0</v>
      </c>
      <c r="CT703" s="5" t="s">
        <v>265</v>
      </c>
      <c r="CU703" s="5" t="s">
        <v>1360</v>
      </c>
      <c r="CV703" s="5" t="s">
        <v>267</v>
      </c>
      <c r="CX703" s="8">
        <f>26642640</f>
        <v>26642640</v>
      </c>
      <c r="CY703" s="8">
        <f>0</f>
        <v>0</v>
      </c>
      <c r="DA703" s="5" t="s">
        <v>238</v>
      </c>
      <c r="DB703" s="5" t="s">
        <v>238</v>
      </c>
      <c r="DD703" s="5" t="s">
        <v>238</v>
      </c>
      <c r="DG703" s="5" t="s">
        <v>238</v>
      </c>
      <c r="DH703" s="5" t="s">
        <v>238</v>
      </c>
      <c r="DI703" s="5" t="s">
        <v>238</v>
      </c>
      <c r="DJ703" s="5" t="s">
        <v>238</v>
      </c>
      <c r="DK703" s="5" t="s">
        <v>274</v>
      </c>
      <c r="DL703" s="5" t="s">
        <v>272</v>
      </c>
      <c r="DM703" s="7">
        <f>143.24</f>
        <v>143.24</v>
      </c>
      <c r="DN703" s="5" t="s">
        <v>238</v>
      </c>
      <c r="DO703" s="5" t="s">
        <v>238</v>
      </c>
      <c r="DP703" s="5" t="s">
        <v>238</v>
      </c>
      <c r="DQ703" s="5" t="s">
        <v>238</v>
      </c>
      <c r="DT703" s="5" t="s">
        <v>2503</v>
      </c>
      <c r="DU703" s="5" t="s">
        <v>271</v>
      </c>
      <c r="HM703" s="5" t="s">
        <v>271</v>
      </c>
      <c r="HP703" s="5" t="s">
        <v>272</v>
      </c>
      <c r="HQ703" s="5" t="s">
        <v>272</v>
      </c>
    </row>
    <row r="704" spans="1:225" x14ac:dyDescent="0.4">
      <c r="A704" s="5">
        <v>794</v>
      </c>
      <c r="B704" s="5">
        <v>1</v>
      </c>
      <c r="C704" s="5">
        <v>1</v>
      </c>
      <c r="D704" s="5" t="s">
        <v>2501</v>
      </c>
      <c r="E704" s="5" t="s">
        <v>277</v>
      </c>
      <c r="F704" s="5" t="s">
        <v>282</v>
      </c>
      <c r="G704" s="5" t="s">
        <v>2491</v>
      </c>
      <c r="H704" s="6" t="s">
        <v>2502</v>
      </c>
      <c r="I704" s="5" t="s">
        <v>2505</v>
      </c>
      <c r="J704" s="7">
        <f>149.24</f>
        <v>149.24</v>
      </c>
      <c r="K704" s="5" t="s">
        <v>270</v>
      </c>
      <c r="L704" s="8">
        <f>1</f>
        <v>1</v>
      </c>
      <c r="M704" s="8">
        <f>27758640</f>
        <v>27758640</v>
      </c>
      <c r="N704" s="6" t="s">
        <v>1711</v>
      </c>
      <c r="O704" s="5" t="s">
        <v>286</v>
      </c>
      <c r="P704" s="5" t="s">
        <v>286</v>
      </c>
      <c r="R704" s="8">
        <f>27758639</f>
        <v>27758639</v>
      </c>
      <c r="S704" s="5" t="s">
        <v>240</v>
      </c>
      <c r="T704" s="5" t="s">
        <v>237</v>
      </c>
      <c r="U704" s="5" t="s">
        <v>238</v>
      </c>
      <c r="V704" s="5" t="s">
        <v>238</v>
      </c>
      <c r="W704" s="5" t="s">
        <v>241</v>
      </c>
      <c r="X704" s="5" t="s">
        <v>276</v>
      </c>
      <c r="Y704" s="5" t="s">
        <v>238</v>
      </c>
      <c r="AB704" s="5" t="s">
        <v>238</v>
      </c>
      <c r="AD704" s="6" t="s">
        <v>238</v>
      </c>
      <c r="AG704" s="6" t="s">
        <v>246</v>
      </c>
      <c r="AH704" s="5" t="s">
        <v>247</v>
      </c>
      <c r="AI704" s="5" t="s">
        <v>248</v>
      </c>
      <c r="AY704" s="5" t="s">
        <v>250</v>
      </c>
      <c r="AZ704" s="5" t="s">
        <v>238</v>
      </c>
      <c r="BA704" s="5" t="s">
        <v>251</v>
      </c>
      <c r="BB704" s="5" t="s">
        <v>238</v>
      </c>
      <c r="BC704" s="5" t="s">
        <v>253</v>
      </c>
      <c r="BD704" s="5" t="s">
        <v>238</v>
      </c>
      <c r="BF704" s="5" t="s">
        <v>238</v>
      </c>
      <c r="BH704" s="5" t="s">
        <v>254</v>
      </c>
      <c r="BI704" s="6" t="s">
        <v>246</v>
      </c>
      <c r="BJ704" s="5" t="s">
        <v>255</v>
      </c>
      <c r="BK704" s="5" t="s">
        <v>256</v>
      </c>
      <c r="BL704" s="5" t="s">
        <v>238</v>
      </c>
      <c r="BM704" s="7">
        <f>0</f>
        <v>0</v>
      </c>
      <c r="BN704" s="8">
        <f>0</f>
        <v>0</v>
      </c>
      <c r="BO704" s="5" t="s">
        <v>257</v>
      </c>
      <c r="BP704" s="5" t="s">
        <v>258</v>
      </c>
      <c r="CD704" s="5" t="s">
        <v>238</v>
      </c>
      <c r="CE704" s="5" t="s">
        <v>238</v>
      </c>
      <c r="CI704" s="5" t="s">
        <v>259</v>
      </c>
      <c r="CJ704" s="5" t="s">
        <v>260</v>
      </c>
      <c r="CK704" s="5" t="s">
        <v>238</v>
      </c>
      <c r="CM704" s="5" t="s">
        <v>783</v>
      </c>
      <c r="CN704" s="6" t="s">
        <v>262</v>
      </c>
      <c r="CO704" s="5" t="s">
        <v>263</v>
      </c>
      <c r="CP704" s="5" t="s">
        <v>264</v>
      </c>
      <c r="CQ704" s="5" t="s">
        <v>238</v>
      </c>
      <c r="CR704" s="5" t="s">
        <v>238</v>
      </c>
      <c r="CS704" s="5">
        <v>0</v>
      </c>
      <c r="CT704" s="5" t="s">
        <v>265</v>
      </c>
      <c r="CU704" s="5" t="s">
        <v>1360</v>
      </c>
      <c r="CV704" s="5" t="s">
        <v>267</v>
      </c>
      <c r="CX704" s="8">
        <f>27758640</f>
        <v>27758640</v>
      </c>
      <c r="CY704" s="8">
        <f>0</f>
        <v>0</v>
      </c>
      <c r="DA704" s="5" t="s">
        <v>238</v>
      </c>
      <c r="DB704" s="5" t="s">
        <v>238</v>
      </c>
      <c r="DD704" s="5" t="s">
        <v>238</v>
      </c>
      <c r="DG704" s="5" t="s">
        <v>238</v>
      </c>
      <c r="DH704" s="5" t="s">
        <v>238</v>
      </c>
      <c r="DI704" s="5" t="s">
        <v>238</v>
      </c>
      <c r="DJ704" s="5" t="s">
        <v>238</v>
      </c>
      <c r="DK704" s="5" t="s">
        <v>274</v>
      </c>
      <c r="DL704" s="5" t="s">
        <v>272</v>
      </c>
      <c r="DM704" s="7">
        <f>149.24</f>
        <v>149.24</v>
      </c>
      <c r="DN704" s="5" t="s">
        <v>238</v>
      </c>
      <c r="DO704" s="5" t="s">
        <v>238</v>
      </c>
      <c r="DP704" s="5" t="s">
        <v>238</v>
      </c>
      <c r="DQ704" s="5" t="s">
        <v>238</v>
      </c>
      <c r="DT704" s="5" t="s">
        <v>2503</v>
      </c>
      <c r="DU704" s="5" t="s">
        <v>274</v>
      </c>
      <c r="HM704" s="5" t="s">
        <v>271</v>
      </c>
      <c r="HP704" s="5" t="s">
        <v>272</v>
      </c>
      <c r="HQ704" s="5" t="s">
        <v>272</v>
      </c>
    </row>
    <row r="705" spans="1:225" x14ac:dyDescent="0.4">
      <c r="A705" s="5">
        <v>795</v>
      </c>
      <c r="B705" s="5">
        <v>1</v>
      </c>
      <c r="C705" s="5">
        <v>1</v>
      </c>
      <c r="D705" s="5" t="s">
        <v>2501</v>
      </c>
      <c r="E705" s="5" t="s">
        <v>277</v>
      </c>
      <c r="F705" s="5" t="s">
        <v>282</v>
      </c>
      <c r="G705" s="5" t="s">
        <v>2491</v>
      </c>
      <c r="H705" s="6" t="s">
        <v>2502</v>
      </c>
      <c r="I705" s="5" t="s">
        <v>2504</v>
      </c>
      <c r="J705" s="7">
        <f>150.26</f>
        <v>150.26</v>
      </c>
      <c r="K705" s="5" t="s">
        <v>270</v>
      </c>
      <c r="L705" s="8">
        <f>1</f>
        <v>1</v>
      </c>
      <c r="M705" s="8">
        <f>27948360</f>
        <v>27948360</v>
      </c>
      <c r="N705" s="6" t="s">
        <v>1711</v>
      </c>
      <c r="O705" s="5" t="s">
        <v>286</v>
      </c>
      <c r="P705" s="5" t="s">
        <v>286</v>
      </c>
      <c r="R705" s="8">
        <f>27948359</f>
        <v>27948359</v>
      </c>
      <c r="S705" s="5" t="s">
        <v>240</v>
      </c>
      <c r="T705" s="5" t="s">
        <v>237</v>
      </c>
      <c r="U705" s="5" t="s">
        <v>238</v>
      </c>
      <c r="V705" s="5" t="s">
        <v>238</v>
      </c>
      <c r="W705" s="5" t="s">
        <v>241</v>
      </c>
      <c r="X705" s="5" t="s">
        <v>276</v>
      </c>
      <c r="Y705" s="5" t="s">
        <v>238</v>
      </c>
      <c r="AB705" s="5" t="s">
        <v>238</v>
      </c>
      <c r="AD705" s="6" t="s">
        <v>238</v>
      </c>
      <c r="AG705" s="6" t="s">
        <v>246</v>
      </c>
      <c r="AH705" s="5" t="s">
        <v>247</v>
      </c>
      <c r="AI705" s="5" t="s">
        <v>248</v>
      </c>
      <c r="AY705" s="5" t="s">
        <v>250</v>
      </c>
      <c r="AZ705" s="5" t="s">
        <v>238</v>
      </c>
      <c r="BA705" s="5" t="s">
        <v>251</v>
      </c>
      <c r="BB705" s="5" t="s">
        <v>238</v>
      </c>
      <c r="BC705" s="5" t="s">
        <v>253</v>
      </c>
      <c r="BD705" s="5" t="s">
        <v>238</v>
      </c>
      <c r="BF705" s="5" t="s">
        <v>238</v>
      </c>
      <c r="BH705" s="5" t="s">
        <v>859</v>
      </c>
      <c r="BI705" s="6" t="s">
        <v>368</v>
      </c>
      <c r="BJ705" s="5" t="s">
        <v>255</v>
      </c>
      <c r="BK705" s="5" t="s">
        <v>256</v>
      </c>
      <c r="BL705" s="5" t="s">
        <v>238</v>
      </c>
      <c r="BM705" s="7">
        <f>0</f>
        <v>0</v>
      </c>
      <c r="BN705" s="8">
        <f>0</f>
        <v>0</v>
      </c>
      <c r="BO705" s="5" t="s">
        <v>257</v>
      </c>
      <c r="BP705" s="5" t="s">
        <v>258</v>
      </c>
      <c r="CD705" s="5" t="s">
        <v>238</v>
      </c>
      <c r="CE705" s="5" t="s">
        <v>238</v>
      </c>
      <c r="CI705" s="5" t="s">
        <v>259</v>
      </c>
      <c r="CJ705" s="5" t="s">
        <v>260</v>
      </c>
      <c r="CK705" s="5" t="s">
        <v>238</v>
      </c>
      <c r="CM705" s="5" t="s">
        <v>783</v>
      </c>
      <c r="CN705" s="6" t="s">
        <v>262</v>
      </c>
      <c r="CO705" s="5" t="s">
        <v>263</v>
      </c>
      <c r="CP705" s="5" t="s">
        <v>264</v>
      </c>
      <c r="CQ705" s="5" t="s">
        <v>238</v>
      </c>
      <c r="CR705" s="5" t="s">
        <v>238</v>
      </c>
      <c r="CS705" s="5">
        <v>0</v>
      </c>
      <c r="CT705" s="5" t="s">
        <v>265</v>
      </c>
      <c r="CU705" s="5" t="s">
        <v>1360</v>
      </c>
      <c r="CV705" s="5" t="s">
        <v>267</v>
      </c>
      <c r="CX705" s="8">
        <f>27948360</f>
        <v>27948360</v>
      </c>
      <c r="CY705" s="8">
        <f>0</f>
        <v>0</v>
      </c>
      <c r="DA705" s="5" t="s">
        <v>238</v>
      </c>
      <c r="DB705" s="5" t="s">
        <v>238</v>
      </c>
      <c r="DD705" s="5" t="s">
        <v>238</v>
      </c>
      <c r="DG705" s="5" t="s">
        <v>238</v>
      </c>
      <c r="DH705" s="5" t="s">
        <v>238</v>
      </c>
      <c r="DI705" s="5" t="s">
        <v>238</v>
      </c>
      <c r="DJ705" s="5" t="s">
        <v>238</v>
      </c>
      <c r="DK705" s="5" t="s">
        <v>274</v>
      </c>
      <c r="DL705" s="5" t="s">
        <v>272</v>
      </c>
      <c r="DM705" s="7">
        <f>150.26</f>
        <v>150.26</v>
      </c>
      <c r="DN705" s="5" t="s">
        <v>238</v>
      </c>
      <c r="DO705" s="5" t="s">
        <v>238</v>
      </c>
      <c r="DP705" s="5" t="s">
        <v>238</v>
      </c>
      <c r="DQ705" s="5" t="s">
        <v>238</v>
      </c>
      <c r="DT705" s="5" t="s">
        <v>2503</v>
      </c>
      <c r="DU705" s="5" t="s">
        <v>356</v>
      </c>
      <c r="HM705" s="5" t="s">
        <v>271</v>
      </c>
      <c r="HP705" s="5" t="s">
        <v>272</v>
      </c>
      <c r="HQ705" s="5" t="s">
        <v>272</v>
      </c>
    </row>
    <row r="706" spans="1:225" x14ac:dyDescent="0.4">
      <c r="A706" s="5">
        <v>796</v>
      </c>
      <c r="B706" s="5">
        <v>1</v>
      </c>
      <c r="C706" s="5">
        <v>1</v>
      </c>
      <c r="D706" s="5" t="s">
        <v>2501</v>
      </c>
      <c r="E706" s="5" t="s">
        <v>277</v>
      </c>
      <c r="F706" s="5" t="s">
        <v>282</v>
      </c>
      <c r="G706" s="5" t="s">
        <v>2491</v>
      </c>
      <c r="H706" s="6" t="s">
        <v>2502</v>
      </c>
      <c r="I706" s="5" t="s">
        <v>2494</v>
      </c>
      <c r="J706" s="7">
        <f>150.26</f>
        <v>150.26</v>
      </c>
      <c r="K706" s="5" t="s">
        <v>270</v>
      </c>
      <c r="L706" s="8">
        <f>1</f>
        <v>1</v>
      </c>
      <c r="M706" s="8">
        <f>27948360</f>
        <v>27948360</v>
      </c>
      <c r="N706" s="6" t="s">
        <v>935</v>
      </c>
      <c r="O706" s="5" t="s">
        <v>286</v>
      </c>
      <c r="P706" s="5" t="s">
        <v>286</v>
      </c>
      <c r="R706" s="8">
        <f>27948359</f>
        <v>27948359</v>
      </c>
      <c r="S706" s="5" t="s">
        <v>240</v>
      </c>
      <c r="T706" s="5" t="s">
        <v>237</v>
      </c>
      <c r="U706" s="5" t="s">
        <v>238</v>
      </c>
      <c r="V706" s="5" t="s">
        <v>238</v>
      </c>
      <c r="W706" s="5" t="s">
        <v>241</v>
      </c>
      <c r="X706" s="5" t="s">
        <v>276</v>
      </c>
      <c r="Y706" s="5" t="s">
        <v>238</v>
      </c>
      <c r="AB706" s="5" t="s">
        <v>238</v>
      </c>
      <c r="AD706" s="6" t="s">
        <v>238</v>
      </c>
      <c r="AG706" s="6" t="s">
        <v>246</v>
      </c>
      <c r="AH706" s="5" t="s">
        <v>247</v>
      </c>
      <c r="AI706" s="5" t="s">
        <v>248</v>
      </c>
      <c r="AY706" s="5" t="s">
        <v>250</v>
      </c>
      <c r="AZ706" s="5" t="s">
        <v>238</v>
      </c>
      <c r="BA706" s="5" t="s">
        <v>251</v>
      </c>
      <c r="BB706" s="5" t="s">
        <v>238</v>
      </c>
      <c r="BC706" s="5" t="s">
        <v>253</v>
      </c>
      <c r="BD706" s="5" t="s">
        <v>238</v>
      </c>
      <c r="BF706" s="5" t="s">
        <v>238</v>
      </c>
      <c r="BH706" s="5" t="s">
        <v>697</v>
      </c>
      <c r="BI706" s="6" t="s">
        <v>698</v>
      </c>
      <c r="BJ706" s="5" t="s">
        <v>255</v>
      </c>
      <c r="BK706" s="5" t="s">
        <v>294</v>
      </c>
      <c r="BL706" s="5" t="s">
        <v>238</v>
      </c>
      <c r="BM706" s="7">
        <f>0</f>
        <v>0</v>
      </c>
      <c r="BN706" s="8">
        <f>0</f>
        <v>0</v>
      </c>
      <c r="BO706" s="5" t="s">
        <v>257</v>
      </c>
      <c r="BP706" s="5" t="s">
        <v>258</v>
      </c>
      <c r="CD706" s="5" t="s">
        <v>238</v>
      </c>
      <c r="CE706" s="5" t="s">
        <v>238</v>
      </c>
      <c r="CI706" s="5" t="s">
        <v>259</v>
      </c>
      <c r="CJ706" s="5" t="s">
        <v>260</v>
      </c>
      <c r="CK706" s="5" t="s">
        <v>238</v>
      </c>
      <c r="CM706" s="5" t="s">
        <v>937</v>
      </c>
      <c r="CN706" s="6" t="s">
        <v>262</v>
      </c>
      <c r="CO706" s="5" t="s">
        <v>263</v>
      </c>
      <c r="CP706" s="5" t="s">
        <v>264</v>
      </c>
      <c r="CQ706" s="5" t="s">
        <v>238</v>
      </c>
      <c r="CR706" s="5" t="s">
        <v>238</v>
      </c>
      <c r="CS706" s="5">
        <v>0</v>
      </c>
      <c r="CT706" s="5" t="s">
        <v>265</v>
      </c>
      <c r="CU706" s="5" t="s">
        <v>1360</v>
      </c>
      <c r="CV706" s="5" t="s">
        <v>267</v>
      </c>
      <c r="CX706" s="8">
        <f>27948360</f>
        <v>27948360</v>
      </c>
      <c r="CY706" s="8">
        <f>0</f>
        <v>0</v>
      </c>
      <c r="DA706" s="5" t="s">
        <v>238</v>
      </c>
      <c r="DB706" s="5" t="s">
        <v>238</v>
      </c>
      <c r="DD706" s="5" t="s">
        <v>238</v>
      </c>
      <c r="DG706" s="5" t="s">
        <v>238</v>
      </c>
      <c r="DH706" s="5" t="s">
        <v>238</v>
      </c>
      <c r="DI706" s="5" t="s">
        <v>238</v>
      </c>
      <c r="DJ706" s="5" t="s">
        <v>238</v>
      </c>
      <c r="DK706" s="5" t="s">
        <v>274</v>
      </c>
      <c r="DL706" s="5" t="s">
        <v>272</v>
      </c>
      <c r="DM706" s="7">
        <f>150.26</f>
        <v>150.26</v>
      </c>
      <c r="DN706" s="5" t="s">
        <v>238</v>
      </c>
      <c r="DO706" s="5" t="s">
        <v>238</v>
      </c>
      <c r="DP706" s="5" t="s">
        <v>238</v>
      </c>
      <c r="DQ706" s="5" t="s">
        <v>238</v>
      </c>
      <c r="DT706" s="5" t="s">
        <v>2503</v>
      </c>
      <c r="DU706" s="5" t="s">
        <v>310</v>
      </c>
      <c r="HM706" s="5" t="s">
        <v>274</v>
      </c>
      <c r="HP706" s="5" t="s">
        <v>272</v>
      </c>
      <c r="HQ706" s="5" t="s">
        <v>272</v>
      </c>
    </row>
    <row r="707" spans="1:225" x14ac:dyDescent="0.4">
      <c r="A707" s="5">
        <v>797</v>
      </c>
      <c r="B707" s="5">
        <v>1</v>
      </c>
      <c r="C707" s="5">
        <v>1</v>
      </c>
      <c r="D707" s="5" t="s">
        <v>2501</v>
      </c>
      <c r="E707" s="5" t="s">
        <v>277</v>
      </c>
      <c r="F707" s="5" t="s">
        <v>282</v>
      </c>
      <c r="G707" s="5" t="s">
        <v>2491</v>
      </c>
      <c r="H707" s="6" t="s">
        <v>2502</v>
      </c>
      <c r="I707" s="5" t="s">
        <v>2489</v>
      </c>
      <c r="J707" s="7">
        <f>140.34</f>
        <v>140.34</v>
      </c>
      <c r="K707" s="5" t="s">
        <v>270</v>
      </c>
      <c r="L707" s="8">
        <f>1</f>
        <v>1</v>
      </c>
      <c r="M707" s="8">
        <f>26103240</f>
        <v>26103240</v>
      </c>
      <c r="N707" s="6" t="s">
        <v>935</v>
      </c>
      <c r="O707" s="5" t="s">
        <v>286</v>
      </c>
      <c r="P707" s="5" t="s">
        <v>286</v>
      </c>
      <c r="R707" s="8">
        <f>26103239</f>
        <v>26103239</v>
      </c>
      <c r="S707" s="5" t="s">
        <v>240</v>
      </c>
      <c r="T707" s="5" t="s">
        <v>237</v>
      </c>
      <c r="U707" s="5" t="s">
        <v>238</v>
      </c>
      <c r="V707" s="5" t="s">
        <v>238</v>
      </c>
      <c r="W707" s="5" t="s">
        <v>241</v>
      </c>
      <c r="X707" s="5" t="s">
        <v>276</v>
      </c>
      <c r="Y707" s="5" t="s">
        <v>238</v>
      </c>
      <c r="AB707" s="5" t="s">
        <v>238</v>
      </c>
      <c r="AD707" s="6" t="s">
        <v>238</v>
      </c>
      <c r="AG707" s="6" t="s">
        <v>246</v>
      </c>
      <c r="AH707" s="5" t="s">
        <v>247</v>
      </c>
      <c r="AI707" s="5" t="s">
        <v>248</v>
      </c>
      <c r="AY707" s="5" t="s">
        <v>250</v>
      </c>
      <c r="AZ707" s="5" t="s">
        <v>238</v>
      </c>
      <c r="BA707" s="5" t="s">
        <v>251</v>
      </c>
      <c r="BB707" s="5" t="s">
        <v>238</v>
      </c>
      <c r="BC707" s="5" t="s">
        <v>253</v>
      </c>
      <c r="BD707" s="5" t="s">
        <v>238</v>
      </c>
      <c r="BF707" s="5" t="s">
        <v>238</v>
      </c>
      <c r="BH707" s="5" t="s">
        <v>798</v>
      </c>
      <c r="BI707" s="6" t="s">
        <v>799</v>
      </c>
      <c r="BJ707" s="5" t="s">
        <v>255</v>
      </c>
      <c r="BK707" s="5" t="s">
        <v>294</v>
      </c>
      <c r="BL707" s="5" t="s">
        <v>238</v>
      </c>
      <c r="BM707" s="7">
        <f>0</f>
        <v>0</v>
      </c>
      <c r="BN707" s="8">
        <f>0</f>
        <v>0</v>
      </c>
      <c r="BO707" s="5" t="s">
        <v>257</v>
      </c>
      <c r="BP707" s="5" t="s">
        <v>258</v>
      </c>
      <c r="CD707" s="5" t="s">
        <v>238</v>
      </c>
      <c r="CE707" s="5" t="s">
        <v>238</v>
      </c>
      <c r="CI707" s="5" t="s">
        <v>259</v>
      </c>
      <c r="CJ707" s="5" t="s">
        <v>260</v>
      </c>
      <c r="CK707" s="5" t="s">
        <v>238</v>
      </c>
      <c r="CM707" s="5" t="s">
        <v>937</v>
      </c>
      <c r="CN707" s="6" t="s">
        <v>262</v>
      </c>
      <c r="CO707" s="5" t="s">
        <v>263</v>
      </c>
      <c r="CP707" s="5" t="s">
        <v>264</v>
      </c>
      <c r="CQ707" s="5" t="s">
        <v>238</v>
      </c>
      <c r="CR707" s="5" t="s">
        <v>238</v>
      </c>
      <c r="CS707" s="5">
        <v>0</v>
      </c>
      <c r="CT707" s="5" t="s">
        <v>265</v>
      </c>
      <c r="CU707" s="5" t="s">
        <v>1360</v>
      </c>
      <c r="CV707" s="5" t="s">
        <v>267</v>
      </c>
      <c r="CX707" s="8">
        <f>26103240</f>
        <v>26103240</v>
      </c>
      <c r="CY707" s="8">
        <f>0</f>
        <v>0</v>
      </c>
      <c r="DA707" s="5" t="s">
        <v>238</v>
      </c>
      <c r="DB707" s="5" t="s">
        <v>238</v>
      </c>
      <c r="DD707" s="5" t="s">
        <v>238</v>
      </c>
      <c r="DG707" s="5" t="s">
        <v>238</v>
      </c>
      <c r="DH707" s="5" t="s">
        <v>238</v>
      </c>
      <c r="DI707" s="5" t="s">
        <v>238</v>
      </c>
      <c r="DJ707" s="5" t="s">
        <v>238</v>
      </c>
      <c r="DK707" s="5" t="s">
        <v>274</v>
      </c>
      <c r="DL707" s="5" t="s">
        <v>272</v>
      </c>
      <c r="DM707" s="7">
        <f>140.34</f>
        <v>140.34</v>
      </c>
      <c r="DN707" s="5" t="s">
        <v>238</v>
      </c>
      <c r="DO707" s="5" t="s">
        <v>238</v>
      </c>
      <c r="DP707" s="5" t="s">
        <v>238</v>
      </c>
      <c r="DQ707" s="5" t="s">
        <v>238</v>
      </c>
      <c r="DT707" s="5" t="s">
        <v>2503</v>
      </c>
      <c r="DU707" s="5" t="s">
        <v>379</v>
      </c>
      <c r="HM707" s="5" t="s">
        <v>274</v>
      </c>
      <c r="HP707" s="5" t="s">
        <v>272</v>
      </c>
      <c r="HQ707" s="5" t="s">
        <v>272</v>
      </c>
    </row>
    <row r="708" spans="1:225" x14ac:dyDescent="0.4">
      <c r="A708" s="5">
        <v>798</v>
      </c>
      <c r="B708" s="5">
        <v>1</v>
      </c>
      <c r="C708" s="5">
        <v>1</v>
      </c>
      <c r="D708" s="5" t="s">
        <v>2501</v>
      </c>
      <c r="E708" s="5" t="s">
        <v>277</v>
      </c>
      <c r="F708" s="5" t="s">
        <v>282</v>
      </c>
      <c r="G708" s="5" t="s">
        <v>2491</v>
      </c>
      <c r="H708" s="6" t="s">
        <v>2502</v>
      </c>
      <c r="I708" s="5" t="s">
        <v>2520</v>
      </c>
      <c r="J708" s="7">
        <f>149.24</f>
        <v>149.24</v>
      </c>
      <c r="K708" s="5" t="s">
        <v>270</v>
      </c>
      <c r="L708" s="8">
        <f>1</f>
        <v>1</v>
      </c>
      <c r="M708" s="8">
        <f>27758640</f>
        <v>27758640</v>
      </c>
      <c r="N708" s="6" t="s">
        <v>935</v>
      </c>
      <c r="O708" s="5" t="s">
        <v>286</v>
      </c>
      <c r="P708" s="5" t="s">
        <v>286</v>
      </c>
      <c r="R708" s="8">
        <f>27758639</f>
        <v>27758639</v>
      </c>
      <c r="S708" s="5" t="s">
        <v>240</v>
      </c>
      <c r="T708" s="5" t="s">
        <v>237</v>
      </c>
      <c r="U708" s="5" t="s">
        <v>238</v>
      </c>
      <c r="V708" s="5" t="s">
        <v>238</v>
      </c>
      <c r="W708" s="5" t="s">
        <v>241</v>
      </c>
      <c r="X708" s="5" t="s">
        <v>276</v>
      </c>
      <c r="Y708" s="5" t="s">
        <v>238</v>
      </c>
      <c r="AB708" s="5" t="s">
        <v>238</v>
      </c>
      <c r="AD708" s="6" t="s">
        <v>238</v>
      </c>
      <c r="AG708" s="6" t="s">
        <v>246</v>
      </c>
      <c r="AH708" s="5" t="s">
        <v>247</v>
      </c>
      <c r="AI708" s="5" t="s">
        <v>248</v>
      </c>
      <c r="AY708" s="5" t="s">
        <v>250</v>
      </c>
      <c r="AZ708" s="5" t="s">
        <v>238</v>
      </c>
      <c r="BA708" s="5" t="s">
        <v>251</v>
      </c>
      <c r="BB708" s="5" t="s">
        <v>238</v>
      </c>
      <c r="BC708" s="5" t="s">
        <v>253</v>
      </c>
      <c r="BD708" s="5" t="s">
        <v>238</v>
      </c>
      <c r="BF708" s="5" t="s">
        <v>238</v>
      </c>
      <c r="BH708" s="5" t="s">
        <v>254</v>
      </c>
      <c r="BI708" s="6" t="s">
        <v>246</v>
      </c>
      <c r="BJ708" s="5" t="s">
        <v>255</v>
      </c>
      <c r="BK708" s="5" t="s">
        <v>294</v>
      </c>
      <c r="BL708" s="5" t="s">
        <v>238</v>
      </c>
      <c r="BM708" s="7">
        <f>0</f>
        <v>0</v>
      </c>
      <c r="BN708" s="8">
        <f>0</f>
        <v>0</v>
      </c>
      <c r="BO708" s="5" t="s">
        <v>257</v>
      </c>
      <c r="BP708" s="5" t="s">
        <v>258</v>
      </c>
      <c r="CD708" s="5" t="s">
        <v>238</v>
      </c>
      <c r="CE708" s="5" t="s">
        <v>238</v>
      </c>
      <c r="CI708" s="5" t="s">
        <v>259</v>
      </c>
      <c r="CJ708" s="5" t="s">
        <v>260</v>
      </c>
      <c r="CK708" s="5" t="s">
        <v>238</v>
      </c>
      <c r="CM708" s="5" t="s">
        <v>937</v>
      </c>
      <c r="CN708" s="6" t="s">
        <v>262</v>
      </c>
      <c r="CO708" s="5" t="s">
        <v>263</v>
      </c>
      <c r="CP708" s="5" t="s">
        <v>264</v>
      </c>
      <c r="CQ708" s="5" t="s">
        <v>238</v>
      </c>
      <c r="CR708" s="5" t="s">
        <v>238</v>
      </c>
      <c r="CS708" s="5">
        <v>0</v>
      </c>
      <c r="CT708" s="5" t="s">
        <v>265</v>
      </c>
      <c r="CU708" s="5" t="s">
        <v>1360</v>
      </c>
      <c r="CV708" s="5" t="s">
        <v>267</v>
      </c>
      <c r="CX708" s="8">
        <f>27758640</f>
        <v>27758640</v>
      </c>
      <c r="CY708" s="8">
        <f>0</f>
        <v>0</v>
      </c>
      <c r="DA708" s="5" t="s">
        <v>238</v>
      </c>
      <c r="DB708" s="5" t="s">
        <v>238</v>
      </c>
      <c r="DD708" s="5" t="s">
        <v>238</v>
      </c>
      <c r="DG708" s="5" t="s">
        <v>238</v>
      </c>
      <c r="DH708" s="5" t="s">
        <v>238</v>
      </c>
      <c r="DI708" s="5" t="s">
        <v>238</v>
      </c>
      <c r="DJ708" s="5" t="s">
        <v>238</v>
      </c>
      <c r="DK708" s="5" t="s">
        <v>274</v>
      </c>
      <c r="DL708" s="5" t="s">
        <v>272</v>
      </c>
      <c r="DM708" s="7">
        <f>149.24</f>
        <v>149.24</v>
      </c>
      <c r="DN708" s="5" t="s">
        <v>238</v>
      </c>
      <c r="DO708" s="5" t="s">
        <v>238</v>
      </c>
      <c r="DP708" s="5" t="s">
        <v>238</v>
      </c>
      <c r="DQ708" s="5" t="s">
        <v>238</v>
      </c>
      <c r="DT708" s="5" t="s">
        <v>2503</v>
      </c>
      <c r="DU708" s="5" t="s">
        <v>313</v>
      </c>
      <c r="HM708" s="5" t="s">
        <v>274</v>
      </c>
      <c r="HP708" s="5" t="s">
        <v>272</v>
      </c>
      <c r="HQ708" s="5" t="s">
        <v>272</v>
      </c>
    </row>
    <row r="709" spans="1:225" x14ac:dyDescent="0.4">
      <c r="A709" s="5">
        <v>799</v>
      </c>
      <c r="B709" s="5">
        <v>1</v>
      </c>
      <c r="C709" s="5">
        <v>1</v>
      </c>
      <c r="D709" s="5" t="s">
        <v>2501</v>
      </c>
      <c r="E709" s="5" t="s">
        <v>277</v>
      </c>
      <c r="F709" s="5" t="s">
        <v>282</v>
      </c>
      <c r="G709" s="5" t="s">
        <v>2491</v>
      </c>
      <c r="H709" s="6" t="s">
        <v>2502</v>
      </c>
      <c r="I709" s="5" t="s">
        <v>2516</v>
      </c>
      <c r="J709" s="7">
        <f>140.34</f>
        <v>140.34</v>
      </c>
      <c r="K709" s="5" t="s">
        <v>270</v>
      </c>
      <c r="L709" s="8">
        <f>1</f>
        <v>1</v>
      </c>
      <c r="M709" s="8">
        <f>26103240</f>
        <v>26103240</v>
      </c>
      <c r="N709" s="6" t="s">
        <v>662</v>
      </c>
      <c r="O709" s="5" t="s">
        <v>286</v>
      </c>
      <c r="P709" s="5" t="s">
        <v>286</v>
      </c>
      <c r="R709" s="8">
        <f>26103239</f>
        <v>26103239</v>
      </c>
      <c r="S709" s="5" t="s">
        <v>240</v>
      </c>
      <c r="T709" s="5" t="s">
        <v>237</v>
      </c>
      <c r="U709" s="5" t="s">
        <v>238</v>
      </c>
      <c r="V709" s="5" t="s">
        <v>238</v>
      </c>
      <c r="W709" s="5" t="s">
        <v>241</v>
      </c>
      <c r="X709" s="5" t="s">
        <v>276</v>
      </c>
      <c r="Y709" s="5" t="s">
        <v>238</v>
      </c>
      <c r="AB709" s="5" t="s">
        <v>238</v>
      </c>
      <c r="AD709" s="6" t="s">
        <v>238</v>
      </c>
      <c r="AG709" s="6" t="s">
        <v>246</v>
      </c>
      <c r="AH709" s="5" t="s">
        <v>247</v>
      </c>
      <c r="AI709" s="5" t="s">
        <v>248</v>
      </c>
      <c r="AY709" s="5" t="s">
        <v>250</v>
      </c>
      <c r="AZ709" s="5" t="s">
        <v>238</v>
      </c>
      <c r="BA709" s="5" t="s">
        <v>251</v>
      </c>
      <c r="BB709" s="5" t="s">
        <v>238</v>
      </c>
      <c r="BC709" s="5" t="s">
        <v>253</v>
      </c>
      <c r="BD709" s="5" t="s">
        <v>238</v>
      </c>
      <c r="BF709" s="5" t="s">
        <v>238</v>
      </c>
      <c r="BH709" s="5" t="s">
        <v>859</v>
      </c>
      <c r="BI709" s="6" t="s">
        <v>368</v>
      </c>
      <c r="BJ709" s="5" t="s">
        <v>255</v>
      </c>
      <c r="BK709" s="5" t="s">
        <v>294</v>
      </c>
      <c r="BL709" s="5" t="s">
        <v>238</v>
      </c>
      <c r="BM709" s="7">
        <f>0</f>
        <v>0</v>
      </c>
      <c r="BN709" s="8">
        <f>0</f>
        <v>0</v>
      </c>
      <c r="BO709" s="5" t="s">
        <v>257</v>
      </c>
      <c r="BP709" s="5" t="s">
        <v>258</v>
      </c>
      <c r="CD709" s="5" t="s">
        <v>238</v>
      </c>
      <c r="CE709" s="5" t="s">
        <v>238</v>
      </c>
      <c r="CI709" s="5" t="s">
        <v>259</v>
      </c>
      <c r="CJ709" s="5" t="s">
        <v>260</v>
      </c>
      <c r="CK709" s="5" t="s">
        <v>238</v>
      </c>
      <c r="CM709" s="5" t="s">
        <v>638</v>
      </c>
      <c r="CN709" s="6" t="s">
        <v>262</v>
      </c>
      <c r="CO709" s="5" t="s">
        <v>263</v>
      </c>
      <c r="CP709" s="5" t="s">
        <v>264</v>
      </c>
      <c r="CQ709" s="5" t="s">
        <v>238</v>
      </c>
      <c r="CR709" s="5" t="s">
        <v>238</v>
      </c>
      <c r="CS709" s="5">
        <v>0</v>
      </c>
      <c r="CT709" s="5" t="s">
        <v>265</v>
      </c>
      <c r="CU709" s="5" t="s">
        <v>1360</v>
      </c>
      <c r="CV709" s="5" t="s">
        <v>267</v>
      </c>
      <c r="CX709" s="8">
        <f>26103240</f>
        <v>26103240</v>
      </c>
      <c r="CY709" s="8">
        <f>0</f>
        <v>0</v>
      </c>
      <c r="DA709" s="5" t="s">
        <v>238</v>
      </c>
      <c r="DB709" s="5" t="s">
        <v>238</v>
      </c>
      <c r="DD709" s="5" t="s">
        <v>238</v>
      </c>
      <c r="DG709" s="5" t="s">
        <v>238</v>
      </c>
      <c r="DH709" s="5" t="s">
        <v>238</v>
      </c>
      <c r="DI709" s="5" t="s">
        <v>238</v>
      </c>
      <c r="DJ709" s="5" t="s">
        <v>238</v>
      </c>
      <c r="DK709" s="5" t="s">
        <v>274</v>
      </c>
      <c r="DL709" s="5" t="s">
        <v>272</v>
      </c>
      <c r="DM709" s="7">
        <f>140.34</f>
        <v>140.34</v>
      </c>
      <c r="DN709" s="5" t="s">
        <v>238</v>
      </c>
      <c r="DO709" s="5" t="s">
        <v>238</v>
      </c>
      <c r="DP709" s="5" t="s">
        <v>238</v>
      </c>
      <c r="DQ709" s="5" t="s">
        <v>238</v>
      </c>
      <c r="DT709" s="5" t="s">
        <v>2503</v>
      </c>
      <c r="DU709" s="5" t="s">
        <v>389</v>
      </c>
      <c r="HM709" s="5" t="s">
        <v>356</v>
      </c>
      <c r="HP709" s="5" t="s">
        <v>272</v>
      </c>
      <c r="HQ709" s="5" t="s">
        <v>272</v>
      </c>
    </row>
    <row r="710" spans="1:225" x14ac:dyDescent="0.4">
      <c r="A710" s="5">
        <v>800</v>
      </c>
      <c r="B710" s="5">
        <v>1</v>
      </c>
      <c r="C710" s="5">
        <v>1</v>
      </c>
      <c r="D710" s="5" t="s">
        <v>2501</v>
      </c>
      <c r="E710" s="5" t="s">
        <v>277</v>
      </c>
      <c r="F710" s="5" t="s">
        <v>282</v>
      </c>
      <c r="G710" s="5" t="s">
        <v>2491</v>
      </c>
      <c r="H710" s="6" t="s">
        <v>2502</v>
      </c>
      <c r="I710" s="5" t="s">
        <v>2521</v>
      </c>
      <c r="J710" s="7">
        <f>150.26</f>
        <v>150.26</v>
      </c>
      <c r="K710" s="5" t="s">
        <v>270</v>
      </c>
      <c r="L710" s="8">
        <f>1</f>
        <v>1</v>
      </c>
      <c r="M710" s="8">
        <f>27948360</f>
        <v>27948360</v>
      </c>
      <c r="N710" s="6" t="s">
        <v>662</v>
      </c>
      <c r="O710" s="5" t="s">
        <v>286</v>
      </c>
      <c r="P710" s="5" t="s">
        <v>286</v>
      </c>
      <c r="R710" s="8">
        <f>27948359</f>
        <v>27948359</v>
      </c>
      <c r="S710" s="5" t="s">
        <v>240</v>
      </c>
      <c r="T710" s="5" t="s">
        <v>237</v>
      </c>
      <c r="U710" s="5" t="s">
        <v>238</v>
      </c>
      <c r="V710" s="5" t="s">
        <v>238</v>
      </c>
      <c r="W710" s="5" t="s">
        <v>241</v>
      </c>
      <c r="X710" s="5" t="s">
        <v>276</v>
      </c>
      <c r="Y710" s="5" t="s">
        <v>238</v>
      </c>
      <c r="AB710" s="5" t="s">
        <v>238</v>
      </c>
      <c r="AD710" s="6" t="s">
        <v>238</v>
      </c>
      <c r="AG710" s="6" t="s">
        <v>246</v>
      </c>
      <c r="AH710" s="5" t="s">
        <v>247</v>
      </c>
      <c r="AI710" s="5" t="s">
        <v>248</v>
      </c>
      <c r="AY710" s="5" t="s">
        <v>250</v>
      </c>
      <c r="AZ710" s="5" t="s">
        <v>238</v>
      </c>
      <c r="BA710" s="5" t="s">
        <v>251</v>
      </c>
      <c r="BB710" s="5" t="s">
        <v>238</v>
      </c>
      <c r="BC710" s="5" t="s">
        <v>253</v>
      </c>
      <c r="BD710" s="5" t="s">
        <v>238</v>
      </c>
      <c r="BF710" s="5" t="s">
        <v>238</v>
      </c>
      <c r="BH710" s="5" t="s">
        <v>697</v>
      </c>
      <c r="BI710" s="6" t="s">
        <v>698</v>
      </c>
      <c r="BJ710" s="5" t="s">
        <v>255</v>
      </c>
      <c r="BK710" s="5" t="s">
        <v>294</v>
      </c>
      <c r="BL710" s="5" t="s">
        <v>238</v>
      </c>
      <c r="BM710" s="7">
        <f>0</f>
        <v>0</v>
      </c>
      <c r="BN710" s="8">
        <f>0</f>
        <v>0</v>
      </c>
      <c r="BO710" s="5" t="s">
        <v>257</v>
      </c>
      <c r="BP710" s="5" t="s">
        <v>258</v>
      </c>
      <c r="CD710" s="5" t="s">
        <v>238</v>
      </c>
      <c r="CE710" s="5" t="s">
        <v>238</v>
      </c>
      <c r="CI710" s="5" t="s">
        <v>259</v>
      </c>
      <c r="CJ710" s="5" t="s">
        <v>260</v>
      </c>
      <c r="CK710" s="5" t="s">
        <v>238</v>
      </c>
      <c r="CM710" s="5" t="s">
        <v>638</v>
      </c>
      <c r="CN710" s="6" t="s">
        <v>262</v>
      </c>
      <c r="CO710" s="5" t="s">
        <v>263</v>
      </c>
      <c r="CP710" s="5" t="s">
        <v>264</v>
      </c>
      <c r="CQ710" s="5" t="s">
        <v>238</v>
      </c>
      <c r="CR710" s="5" t="s">
        <v>238</v>
      </c>
      <c r="CS710" s="5">
        <v>0</v>
      </c>
      <c r="CT710" s="5" t="s">
        <v>265</v>
      </c>
      <c r="CU710" s="5" t="s">
        <v>1360</v>
      </c>
      <c r="CV710" s="5" t="s">
        <v>267</v>
      </c>
      <c r="CX710" s="8">
        <f>27948360</f>
        <v>27948360</v>
      </c>
      <c r="CY710" s="8">
        <f>0</f>
        <v>0</v>
      </c>
      <c r="DA710" s="5" t="s">
        <v>238</v>
      </c>
      <c r="DB710" s="5" t="s">
        <v>238</v>
      </c>
      <c r="DD710" s="5" t="s">
        <v>238</v>
      </c>
      <c r="DG710" s="5" t="s">
        <v>238</v>
      </c>
      <c r="DH710" s="5" t="s">
        <v>238</v>
      </c>
      <c r="DI710" s="5" t="s">
        <v>238</v>
      </c>
      <c r="DJ710" s="5" t="s">
        <v>238</v>
      </c>
      <c r="DK710" s="5" t="s">
        <v>274</v>
      </c>
      <c r="DL710" s="5" t="s">
        <v>272</v>
      </c>
      <c r="DM710" s="7">
        <f>150.26</f>
        <v>150.26</v>
      </c>
      <c r="DN710" s="5" t="s">
        <v>238</v>
      </c>
      <c r="DO710" s="5" t="s">
        <v>238</v>
      </c>
      <c r="DP710" s="5" t="s">
        <v>238</v>
      </c>
      <c r="DQ710" s="5" t="s">
        <v>238</v>
      </c>
      <c r="DT710" s="5" t="s">
        <v>2503</v>
      </c>
      <c r="DU710" s="5" t="s">
        <v>354</v>
      </c>
      <c r="HM710" s="5" t="s">
        <v>356</v>
      </c>
      <c r="HP710" s="5" t="s">
        <v>272</v>
      </c>
      <c r="HQ710" s="5" t="s">
        <v>272</v>
      </c>
    </row>
    <row r="711" spans="1:225" x14ac:dyDescent="0.4">
      <c r="A711" s="5">
        <v>801</v>
      </c>
      <c r="B711" s="5">
        <v>1</v>
      </c>
      <c r="C711" s="5">
        <v>1</v>
      </c>
      <c r="D711" s="5" t="s">
        <v>2501</v>
      </c>
      <c r="E711" s="5" t="s">
        <v>277</v>
      </c>
      <c r="F711" s="5" t="s">
        <v>282</v>
      </c>
      <c r="G711" s="5" t="s">
        <v>2491</v>
      </c>
      <c r="H711" s="6" t="s">
        <v>2502</v>
      </c>
      <c r="I711" s="5" t="s">
        <v>2500</v>
      </c>
      <c r="J711" s="7">
        <f>150.26</f>
        <v>150.26</v>
      </c>
      <c r="K711" s="5" t="s">
        <v>270</v>
      </c>
      <c r="L711" s="8">
        <f>1</f>
        <v>1</v>
      </c>
      <c r="M711" s="8">
        <f>27948360</f>
        <v>27948360</v>
      </c>
      <c r="N711" s="6" t="s">
        <v>662</v>
      </c>
      <c r="O711" s="5" t="s">
        <v>286</v>
      </c>
      <c r="P711" s="5" t="s">
        <v>286</v>
      </c>
      <c r="R711" s="8">
        <f>27948359</f>
        <v>27948359</v>
      </c>
      <c r="S711" s="5" t="s">
        <v>240</v>
      </c>
      <c r="T711" s="5" t="s">
        <v>237</v>
      </c>
      <c r="U711" s="5" t="s">
        <v>238</v>
      </c>
      <c r="V711" s="5" t="s">
        <v>238</v>
      </c>
      <c r="W711" s="5" t="s">
        <v>241</v>
      </c>
      <c r="X711" s="5" t="s">
        <v>276</v>
      </c>
      <c r="Y711" s="5" t="s">
        <v>238</v>
      </c>
      <c r="AB711" s="5" t="s">
        <v>238</v>
      </c>
      <c r="AD711" s="6" t="s">
        <v>238</v>
      </c>
      <c r="AG711" s="6" t="s">
        <v>246</v>
      </c>
      <c r="AH711" s="5" t="s">
        <v>247</v>
      </c>
      <c r="AI711" s="5" t="s">
        <v>248</v>
      </c>
      <c r="AY711" s="5" t="s">
        <v>250</v>
      </c>
      <c r="AZ711" s="5" t="s">
        <v>238</v>
      </c>
      <c r="BA711" s="5" t="s">
        <v>251</v>
      </c>
      <c r="BB711" s="5" t="s">
        <v>238</v>
      </c>
      <c r="BC711" s="5" t="s">
        <v>253</v>
      </c>
      <c r="BD711" s="5" t="s">
        <v>238</v>
      </c>
      <c r="BF711" s="5" t="s">
        <v>238</v>
      </c>
      <c r="BH711" s="5" t="s">
        <v>798</v>
      </c>
      <c r="BI711" s="6" t="s">
        <v>799</v>
      </c>
      <c r="BJ711" s="5" t="s">
        <v>255</v>
      </c>
      <c r="BK711" s="5" t="s">
        <v>294</v>
      </c>
      <c r="BL711" s="5" t="s">
        <v>238</v>
      </c>
      <c r="BM711" s="7">
        <f>0</f>
        <v>0</v>
      </c>
      <c r="BN711" s="8">
        <f>0</f>
        <v>0</v>
      </c>
      <c r="BO711" s="5" t="s">
        <v>257</v>
      </c>
      <c r="BP711" s="5" t="s">
        <v>258</v>
      </c>
      <c r="CD711" s="5" t="s">
        <v>238</v>
      </c>
      <c r="CE711" s="5" t="s">
        <v>238</v>
      </c>
      <c r="CI711" s="5" t="s">
        <v>259</v>
      </c>
      <c r="CJ711" s="5" t="s">
        <v>260</v>
      </c>
      <c r="CK711" s="5" t="s">
        <v>238</v>
      </c>
      <c r="CM711" s="5" t="s">
        <v>638</v>
      </c>
      <c r="CN711" s="6" t="s">
        <v>262</v>
      </c>
      <c r="CO711" s="5" t="s">
        <v>263</v>
      </c>
      <c r="CP711" s="5" t="s">
        <v>264</v>
      </c>
      <c r="CQ711" s="5" t="s">
        <v>238</v>
      </c>
      <c r="CR711" s="5" t="s">
        <v>238</v>
      </c>
      <c r="CS711" s="5">
        <v>0</v>
      </c>
      <c r="CT711" s="5" t="s">
        <v>265</v>
      </c>
      <c r="CU711" s="5" t="s">
        <v>1360</v>
      </c>
      <c r="CV711" s="5" t="s">
        <v>267</v>
      </c>
      <c r="CX711" s="8">
        <f>27948360</f>
        <v>27948360</v>
      </c>
      <c r="CY711" s="8">
        <f>0</f>
        <v>0</v>
      </c>
      <c r="DA711" s="5" t="s">
        <v>238</v>
      </c>
      <c r="DB711" s="5" t="s">
        <v>238</v>
      </c>
      <c r="DD711" s="5" t="s">
        <v>238</v>
      </c>
      <c r="DG711" s="5" t="s">
        <v>238</v>
      </c>
      <c r="DH711" s="5" t="s">
        <v>238</v>
      </c>
      <c r="DI711" s="5" t="s">
        <v>238</v>
      </c>
      <c r="DJ711" s="5" t="s">
        <v>238</v>
      </c>
      <c r="DK711" s="5" t="s">
        <v>274</v>
      </c>
      <c r="DL711" s="5" t="s">
        <v>272</v>
      </c>
      <c r="DM711" s="7">
        <f>150.26</f>
        <v>150.26</v>
      </c>
      <c r="DN711" s="5" t="s">
        <v>238</v>
      </c>
      <c r="DO711" s="5" t="s">
        <v>238</v>
      </c>
      <c r="DP711" s="5" t="s">
        <v>238</v>
      </c>
      <c r="DQ711" s="5" t="s">
        <v>238</v>
      </c>
      <c r="DT711" s="5" t="s">
        <v>2503</v>
      </c>
      <c r="DU711" s="5" t="s">
        <v>361</v>
      </c>
      <c r="HM711" s="5" t="s">
        <v>356</v>
      </c>
      <c r="HP711" s="5" t="s">
        <v>272</v>
      </c>
      <c r="HQ711" s="5" t="s">
        <v>272</v>
      </c>
    </row>
    <row r="712" spans="1:225" x14ac:dyDescent="0.4">
      <c r="A712" s="5">
        <v>802</v>
      </c>
      <c r="B712" s="5">
        <v>1</v>
      </c>
      <c r="C712" s="5">
        <v>1</v>
      </c>
      <c r="D712" s="5" t="s">
        <v>2496</v>
      </c>
      <c r="E712" s="5" t="s">
        <v>277</v>
      </c>
      <c r="F712" s="5" t="s">
        <v>282</v>
      </c>
      <c r="G712" s="5" t="s">
        <v>2491</v>
      </c>
      <c r="H712" s="6" t="s">
        <v>2498</v>
      </c>
      <c r="I712" s="5" t="s">
        <v>2495</v>
      </c>
      <c r="J712" s="7">
        <f t="shared" ref="J712:J717" si="27">163.42</f>
        <v>163.41999999999999</v>
      </c>
      <c r="K712" s="5" t="s">
        <v>270</v>
      </c>
      <c r="L712" s="8">
        <f>1</f>
        <v>1</v>
      </c>
      <c r="M712" s="8">
        <f t="shared" ref="M712:M717" si="28">39220800</f>
        <v>39220800</v>
      </c>
      <c r="N712" s="6" t="s">
        <v>2497</v>
      </c>
      <c r="O712" s="5" t="s">
        <v>286</v>
      </c>
      <c r="P712" s="5" t="s">
        <v>286</v>
      </c>
      <c r="R712" s="8">
        <f t="shared" ref="R712:R717" si="29">39220799</f>
        <v>39220799</v>
      </c>
      <c r="S712" s="5" t="s">
        <v>240</v>
      </c>
      <c r="T712" s="5" t="s">
        <v>237</v>
      </c>
      <c r="U712" s="5" t="s">
        <v>238</v>
      </c>
      <c r="V712" s="5" t="s">
        <v>238</v>
      </c>
      <c r="W712" s="5" t="s">
        <v>241</v>
      </c>
      <c r="X712" s="5" t="s">
        <v>276</v>
      </c>
      <c r="Y712" s="5" t="s">
        <v>238</v>
      </c>
      <c r="AB712" s="5" t="s">
        <v>238</v>
      </c>
      <c r="AD712" s="6" t="s">
        <v>238</v>
      </c>
      <c r="AG712" s="6" t="s">
        <v>246</v>
      </c>
      <c r="AH712" s="5" t="s">
        <v>247</v>
      </c>
      <c r="AI712" s="5" t="s">
        <v>248</v>
      </c>
      <c r="AY712" s="5" t="s">
        <v>250</v>
      </c>
      <c r="AZ712" s="5" t="s">
        <v>238</v>
      </c>
      <c r="BA712" s="5" t="s">
        <v>251</v>
      </c>
      <c r="BB712" s="5" t="s">
        <v>238</v>
      </c>
      <c r="BC712" s="5" t="s">
        <v>253</v>
      </c>
      <c r="BD712" s="5" t="s">
        <v>238</v>
      </c>
      <c r="BF712" s="5" t="s">
        <v>238</v>
      </c>
      <c r="BH712" s="5" t="s">
        <v>254</v>
      </c>
      <c r="BI712" s="6" t="s">
        <v>246</v>
      </c>
      <c r="BJ712" s="5" t="s">
        <v>255</v>
      </c>
      <c r="BK712" s="5" t="s">
        <v>294</v>
      </c>
      <c r="BL712" s="5" t="s">
        <v>238</v>
      </c>
      <c r="BM712" s="7">
        <f>0</f>
        <v>0</v>
      </c>
      <c r="BN712" s="8">
        <f>0</f>
        <v>0</v>
      </c>
      <c r="BO712" s="5" t="s">
        <v>257</v>
      </c>
      <c r="BP712" s="5" t="s">
        <v>258</v>
      </c>
      <c r="CD712" s="5" t="s">
        <v>238</v>
      </c>
      <c r="CE712" s="5" t="s">
        <v>238</v>
      </c>
      <c r="CI712" s="5" t="s">
        <v>259</v>
      </c>
      <c r="CJ712" s="5" t="s">
        <v>260</v>
      </c>
      <c r="CK712" s="5" t="s">
        <v>238</v>
      </c>
      <c r="CM712" s="5" t="s">
        <v>937</v>
      </c>
      <c r="CN712" s="6" t="s">
        <v>262</v>
      </c>
      <c r="CO712" s="5" t="s">
        <v>263</v>
      </c>
      <c r="CP712" s="5" t="s">
        <v>264</v>
      </c>
      <c r="CQ712" s="5" t="s">
        <v>238</v>
      </c>
      <c r="CR712" s="5" t="s">
        <v>238</v>
      </c>
      <c r="CS712" s="5">
        <v>0</v>
      </c>
      <c r="CT712" s="5" t="s">
        <v>265</v>
      </c>
      <c r="CU712" s="5" t="s">
        <v>1360</v>
      </c>
      <c r="CV712" s="5" t="s">
        <v>267</v>
      </c>
      <c r="CX712" s="8">
        <f t="shared" ref="CX712:CX717" si="30">39220800</f>
        <v>39220800</v>
      </c>
      <c r="CY712" s="8">
        <f>0</f>
        <v>0</v>
      </c>
      <c r="DA712" s="5" t="s">
        <v>238</v>
      </c>
      <c r="DB712" s="5" t="s">
        <v>238</v>
      </c>
      <c r="DD712" s="5" t="s">
        <v>238</v>
      </c>
      <c r="DG712" s="5" t="s">
        <v>238</v>
      </c>
      <c r="DH712" s="5" t="s">
        <v>238</v>
      </c>
      <c r="DI712" s="5" t="s">
        <v>238</v>
      </c>
      <c r="DJ712" s="5" t="s">
        <v>238</v>
      </c>
      <c r="DK712" s="5" t="s">
        <v>274</v>
      </c>
      <c r="DL712" s="5" t="s">
        <v>272</v>
      </c>
      <c r="DM712" s="7">
        <f t="shared" ref="DM712:DM717" si="31">163.42</f>
        <v>163.41999999999999</v>
      </c>
      <c r="DN712" s="5" t="s">
        <v>238</v>
      </c>
      <c r="DO712" s="5" t="s">
        <v>238</v>
      </c>
      <c r="DP712" s="5" t="s">
        <v>238</v>
      </c>
      <c r="DQ712" s="5" t="s">
        <v>238</v>
      </c>
      <c r="DT712" s="5" t="s">
        <v>2499</v>
      </c>
      <c r="DU712" s="5" t="s">
        <v>271</v>
      </c>
      <c r="HM712" s="5" t="s">
        <v>274</v>
      </c>
      <c r="HP712" s="5" t="s">
        <v>272</v>
      </c>
      <c r="HQ712" s="5" t="s">
        <v>272</v>
      </c>
    </row>
    <row r="713" spans="1:225" x14ac:dyDescent="0.4">
      <c r="A713" s="5">
        <v>803</v>
      </c>
      <c r="B713" s="5">
        <v>1</v>
      </c>
      <c r="C713" s="5">
        <v>1</v>
      </c>
      <c r="D713" s="5" t="s">
        <v>2496</v>
      </c>
      <c r="E713" s="5" t="s">
        <v>277</v>
      </c>
      <c r="F713" s="5" t="s">
        <v>282</v>
      </c>
      <c r="G713" s="5" t="s">
        <v>2491</v>
      </c>
      <c r="H713" s="6" t="s">
        <v>2498</v>
      </c>
      <c r="I713" s="5" t="s">
        <v>2505</v>
      </c>
      <c r="J713" s="7">
        <f t="shared" si="27"/>
        <v>163.41999999999999</v>
      </c>
      <c r="K713" s="5" t="s">
        <v>270</v>
      </c>
      <c r="L713" s="8">
        <f>1</f>
        <v>1</v>
      </c>
      <c r="M713" s="8">
        <f t="shared" si="28"/>
        <v>39220800</v>
      </c>
      <c r="N713" s="6" t="s">
        <v>2497</v>
      </c>
      <c r="O713" s="5" t="s">
        <v>286</v>
      </c>
      <c r="P713" s="5" t="s">
        <v>286</v>
      </c>
      <c r="R713" s="8">
        <f t="shared" si="29"/>
        <v>39220799</v>
      </c>
      <c r="S713" s="5" t="s">
        <v>240</v>
      </c>
      <c r="T713" s="5" t="s">
        <v>237</v>
      </c>
      <c r="U713" s="5" t="s">
        <v>238</v>
      </c>
      <c r="V713" s="5" t="s">
        <v>238</v>
      </c>
      <c r="W713" s="5" t="s">
        <v>241</v>
      </c>
      <c r="X713" s="5" t="s">
        <v>276</v>
      </c>
      <c r="Y713" s="5" t="s">
        <v>238</v>
      </c>
      <c r="AB713" s="5" t="s">
        <v>238</v>
      </c>
      <c r="AD713" s="6" t="s">
        <v>238</v>
      </c>
      <c r="AG713" s="6" t="s">
        <v>246</v>
      </c>
      <c r="AH713" s="5" t="s">
        <v>247</v>
      </c>
      <c r="AI713" s="5" t="s">
        <v>248</v>
      </c>
      <c r="AY713" s="5" t="s">
        <v>250</v>
      </c>
      <c r="AZ713" s="5" t="s">
        <v>238</v>
      </c>
      <c r="BA713" s="5" t="s">
        <v>251</v>
      </c>
      <c r="BB713" s="5" t="s">
        <v>238</v>
      </c>
      <c r="BC713" s="5" t="s">
        <v>253</v>
      </c>
      <c r="BD713" s="5" t="s">
        <v>238</v>
      </c>
      <c r="BF713" s="5" t="s">
        <v>238</v>
      </c>
      <c r="BH713" s="5" t="s">
        <v>859</v>
      </c>
      <c r="BI713" s="6" t="s">
        <v>368</v>
      </c>
      <c r="BJ713" s="5" t="s">
        <v>255</v>
      </c>
      <c r="BK713" s="5" t="s">
        <v>294</v>
      </c>
      <c r="BL713" s="5" t="s">
        <v>238</v>
      </c>
      <c r="BM713" s="7">
        <f>0</f>
        <v>0</v>
      </c>
      <c r="BN713" s="8">
        <f>0</f>
        <v>0</v>
      </c>
      <c r="BO713" s="5" t="s">
        <v>257</v>
      </c>
      <c r="BP713" s="5" t="s">
        <v>258</v>
      </c>
      <c r="CD713" s="5" t="s">
        <v>238</v>
      </c>
      <c r="CE713" s="5" t="s">
        <v>238</v>
      </c>
      <c r="CI713" s="5" t="s">
        <v>259</v>
      </c>
      <c r="CJ713" s="5" t="s">
        <v>260</v>
      </c>
      <c r="CK713" s="5" t="s">
        <v>238</v>
      </c>
      <c r="CM713" s="5" t="s">
        <v>937</v>
      </c>
      <c r="CN713" s="6" t="s">
        <v>262</v>
      </c>
      <c r="CO713" s="5" t="s">
        <v>263</v>
      </c>
      <c r="CP713" s="5" t="s">
        <v>264</v>
      </c>
      <c r="CQ713" s="5" t="s">
        <v>238</v>
      </c>
      <c r="CR713" s="5" t="s">
        <v>238</v>
      </c>
      <c r="CS713" s="5">
        <v>0</v>
      </c>
      <c r="CT713" s="5" t="s">
        <v>265</v>
      </c>
      <c r="CU713" s="5" t="s">
        <v>1360</v>
      </c>
      <c r="CV713" s="5" t="s">
        <v>267</v>
      </c>
      <c r="CX713" s="8">
        <f t="shared" si="30"/>
        <v>39220800</v>
      </c>
      <c r="CY713" s="8">
        <f>0</f>
        <v>0</v>
      </c>
      <c r="DA713" s="5" t="s">
        <v>238</v>
      </c>
      <c r="DB713" s="5" t="s">
        <v>238</v>
      </c>
      <c r="DD713" s="5" t="s">
        <v>238</v>
      </c>
      <c r="DG713" s="5" t="s">
        <v>238</v>
      </c>
      <c r="DH713" s="5" t="s">
        <v>238</v>
      </c>
      <c r="DI713" s="5" t="s">
        <v>238</v>
      </c>
      <c r="DJ713" s="5" t="s">
        <v>238</v>
      </c>
      <c r="DK713" s="5" t="s">
        <v>274</v>
      </c>
      <c r="DL713" s="5" t="s">
        <v>272</v>
      </c>
      <c r="DM713" s="7">
        <f t="shared" si="31"/>
        <v>163.41999999999999</v>
      </c>
      <c r="DN713" s="5" t="s">
        <v>238</v>
      </c>
      <c r="DO713" s="5" t="s">
        <v>238</v>
      </c>
      <c r="DP713" s="5" t="s">
        <v>238</v>
      </c>
      <c r="DQ713" s="5" t="s">
        <v>238</v>
      </c>
      <c r="DT713" s="5" t="s">
        <v>2499</v>
      </c>
      <c r="DU713" s="5" t="s">
        <v>274</v>
      </c>
      <c r="HM713" s="5" t="s">
        <v>274</v>
      </c>
      <c r="HP713" s="5" t="s">
        <v>272</v>
      </c>
      <c r="HQ713" s="5" t="s">
        <v>272</v>
      </c>
    </row>
    <row r="714" spans="1:225" x14ac:dyDescent="0.4">
      <c r="A714" s="5">
        <v>804</v>
      </c>
      <c r="B714" s="5">
        <v>1</v>
      </c>
      <c r="C714" s="5">
        <v>1</v>
      </c>
      <c r="D714" s="5" t="s">
        <v>2496</v>
      </c>
      <c r="E714" s="5" t="s">
        <v>277</v>
      </c>
      <c r="F714" s="5" t="s">
        <v>282</v>
      </c>
      <c r="G714" s="5" t="s">
        <v>2491</v>
      </c>
      <c r="H714" s="6" t="s">
        <v>2498</v>
      </c>
      <c r="I714" s="5" t="s">
        <v>2504</v>
      </c>
      <c r="J714" s="7">
        <f t="shared" si="27"/>
        <v>163.41999999999999</v>
      </c>
      <c r="K714" s="5" t="s">
        <v>270</v>
      </c>
      <c r="L714" s="8">
        <f>1</f>
        <v>1</v>
      </c>
      <c r="M714" s="8">
        <f t="shared" si="28"/>
        <v>39220800</v>
      </c>
      <c r="N714" s="6" t="s">
        <v>2497</v>
      </c>
      <c r="O714" s="5" t="s">
        <v>286</v>
      </c>
      <c r="P714" s="5" t="s">
        <v>286</v>
      </c>
      <c r="R714" s="8">
        <f t="shared" si="29"/>
        <v>39220799</v>
      </c>
      <c r="S714" s="5" t="s">
        <v>240</v>
      </c>
      <c r="T714" s="5" t="s">
        <v>237</v>
      </c>
      <c r="U714" s="5" t="s">
        <v>238</v>
      </c>
      <c r="V714" s="5" t="s">
        <v>238</v>
      </c>
      <c r="W714" s="5" t="s">
        <v>241</v>
      </c>
      <c r="X714" s="5" t="s">
        <v>276</v>
      </c>
      <c r="Y714" s="5" t="s">
        <v>238</v>
      </c>
      <c r="AB714" s="5" t="s">
        <v>238</v>
      </c>
      <c r="AD714" s="6" t="s">
        <v>238</v>
      </c>
      <c r="AG714" s="6" t="s">
        <v>246</v>
      </c>
      <c r="AH714" s="5" t="s">
        <v>247</v>
      </c>
      <c r="AI714" s="5" t="s">
        <v>248</v>
      </c>
      <c r="AY714" s="5" t="s">
        <v>250</v>
      </c>
      <c r="AZ714" s="5" t="s">
        <v>238</v>
      </c>
      <c r="BA714" s="5" t="s">
        <v>251</v>
      </c>
      <c r="BB714" s="5" t="s">
        <v>238</v>
      </c>
      <c r="BC714" s="5" t="s">
        <v>253</v>
      </c>
      <c r="BD714" s="5" t="s">
        <v>238</v>
      </c>
      <c r="BF714" s="5" t="s">
        <v>238</v>
      </c>
      <c r="BH714" s="5" t="s">
        <v>697</v>
      </c>
      <c r="BI714" s="6" t="s">
        <v>698</v>
      </c>
      <c r="BJ714" s="5" t="s">
        <v>255</v>
      </c>
      <c r="BK714" s="5" t="s">
        <v>294</v>
      </c>
      <c r="BL714" s="5" t="s">
        <v>238</v>
      </c>
      <c r="BM714" s="7">
        <f>0</f>
        <v>0</v>
      </c>
      <c r="BN714" s="8">
        <f>0</f>
        <v>0</v>
      </c>
      <c r="BO714" s="5" t="s">
        <v>257</v>
      </c>
      <c r="BP714" s="5" t="s">
        <v>258</v>
      </c>
      <c r="CD714" s="5" t="s">
        <v>238</v>
      </c>
      <c r="CE714" s="5" t="s">
        <v>238</v>
      </c>
      <c r="CI714" s="5" t="s">
        <v>259</v>
      </c>
      <c r="CJ714" s="5" t="s">
        <v>260</v>
      </c>
      <c r="CK714" s="5" t="s">
        <v>238</v>
      </c>
      <c r="CM714" s="5" t="s">
        <v>937</v>
      </c>
      <c r="CN714" s="6" t="s">
        <v>262</v>
      </c>
      <c r="CO714" s="5" t="s">
        <v>263</v>
      </c>
      <c r="CP714" s="5" t="s">
        <v>264</v>
      </c>
      <c r="CQ714" s="5" t="s">
        <v>238</v>
      </c>
      <c r="CR714" s="5" t="s">
        <v>238</v>
      </c>
      <c r="CS714" s="5">
        <v>0</v>
      </c>
      <c r="CT714" s="5" t="s">
        <v>265</v>
      </c>
      <c r="CU714" s="5" t="s">
        <v>1360</v>
      </c>
      <c r="CV714" s="5" t="s">
        <v>267</v>
      </c>
      <c r="CX714" s="8">
        <f t="shared" si="30"/>
        <v>39220800</v>
      </c>
      <c r="CY714" s="8">
        <f>0</f>
        <v>0</v>
      </c>
      <c r="DA714" s="5" t="s">
        <v>238</v>
      </c>
      <c r="DB714" s="5" t="s">
        <v>238</v>
      </c>
      <c r="DD714" s="5" t="s">
        <v>238</v>
      </c>
      <c r="DG714" s="5" t="s">
        <v>238</v>
      </c>
      <c r="DH714" s="5" t="s">
        <v>238</v>
      </c>
      <c r="DI714" s="5" t="s">
        <v>238</v>
      </c>
      <c r="DJ714" s="5" t="s">
        <v>238</v>
      </c>
      <c r="DK714" s="5" t="s">
        <v>274</v>
      </c>
      <c r="DL714" s="5" t="s">
        <v>272</v>
      </c>
      <c r="DM714" s="7">
        <f t="shared" si="31"/>
        <v>163.41999999999999</v>
      </c>
      <c r="DN714" s="5" t="s">
        <v>238</v>
      </c>
      <c r="DO714" s="5" t="s">
        <v>238</v>
      </c>
      <c r="DP714" s="5" t="s">
        <v>238</v>
      </c>
      <c r="DQ714" s="5" t="s">
        <v>238</v>
      </c>
      <c r="DT714" s="5" t="s">
        <v>2499</v>
      </c>
      <c r="DU714" s="5" t="s">
        <v>356</v>
      </c>
      <c r="HM714" s="5" t="s">
        <v>274</v>
      </c>
      <c r="HP714" s="5" t="s">
        <v>272</v>
      </c>
      <c r="HQ714" s="5" t="s">
        <v>272</v>
      </c>
    </row>
    <row r="715" spans="1:225" x14ac:dyDescent="0.4">
      <c r="A715" s="5">
        <v>805</v>
      </c>
      <c r="B715" s="5">
        <v>1</v>
      </c>
      <c r="C715" s="5">
        <v>1</v>
      </c>
      <c r="D715" s="5" t="s">
        <v>2496</v>
      </c>
      <c r="E715" s="5" t="s">
        <v>277</v>
      </c>
      <c r="F715" s="5" t="s">
        <v>282</v>
      </c>
      <c r="G715" s="5" t="s">
        <v>2491</v>
      </c>
      <c r="H715" s="6" t="s">
        <v>2498</v>
      </c>
      <c r="I715" s="5" t="s">
        <v>2494</v>
      </c>
      <c r="J715" s="7">
        <f t="shared" si="27"/>
        <v>163.41999999999999</v>
      </c>
      <c r="K715" s="5" t="s">
        <v>270</v>
      </c>
      <c r="L715" s="8">
        <f>1</f>
        <v>1</v>
      </c>
      <c r="M715" s="8">
        <f t="shared" si="28"/>
        <v>39220800</v>
      </c>
      <c r="N715" s="6" t="s">
        <v>2497</v>
      </c>
      <c r="O715" s="5" t="s">
        <v>286</v>
      </c>
      <c r="P715" s="5" t="s">
        <v>286</v>
      </c>
      <c r="R715" s="8">
        <f t="shared" si="29"/>
        <v>39220799</v>
      </c>
      <c r="S715" s="5" t="s">
        <v>240</v>
      </c>
      <c r="T715" s="5" t="s">
        <v>237</v>
      </c>
      <c r="U715" s="5" t="s">
        <v>238</v>
      </c>
      <c r="V715" s="5" t="s">
        <v>238</v>
      </c>
      <c r="W715" s="5" t="s">
        <v>241</v>
      </c>
      <c r="X715" s="5" t="s">
        <v>276</v>
      </c>
      <c r="Y715" s="5" t="s">
        <v>238</v>
      </c>
      <c r="AB715" s="5" t="s">
        <v>238</v>
      </c>
      <c r="AD715" s="6" t="s">
        <v>238</v>
      </c>
      <c r="AG715" s="6" t="s">
        <v>246</v>
      </c>
      <c r="AH715" s="5" t="s">
        <v>247</v>
      </c>
      <c r="AI715" s="5" t="s">
        <v>248</v>
      </c>
      <c r="AY715" s="5" t="s">
        <v>250</v>
      </c>
      <c r="AZ715" s="5" t="s">
        <v>238</v>
      </c>
      <c r="BA715" s="5" t="s">
        <v>251</v>
      </c>
      <c r="BB715" s="5" t="s">
        <v>238</v>
      </c>
      <c r="BC715" s="5" t="s">
        <v>253</v>
      </c>
      <c r="BD715" s="5" t="s">
        <v>238</v>
      </c>
      <c r="BF715" s="5" t="s">
        <v>238</v>
      </c>
      <c r="BH715" s="5" t="s">
        <v>798</v>
      </c>
      <c r="BI715" s="6" t="s">
        <v>799</v>
      </c>
      <c r="BJ715" s="5" t="s">
        <v>255</v>
      </c>
      <c r="BK715" s="5" t="s">
        <v>294</v>
      </c>
      <c r="BL715" s="5" t="s">
        <v>238</v>
      </c>
      <c r="BM715" s="7">
        <f>0</f>
        <v>0</v>
      </c>
      <c r="BN715" s="8">
        <f>0</f>
        <v>0</v>
      </c>
      <c r="BO715" s="5" t="s">
        <v>257</v>
      </c>
      <c r="BP715" s="5" t="s">
        <v>258</v>
      </c>
      <c r="CD715" s="5" t="s">
        <v>238</v>
      </c>
      <c r="CE715" s="5" t="s">
        <v>238</v>
      </c>
      <c r="CI715" s="5" t="s">
        <v>259</v>
      </c>
      <c r="CJ715" s="5" t="s">
        <v>260</v>
      </c>
      <c r="CK715" s="5" t="s">
        <v>238</v>
      </c>
      <c r="CM715" s="5" t="s">
        <v>937</v>
      </c>
      <c r="CN715" s="6" t="s">
        <v>262</v>
      </c>
      <c r="CO715" s="5" t="s">
        <v>263</v>
      </c>
      <c r="CP715" s="5" t="s">
        <v>264</v>
      </c>
      <c r="CQ715" s="5" t="s">
        <v>238</v>
      </c>
      <c r="CR715" s="5" t="s">
        <v>238</v>
      </c>
      <c r="CS715" s="5">
        <v>0</v>
      </c>
      <c r="CT715" s="5" t="s">
        <v>265</v>
      </c>
      <c r="CU715" s="5" t="s">
        <v>1360</v>
      </c>
      <c r="CV715" s="5" t="s">
        <v>267</v>
      </c>
      <c r="CX715" s="8">
        <f t="shared" si="30"/>
        <v>39220800</v>
      </c>
      <c r="CY715" s="8">
        <f>0</f>
        <v>0</v>
      </c>
      <c r="DA715" s="5" t="s">
        <v>238</v>
      </c>
      <c r="DB715" s="5" t="s">
        <v>238</v>
      </c>
      <c r="DD715" s="5" t="s">
        <v>238</v>
      </c>
      <c r="DG715" s="5" t="s">
        <v>238</v>
      </c>
      <c r="DH715" s="5" t="s">
        <v>238</v>
      </c>
      <c r="DI715" s="5" t="s">
        <v>238</v>
      </c>
      <c r="DJ715" s="5" t="s">
        <v>238</v>
      </c>
      <c r="DK715" s="5" t="s">
        <v>274</v>
      </c>
      <c r="DL715" s="5" t="s">
        <v>272</v>
      </c>
      <c r="DM715" s="7">
        <f t="shared" si="31"/>
        <v>163.41999999999999</v>
      </c>
      <c r="DN715" s="5" t="s">
        <v>238</v>
      </c>
      <c r="DO715" s="5" t="s">
        <v>238</v>
      </c>
      <c r="DP715" s="5" t="s">
        <v>238</v>
      </c>
      <c r="DQ715" s="5" t="s">
        <v>238</v>
      </c>
      <c r="DT715" s="5" t="s">
        <v>2499</v>
      </c>
      <c r="DU715" s="5" t="s">
        <v>310</v>
      </c>
      <c r="HM715" s="5" t="s">
        <v>274</v>
      </c>
      <c r="HP715" s="5" t="s">
        <v>272</v>
      </c>
      <c r="HQ715" s="5" t="s">
        <v>272</v>
      </c>
    </row>
    <row r="716" spans="1:225" x14ac:dyDescent="0.4">
      <c r="A716" s="5">
        <v>806</v>
      </c>
      <c r="B716" s="5">
        <v>1</v>
      </c>
      <c r="C716" s="5">
        <v>1</v>
      </c>
      <c r="D716" s="5" t="s">
        <v>2496</v>
      </c>
      <c r="E716" s="5" t="s">
        <v>277</v>
      </c>
      <c r="F716" s="5" t="s">
        <v>282</v>
      </c>
      <c r="G716" s="5" t="s">
        <v>2491</v>
      </c>
      <c r="H716" s="6" t="s">
        <v>2498</v>
      </c>
      <c r="I716" s="5" t="s">
        <v>2489</v>
      </c>
      <c r="J716" s="7">
        <f t="shared" si="27"/>
        <v>163.41999999999999</v>
      </c>
      <c r="K716" s="5" t="s">
        <v>270</v>
      </c>
      <c r="L716" s="8">
        <f>1</f>
        <v>1</v>
      </c>
      <c r="M716" s="8">
        <f t="shared" si="28"/>
        <v>39220800</v>
      </c>
      <c r="N716" s="6" t="s">
        <v>2497</v>
      </c>
      <c r="O716" s="5" t="s">
        <v>286</v>
      </c>
      <c r="P716" s="5" t="s">
        <v>286</v>
      </c>
      <c r="R716" s="8">
        <f t="shared" si="29"/>
        <v>39220799</v>
      </c>
      <c r="S716" s="5" t="s">
        <v>240</v>
      </c>
      <c r="T716" s="5" t="s">
        <v>237</v>
      </c>
      <c r="U716" s="5" t="s">
        <v>238</v>
      </c>
      <c r="V716" s="5" t="s">
        <v>238</v>
      </c>
      <c r="W716" s="5" t="s">
        <v>241</v>
      </c>
      <c r="X716" s="5" t="s">
        <v>276</v>
      </c>
      <c r="Y716" s="5" t="s">
        <v>238</v>
      </c>
      <c r="AB716" s="5" t="s">
        <v>238</v>
      </c>
      <c r="AD716" s="6" t="s">
        <v>238</v>
      </c>
      <c r="AG716" s="6" t="s">
        <v>246</v>
      </c>
      <c r="AH716" s="5" t="s">
        <v>247</v>
      </c>
      <c r="AI716" s="5" t="s">
        <v>248</v>
      </c>
      <c r="AY716" s="5" t="s">
        <v>250</v>
      </c>
      <c r="AZ716" s="5" t="s">
        <v>238</v>
      </c>
      <c r="BA716" s="5" t="s">
        <v>251</v>
      </c>
      <c r="BB716" s="5" t="s">
        <v>238</v>
      </c>
      <c r="BC716" s="5" t="s">
        <v>253</v>
      </c>
      <c r="BD716" s="5" t="s">
        <v>238</v>
      </c>
      <c r="BF716" s="5" t="s">
        <v>238</v>
      </c>
      <c r="BH716" s="5" t="s">
        <v>254</v>
      </c>
      <c r="BI716" s="6" t="s">
        <v>246</v>
      </c>
      <c r="BJ716" s="5" t="s">
        <v>255</v>
      </c>
      <c r="BK716" s="5" t="s">
        <v>294</v>
      </c>
      <c r="BL716" s="5" t="s">
        <v>238</v>
      </c>
      <c r="BM716" s="7">
        <f>0</f>
        <v>0</v>
      </c>
      <c r="BN716" s="8">
        <f>0</f>
        <v>0</v>
      </c>
      <c r="BO716" s="5" t="s">
        <v>257</v>
      </c>
      <c r="BP716" s="5" t="s">
        <v>258</v>
      </c>
      <c r="CD716" s="5" t="s">
        <v>238</v>
      </c>
      <c r="CE716" s="5" t="s">
        <v>238</v>
      </c>
      <c r="CI716" s="5" t="s">
        <v>259</v>
      </c>
      <c r="CJ716" s="5" t="s">
        <v>260</v>
      </c>
      <c r="CK716" s="5" t="s">
        <v>238</v>
      </c>
      <c r="CM716" s="5" t="s">
        <v>937</v>
      </c>
      <c r="CN716" s="6" t="s">
        <v>262</v>
      </c>
      <c r="CO716" s="5" t="s">
        <v>263</v>
      </c>
      <c r="CP716" s="5" t="s">
        <v>264</v>
      </c>
      <c r="CQ716" s="5" t="s">
        <v>238</v>
      </c>
      <c r="CR716" s="5" t="s">
        <v>238</v>
      </c>
      <c r="CS716" s="5">
        <v>0</v>
      </c>
      <c r="CT716" s="5" t="s">
        <v>265</v>
      </c>
      <c r="CU716" s="5" t="s">
        <v>1360</v>
      </c>
      <c r="CV716" s="5" t="s">
        <v>267</v>
      </c>
      <c r="CX716" s="8">
        <f t="shared" si="30"/>
        <v>39220800</v>
      </c>
      <c r="CY716" s="8">
        <f>0</f>
        <v>0</v>
      </c>
      <c r="DA716" s="5" t="s">
        <v>238</v>
      </c>
      <c r="DB716" s="5" t="s">
        <v>238</v>
      </c>
      <c r="DD716" s="5" t="s">
        <v>238</v>
      </c>
      <c r="DG716" s="5" t="s">
        <v>238</v>
      </c>
      <c r="DH716" s="5" t="s">
        <v>238</v>
      </c>
      <c r="DI716" s="5" t="s">
        <v>238</v>
      </c>
      <c r="DJ716" s="5" t="s">
        <v>238</v>
      </c>
      <c r="DK716" s="5" t="s">
        <v>274</v>
      </c>
      <c r="DL716" s="5" t="s">
        <v>272</v>
      </c>
      <c r="DM716" s="7">
        <f t="shared" si="31"/>
        <v>163.41999999999999</v>
      </c>
      <c r="DN716" s="5" t="s">
        <v>238</v>
      </c>
      <c r="DO716" s="5" t="s">
        <v>238</v>
      </c>
      <c r="DP716" s="5" t="s">
        <v>238</v>
      </c>
      <c r="DQ716" s="5" t="s">
        <v>238</v>
      </c>
      <c r="DT716" s="5" t="s">
        <v>2499</v>
      </c>
      <c r="DU716" s="5" t="s">
        <v>379</v>
      </c>
      <c r="HM716" s="5" t="s">
        <v>274</v>
      </c>
      <c r="HP716" s="5" t="s">
        <v>272</v>
      </c>
      <c r="HQ716" s="5" t="s">
        <v>272</v>
      </c>
    </row>
    <row r="717" spans="1:225" x14ac:dyDescent="0.4">
      <c r="A717" s="5">
        <v>807</v>
      </c>
      <c r="B717" s="5">
        <v>1</v>
      </c>
      <c r="C717" s="5">
        <v>1</v>
      </c>
      <c r="D717" s="5" t="s">
        <v>2496</v>
      </c>
      <c r="E717" s="5" t="s">
        <v>277</v>
      </c>
      <c r="F717" s="5" t="s">
        <v>282</v>
      </c>
      <c r="G717" s="5" t="s">
        <v>2491</v>
      </c>
      <c r="H717" s="6" t="s">
        <v>2498</v>
      </c>
      <c r="I717" s="5" t="s">
        <v>2520</v>
      </c>
      <c r="J717" s="7">
        <f t="shared" si="27"/>
        <v>163.41999999999999</v>
      </c>
      <c r="K717" s="5" t="s">
        <v>270</v>
      </c>
      <c r="L717" s="8">
        <f>1</f>
        <v>1</v>
      </c>
      <c r="M717" s="8">
        <f t="shared" si="28"/>
        <v>39220800</v>
      </c>
      <c r="N717" s="6" t="s">
        <v>2497</v>
      </c>
      <c r="O717" s="5" t="s">
        <v>286</v>
      </c>
      <c r="P717" s="5" t="s">
        <v>286</v>
      </c>
      <c r="R717" s="8">
        <f t="shared" si="29"/>
        <v>39220799</v>
      </c>
      <c r="S717" s="5" t="s">
        <v>240</v>
      </c>
      <c r="T717" s="5" t="s">
        <v>237</v>
      </c>
      <c r="U717" s="5" t="s">
        <v>238</v>
      </c>
      <c r="V717" s="5" t="s">
        <v>238</v>
      </c>
      <c r="W717" s="5" t="s">
        <v>241</v>
      </c>
      <c r="X717" s="5" t="s">
        <v>276</v>
      </c>
      <c r="Y717" s="5" t="s">
        <v>238</v>
      </c>
      <c r="AB717" s="5" t="s">
        <v>238</v>
      </c>
      <c r="AD717" s="6" t="s">
        <v>238</v>
      </c>
      <c r="AG717" s="6" t="s">
        <v>246</v>
      </c>
      <c r="AH717" s="5" t="s">
        <v>247</v>
      </c>
      <c r="AI717" s="5" t="s">
        <v>248</v>
      </c>
      <c r="AY717" s="5" t="s">
        <v>250</v>
      </c>
      <c r="AZ717" s="5" t="s">
        <v>238</v>
      </c>
      <c r="BA717" s="5" t="s">
        <v>251</v>
      </c>
      <c r="BB717" s="5" t="s">
        <v>238</v>
      </c>
      <c r="BC717" s="5" t="s">
        <v>253</v>
      </c>
      <c r="BD717" s="5" t="s">
        <v>238</v>
      </c>
      <c r="BF717" s="5" t="s">
        <v>238</v>
      </c>
      <c r="BH717" s="5" t="s">
        <v>254</v>
      </c>
      <c r="BI717" s="6" t="s">
        <v>246</v>
      </c>
      <c r="BJ717" s="5" t="s">
        <v>255</v>
      </c>
      <c r="BK717" s="5" t="s">
        <v>294</v>
      </c>
      <c r="BL717" s="5" t="s">
        <v>238</v>
      </c>
      <c r="BM717" s="7">
        <f>0</f>
        <v>0</v>
      </c>
      <c r="BN717" s="8">
        <f>0</f>
        <v>0</v>
      </c>
      <c r="BO717" s="5" t="s">
        <v>257</v>
      </c>
      <c r="BP717" s="5" t="s">
        <v>258</v>
      </c>
      <c r="CD717" s="5" t="s">
        <v>238</v>
      </c>
      <c r="CE717" s="5" t="s">
        <v>238</v>
      </c>
      <c r="CI717" s="5" t="s">
        <v>259</v>
      </c>
      <c r="CJ717" s="5" t="s">
        <v>260</v>
      </c>
      <c r="CK717" s="5" t="s">
        <v>238</v>
      </c>
      <c r="CM717" s="5" t="s">
        <v>937</v>
      </c>
      <c r="CN717" s="6" t="s">
        <v>262</v>
      </c>
      <c r="CO717" s="5" t="s">
        <v>263</v>
      </c>
      <c r="CP717" s="5" t="s">
        <v>264</v>
      </c>
      <c r="CQ717" s="5" t="s">
        <v>238</v>
      </c>
      <c r="CR717" s="5" t="s">
        <v>238</v>
      </c>
      <c r="CS717" s="5">
        <v>0</v>
      </c>
      <c r="CT717" s="5" t="s">
        <v>265</v>
      </c>
      <c r="CU717" s="5" t="s">
        <v>1360</v>
      </c>
      <c r="CV717" s="5" t="s">
        <v>267</v>
      </c>
      <c r="CX717" s="8">
        <f t="shared" si="30"/>
        <v>39220800</v>
      </c>
      <c r="CY717" s="8">
        <f>0</f>
        <v>0</v>
      </c>
      <c r="DA717" s="5" t="s">
        <v>238</v>
      </c>
      <c r="DB717" s="5" t="s">
        <v>238</v>
      </c>
      <c r="DD717" s="5" t="s">
        <v>238</v>
      </c>
      <c r="DG717" s="5" t="s">
        <v>238</v>
      </c>
      <c r="DH717" s="5" t="s">
        <v>238</v>
      </c>
      <c r="DI717" s="5" t="s">
        <v>238</v>
      </c>
      <c r="DJ717" s="5" t="s">
        <v>238</v>
      </c>
      <c r="DK717" s="5" t="s">
        <v>274</v>
      </c>
      <c r="DL717" s="5" t="s">
        <v>272</v>
      </c>
      <c r="DM717" s="7">
        <f t="shared" si="31"/>
        <v>163.41999999999999</v>
      </c>
      <c r="DN717" s="5" t="s">
        <v>238</v>
      </c>
      <c r="DO717" s="5" t="s">
        <v>238</v>
      </c>
      <c r="DP717" s="5" t="s">
        <v>238</v>
      </c>
      <c r="DQ717" s="5" t="s">
        <v>238</v>
      </c>
      <c r="DT717" s="5" t="s">
        <v>2499</v>
      </c>
      <c r="DU717" s="5" t="s">
        <v>313</v>
      </c>
      <c r="HM717" s="5" t="s">
        <v>274</v>
      </c>
      <c r="HP717" s="5" t="s">
        <v>272</v>
      </c>
      <c r="HQ717" s="5" t="s">
        <v>272</v>
      </c>
    </row>
    <row r="718" spans="1:225" x14ac:dyDescent="0.4">
      <c r="A718" s="5">
        <v>808</v>
      </c>
      <c r="B718" s="5">
        <v>1</v>
      </c>
      <c r="C718" s="5">
        <v>1</v>
      </c>
      <c r="D718" s="5" t="s">
        <v>2496</v>
      </c>
      <c r="E718" s="5" t="s">
        <v>277</v>
      </c>
      <c r="F718" s="5" t="s">
        <v>282</v>
      </c>
      <c r="G718" s="5" t="s">
        <v>2491</v>
      </c>
      <c r="H718" s="6" t="s">
        <v>2498</v>
      </c>
      <c r="I718" s="5" t="s">
        <v>2516</v>
      </c>
      <c r="J718" s="7">
        <f>163.88</f>
        <v>163.88</v>
      </c>
      <c r="K718" s="5" t="s">
        <v>270</v>
      </c>
      <c r="L718" s="8">
        <f>1</f>
        <v>1</v>
      </c>
      <c r="M718" s="8">
        <f>39331200</f>
        <v>39331200</v>
      </c>
      <c r="N718" s="6" t="s">
        <v>2497</v>
      </c>
      <c r="O718" s="5" t="s">
        <v>286</v>
      </c>
      <c r="P718" s="5" t="s">
        <v>286</v>
      </c>
      <c r="R718" s="8">
        <f>39331199</f>
        <v>39331199</v>
      </c>
      <c r="S718" s="5" t="s">
        <v>240</v>
      </c>
      <c r="T718" s="5" t="s">
        <v>237</v>
      </c>
      <c r="U718" s="5" t="s">
        <v>238</v>
      </c>
      <c r="V718" s="5" t="s">
        <v>238</v>
      </c>
      <c r="W718" s="5" t="s">
        <v>241</v>
      </c>
      <c r="X718" s="5" t="s">
        <v>276</v>
      </c>
      <c r="Y718" s="5" t="s">
        <v>238</v>
      </c>
      <c r="AB718" s="5" t="s">
        <v>238</v>
      </c>
      <c r="AD718" s="6" t="s">
        <v>238</v>
      </c>
      <c r="AG718" s="6" t="s">
        <v>246</v>
      </c>
      <c r="AH718" s="5" t="s">
        <v>247</v>
      </c>
      <c r="AI718" s="5" t="s">
        <v>248</v>
      </c>
      <c r="AY718" s="5" t="s">
        <v>250</v>
      </c>
      <c r="AZ718" s="5" t="s">
        <v>238</v>
      </c>
      <c r="BA718" s="5" t="s">
        <v>251</v>
      </c>
      <c r="BB718" s="5" t="s">
        <v>238</v>
      </c>
      <c r="BC718" s="5" t="s">
        <v>253</v>
      </c>
      <c r="BD718" s="5" t="s">
        <v>238</v>
      </c>
      <c r="BF718" s="5" t="s">
        <v>238</v>
      </c>
      <c r="BH718" s="5" t="s">
        <v>859</v>
      </c>
      <c r="BI718" s="6" t="s">
        <v>368</v>
      </c>
      <c r="BJ718" s="5" t="s">
        <v>255</v>
      </c>
      <c r="BK718" s="5" t="s">
        <v>294</v>
      </c>
      <c r="BL718" s="5" t="s">
        <v>238</v>
      </c>
      <c r="BM718" s="7">
        <f>0</f>
        <v>0</v>
      </c>
      <c r="BN718" s="8">
        <f>0</f>
        <v>0</v>
      </c>
      <c r="BO718" s="5" t="s">
        <v>257</v>
      </c>
      <c r="BP718" s="5" t="s">
        <v>258</v>
      </c>
      <c r="CD718" s="5" t="s">
        <v>238</v>
      </c>
      <c r="CE718" s="5" t="s">
        <v>238</v>
      </c>
      <c r="CI718" s="5" t="s">
        <v>259</v>
      </c>
      <c r="CJ718" s="5" t="s">
        <v>260</v>
      </c>
      <c r="CK718" s="5" t="s">
        <v>238</v>
      </c>
      <c r="CM718" s="5" t="s">
        <v>937</v>
      </c>
      <c r="CN718" s="6" t="s">
        <v>262</v>
      </c>
      <c r="CO718" s="5" t="s">
        <v>263</v>
      </c>
      <c r="CP718" s="5" t="s">
        <v>264</v>
      </c>
      <c r="CQ718" s="5" t="s">
        <v>238</v>
      </c>
      <c r="CR718" s="5" t="s">
        <v>238</v>
      </c>
      <c r="CS718" s="5">
        <v>0</v>
      </c>
      <c r="CT718" s="5" t="s">
        <v>265</v>
      </c>
      <c r="CU718" s="5" t="s">
        <v>1360</v>
      </c>
      <c r="CV718" s="5" t="s">
        <v>267</v>
      </c>
      <c r="CX718" s="8">
        <f>39331200</f>
        <v>39331200</v>
      </c>
      <c r="CY718" s="8">
        <f>0</f>
        <v>0</v>
      </c>
      <c r="DA718" s="5" t="s">
        <v>238</v>
      </c>
      <c r="DB718" s="5" t="s">
        <v>238</v>
      </c>
      <c r="DD718" s="5" t="s">
        <v>238</v>
      </c>
      <c r="DG718" s="5" t="s">
        <v>238</v>
      </c>
      <c r="DH718" s="5" t="s">
        <v>238</v>
      </c>
      <c r="DI718" s="5" t="s">
        <v>238</v>
      </c>
      <c r="DJ718" s="5" t="s">
        <v>238</v>
      </c>
      <c r="DK718" s="5" t="s">
        <v>274</v>
      </c>
      <c r="DL718" s="5" t="s">
        <v>272</v>
      </c>
      <c r="DM718" s="7">
        <f>163.88</f>
        <v>163.88</v>
      </c>
      <c r="DN718" s="5" t="s">
        <v>238</v>
      </c>
      <c r="DO718" s="5" t="s">
        <v>238</v>
      </c>
      <c r="DP718" s="5" t="s">
        <v>238</v>
      </c>
      <c r="DQ718" s="5" t="s">
        <v>238</v>
      </c>
      <c r="DT718" s="5" t="s">
        <v>2499</v>
      </c>
      <c r="DU718" s="5" t="s">
        <v>389</v>
      </c>
      <c r="HM718" s="5" t="s">
        <v>274</v>
      </c>
      <c r="HP718" s="5" t="s">
        <v>272</v>
      </c>
      <c r="HQ718" s="5" t="s">
        <v>272</v>
      </c>
    </row>
    <row r="719" spans="1:225" x14ac:dyDescent="0.4">
      <c r="A719" s="5">
        <v>809</v>
      </c>
      <c r="B719" s="5">
        <v>1</v>
      </c>
      <c r="C719" s="5">
        <v>1</v>
      </c>
      <c r="D719" s="5" t="s">
        <v>2496</v>
      </c>
      <c r="E719" s="5" t="s">
        <v>277</v>
      </c>
      <c r="F719" s="5" t="s">
        <v>282</v>
      </c>
      <c r="G719" s="5" t="s">
        <v>2491</v>
      </c>
      <c r="H719" s="6" t="s">
        <v>2498</v>
      </c>
      <c r="I719" s="5" t="s">
        <v>2521</v>
      </c>
      <c r="J719" s="7">
        <f>163.88</f>
        <v>163.88</v>
      </c>
      <c r="K719" s="5" t="s">
        <v>270</v>
      </c>
      <c r="L719" s="8">
        <f>1</f>
        <v>1</v>
      </c>
      <c r="M719" s="8">
        <f>39331200</f>
        <v>39331200</v>
      </c>
      <c r="N719" s="6" t="s">
        <v>2497</v>
      </c>
      <c r="O719" s="5" t="s">
        <v>286</v>
      </c>
      <c r="P719" s="5" t="s">
        <v>286</v>
      </c>
      <c r="R719" s="8">
        <f>39331199</f>
        <v>39331199</v>
      </c>
      <c r="S719" s="5" t="s">
        <v>240</v>
      </c>
      <c r="T719" s="5" t="s">
        <v>237</v>
      </c>
      <c r="U719" s="5" t="s">
        <v>238</v>
      </c>
      <c r="V719" s="5" t="s">
        <v>238</v>
      </c>
      <c r="W719" s="5" t="s">
        <v>241</v>
      </c>
      <c r="X719" s="5" t="s">
        <v>276</v>
      </c>
      <c r="Y719" s="5" t="s">
        <v>238</v>
      </c>
      <c r="AB719" s="5" t="s">
        <v>238</v>
      </c>
      <c r="AD719" s="6" t="s">
        <v>238</v>
      </c>
      <c r="AG719" s="6" t="s">
        <v>246</v>
      </c>
      <c r="AH719" s="5" t="s">
        <v>247</v>
      </c>
      <c r="AI719" s="5" t="s">
        <v>248</v>
      </c>
      <c r="AY719" s="5" t="s">
        <v>250</v>
      </c>
      <c r="AZ719" s="5" t="s">
        <v>238</v>
      </c>
      <c r="BA719" s="5" t="s">
        <v>251</v>
      </c>
      <c r="BB719" s="5" t="s">
        <v>238</v>
      </c>
      <c r="BC719" s="5" t="s">
        <v>253</v>
      </c>
      <c r="BD719" s="5" t="s">
        <v>238</v>
      </c>
      <c r="BF719" s="5" t="s">
        <v>238</v>
      </c>
      <c r="BH719" s="5" t="s">
        <v>697</v>
      </c>
      <c r="BI719" s="6" t="s">
        <v>698</v>
      </c>
      <c r="BJ719" s="5" t="s">
        <v>255</v>
      </c>
      <c r="BK719" s="5" t="s">
        <v>294</v>
      </c>
      <c r="BL719" s="5" t="s">
        <v>238</v>
      </c>
      <c r="BM719" s="7">
        <f>0</f>
        <v>0</v>
      </c>
      <c r="BN719" s="8">
        <f>0</f>
        <v>0</v>
      </c>
      <c r="BO719" s="5" t="s">
        <v>257</v>
      </c>
      <c r="BP719" s="5" t="s">
        <v>258</v>
      </c>
      <c r="CD719" s="5" t="s">
        <v>238</v>
      </c>
      <c r="CE719" s="5" t="s">
        <v>238</v>
      </c>
      <c r="CI719" s="5" t="s">
        <v>259</v>
      </c>
      <c r="CJ719" s="5" t="s">
        <v>260</v>
      </c>
      <c r="CK719" s="5" t="s">
        <v>238</v>
      </c>
      <c r="CM719" s="5" t="s">
        <v>937</v>
      </c>
      <c r="CN719" s="6" t="s">
        <v>262</v>
      </c>
      <c r="CO719" s="5" t="s">
        <v>263</v>
      </c>
      <c r="CP719" s="5" t="s">
        <v>264</v>
      </c>
      <c r="CQ719" s="5" t="s">
        <v>238</v>
      </c>
      <c r="CR719" s="5" t="s">
        <v>238</v>
      </c>
      <c r="CS719" s="5">
        <v>0</v>
      </c>
      <c r="CT719" s="5" t="s">
        <v>265</v>
      </c>
      <c r="CU719" s="5" t="s">
        <v>1360</v>
      </c>
      <c r="CV719" s="5" t="s">
        <v>267</v>
      </c>
      <c r="CX719" s="8">
        <f>39331200</f>
        <v>39331200</v>
      </c>
      <c r="CY719" s="8">
        <f>0</f>
        <v>0</v>
      </c>
      <c r="DA719" s="5" t="s">
        <v>238</v>
      </c>
      <c r="DB719" s="5" t="s">
        <v>238</v>
      </c>
      <c r="DD719" s="5" t="s">
        <v>238</v>
      </c>
      <c r="DG719" s="5" t="s">
        <v>238</v>
      </c>
      <c r="DH719" s="5" t="s">
        <v>238</v>
      </c>
      <c r="DI719" s="5" t="s">
        <v>238</v>
      </c>
      <c r="DJ719" s="5" t="s">
        <v>238</v>
      </c>
      <c r="DK719" s="5" t="s">
        <v>274</v>
      </c>
      <c r="DL719" s="5" t="s">
        <v>272</v>
      </c>
      <c r="DM719" s="7">
        <f>163.88</f>
        <v>163.88</v>
      </c>
      <c r="DN719" s="5" t="s">
        <v>238</v>
      </c>
      <c r="DO719" s="5" t="s">
        <v>238</v>
      </c>
      <c r="DP719" s="5" t="s">
        <v>238</v>
      </c>
      <c r="DQ719" s="5" t="s">
        <v>238</v>
      </c>
      <c r="DT719" s="5" t="s">
        <v>2499</v>
      </c>
      <c r="DU719" s="5" t="s">
        <v>354</v>
      </c>
      <c r="HM719" s="5" t="s">
        <v>274</v>
      </c>
      <c r="HP719" s="5" t="s">
        <v>272</v>
      </c>
      <c r="HQ719" s="5" t="s">
        <v>272</v>
      </c>
    </row>
    <row r="720" spans="1:225" x14ac:dyDescent="0.4">
      <c r="A720" s="5">
        <v>810</v>
      </c>
      <c r="B720" s="5">
        <v>1</v>
      </c>
      <c r="C720" s="5">
        <v>1</v>
      </c>
      <c r="D720" s="5" t="s">
        <v>2496</v>
      </c>
      <c r="E720" s="5" t="s">
        <v>277</v>
      </c>
      <c r="F720" s="5" t="s">
        <v>282</v>
      </c>
      <c r="G720" s="5" t="s">
        <v>2491</v>
      </c>
      <c r="H720" s="6" t="s">
        <v>2498</v>
      </c>
      <c r="I720" s="5" t="s">
        <v>2500</v>
      </c>
      <c r="J720" s="7">
        <f>163.88</f>
        <v>163.88</v>
      </c>
      <c r="K720" s="5" t="s">
        <v>270</v>
      </c>
      <c r="L720" s="8">
        <f>1</f>
        <v>1</v>
      </c>
      <c r="M720" s="8">
        <f>39331200</f>
        <v>39331200</v>
      </c>
      <c r="N720" s="6" t="s">
        <v>2497</v>
      </c>
      <c r="O720" s="5" t="s">
        <v>286</v>
      </c>
      <c r="P720" s="5" t="s">
        <v>286</v>
      </c>
      <c r="R720" s="8">
        <f>39331199</f>
        <v>39331199</v>
      </c>
      <c r="S720" s="5" t="s">
        <v>240</v>
      </c>
      <c r="T720" s="5" t="s">
        <v>237</v>
      </c>
      <c r="U720" s="5" t="s">
        <v>238</v>
      </c>
      <c r="V720" s="5" t="s">
        <v>238</v>
      </c>
      <c r="W720" s="5" t="s">
        <v>241</v>
      </c>
      <c r="X720" s="5" t="s">
        <v>276</v>
      </c>
      <c r="Y720" s="5" t="s">
        <v>238</v>
      </c>
      <c r="AB720" s="5" t="s">
        <v>238</v>
      </c>
      <c r="AD720" s="6" t="s">
        <v>238</v>
      </c>
      <c r="AG720" s="6" t="s">
        <v>246</v>
      </c>
      <c r="AH720" s="5" t="s">
        <v>247</v>
      </c>
      <c r="AI720" s="5" t="s">
        <v>248</v>
      </c>
      <c r="AY720" s="5" t="s">
        <v>250</v>
      </c>
      <c r="AZ720" s="5" t="s">
        <v>238</v>
      </c>
      <c r="BA720" s="5" t="s">
        <v>251</v>
      </c>
      <c r="BB720" s="5" t="s">
        <v>238</v>
      </c>
      <c r="BC720" s="5" t="s">
        <v>253</v>
      </c>
      <c r="BD720" s="5" t="s">
        <v>238</v>
      </c>
      <c r="BF720" s="5" t="s">
        <v>238</v>
      </c>
      <c r="BH720" s="5" t="s">
        <v>798</v>
      </c>
      <c r="BI720" s="6" t="s">
        <v>799</v>
      </c>
      <c r="BJ720" s="5" t="s">
        <v>255</v>
      </c>
      <c r="BK720" s="5" t="s">
        <v>294</v>
      </c>
      <c r="BL720" s="5" t="s">
        <v>238</v>
      </c>
      <c r="BM720" s="7">
        <f>0</f>
        <v>0</v>
      </c>
      <c r="BN720" s="8">
        <f>0</f>
        <v>0</v>
      </c>
      <c r="BO720" s="5" t="s">
        <v>257</v>
      </c>
      <c r="BP720" s="5" t="s">
        <v>258</v>
      </c>
      <c r="CD720" s="5" t="s">
        <v>238</v>
      </c>
      <c r="CE720" s="5" t="s">
        <v>238</v>
      </c>
      <c r="CI720" s="5" t="s">
        <v>259</v>
      </c>
      <c r="CJ720" s="5" t="s">
        <v>260</v>
      </c>
      <c r="CK720" s="5" t="s">
        <v>238</v>
      </c>
      <c r="CM720" s="5" t="s">
        <v>937</v>
      </c>
      <c r="CN720" s="6" t="s">
        <v>262</v>
      </c>
      <c r="CO720" s="5" t="s">
        <v>263</v>
      </c>
      <c r="CP720" s="5" t="s">
        <v>264</v>
      </c>
      <c r="CQ720" s="5" t="s">
        <v>238</v>
      </c>
      <c r="CR720" s="5" t="s">
        <v>238</v>
      </c>
      <c r="CS720" s="5">
        <v>0</v>
      </c>
      <c r="CT720" s="5" t="s">
        <v>265</v>
      </c>
      <c r="CU720" s="5" t="s">
        <v>1360</v>
      </c>
      <c r="CV720" s="5" t="s">
        <v>267</v>
      </c>
      <c r="CX720" s="8">
        <f>39331200</f>
        <v>39331200</v>
      </c>
      <c r="CY720" s="8">
        <f>0</f>
        <v>0</v>
      </c>
      <c r="DA720" s="5" t="s">
        <v>238</v>
      </c>
      <c r="DB720" s="5" t="s">
        <v>238</v>
      </c>
      <c r="DD720" s="5" t="s">
        <v>238</v>
      </c>
      <c r="DG720" s="5" t="s">
        <v>238</v>
      </c>
      <c r="DH720" s="5" t="s">
        <v>238</v>
      </c>
      <c r="DI720" s="5" t="s">
        <v>238</v>
      </c>
      <c r="DJ720" s="5" t="s">
        <v>238</v>
      </c>
      <c r="DK720" s="5" t="s">
        <v>274</v>
      </c>
      <c r="DL720" s="5" t="s">
        <v>272</v>
      </c>
      <c r="DM720" s="7">
        <f>163.88</f>
        <v>163.88</v>
      </c>
      <c r="DN720" s="5" t="s">
        <v>238</v>
      </c>
      <c r="DO720" s="5" t="s">
        <v>238</v>
      </c>
      <c r="DP720" s="5" t="s">
        <v>238</v>
      </c>
      <c r="DQ720" s="5" t="s">
        <v>238</v>
      </c>
      <c r="DT720" s="5" t="s">
        <v>2499</v>
      </c>
      <c r="DU720" s="5" t="s">
        <v>361</v>
      </c>
      <c r="HM720" s="5" t="s">
        <v>274</v>
      </c>
      <c r="HP720" s="5" t="s">
        <v>272</v>
      </c>
      <c r="HQ720" s="5" t="s">
        <v>272</v>
      </c>
    </row>
    <row r="721" spans="1:238" x14ac:dyDescent="0.4">
      <c r="A721" s="5">
        <v>811</v>
      </c>
      <c r="B721" s="5">
        <v>1</v>
      </c>
      <c r="C721" s="5">
        <v>1</v>
      </c>
      <c r="D721" s="5" t="s">
        <v>2496</v>
      </c>
      <c r="E721" s="5" t="s">
        <v>277</v>
      </c>
      <c r="F721" s="5" t="s">
        <v>282</v>
      </c>
      <c r="G721" s="5" t="s">
        <v>2491</v>
      </c>
      <c r="H721" s="6" t="s">
        <v>2498</v>
      </c>
      <c r="I721" s="5" t="s">
        <v>2526</v>
      </c>
      <c r="J721" s="7">
        <f>163.88</f>
        <v>163.88</v>
      </c>
      <c r="K721" s="5" t="s">
        <v>270</v>
      </c>
      <c r="L721" s="8">
        <f>1</f>
        <v>1</v>
      </c>
      <c r="M721" s="8">
        <f>39331200</f>
        <v>39331200</v>
      </c>
      <c r="N721" s="6" t="s">
        <v>2497</v>
      </c>
      <c r="O721" s="5" t="s">
        <v>286</v>
      </c>
      <c r="P721" s="5" t="s">
        <v>286</v>
      </c>
      <c r="R721" s="8">
        <f>39331199</f>
        <v>39331199</v>
      </c>
      <c r="S721" s="5" t="s">
        <v>240</v>
      </c>
      <c r="T721" s="5" t="s">
        <v>237</v>
      </c>
      <c r="U721" s="5" t="s">
        <v>238</v>
      </c>
      <c r="V721" s="5" t="s">
        <v>238</v>
      </c>
      <c r="W721" s="5" t="s">
        <v>241</v>
      </c>
      <c r="X721" s="5" t="s">
        <v>276</v>
      </c>
      <c r="Y721" s="5" t="s">
        <v>238</v>
      </c>
      <c r="AB721" s="5" t="s">
        <v>238</v>
      </c>
      <c r="AD721" s="6" t="s">
        <v>238</v>
      </c>
      <c r="AG721" s="6" t="s">
        <v>246</v>
      </c>
      <c r="AH721" s="5" t="s">
        <v>247</v>
      </c>
      <c r="AI721" s="5" t="s">
        <v>248</v>
      </c>
      <c r="AY721" s="5" t="s">
        <v>250</v>
      </c>
      <c r="AZ721" s="5" t="s">
        <v>238</v>
      </c>
      <c r="BA721" s="5" t="s">
        <v>251</v>
      </c>
      <c r="BB721" s="5" t="s">
        <v>238</v>
      </c>
      <c r="BC721" s="5" t="s">
        <v>253</v>
      </c>
      <c r="BD721" s="5" t="s">
        <v>238</v>
      </c>
      <c r="BF721" s="5" t="s">
        <v>238</v>
      </c>
      <c r="BH721" s="5" t="s">
        <v>254</v>
      </c>
      <c r="BI721" s="6" t="s">
        <v>246</v>
      </c>
      <c r="BJ721" s="5" t="s">
        <v>255</v>
      </c>
      <c r="BK721" s="5" t="s">
        <v>294</v>
      </c>
      <c r="BL721" s="5" t="s">
        <v>238</v>
      </c>
      <c r="BM721" s="7">
        <f>0</f>
        <v>0</v>
      </c>
      <c r="BN721" s="8">
        <f>0</f>
        <v>0</v>
      </c>
      <c r="BO721" s="5" t="s">
        <v>257</v>
      </c>
      <c r="BP721" s="5" t="s">
        <v>258</v>
      </c>
      <c r="CD721" s="5" t="s">
        <v>238</v>
      </c>
      <c r="CE721" s="5" t="s">
        <v>238</v>
      </c>
      <c r="CI721" s="5" t="s">
        <v>259</v>
      </c>
      <c r="CJ721" s="5" t="s">
        <v>260</v>
      </c>
      <c r="CK721" s="5" t="s">
        <v>238</v>
      </c>
      <c r="CM721" s="5" t="s">
        <v>937</v>
      </c>
      <c r="CN721" s="6" t="s">
        <v>262</v>
      </c>
      <c r="CO721" s="5" t="s">
        <v>263</v>
      </c>
      <c r="CP721" s="5" t="s">
        <v>264</v>
      </c>
      <c r="CQ721" s="5" t="s">
        <v>238</v>
      </c>
      <c r="CR721" s="5" t="s">
        <v>238</v>
      </c>
      <c r="CS721" s="5">
        <v>0</v>
      </c>
      <c r="CT721" s="5" t="s">
        <v>265</v>
      </c>
      <c r="CU721" s="5" t="s">
        <v>1360</v>
      </c>
      <c r="CV721" s="5" t="s">
        <v>267</v>
      </c>
      <c r="CX721" s="8">
        <f>39331200</f>
        <v>39331200</v>
      </c>
      <c r="CY721" s="8">
        <f>0</f>
        <v>0</v>
      </c>
      <c r="DA721" s="5" t="s">
        <v>238</v>
      </c>
      <c r="DB721" s="5" t="s">
        <v>238</v>
      </c>
      <c r="DD721" s="5" t="s">
        <v>238</v>
      </c>
      <c r="DG721" s="5" t="s">
        <v>238</v>
      </c>
      <c r="DH721" s="5" t="s">
        <v>238</v>
      </c>
      <c r="DI721" s="5" t="s">
        <v>238</v>
      </c>
      <c r="DJ721" s="5" t="s">
        <v>238</v>
      </c>
      <c r="DK721" s="5" t="s">
        <v>274</v>
      </c>
      <c r="DL721" s="5" t="s">
        <v>272</v>
      </c>
      <c r="DM721" s="7">
        <f>163.88</f>
        <v>163.88</v>
      </c>
      <c r="DN721" s="5" t="s">
        <v>238</v>
      </c>
      <c r="DO721" s="5" t="s">
        <v>238</v>
      </c>
      <c r="DP721" s="5" t="s">
        <v>238</v>
      </c>
      <c r="DQ721" s="5" t="s">
        <v>238</v>
      </c>
      <c r="DT721" s="5" t="s">
        <v>2499</v>
      </c>
      <c r="DU721" s="5" t="s">
        <v>377</v>
      </c>
      <c r="HM721" s="5" t="s">
        <v>274</v>
      </c>
      <c r="HP721" s="5" t="s">
        <v>272</v>
      </c>
      <c r="HQ721" s="5" t="s">
        <v>272</v>
      </c>
    </row>
    <row r="722" spans="1:238" x14ac:dyDescent="0.4">
      <c r="A722" s="5">
        <v>812</v>
      </c>
      <c r="B722" s="5">
        <v>1</v>
      </c>
      <c r="C722" s="5">
        <v>1</v>
      </c>
      <c r="D722" s="5" t="s">
        <v>2496</v>
      </c>
      <c r="E722" s="5" t="s">
        <v>277</v>
      </c>
      <c r="F722" s="5" t="s">
        <v>282</v>
      </c>
      <c r="G722" s="5" t="s">
        <v>2491</v>
      </c>
      <c r="H722" s="6" t="s">
        <v>2498</v>
      </c>
      <c r="I722" s="5" t="s">
        <v>2525</v>
      </c>
      <c r="J722" s="7">
        <f>163.88</f>
        <v>163.88</v>
      </c>
      <c r="K722" s="5" t="s">
        <v>270</v>
      </c>
      <c r="L722" s="8">
        <f>1</f>
        <v>1</v>
      </c>
      <c r="M722" s="8">
        <f>39331200</f>
        <v>39331200</v>
      </c>
      <c r="N722" s="6" t="s">
        <v>2497</v>
      </c>
      <c r="O722" s="5" t="s">
        <v>286</v>
      </c>
      <c r="P722" s="5" t="s">
        <v>286</v>
      </c>
      <c r="R722" s="8">
        <f>39331199</f>
        <v>39331199</v>
      </c>
      <c r="S722" s="5" t="s">
        <v>240</v>
      </c>
      <c r="T722" s="5" t="s">
        <v>237</v>
      </c>
      <c r="U722" s="5" t="s">
        <v>238</v>
      </c>
      <c r="V722" s="5" t="s">
        <v>238</v>
      </c>
      <c r="W722" s="5" t="s">
        <v>241</v>
      </c>
      <c r="X722" s="5" t="s">
        <v>276</v>
      </c>
      <c r="Y722" s="5" t="s">
        <v>238</v>
      </c>
      <c r="AB722" s="5" t="s">
        <v>238</v>
      </c>
      <c r="AD722" s="6" t="s">
        <v>238</v>
      </c>
      <c r="AG722" s="6" t="s">
        <v>246</v>
      </c>
      <c r="AH722" s="5" t="s">
        <v>247</v>
      </c>
      <c r="AI722" s="5" t="s">
        <v>248</v>
      </c>
      <c r="AY722" s="5" t="s">
        <v>250</v>
      </c>
      <c r="AZ722" s="5" t="s">
        <v>238</v>
      </c>
      <c r="BA722" s="5" t="s">
        <v>251</v>
      </c>
      <c r="BB722" s="5" t="s">
        <v>238</v>
      </c>
      <c r="BC722" s="5" t="s">
        <v>253</v>
      </c>
      <c r="BD722" s="5" t="s">
        <v>238</v>
      </c>
      <c r="BF722" s="5" t="s">
        <v>238</v>
      </c>
      <c r="BH722" s="5" t="s">
        <v>859</v>
      </c>
      <c r="BI722" s="6" t="s">
        <v>368</v>
      </c>
      <c r="BJ722" s="5" t="s">
        <v>255</v>
      </c>
      <c r="BK722" s="5" t="s">
        <v>294</v>
      </c>
      <c r="BL722" s="5" t="s">
        <v>238</v>
      </c>
      <c r="BM722" s="7">
        <f>0</f>
        <v>0</v>
      </c>
      <c r="BN722" s="8">
        <f>0</f>
        <v>0</v>
      </c>
      <c r="BO722" s="5" t="s">
        <v>257</v>
      </c>
      <c r="BP722" s="5" t="s">
        <v>258</v>
      </c>
      <c r="CD722" s="5" t="s">
        <v>238</v>
      </c>
      <c r="CE722" s="5" t="s">
        <v>238</v>
      </c>
      <c r="CI722" s="5" t="s">
        <v>259</v>
      </c>
      <c r="CJ722" s="5" t="s">
        <v>260</v>
      </c>
      <c r="CK722" s="5" t="s">
        <v>238</v>
      </c>
      <c r="CM722" s="5" t="s">
        <v>937</v>
      </c>
      <c r="CN722" s="6" t="s">
        <v>262</v>
      </c>
      <c r="CO722" s="5" t="s">
        <v>263</v>
      </c>
      <c r="CP722" s="5" t="s">
        <v>264</v>
      </c>
      <c r="CQ722" s="5" t="s">
        <v>238</v>
      </c>
      <c r="CR722" s="5" t="s">
        <v>238</v>
      </c>
      <c r="CS722" s="5">
        <v>0</v>
      </c>
      <c r="CT722" s="5" t="s">
        <v>265</v>
      </c>
      <c r="CU722" s="5" t="s">
        <v>1360</v>
      </c>
      <c r="CV722" s="5" t="s">
        <v>267</v>
      </c>
      <c r="CX722" s="8">
        <f>39331200</f>
        <v>39331200</v>
      </c>
      <c r="CY722" s="8">
        <f>0</f>
        <v>0</v>
      </c>
      <c r="DA722" s="5" t="s">
        <v>238</v>
      </c>
      <c r="DB722" s="5" t="s">
        <v>238</v>
      </c>
      <c r="DD722" s="5" t="s">
        <v>238</v>
      </c>
      <c r="DG722" s="5" t="s">
        <v>238</v>
      </c>
      <c r="DH722" s="5" t="s">
        <v>238</v>
      </c>
      <c r="DI722" s="5" t="s">
        <v>238</v>
      </c>
      <c r="DJ722" s="5" t="s">
        <v>238</v>
      </c>
      <c r="DK722" s="5" t="s">
        <v>274</v>
      </c>
      <c r="DL722" s="5" t="s">
        <v>272</v>
      </c>
      <c r="DM722" s="7">
        <f>163.88</f>
        <v>163.88</v>
      </c>
      <c r="DN722" s="5" t="s">
        <v>238</v>
      </c>
      <c r="DO722" s="5" t="s">
        <v>238</v>
      </c>
      <c r="DP722" s="5" t="s">
        <v>238</v>
      </c>
      <c r="DQ722" s="5" t="s">
        <v>238</v>
      </c>
      <c r="DT722" s="5" t="s">
        <v>2499</v>
      </c>
      <c r="DU722" s="5" t="s">
        <v>371</v>
      </c>
      <c r="HM722" s="5" t="s">
        <v>274</v>
      </c>
      <c r="HP722" s="5" t="s">
        <v>272</v>
      </c>
      <c r="HQ722" s="5" t="s">
        <v>272</v>
      </c>
    </row>
    <row r="723" spans="1:238" x14ac:dyDescent="0.4">
      <c r="A723" s="5">
        <v>813</v>
      </c>
      <c r="B723" s="5">
        <v>1</v>
      </c>
      <c r="C723" s="5">
        <v>1</v>
      </c>
      <c r="D723" s="5" t="s">
        <v>2496</v>
      </c>
      <c r="E723" s="5" t="s">
        <v>277</v>
      </c>
      <c r="F723" s="5" t="s">
        <v>282</v>
      </c>
      <c r="G723" s="5" t="s">
        <v>2491</v>
      </c>
      <c r="H723" s="6" t="s">
        <v>2498</v>
      </c>
      <c r="I723" s="5" t="s">
        <v>1864</v>
      </c>
      <c r="J723" s="7">
        <f>148.64</f>
        <v>148.63999999999999</v>
      </c>
      <c r="K723" s="5" t="s">
        <v>270</v>
      </c>
      <c r="L723" s="8">
        <f>1</f>
        <v>1</v>
      </c>
      <c r="M723" s="8">
        <f>35673600</f>
        <v>35673600</v>
      </c>
      <c r="N723" s="6" t="s">
        <v>2497</v>
      </c>
      <c r="O723" s="5" t="s">
        <v>286</v>
      </c>
      <c r="P723" s="5" t="s">
        <v>286</v>
      </c>
      <c r="R723" s="8">
        <f>35673599</f>
        <v>35673599</v>
      </c>
      <c r="S723" s="5" t="s">
        <v>240</v>
      </c>
      <c r="T723" s="5" t="s">
        <v>237</v>
      </c>
      <c r="U723" s="5" t="s">
        <v>238</v>
      </c>
      <c r="V723" s="5" t="s">
        <v>238</v>
      </c>
      <c r="W723" s="5" t="s">
        <v>241</v>
      </c>
      <c r="X723" s="5" t="s">
        <v>276</v>
      </c>
      <c r="Y723" s="5" t="s">
        <v>238</v>
      </c>
      <c r="AB723" s="5" t="s">
        <v>238</v>
      </c>
      <c r="AD723" s="6" t="s">
        <v>238</v>
      </c>
      <c r="AG723" s="6" t="s">
        <v>246</v>
      </c>
      <c r="AH723" s="5" t="s">
        <v>247</v>
      </c>
      <c r="AI723" s="5" t="s">
        <v>248</v>
      </c>
      <c r="AY723" s="5" t="s">
        <v>250</v>
      </c>
      <c r="AZ723" s="5" t="s">
        <v>238</v>
      </c>
      <c r="BA723" s="5" t="s">
        <v>251</v>
      </c>
      <c r="BB723" s="5" t="s">
        <v>238</v>
      </c>
      <c r="BC723" s="5" t="s">
        <v>253</v>
      </c>
      <c r="BD723" s="5" t="s">
        <v>238</v>
      </c>
      <c r="BF723" s="5" t="s">
        <v>238</v>
      </c>
      <c r="BH723" s="5" t="s">
        <v>697</v>
      </c>
      <c r="BI723" s="6" t="s">
        <v>698</v>
      </c>
      <c r="BJ723" s="5" t="s">
        <v>255</v>
      </c>
      <c r="BK723" s="5" t="s">
        <v>294</v>
      </c>
      <c r="BL723" s="5" t="s">
        <v>238</v>
      </c>
      <c r="BM723" s="7">
        <f>0</f>
        <v>0</v>
      </c>
      <c r="BN723" s="8">
        <f>0</f>
        <v>0</v>
      </c>
      <c r="BO723" s="5" t="s">
        <v>257</v>
      </c>
      <c r="BP723" s="5" t="s">
        <v>258</v>
      </c>
      <c r="CD723" s="5" t="s">
        <v>238</v>
      </c>
      <c r="CE723" s="5" t="s">
        <v>238</v>
      </c>
      <c r="CI723" s="5" t="s">
        <v>259</v>
      </c>
      <c r="CJ723" s="5" t="s">
        <v>260</v>
      </c>
      <c r="CK723" s="5" t="s">
        <v>238</v>
      </c>
      <c r="CM723" s="5" t="s">
        <v>937</v>
      </c>
      <c r="CN723" s="6" t="s">
        <v>262</v>
      </c>
      <c r="CO723" s="5" t="s">
        <v>263</v>
      </c>
      <c r="CP723" s="5" t="s">
        <v>264</v>
      </c>
      <c r="CQ723" s="5" t="s">
        <v>238</v>
      </c>
      <c r="CR723" s="5" t="s">
        <v>238</v>
      </c>
      <c r="CS723" s="5">
        <v>0</v>
      </c>
      <c r="CT723" s="5" t="s">
        <v>265</v>
      </c>
      <c r="CU723" s="5" t="s">
        <v>1360</v>
      </c>
      <c r="CV723" s="5" t="s">
        <v>267</v>
      </c>
      <c r="CX723" s="8">
        <f>35673600</f>
        <v>35673600</v>
      </c>
      <c r="CY723" s="8">
        <f>0</f>
        <v>0</v>
      </c>
      <c r="DA723" s="5" t="s">
        <v>238</v>
      </c>
      <c r="DB723" s="5" t="s">
        <v>238</v>
      </c>
      <c r="DD723" s="5" t="s">
        <v>238</v>
      </c>
      <c r="DG723" s="5" t="s">
        <v>238</v>
      </c>
      <c r="DH723" s="5" t="s">
        <v>238</v>
      </c>
      <c r="DI723" s="5" t="s">
        <v>238</v>
      </c>
      <c r="DJ723" s="5" t="s">
        <v>238</v>
      </c>
      <c r="DK723" s="5" t="s">
        <v>271</v>
      </c>
      <c r="DL723" s="5" t="s">
        <v>272</v>
      </c>
      <c r="DM723" s="7">
        <f>148.64</f>
        <v>148.63999999999999</v>
      </c>
      <c r="DN723" s="5" t="s">
        <v>238</v>
      </c>
      <c r="DO723" s="5" t="s">
        <v>238</v>
      </c>
      <c r="DP723" s="5" t="s">
        <v>238</v>
      </c>
      <c r="DQ723" s="5" t="s">
        <v>238</v>
      </c>
      <c r="DT723" s="5" t="s">
        <v>2499</v>
      </c>
      <c r="DU723" s="5" t="s">
        <v>395</v>
      </c>
      <c r="HM723" s="5" t="s">
        <v>274</v>
      </c>
      <c r="HP723" s="5" t="s">
        <v>272</v>
      </c>
      <c r="HQ723" s="5" t="s">
        <v>272</v>
      </c>
    </row>
    <row r="724" spans="1:238" x14ac:dyDescent="0.4">
      <c r="A724" s="5">
        <v>814</v>
      </c>
      <c r="B724" s="5">
        <v>1</v>
      </c>
      <c r="C724" s="5">
        <v>1</v>
      </c>
      <c r="D724" s="5" t="s">
        <v>2827</v>
      </c>
      <c r="E724" s="5" t="s">
        <v>277</v>
      </c>
      <c r="F724" s="5" t="s">
        <v>282</v>
      </c>
      <c r="G724" s="5" t="s">
        <v>2491</v>
      </c>
      <c r="H724" s="6" t="s">
        <v>2828</v>
      </c>
      <c r="I724" s="5" t="s">
        <v>2836</v>
      </c>
      <c r="J724" s="7">
        <f>332.82</f>
        <v>332.82</v>
      </c>
      <c r="K724" s="5" t="s">
        <v>270</v>
      </c>
      <c r="L724" s="8">
        <f>1</f>
        <v>1</v>
      </c>
      <c r="M724" s="8">
        <f>34946100</f>
        <v>34946100</v>
      </c>
      <c r="N724" s="6" t="s">
        <v>1355</v>
      </c>
      <c r="O724" s="5" t="s">
        <v>639</v>
      </c>
      <c r="P724" s="5" t="s">
        <v>639</v>
      </c>
      <c r="R724" s="8">
        <f>34946099</f>
        <v>34946099</v>
      </c>
      <c r="S724" s="5" t="s">
        <v>240</v>
      </c>
      <c r="T724" s="5" t="s">
        <v>237</v>
      </c>
      <c r="U724" s="5" t="s">
        <v>238</v>
      </c>
      <c r="V724" s="5" t="s">
        <v>238</v>
      </c>
      <c r="W724" s="5" t="s">
        <v>241</v>
      </c>
      <c r="X724" s="5" t="s">
        <v>276</v>
      </c>
      <c r="Y724" s="5" t="s">
        <v>238</v>
      </c>
      <c r="AB724" s="5" t="s">
        <v>238</v>
      </c>
      <c r="AD724" s="6" t="s">
        <v>238</v>
      </c>
      <c r="AG724" s="6" t="s">
        <v>246</v>
      </c>
      <c r="AH724" s="5" t="s">
        <v>247</v>
      </c>
      <c r="AI724" s="5" t="s">
        <v>248</v>
      </c>
      <c r="AY724" s="5" t="s">
        <v>250</v>
      </c>
      <c r="AZ724" s="5" t="s">
        <v>238</v>
      </c>
      <c r="BA724" s="5" t="s">
        <v>251</v>
      </c>
      <c r="BB724" s="5" t="s">
        <v>238</v>
      </c>
      <c r="BC724" s="5" t="s">
        <v>253</v>
      </c>
      <c r="BD724" s="5" t="s">
        <v>238</v>
      </c>
      <c r="BF724" s="5" t="s">
        <v>238</v>
      </c>
      <c r="BH724" s="5" t="s">
        <v>798</v>
      </c>
      <c r="BI724" s="6" t="s">
        <v>799</v>
      </c>
      <c r="BJ724" s="5" t="s">
        <v>255</v>
      </c>
      <c r="BK724" s="5" t="s">
        <v>256</v>
      </c>
      <c r="BL724" s="5" t="s">
        <v>238</v>
      </c>
      <c r="BM724" s="7">
        <f>0</f>
        <v>0</v>
      </c>
      <c r="BN724" s="8">
        <f>0</f>
        <v>0</v>
      </c>
      <c r="BO724" s="5" t="s">
        <v>257</v>
      </c>
      <c r="BP724" s="5" t="s">
        <v>258</v>
      </c>
      <c r="CD724" s="5" t="s">
        <v>238</v>
      </c>
      <c r="CE724" s="5" t="s">
        <v>238</v>
      </c>
      <c r="CI724" s="5" t="s">
        <v>527</v>
      </c>
      <c r="CJ724" s="5" t="s">
        <v>260</v>
      </c>
      <c r="CK724" s="5" t="s">
        <v>238</v>
      </c>
      <c r="CM724" s="5" t="s">
        <v>1095</v>
      </c>
      <c r="CN724" s="6" t="s">
        <v>262</v>
      </c>
      <c r="CO724" s="5" t="s">
        <v>263</v>
      </c>
      <c r="CP724" s="5" t="s">
        <v>264</v>
      </c>
      <c r="CQ724" s="5" t="s">
        <v>238</v>
      </c>
      <c r="CR724" s="5" t="s">
        <v>238</v>
      </c>
      <c r="CS724" s="5">
        <v>0</v>
      </c>
      <c r="CT724" s="5" t="s">
        <v>265</v>
      </c>
      <c r="CU724" s="5" t="s">
        <v>1360</v>
      </c>
      <c r="CV724" s="5" t="s">
        <v>2508</v>
      </c>
      <c r="CX724" s="8">
        <f>34946100</f>
        <v>34946100</v>
      </c>
      <c r="CY724" s="8">
        <f>0</f>
        <v>0</v>
      </c>
      <c r="DA724" s="5" t="s">
        <v>238</v>
      </c>
      <c r="DB724" s="5" t="s">
        <v>238</v>
      </c>
      <c r="DD724" s="5" t="s">
        <v>238</v>
      </c>
      <c r="DG724" s="5" t="s">
        <v>238</v>
      </c>
      <c r="DH724" s="5" t="s">
        <v>238</v>
      </c>
      <c r="DI724" s="5" t="s">
        <v>238</v>
      </c>
      <c r="DJ724" s="5" t="s">
        <v>238</v>
      </c>
      <c r="DK724" s="5" t="s">
        <v>274</v>
      </c>
      <c r="DL724" s="5" t="s">
        <v>272</v>
      </c>
      <c r="DM724" s="7">
        <f>332.82</f>
        <v>332.82</v>
      </c>
      <c r="DN724" s="5" t="s">
        <v>238</v>
      </c>
      <c r="DO724" s="5" t="s">
        <v>238</v>
      </c>
      <c r="DP724" s="5" t="s">
        <v>238</v>
      </c>
      <c r="DQ724" s="5" t="s">
        <v>238</v>
      </c>
      <c r="DT724" s="5" t="s">
        <v>2829</v>
      </c>
      <c r="DU724" s="5" t="s">
        <v>271</v>
      </c>
      <c r="HM724" s="5" t="s">
        <v>271</v>
      </c>
      <c r="HP724" s="5" t="s">
        <v>272</v>
      </c>
      <c r="HQ724" s="5" t="s">
        <v>272</v>
      </c>
    </row>
    <row r="725" spans="1:238" x14ac:dyDescent="0.4">
      <c r="A725" s="5">
        <v>815</v>
      </c>
      <c r="B725" s="5">
        <v>1</v>
      </c>
      <c r="C725" s="5">
        <v>1</v>
      </c>
      <c r="D725" s="5" t="s">
        <v>2827</v>
      </c>
      <c r="E725" s="5" t="s">
        <v>277</v>
      </c>
      <c r="F725" s="5" t="s">
        <v>282</v>
      </c>
      <c r="G725" s="5" t="s">
        <v>2491</v>
      </c>
      <c r="H725" s="6" t="s">
        <v>2828</v>
      </c>
      <c r="I725" s="5" t="s">
        <v>2835</v>
      </c>
      <c r="J725" s="7">
        <f>332.82</f>
        <v>332.82</v>
      </c>
      <c r="K725" s="5" t="s">
        <v>270</v>
      </c>
      <c r="L725" s="8">
        <f>1</f>
        <v>1</v>
      </c>
      <c r="M725" s="8">
        <f>34946100</f>
        <v>34946100</v>
      </c>
      <c r="N725" s="6" t="s">
        <v>1355</v>
      </c>
      <c r="O725" s="5" t="s">
        <v>639</v>
      </c>
      <c r="P725" s="5" t="s">
        <v>639</v>
      </c>
      <c r="R725" s="8">
        <f>34946099</f>
        <v>34946099</v>
      </c>
      <c r="S725" s="5" t="s">
        <v>240</v>
      </c>
      <c r="T725" s="5" t="s">
        <v>237</v>
      </c>
      <c r="U725" s="5" t="s">
        <v>238</v>
      </c>
      <c r="V725" s="5" t="s">
        <v>238</v>
      </c>
      <c r="W725" s="5" t="s">
        <v>241</v>
      </c>
      <c r="X725" s="5" t="s">
        <v>276</v>
      </c>
      <c r="Y725" s="5" t="s">
        <v>238</v>
      </c>
      <c r="AB725" s="5" t="s">
        <v>238</v>
      </c>
      <c r="AD725" s="6" t="s">
        <v>238</v>
      </c>
      <c r="AG725" s="6" t="s">
        <v>246</v>
      </c>
      <c r="AH725" s="5" t="s">
        <v>247</v>
      </c>
      <c r="AI725" s="5" t="s">
        <v>248</v>
      </c>
      <c r="AY725" s="5" t="s">
        <v>250</v>
      </c>
      <c r="AZ725" s="5" t="s">
        <v>238</v>
      </c>
      <c r="BA725" s="5" t="s">
        <v>251</v>
      </c>
      <c r="BB725" s="5" t="s">
        <v>238</v>
      </c>
      <c r="BC725" s="5" t="s">
        <v>253</v>
      </c>
      <c r="BD725" s="5" t="s">
        <v>238</v>
      </c>
      <c r="BF725" s="5" t="s">
        <v>238</v>
      </c>
      <c r="BH725" s="5" t="s">
        <v>254</v>
      </c>
      <c r="BI725" s="6" t="s">
        <v>246</v>
      </c>
      <c r="BJ725" s="5" t="s">
        <v>255</v>
      </c>
      <c r="BK725" s="5" t="s">
        <v>256</v>
      </c>
      <c r="BL725" s="5" t="s">
        <v>238</v>
      </c>
      <c r="BM725" s="7">
        <f>0</f>
        <v>0</v>
      </c>
      <c r="BN725" s="8">
        <f>0</f>
        <v>0</v>
      </c>
      <c r="BO725" s="5" t="s">
        <v>257</v>
      </c>
      <c r="BP725" s="5" t="s">
        <v>258</v>
      </c>
      <c r="CD725" s="5" t="s">
        <v>238</v>
      </c>
      <c r="CE725" s="5" t="s">
        <v>238</v>
      </c>
      <c r="CI725" s="5" t="s">
        <v>527</v>
      </c>
      <c r="CJ725" s="5" t="s">
        <v>260</v>
      </c>
      <c r="CK725" s="5" t="s">
        <v>238</v>
      </c>
      <c r="CM725" s="5" t="s">
        <v>1095</v>
      </c>
      <c r="CN725" s="6" t="s">
        <v>262</v>
      </c>
      <c r="CO725" s="5" t="s">
        <v>263</v>
      </c>
      <c r="CP725" s="5" t="s">
        <v>264</v>
      </c>
      <c r="CQ725" s="5" t="s">
        <v>238</v>
      </c>
      <c r="CR725" s="5" t="s">
        <v>238</v>
      </c>
      <c r="CS725" s="5">
        <v>0</v>
      </c>
      <c r="CT725" s="5" t="s">
        <v>265</v>
      </c>
      <c r="CU725" s="5" t="s">
        <v>1360</v>
      </c>
      <c r="CV725" s="5" t="s">
        <v>2508</v>
      </c>
      <c r="CX725" s="8">
        <f>34946100</f>
        <v>34946100</v>
      </c>
      <c r="CY725" s="8">
        <f>0</f>
        <v>0</v>
      </c>
      <c r="DA725" s="5" t="s">
        <v>238</v>
      </c>
      <c r="DB725" s="5" t="s">
        <v>238</v>
      </c>
      <c r="DD725" s="5" t="s">
        <v>238</v>
      </c>
      <c r="DG725" s="5" t="s">
        <v>238</v>
      </c>
      <c r="DH725" s="5" t="s">
        <v>238</v>
      </c>
      <c r="DI725" s="5" t="s">
        <v>238</v>
      </c>
      <c r="DJ725" s="5" t="s">
        <v>238</v>
      </c>
      <c r="DK725" s="5" t="s">
        <v>274</v>
      </c>
      <c r="DL725" s="5" t="s">
        <v>272</v>
      </c>
      <c r="DM725" s="7">
        <f>332.82</f>
        <v>332.82</v>
      </c>
      <c r="DN725" s="5" t="s">
        <v>238</v>
      </c>
      <c r="DO725" s="5" t="s">
        <v>238</v>
      </c>
      <c r="DP725" s="5" t="s">
        <v>238</v>
      </c>
      <c r="DQ725" s="5" t="s">
        <v>238</v>
      </c>
      <c r="DT725" s="5" t="s">
        <v>2829</v>
      </c>
      <c r="DU725" s="5" t="s">
        <v>274</v>
      </c>
      <c r="HM725" s="5" t="s">
        <v>271</v>
      </c>
      <c r="HP725" s="5" t="s">
        <v>272</v>
      </c>
      <c r="HQ725" s="5" t="s">
        <v>272</v>
      </c>
    </row>
    <row r="726" spans="1:238" x14ac:dyDescent="0.4">
      <c r="A726" s="5">
        <v>816</v>
      </c>
      <c r="B726" s="5">
        <v>1</v>
      </c>
      <c r="C726" s="5">
        <v>1</v>
      </c>
      <c r="D726" s="5" t="s">
        <v>2827</v>
      </c>
      <c r="E726" s="5" t="s">
        <v>277</v>
      </c>
      <c r="F726" s="5" t="s">
        <v>282</v>
      </c>
      <c r="G726" s="5" t="s">
        <v>2491</v>
      </c>
      <c r="H726" s="6" t="s">
        <v>2828</v>
      </c>
      <c r="I726" s="5" t="s">
        <v>2834</v>
      </c>
      <c r="J726" s="7">
        <f>332.82</f>
        <v>332.82</v>
      </c>
      <c r="K726" s="5" t="s">
        <v>270</v>
      </c>
      <c r="L726" s="8">
        <f>1</f>
        <v>1</v>
      </c>
      <c r="M726" s="8">
        <f>34946100</f>
        <v>34946100</v>
      </c>
      <c r="N726" s="6" t="s">
        <v>1355</v>
      </c>
      <c r="O726" s="5" t="s">
        <v>639</v>
      </c>
      <c r="P726" s="5" t="s">
        <v>639</v>
      </c>
      <c r="R726" s="8">
        <f>34946099</f>
        <v>34946099</v>
      </c>
      <c r="S726" s="5" t="s">
        <v>240</v>
      </c>
      <c r="T726" s="5" t="s">
        <v>237</v>
      </c>
      <c r="U726" s="5" t="s">
        <v>238</v>
      </c>
      <c r="V726" s="5" t="s">
        <v>238</v>
      </c>
      <c r="W726" s="5" t="s">
        <v>241</v>
      </c>
      <c r="X726" s="5" t="s">
        <v>276</v>
      </c>
      <c r="Y726" s="5" t="s">
        <v>238</v>
      </c>
      <c r="AB726" s="5" t="s">
        <v>238</v>
      </c>
      <c r="AD726" s="6" t="s">
        <v>238</v>
      </c>
      <c r="AG726" s="6" t="s">
        <v>246</v>
      </c>
      <c r="AH726" s="5" t="s">
        <v>247</v>
      </c>
      <c r="AI726" s="5" t="s">
        <v>248</v>
      </c>
      <c r="AY726" s="5" t="s">
        <v>250</v>
      </c>
      <c r="AZ726" s="5" t="s">
        <v>238</v>
      </c>
      <c r="BA726" s="5" t="s">
        <v>251</v>
      </c>
      <c r="BB726" s="5" t="s">
        <v>238</v>
      </c>
      <c r="BC726" s="5" t="s">
        <v>253</v>
      </c>
      <c r="BD726" s="5" t="s">
        <v>238</v>
      </c>
      <c r="BF726" s="5" t="s">
        <v>238</v>
      </c>
      <c r="BH726" s="5" t="s">
        <v>254</v>
      </c>
      <c r="BI726" s="6" t="s">
        <v>246</v>
      </c>
      <c r="BJ726" s="5" t="s">
        <v>255</v>
      </c>
      <c r="BK726" s="5" t="s">
        <v>256</v>
      </c>
      <c r="BL726" s="5" t="s">
        <v>238</v>
      </c>
      <c r="BM726" s="7">
        <f>0</f>
        <v>0</v>
      </c>
      <c r="BN726" s="8">
        <f>0</f>
        <v>0</v>
      </c>
      <c r="BO726" s="5" t="s">
        <v>257</v>
      </c>
      <c r="BP726" s="5" t="s">
        <v>258</v>
      </c>
      <c r="CD726" s="5" t="s">
        <v>238</v>
      </c>
      <c r="CE726" s="5" t="s">
        <v>238</v>
      </c>
      <c r="CI726" s="5" t="s">
        <v>527</v>
      </c>
      <c r="CJ726" s="5" t="s">
        <v>260</v>
      </c>
      <c r="CK726" s="5" t="s">
        <v>238</v>
      </c>
      <c r="CM726" s="5" t="s">
        <v>1095</v>
      </c>
      <c r="CN726" s="6" t="s">
        <v>262</v>
      </c>
      <c r="CO726" s="5" t="s">
        <v>263</v>
      </c>
      <c r="CP726" s="5" t="s">
        <v>264</v>
      </c>
      <c r="CQ726" s="5" t="s">
        <v>238</v>
      </c>
      <c r="CR726" s="5" t="s">
        <v>238</v>
      </c>
      <c r="CS726" s="5">
        <v>0</v>
      </c>
      <c r="CT726" s="5" t="s">
        <v>265</v>
      </c>
      <c r="CU726" s="5" t="s">
        <v>1360</v>
      </c>
      <c r="CV726" s="5" t="s">
        <v>2508</v>
      </c>
      <c r="CX726" s="8">
        <f>34946100</f>
        <v>34946100</v>
      </c>
      <c r="CY726" s="8">
        <f>0</f>
        <v>0</v>
      </c>
      <c r="DA726" s="5" t="s">
        <v>238</v>
      </c>
      <c r="DB726" s="5" t="s">
        <v>238</v>
      </c>
      <c r="DD726" s="5" t="s">
        <v>238</v>
      </c>
      <c r="DG726" s="5" t="s">
        <v>238</v>
      </c>
      <c r="DH726" s="5" t="s">
        <v>238</v>
      </c>
      <c r="DI726" s="5" t="s">
        <v>238</v>
      </c>
      <c r="DJ726" s="5" t="s">
        <v>238</v>
      </c>
      <c r="DK726" s="5" t="s">
        <v>274</v>
      </c>
      <c r="DL726" s="5" t="s">
        <v>272</v>
      </c>
      <c r="DM726" s="7">
        <f>332.82</f>
        <v>332.82</v>
      </c>
      <c r="DN726" s="5" t="s">
        <v>238</v>
      </c>
      <c r="DO726" s="5" t="s">
        <v>238</v>
      </c>
      <c r="DP726" s="5" t="s">
        <v>238</v>
      </c>
      <c r="DQ726" s="5" t="s">
        <v>238</v>
      </c>
      <c r="DT726" s="5" t="s">
        <v>2829</v>
      </c>
      <c r="DU726" s="5" t="s">
        <v>356</v>
      </c>
      <c r="HM726" s="5" t="s">
        <v>271</v>
      </c>
      <c r="HP726" s="5" t="s">
        <v>272</v>
      </c>
      <c r="HQ726" s="5" t="s">
        <v>272</v>
      </c>
    </row>
    <row r="727" spans="1:238" x14ac:dyDescent="0.4">
      <c r="A727" s="5">
        <v>818</v>
      </c>
      <c r="B727" s="5">
        <v>1</v>
      </c>
      <c r="C727" s="5">
        <v>1</v>
      </c>
      <c r="D727" s="5" t="s">
        <v>2827</v>
      </c>
      <c r="E727" s="5" t="s">
        <v>277</v>
      </c>
      <c r="F727" s="5" t="s">
        <v>282</v>
      </c>
      <c r="G727" s="5" t="s">
        <v>2491</v>
      </c>
      <c r="H727" s="6" t="s">
        <v>2828</v>
      </c>
      <c r="I727" s="5" t="s">
        <v>2833</v>
      </c>
      <c r="J727" s="7">
        <f>158.98</f>
        <v>158.97999999999999</v>
      </c>
      <c r="K727" s="5" t="s">
        <v>270</v>
      </c>
      <c r="L727" s="8">
        <f>1</f>
        <v>1</v>
      </c>
      <c r="M727" s="8">
        <f>26708640</f>
        <v>26708640</v>
      </c>
      <c r="N727" s="6" t="s">
        <v>1711</v>
      </c>
      <c r="O727" s="5" t="s">
        <v>286</v>
      </c>
      <c r="P727" s="5" t="s">
        <v>286</v>
      </c>
      <c r="R727" s="8">
        <f>26708639</f>
        <v>26708639</v>
      </c>
      <c r="S727" s="5" t="s">
        <v>240</v>
      </c>
      <c r="T727" s="5" t="s">
        <v>237</v>
      </c>
      <c r="U727" s="5" t="s">
        <v>238</v>
      </c>
      <c r="V727" s="5" t="s">
        <v>238</v>
      </c>
      <c r="W727" s="5" t="s">
        <v>241</v>
      </c>
      <c r="X727" s="5" t="s">
        <v>276</v>
      </c>
      <c r="Y727" s="5" t="s">
        <v>238</v>
      </c>
      <c r="AB727" s="5" t="s">
        <v>238</v>
      </c>
      <c r="AD727" s="6" t="s">
        <v>238</v>
      </c>
      <c r="AG727" s="6" t="s">
        <v>246</v>
      </c>
      <c r="AH727" s="5" t="s">
        <v>247</v>
      </c>
      <c r="AI727" s="5" t="s">
        <v>248</v>
      </c>
      <c r="AY727" s="5" t="s">
        <v>250</v>
      </c>
      <c r="AZ727" s="5" t="s">
        <v>238</v>
      </c>
      <c r="BA727" s="5" t="s">
        <v>251</v>
      </c>
      <c r="BB727" s="5" t="s">
        <v>238</v>
      </c>
      <c r="BC727" s="5" t="s">
        <v>253</v>
      </c>
      <c r="BD727" s="5" t="s">
        <v>238</v>
      </c>
      <c r="BF727" s="5" t="s">
        <v>238</v>
      </c>
      <c r="BH727" s="5" t="s">
        <v>859</v>
      </c>
      <c r="BI727" s="6" t="s">
        <v>368</v>
      </c>
      <c r="BJ727" s="5" t="s">
        <v>255</v>
      </c>
      <c r="BK727" s="5" t="s">
        <v>256</v>
      </c>
      <c r="BL727" s="5" t="s">
        <v>238</v>
      </c>
      <c r="BM727" s="7">
        <f>0</f>
        <v>0</v>
      </c>
      <c r="BN727" s="8">
        <f>0</f>
        <v>0</v>
      </c>
      <c r="BO727" s="5" t="s">
        <v>257</v>
      </c>
      <c r="BP727" s="5" t="s">
        <v>258</v>
      </c>
      <c r="CD727" s="5" t="s">
        <v>238</v>
      </c>
      <c r="CE727" s="5" t="s">
        <v>238</v>
      </c>
      <c r="CI727" s="5" t="s">
        <v>259</v>
      </c>
      <c r="CJ727" s="5" t="s">
        <v>260</v>
      </c>
      <c r="CK727" s="5" t="s">
        <v>238</v>
      </c>
      <c r="CM727" s="5" t="s">
        <v>783</v>
      </c>
      <c r="CN727" s="6" t="s">
        <v>262</v>
      </c>
      <c r="CO727" s="5" t="s">
        <v>263</v>
      </c>
      <c r="CP727" s="5" t="s">
        <v>264</v>
      </c>
      <c r="CQ727" s="5" t="s">
        <v>238</v>
      </c>
      <c r="CR727" s="5" t="s">
        <v>238</v>
      </c>
      <c r="CS727" s="5">
        <v>0</v>
      </c>
      <c r="CT727" s="5" t="s">
        <v>265</v>
      </c>
      <c r="CU727" s="5" t="s">
        <v>1360</v>
      </c>
      <c r="CV727" s="5" t="s">
        <v>267</v>
      </c>
      <c r="CX727" s="8">
        <f>26708640</f>
        <v>26708640</v>
      </c>
      <c r="CY727" s="8">
        <f>0</f>
        <v>0</v>
      </c>
      <c r="DA727" s="5" t="s">
        <v>238</v>
      </c>
      <c r="DB727" s="5" t="s">
        <v>238</v>
      </c>
      <c r="DD727" s="5" t="s">
        <v>238</v>
      </c>
      <c r="DG727" s="5" t="s">
        <v>238</v>
      </c>
      <c r="DH727" s="5" t="s">
        <v>238</v>
      </c>
      <c r="DI727" s="5" t="s">
        <v>238</v>
      </c>
      <c r="DJ727" s="5" t="s">
        <v>238</v>
      </c>
      <c r="DK727" s="5" t="s">
        <v>274</v>
      </c>
      <c r="DL727" s="5" t="s">
        <v>272</v>
      </c>
      <c r="DM727" s="7">
        <f>158.98</f>
        <v>158.97999999999999</v>
      </c>
      <c r="DN727" s="5" t="s">
        <v>238</v>
      </c>
      <c r="DO727" s="5" t="s">
        <v>238</v>
      </c>
      <c r="DP727" s="5" t="s">
        <v>238</v>
      </c>
      <c r="DQ727" s="5" t="s">
        <v>238</v>
      </c>
      <c r="DT727" s="5" t="s">
        <v>2829</v>
      </c>
      <c r="DU727" s="5" t="s">
        <v>379</v>
      </c>
      <c r="HM727" s="5" t="s">
        <v>271</v>
      </c>
      <c r="HP727" s="5" t="s">
        <v>272</v>
      </c>
      <c r="HQ727" s="5" t="s">
        <v>272</v>
      </c>
    </row>
    <row r="728" spans="1:238" x14ac:dyDescent="0.4">
      <c r="A728" s="5">
        <v>819</v>
      </c>
      <c r="B728" s="5">
        <v>1</v>
      </c>
      <c r="C728" s="5">
        <v>1</v>
      </c>
      <c r="D728" s="5" t="s">
        <v>2827</v>
      </c>
      <c r="E728" s="5" t="s">
        <v>277</v>
      </c>
      <c r="F728" s="5" t="s">
        <v>282</v>
      </c>
      <c r="G728" s="5" t="s">
        <v>2491</v>
      </c>
      <c r="H728" s="6" t="s">
        <v>2828</v>
      </c>
      <c r="I728" s="5" t="s">
        <v>2832</v>
      </c>
      <c r="J728" s="7">
        <f>158.98</f>
        <v>158.97999999999999</v>
      </c>
      <c r="K728" s="5" t="s">
        <v>270</v>
      </c>
      <c r="L728" s="8">
        <f>1</f>
        <v>1</v>
      </c>
      <c r="M728" s="8">
        <f>26708640</f>
        <v>26708640</v>
      </c>
      <c r="N728" s="6" t="s">
        <v>1711</v>
      </c>
      <c r="O728" s="5" t="s">
        <v>286</v>
      </c>
      <c r="P728" s="5" t="s">
        <v>286</v>
      </c>
      <c r="R728" s="8">
        <f>26708639</f>
        <v>26708639</v>
      </c>
      <c r="S728" s="5" t="s">
        <v>240</v>
      </c>
      <c r="T728" s="5" t="s">
        <v>237</v>
      </c>
      <c r="U728" s="5" t="s">
        <v>238</v>
      </c>
      <c r="V728" s="5" t="s">
        <v>238</v>
      </c>
      <c r="W728" s="5" t="s">
        <v>241</v>
      </c>
      <c r="X728" s="5" t="s">
        <v>276</v>
      </c>
      <c r="Y728" s="5" t="s">
        <v>238</v>
      </c>
      <c r="AB728" s="5" t="s">
        <v>238</v>
      </c>
      <c r="AD728" s="6" t="s">
        <v>238</v>
      </c>
      <c r="AG728" s="6" t="s">
        <v>246</v>
      </c>
      <c r="AH728" s="5" t="s">
        <v>247</v>
      </c>
      <c r="AI728" s="5" t="s">
        <v>248</v>
      </c>
      <c r="AY728" s="5" t="s">
        <v>250</v>
      </c>
      <c r="AZ728" s="5" t="s">
        <v>238</v>
      </c>
      <c r="BA728" s="5" t="s">
        <v>251</v>
      </c>
      <c r="BB728" s="5" t="s">
        <v>238</v>
      </c>
      <c r="BC728" s="5" t="s">
        <v>253</v>
      </c>
      <c r="BD728" s="5" t="s">
        <v>238</v>
      </c>
      <c r="BF728" s="5" t="s">
        <v>238</v>
      </c>
      <c r="BH728" s="5" t="s">
        <v>697</v>
      </c>
      <c r="BI728" s="6" t="s">
        <v>698</v>
      </c>
      <c r="BJ728" s="5" t="s">
        <v>255</v>
      </c>
      <c r="BK728" s="5" t="s">
        <v>256</v>
      </c>
      <c r="BL728" s="5" t="s">
        <v>238</v>
      </c>
      <c r="BM728" s="7">
        <f>0</f>
        <v>0</v>
      </c>
      <c r="BN728" s="8">
        <f>0</f>
        <v>0</v>
      </c>
      <c r="BO728" s="5" t="s">
        <v>257</v>
      </c>
      <c r="BP728" s="5" t="s">
        <v>258</v>
      </c>
      <c r="CD728" s="5" t="s">
        <v>238</v>
      </c>
      <c r="CE728" s="5" t="s">
        <v>238</v>
      </c>
      <c r="CI728" s="5" t="s">
        <v>259</v>
      </c>
      <c r="CJ728" s="5" t="s">
        <v>260</v>
      </c>
      <c r="CK728" s="5" t="s">
        <v>238</v>
      </c>
      <c r="CM728" s="5" t="s">
        <v>783</v>
      </c>
      <c r="CN728" s="6" t="s">
        <v>262</v>
      </c>
      <c r="CO728" s="5" t="s">
        <v>263</v>
      </c>
      <c r="CP728" s="5" t="s">
        <v>264</v>
      </c>
      <c r="CQ728" s="5" t="s">
        <v>238</v>
      </c>
      <c r="CR728" s="5" t="s">
        <v>238</v>
      </c>
      <c r="CS728" s="5">
        <v>0</v>
      </c>
      <c r="CT728" s="5" t="s">
        <v>265</v>
      </c>
      <c r="CU728" s="5" t="s">
        <v>1360</v>
      </c>
      <c r="CV728" s="5" t="s">
        <v>267</v>
      </c>
      <c r="CX728" s="8">
        <f>26708640</f>
        <v>26708640</v>
      </c>
      <c r="CY728" s="8">
        <f>0</f>
        <v>0</v>
      </c>
      <c r="DA728" s="5" t="s">
        <v>238</v>
      </c>
      <c r="DB728" s="5" t="s">
        <v>238</v>
      </c>
      <c r="DD728" s="5" t="s">
        <v>238</v>
      </c>
      <c r="DG728" s="5" t="s">
        <v>238</v>
      </c>
      <c r="DH728" s="5" t="s">
        <v>238</v>
      </c>
      <c r="DI728" s="5" t="s">
        <v>238</v>
      </c>
      <c r="DJ728" s="5" t="s">
        <v>238</v>
      </c>
      <c r="DK728" s="5" t="s">
        <v>274</v>
      </c>
      <c r="DL728" s="5" t="s">
        <v>272</v>
      </c>
      <c r="DM728" s="7">
        <f>158.98</f>
        <v>158.97999999999999</v>
      </c>
      <c r="DN728" s="5" t="s">
        <v>238</v>
      </c>
      <c r="DO728" s="5" t="s">
        <v>238</v>
      </c>
      <c r="DP728" s="5" t="s">
        <v>238</v>
      </c>
      <c r="DQ728" s="5" t="s">
        <v>238</v>
      </c>
      <c r="DT728" s="5" t="s">
        <v>2829</v>
      </c>
      <c r="DU728" s="5" t="s">
        <v>313</v>
      </c>
      <c r="HM728" s="5" t="s">
        <v>271</v>
      </c>
      <c r="HP728" s="5" t="s">
        <v>272</v>
      </c>
      <c r="HQ728" s="5" t="s">
        <v>272</v>
      </c>
    </row>
    <row r="729" spans="1:238" x14ac:dyDescent="0.4">
      <c r="A729" s="5">
        <v>820</v>
      </c>
      <c r="B729" s="5">
        <v>1</v>
      </c>
      <c r="C729" s="5">
        <v>1</v>
      </c>
      <c r="D729" s="5" t="s">
        <v>2827</v>
      </c>
      <c r="E729" s="5" t="s">
        <v>277</v>
      </c>
      <c r="F729" s="5" t="s">
        <v>282</v>
      </c>
      <c r="G729" s="5" t="s">
        <v>2491</v>
      </c>
      <c r="H729" s="6" t="s">
        <v>2828</v>
      </c>
      <c r="I729" s="5" t="s">
        <v>2831</v>
      </c>
      <c r="J729" s="7">
        <f>149.04</f>
        <v>149.04</v>
      </c>
      <c r="K729" s="5" t="s">
        <v>270</v>
      </c>
      <c r="L729" s="8">
        <f>1</f>
        <v>1</v>
      </c>
      <c r="M729" s="8">
        <f>25038720</f>
        <v>25038720</v>
      </c>
      <c r="N729" s="6" t="s">
        <v>1711</v>
      </c>
      <c r="O729" s="5" t="s">
        <v>286</v>
      </c>
      <c r="P729" s="5" t="s">
        <v>286</v>
      </c>
      <c r="R729" s="8">
        <f>25038719</f>
        <v>25038719</v>
      </c>
      <c r="S729" s="5" t="s">
        <v>240</v>
      </c>
      <c r="T729" s="5" t="s">
        <v>237</v>
      </c>
      <c r="U729" s="5" t="s">
        <v>238</v>
      </c>
      <c r="V729" s="5" t="s">
        <v>238</v>
      </c>
      <c r="W729" s="5" t="s">
        <v>241</v>
      </c>
      <c r="X729" s="5" t="s">
        <v>276</v>
      </c>
      <c r="Y729" s="5" t="s">
        <v>238</v>
      </c>
      <c r="AB729" s="5" t="s">
        <v>238</v>
      </c>
      <c r="AD729" s="6" t="s">
        <v>238</v>
      </c>
      <c r="AG729" s="6" t="s">
        <v>246</v>
      </c>
      <c r="AH729" s="5" t="s">
        <v>247</v>
      </c>
      <c r="AI729" s="5" t="s">
        <v>248</v>
      </c>
      <c r="AY729" s="5" t="s">
        <v>250</v>
      </c>
      <c r="AZ729" s="5" t="s">
        <v>238</v>
      </c>
      <c r="BA729" s="5" t="s">
        <v>251</v>
      </c>
      <c r="BB729" s="5" t="s">
        <v>238</v>
      </c>
      <c r="BC729" s="5" t="s">
        <v>253</v>
      </c>
      <c r="BD729" s="5" t="s">
        <v>238</v>
      </c>
      <c r="BF729" s="5" t="s">
        <v>238</v>
      </c>
      <c r="BH729" s="5" t="s">
        <v>798</v>
      </c>
      <c r="BI729" s="6" t="s">
        <v>799</v>
      </c>
      <c r="BJ729" s="5" t="s">
        <v>255</v>
      </c>
      <c r="BK729" s="5" t="s">
        <v>256</v>
      </c>
      <c r="BL729" s="5" t="s">
        <v>238</v>
      </c>
      <c r="BM729" s="7">
        <f>0</f>
        <v>0</v>
      </c>
      <c r="BN729" s="8">
        <f>0</f>
        <v>0</v>
      </c>
      <c r="BO729" s="5" t="s">
        <v>257</v>
      </c>
      <c r="BP729" s="5" t="s">
        <v>258</v>
      </c>
      <c r="CD729" s="5" t="s">
        <v>238</v>
      </c>
      <c r="CE729" s="5" t="s">
        <v>238</v>
      </c>
      <c r="CI729" s="5" t="s">
        <v>259</v>
      </c>
      <c r="CJ729" s="5" t="s">
        <v>260</v>
      </c>
      <c r="CK729" s="5" t="s">
        <v>238</v>
      </c>
      <c r="CM729" s="5" t="s">
        <v>783</v>
      </c>
      <c r="CN729" s="6" t="s">
        <v>262</v>
      </c>
      <c r="CO729" s="5" t="s">
        <v>263</v>
      </c>
      <c r="CP729" s="5" t="s">
        <v>264</v>
      </c>
      <c r="CQ729" s="5" t="s">
        <v>238</v>
      </c>
      <c r="CR729" s="5" t="s">
        <v>238</v>
      </c>
      <c r="CS729" s="5">
        <v>0</v>
      </c>
      <c r="CT729" s="5" t="s">
        <v>265</v>
      </c>
      <c r="CU729" s="5" t="s">
        <v>1360</v>
      </c>
      <c r="CV729" s="5" t="s">
        <v>267</v>
      </c>
      <c r="CX729" s="8">
        <f>25038720</f>
        <v>25038720</v>
      </c>
      <c r="CY729" s="8">
        <f>0</f>
        <v>0</v>
      </c>
      <c r="DA729" s="5" t="s">
        <v>238</v>
      </c>
      <c r="DB729" s="5" t="s">
        <v>238</v>
      </c>
      <c r="DD729" s="5" t="s">
        <v>238</v>
      </c>
      <c r="DG729" s="5" t="s">
        <v>238</v>
      </c>
      <c r="DH729" s="5" t="s">
        <v>238</v>
      </c>
      <c r="DI729" s="5" t="s">
        <v>238</v>
      </c>
      <c r="DJ729" s="5" t="s">
        <v>238</v>
      </c>
      <c r="DK729" s="5" t="s">
        <v>274</v>
      </c>
      <c r="DL729" s="5" t="s">
        <v>272</v>
      </c>
      <c r="DM729" s="7">
        <f>149.04</f>
        <v>149.04</v>
      </c>
      <c r="DN729" s="5" t="s">
        <v>238</v>
      </c>
      <c r="DO729" s="5" t="s">
        <v>238</v>
      </c>
      <c r="DP729" s="5" t="s">
        <v>238</v>
      </c>
      <c r="DQ729" s="5" t="s">
        <v>238</v>
      </c>
      <c r="DT729" s="5" t="s">
        <v>2829</v>
      </c>
      <c r="DU729" s="5" t="s">
        <v>389</v>
      </c>
      <c r="HM729" s="5" t="s">
        <v>271</v>
      </c>
      <c r="HP729" s="5" t="s">
        <v>272</v>
      </c>
      <c r="HQ729" s="5" t="s">
        <v>272</v>
      </c>
    </row>
    <row r="730" spans="1:238" x14ac:dyDescent="0.4">
      <c r="A730" s="5">
        <v>821</v>
      </c>
      <c r="B730" s="5">
        <v>1</v>
      </c>
      <c r="C730" s="5">
        <v>1</v>
      </c>
      <c r="D730" s="5" t="s">
        <v>2827</v>
      </c>
      <c r="E730" s="5" t="s">
        <v>277</v>
      </c>
      <c r="F730" s="5" t="s">
        <v>282</v>
      </c>
      <c r="G730" s="5" t="s">
        <v>2491</v>
      </c>
      <c r="H730" s="6" t="s">
        <v>2828</v>
      </c>
      <c r="I730" s="5" t="s">
        <v>2830</v>
      </c>
      <c r="J730" s="7">
        <f>149.04</f>
        <v>149.04</v>
      </c>
      <c r="K730" s="5" t="s">
        <v>270</v>
      </c>
      <c r="L730" s="8">
        <f>1</f>
        <v>1</v>
      </c>
      <c r="M730" s="8">
        <f>25038720</f>
        <v>25038720</v>
      </c>
      <c r="N730" s="6" t="s">
        <v>1711</v>
      </c>
      <c r="O730" s="5" t="s">
        <v>286</v>
      </c>
      <c r="P730" s="5" t="s">
        <v>286</v>
      </c>
      <c r="R730" s="8">
        <f>25038719</f>
        <v>25038719</v>
      </c>
      <c r="S730" s="5" t="s">
        <v>240</v>
      </c>
      <c r="T730" s="5" t="s">
        <v>237</v>
      </c>
      <c r="U730" s="5" t="s">
        <v>238</v>
      </c>
      <c r="V730" s="5" t="s">
        <v>238</v>
      </c>
      <c r="W730" s="5" t="s">
        <v>241</v>
      </c>
      <c r="X730" s="5" t="s">
        <v>276</v>
      </c>
      <c r="Y730" s="5" t="s">
        <v>238</v>
      </c>
      <c r="AB730" s="5" t="s">
        <v>238</v>
      </c>
      <c r="AD730" s="6" t="s">
        <v>238</v>
      </c>
      <c r="AG730" s="6" t="s">
        <v>246</v>
      </c>
      <c r="AH730" s="5" t="s">
        <v>247</v>
      </c>
      <c r="AI730" s="5" t="s">
        <v>248</v>
      </c>
      <c r="AY730" s="5" t="s">
        <v>250</v>
      </c>
      <c r="AZ730" s="5" t="s">
        <v>238</v>
      </c>
      <c r="BA730" s="5" t="s">
        <v>251</v>
      </c>
      <c r="BB730" s="5" t="s">
        <v>238</v>
      </c>
      <c r="BC730" s="5" t="s">
        <v>253</v>
      </c>
      <c r="BD730" s="5" t="s">
        <v>238</v>
      </c>
      <c r="BF730" s="5" t="s">
        <v>238</v>
      </c>
      <c r="BH730" s="5" t="s">
        <v>254</v>
      </c>
      <c r="BI730" s="6" t="s">
        <v>246</v>
      </c>
      <c r="BJ730" s="5" t="s">
        <v>255</v>
      </c>
      <c r="BK730" s="5" t="s">
        <v>256</v>
      </c>
      <c r="BL730" s="5" t="s">
        <v>238</v>
      </c>
      <c r="BM730" s="7">
        <f>0</f>
        <v>0</v>
      </c>
      <c r="BN730" s="8">
        <f>0</f>
        <v>0</v>
      </c>
      <c r="BO730" s="5" t="s">
        <v>257</v>
      </c>
      <c r="BP730" s="5" t="s">
        <v>258</v>
      </c>
      <c r="CD730" s="5" t="s">
        <v>238</v>
      </c>
      <c r="CE730" s="5" t="s">
        <v>238</v>
      </c>
      <c r="CI730" s="5" t="s">
        <v>259</v>
      </c>
      <c r="CJ730" s="5" t="s">
        <v>260</v>
      </c>
      <c r="CK730" s="5" t="s">
        <v>238</v>
      </c>
      <c r="CM730" s="5" t="s">
        <v>783</v>
      </c>
      <c r="CN730" s="6" t="s">
        <v>262</v>
      </c>
      <c r="CO730" s="5" t="s">
        <v>263</v>
      </c>
      <c r="CP730" s="5" t="s">
        <v>264</v>
      </c>
      <c r="CQ730" s="5" t="s">
        <v>238</v>
      </c>
      <c r="CR730" s="5" t="s">
        <v>238</v>
      </c>
      <c r="CS730" s="5">
        <v>0</v>
      </c>
      <c r="CT730" s="5" t="s">
        <v>265</v>
      </c>
      <c r="CU730" s="5" t="s">
        <v>1360</v>
      </c>
      <c r="CV730" s="5" t="s">
        <v>267</v>
      </c>
      <c r="CX730" s="8">
        <f>25038720</f>
        <v>25038720</v>
      </c>
      <c r="CY730" s="8">
        <f>0</f>
        <v>0</v>
      </c>
      <c r="DA730" s="5" t="s">
        <v>238</v>
      </c>
      <c r="DB730" s="5" t="s">
        <v>238</v>
      </c>
      <c r="DD730" s="5" t="s">
        <v>238</v>
      </c>
      <c r="DG730" s="5" t="s">
        <v>238</v>
      </c>
      <c r="DH730" s="5" t="s">
        <v>238</v>
      </c>
      <c r="DI730" s="5" t="s">
        <v>238</v>
      </c>
      <c r="DJ730" s="5" t="s">
        <v>238</v>
      </c>
      <c r="DK730" s="5" t="s">
        <v>274</v>
      </c>
      <c r="DL730" s="5" t="s">
        <v>272</v>
      </c>
      <c r="DM730" s="7">
        <f>149.04</f>
        <v>149.04</v>
      </c>
      <c r="DN730" s="5" t="s">
        <v>238</v>
      </c>
      <c r="DO730" s="5" t="s">
        <v>238</v>
      </c>
      <c r="DP730" s="5" t="s">
        <v>238</v>
      </c>
      <c r="DQ730" s="5" t="s">
        <v>238</v>
      </c>
      <c r="DT730" s="5" t="s">
        <v>2829</v>
      </c>
      <c r="DU730" s="5" t="s">
        <v>354</v>
      </c>
      <c r="HM730" s="5" t="s">
        <v>271</v>
      </c>
      <c r="HP730" s="5" t="s">
        <v>272</v>
      </c>
      <c r="HQ730" s="5" t="s">
        <v>272</v>
      </c>
    </row>
    <row r="731" spans="1:238" x14ac:dyDescent="0.4">
      <c r="A731" s="5">
        <v>822</v>
      </c>
      <c r="B731" s="5">
        <v>1</v>
      </c>
      <c r="C731" s="5">
        <v>1</v>
      </c>
      <c r="D731" s="5" t="s">
        <v>2827</v>
      </c>
      <c r="E731" s="5" t="s">
        <v>277</v>
      </c>
      <c r="F731" s="5" t="s">
        <v>282</v>
      </c>
      <c r="G731" s="5" t="s">
        <v>2491</v>
      </c>
      <c r="H731" s="6" t="s">
        <v>2828</v>
      </c>
      <c r="I731" s="5" t="s">
        <v>2826</v>
      </c>
      <c r="J731" s="7">
        <f>149.04</f>
        <v>149.04</v>
      </c>
      <c r="K731" s="5" t="s">
        <v>270</v>
      </c>
      <c r="L731" s="8">
        <f>1</f>
        <v>1</v>
      </c>
      <c r="M731" s="8">
        <f>25038720</f>
        <v>25038720</v>
      </c>
      <c r="N731" s="6" t="s">
        <v>1711</v>
      </c>
      <c r="O731" s="5" t="s">
        <v>286</v>
      </c>
      <c r="P731" s="5" t="s">
        <v>286</v>
      </c>
      <c r="R731" s="8">
        <f>25038719</f>
        <v>25038719</v>
      </c>
      <c r="S731" s="5" t="s">
        <v>240</v>
      </c>
      <c r="T731" s="5" t="s">
        <v>237</v>
      </c>
      <c r="U731" s="5" t="s">
        <v>238</v>
      </c>
      <c r="V731" s="5" t="s">
        <v>238</v>
      </c>
      <c r="W731" s="5" t="s">
        <v>241</v>
      </c>
      <c r="X731" s="5" t="s">
        <v>276</v>
      </c>
      <c r="Y731" s="5" t="s">
        <v>238</v>
      </c>
      <c r="AB731" s="5" t="s">
        <v>238</v>
      </c>
      <c r="AD731" s="6" t="s">
        <v>238</v>
      </c>
      <c r="AG731" s="6" t="s">
        <v>246</v>
      </c>
      <c r="AH731" s="5" t="s">
        <v>247</v>
      </c>
      <c r="AI731" s="5" t="s">
        <v>248</v>
      </c>
      <c r="AY731" s="5" t="s">
        <v>250</v>
      </c>
      <c r="AZ731" s="5" t="s">
        <v>238</v>
      </c>
      <c r="BA731" s="5" t="s">
        <v>251</v>
      </c>
      <c r="BB731" s="5" t="s">
        <v>238</v>
      </c>
      <c r="BC731" s="5" t="s">
        <v>253</v>
      </c>
      <c r="BD731" s="5" t="s">
        <v>238</v>
      </c>
      <c r="BF731" s="5" t="s">
        <v>238</v>
      </c>
      <c r="BH731" s="5" t="s">
        <v>859</v>
      </c>
      <c r="BI731" s="6" t="s">
        <v>368</v>
      </c>
      <c r="BJ731" s="5" t="s">
        <v>255</v>
      </c>
      <c r="BK731" s="5" t="s">
        <v>256</v>
      </c>
      <c r="BL731" s="5" t="s">
        <v>238</v>
      </c>
      <c r="BM731" s="7">
        <f>0</f>
        <v>0</v>
      </c>
      <c r="BN731" s="8">
        <f>0</f>
        <v>0</v>
      </c>
      <c r="BO731" s="5" t="s">
        <v>257</v>
      </c>
      <c r="BP731" s="5" t="s">
        <v>258</v>
      </c>
      <c r="CD731" s="5" t="s">
        <v>238</v>
      </c>
      <c r="CE731" s="5" t="s">
        <v>238</v>
      </c>
      <c r="CI731" s="5" t="s">
        <v>259</v>
      </c>
      <c r="CJ731" s="5" t="s">
        <v>260</v>
      </c>
      <c r="CK731" s="5" t="s">
        <v>238</v>
      </c>
      <c r="CM731" s="5" t="s">
        <v>783</v>
      </c>
      <c r="CN731" s="6" t="s">
        <v>262</v>
      </c>
      <c r="CO731" s="5" t="s">
        <v>263</v>
      </c>
      <c r="CP731" s="5" t="s">
        <v>264</v>
      </c>
      <c r="CQ731" s="5" t="s">
        <v>238</v>
      </c>
      <c r="CR731" s="5" t="s">
        <v>238</v>
      </c>
      <c r="CS731" s="5">
        <v>0</v>
      </c>
      <c r="CT731" s="5" t="s">
        <v>265</v>
      </c>
      <c r="CU731" s="5" t="s">
        <v>1360</v>
      </c>
      <c r="CV731" s="5" t="s">
        <v>267</v>
      </c>
      <c r="CX731" s="8">
        <f>25038720</f>
        <v>25038720</v>
      </c>
      <c r="CY731" s="8">
        <f>0</f>
        <v>0</v>
      </c>
      <c r="DA731" s="5" t="s">
        <v>238</v>
      </c>
      <c r="DB731" s="5" t="s">
        <v>238</v>
      </c>
      <c r="DD731" s="5" t="s">
        <v>238</v>
      </c>
      <c r="DG731" s="5" t="s">
        <v>238</v>
      </c>
      <c r="DH731" s="5" t="s">
        <v>238</v>
      </c>
      <c r="DI731" s="5" t="s">
        <v>238</v>
      </c>
      <c r="DJ731" s="5" t="s">
        <v>238</v>
      </c>
      <c r="DK731" s="5" t="s">
        <v>274</v>
      </c>
      <c r="DL731" s="5" t="s">
        <v>272</v>
      </c>
      <c r="DM731" s="7">
        <f>149.04</f>
        <v>149.04</v>
      </c>
      <c r="DN731" s="5" t="s">
        <v>238</v>
      </c>
      <c r="DO731" s="5" t="s">
        <v>238</v>
      </c>
      <c r="DP731" s="5" t="s">
        <v>238</v>
      </c>
      <c r="DQ731" s="5" t="s">
        <v>238</v>
      </c>
      <c r="DT731" s="5" t="s">
        <v>2829</v>
      </c>
      <c r="DU731" s="5" t="s">
        <v>361</v>
      </c>
      <c r="HM731" s="5" t="s">
        <v>271</v>
      </c>
      <c r="HP731" s="5" t="s">
        <v>272</v>
      </c>
      <c r="HQ731" s="5" t="s">
        <v>272</v>
      </c>
    </row>
    <row r="732" spans="1:238" x14ac:dyDescent="0.4">
      <c r="A732" s="5">
        <v>824</v>
      </c>
      <c r="B732" s="5">
        <v>1</v>
      </c>
      <c r="C732" s="5">
        <v>4</v>
      </c>
      <c r="D732" s="5" t="s">
        <v>2827</v>
      </c>
      <c r="E732" s="5" t="s">
        <v>277</v>
      </c>
      <c r="F732" s="5" t="s">
        <v>282</v>
      </c>
      <c r="G732" s="5" t="s">
        <v>3110</v>
      </c>
      <c r="H732" s="6" t="s">
        <v>2828</v>
      </c>
      <c r="I732" s="5" t="s">
        <v>3109</v>
      </c>
      <c r="J732" s="7">
        <f>0</f>
        <v>0</v>
      </c>
      <c r="K732" s="5" t="s">
        <v>270</v>
      </c>
      <c r="L732" s="8">
        <f>716850</f>
        <v>716850</v>
      </c>
      <c r="M732" s="8">
        <f>1911600</f>
        <v>1911600</v>
      </c>
      <c r="N732" s="6" t="s">
        <v>1474</v>
      </c>
      <c r="O732" s="5" t="s">
        <v>354</v>
      </c>
      <c r="P732" s="5" t="s">
        <v>356</v>
      </c>
      <c r="Q732" s="8">
        <f>238950</f>
        <v>238950</v>
      </c>
      <c r="R732" s="8">
        <f>1194750</f>
        <v>1194750</v>
      </c>
      <c r="S732" s="5" t="s">
        <v>240</v>
      </c>
      <c r="T732" s="5" t="s">
        <v>287</v>
      </c>
      <c r="U732" s="5" t="s">
        <v>238</v>
      </c>
      <c r="V732" s="5" t="s">
        <v>238</v>
      </c>
      <c r="W732" s="5" t="s">
        <v>241</v>
      </c>
      <c r="X732" s="5" t="s">
        <v>238</v>
      </c>
      <c r="Y732" s="5" t="s">
        <v>238</v>
      </c>
      <c r="AB732" s="5" t="s">
        <v>238</v>
      </c>
      <c r="AC732" s="6" t="s">
        <v>238</v>
      </c>
      <c r="AD732" s="6" t="s">
        <v>238</v>
      </c>
      <c r="AF732" s="6" t="s">
        <v>238</v>
      </c>
      <c r="AG732" s="6" t="s">
        <v>246</v>
      </c>
      <c r="AH732" s="5" t="s">
        <v>247</v>
      </c>
      <c r="AI732" s="5" t="s">
        <v>248</v>
      </c>
      <c r="AO732" s="5" t="s">
        <v>238</v>
      </c>
      <c r="AP732" s="5" t="s">
        <v>238</v>
      </c>
      <c r="AQ732" s="5" t="s">
        <v>238</v>
      </c>
      <c r="AR732" s="6" t="s">
        <v>238</v>
      </c>
      <c r="AS732" s="6" t="s">
        <v>238</v>
      </c>
      <c r="AT732" s="6" t="s">
        <v>238</v>
      </c>
      <c r="AW732" s="5" t="s">
        <v>304</v>
      </c>
      <c r="AX732" s="5" t="s">
        <v>304</v>
      </c>
      <c r="AY732" s="5" t="s">
        <v>250</v>
      </c>
      <c r="AZ732" s="5" t="s">
        <v>305</v>
      </c>
      <c r="BA732" s="5" t="s">
        <v>251</v>
      </c>
      <c r="BB732" s="5" t="s">
        <v>238</v>
      </c>
      <c r="BC732" s="5" t="s">
        <v>253</v>
      </c>
      <c r="BD732" s="5" t="s">
        <v>238</v>
      </c>
      <c r="BF732" s="5" t="s">
        <v>238</v>
      </c>
      <c r="BH732" s="5" t="s">
        <v>283</v>
      </c>
      <c r="BI732" s="6" t="s">
        <v>293</v>
      </c>
      <c r="BJ732" s="5" t="s">
        <v>294</v>
      </c>
      <c r="BK732" s="5" t="s">
        <v>294</v>
      </c>
      <c r="BL732" s="5" t="s">
        <v>238</v>
      </c>
      <c r="BM732" s="7">
        <f>0</f>
        <v>0</v>
      </c>
      <c r="BN732" s="8">
        <f>-238950</f>
        <v>-238950</v>
      </c>
      <c r="BO732" s="5" t="s">
        <v>257</v>
      </c>
      <c r="BP732" s="5" t="s">
        <v>258</v>
      </c>
      <c r="BQ732" s="5" t="s">
        <v>238</v>
      </c>
      <c r="BR732" s="5" t="s">
        <v>238</v>
      </c>
      <c r="BS732" s="5" t="s">
        <v>238</v>
      </c>
      <c r="BT732" s="5" t="s">
        <v>238</v>
      </c>
      <c r="CC732" s="5" t="s">
        <v>258</v>
      </c>
      <c r="CD732" s="5" t="s">
        <v>238</v>
      </c>
      <c r="CE732" s="5" t="s">
        <v>238</v>
      </c>
      <c r="CI732" s="5" t="s">
        <v>259</v>
      </c>
      <c r="CJ732" s="5" t="s">
        <v>260</v>
      </c>
      <c r="CK732" s="5" t="s">
        <v>238</v>
      </c>
      <c r="CM732" s="5" t="s">
        <v>376</v>
      </c>
      <c r="CN732" s="6" t="s">
        <v>262</v>
      </c>
      <c r="CO732" s="5" t="s">
        <v>263</v>
      </c>
      <c r="CP732" s="5" t="s">
        <v>264</v>
      </c>
      <c r="CQ732" s="5" t="s">
        <v>285</v>
      </c>
      <c r="CR732" s="5" t="s">
        <v>238</v>
      </c>
      <c r="CS732" s="5">
        <v>0.125</v>
      </c>
      <c r="CT732" s="5" t="s">
        <v>265</v>
      </c>
      <c r="CU732" s="5" t="s">
        <v>351</v>
      </c>
      <c r="CV732" s="5" t="s">
        <v>494</v>
      </c>
      <c r="CW732" s="7">
        <f>0</f>
        <v>0</v>
      </c>
      <c r="CX732" s="8">
        <f>1911600</f>
        <v>1911600</v>
      </c>
      <c r="CY732" s="8">
        <f>955800</f>
        <v>955800</v>
      </c>
      <c r="DA732" s="5" t="s">
        <v>238</v>
      </c>
      <c r="DB732" s="5" t="s">
        <v>238</v>
      </c>
      <c r="DD732" s="5" t="s">
        <v>238</v>
      </c>
      <c r="DE732" s="8">
        <f>0</f>
        <v>0</v>
      </c>
      <c r="DG732" s="5" t="s">
        <v>238</v>
      </c>
      <c r="DH732" s="5" t="s">
        <v>238</v>
      </c>
      <c r="DI732" s="5" t="s">
        <v>238</v>
      </c>
      <c r="DJ732" s="5" t="s">
        <v>238</v>
      </c>
      <c r="DK732" s="5" t="s">
        <v>272</v>
      </c>
      <c r="DL732" s="5" t="s">
        <v>272</v>
      </c>
      <c r="DM732" s="8" t="s">
        <v>238</v>
      </c>
      <c r="DN732" s="5" t="s">
        <v>238</v>
      </c>
      <c r="DO732" s="5" t="s">
        <v>238</v>
      </c>
      <c r="DP732" s="5" t="s">
        <v>238</v>
      </c>
      <c r="DQ732" s="5" t="s">
        <v>238</v>
      </c>
      <c r="DT732" s="5" t="s">
        <v>2829</v>
      </c>
      <c r="DU732" s="5" t="s">
        <v>371</v>
      </c>
      <c r="GL732" s="5" t="s">
        <v>3111</v>
      </c>
      <c r="HM732" s="5" t="s">
        <v>379</v>
      </c>
      <c r="HP732" s="5" t="s">
        <v>272</v>
      </c>
      <c r="HQ732" s="5" t="s">
        <v>272</v>
      </c>
      <c r="HR732" s="5" t="s">
        <v>238</v>
      </c>
      <c r="HS732" s="5" t="s">
        <v>238</v>
      </c>
      <c r="HT732" s="5" t="s">
        <v>238</v>
      </c>
      <c r="HU732" s="5" t="s">
        <v>238</v>
      </c>
      <c r="HV732" s="5" t="s">
        <v>238</v>
      </c>
      <c r="HW732" s="5" t="s">
        <v>238</v>
      </c>
      <c r="HX732" s="5" t="s">
        <v>238</v>
      </c>
      <c r="HY732" s="5" t="s">
        <v>238</v>
      </c>
      <c r="HZ732" s="5" t="s">
        <v>238</v>
      </c>
      <c r="IA732" s="5" t="s">
        <v>238</v>
      </c>
      <c r="IB732" s="5" t="s">
        <v>238</v>
      </c>
      <c r="IC732" s="5" t="s">
        <v>238</v>
      </c>
      <c r="ID732" s="5" t="s">
        <v>238</v>
      </c>
    </row>
    <row r="733" spans="1:238" x14ac:dyDescent="0.4">
      <c r="A733" s="5">
        <v>825</v>
      </c>
      <c r="B733" s="5">
        <v>1</v>
      </c>
      <c r="C733" s="5">
        <v>1</v>
      </c>
      <c r="D733" s="5" t="s">
        <v>2522</v>
      </c>
      <c r="E733" s="5" t="s">
        <v>277</v>
      </c>
      <c r="F733" s="5" t="s">
        <v>282</v>
      </c>
      <c r="G733" s="5" t="s">
        <v>2491</v>
      </c>
      <c r="H733" s="6" t="s">
        <v>2523</v>
      </c>
      <c r="I733" s="5" t="s">
        <v>2495</v>
      </c>
      <c r="J733" s="7">
        <f>332.82</f>
        <v>332.82</v>
      </c>
      <c r="K733" s="5" t="s">
        <v>270</v>
      </c>
      <c r="L733" s="8">
        <f>1</f>
        <v>1</v>
      </c>
      <c r="M733" s="8">
        <f>34946100</f>
        <v>34946100</v>
      </c>
      <c r="N733" s="6" t="s">
        <v>1117</v>
      </c>
      <c r="O733" s="5" t="s">
        <v>639</v>
      </c>
      <c r="P733" s="5" t="s">
        <v>639</v>
      </c>
      <c r="R733" s="8">
        <f>34946099</f>
        <v>34946099</v>
      </c>
      <c r="S733" s="5" t="s">
        <v>240</v>
      </c>
      <c r="T733" s="5" t="s">
        <v>237</v>
      </c>
      <c r="U733" s="5" t="s">
        <v>238</v>
      </c>
      <c r="V733" s="5" t="s">
        <v>238</v>
      </c>
      <c r="W733" s="5" t="s">
        <v>241</v>
      </c>
      <c r="X733" s="5" t="s">
        <v>276</v>
      </c>
      <c r="Y733" s="5" t="s">
        <v>238</v>
      </c>
      <c r="AB733" s="5" t="s">
        <v>238</v>
      </c>
      <c r="AD733" s="6" t="s">
        <v>238</v>
      </c>
      <c r="AG733" s="6" t="s">
        <v>246</v>
      </c>
      <c r="AH733" s="5" t="s">
        <v>247</v>
      </c>
      <c r="AI733" s="5" t="s">
        <v>248</v>
      </c>
      <c r="AY733" s="5" t="s">
        <v>250</v>
      </c>
      <c r="AZ733" s="5" t="s">
        <v>238</v>
      </c>
      <c r="BA733" s="5" t="s">
        <v>251</v>
      </c>
      <c r="BB733" s="5" t="s">
        <v>238</v>
      </c>
      <c r="BC733" s="5" t="s">
        <v>253</v>
      </c>
      <c r="BD733" s="5" t="s">
        <v>238</v>
      </c>
      <c r="BF733" s="5" t="s">
        <v>238</v>
      </c>
      <c r="BH733" s="5" t="s">
        <v>254</v>
      </c>
      <c r="BI733" s="6" t="s">
        <v>246</v>
      </c>
      <c r="BJ733" s="5" t="s">
        <v>255</v>
      </c>
      <c r="BK733" s="5" t="s">
        <v>294</v>
      </c>
      <c r="BL733" s="5" t="s">
        <v>238</v>
      </c>
      <c r="BM733" s="7">
        <f>0</f>
        <v>0</v>
      </c>
      <c r="BN733" s="8">
        <f>0</f>
        <v>0</v>
      </c>
      <c r="BO733" s="5" t="s">
        <v>257</v>
      </c>
      <c r="BP733" s="5" t="s">
        <v>258</v>
      </c>
      <c r="CD733" s="5" t="s">
        <v>238</v>
      </c>
      <c r="CE733" s="5" t="s">
        <v>238</v>
      </c>
      <c r="CI733" s="5" t="s">
        <v>527</v>
      </c>
      <c r="CJ733" s="5" t="s">
        <v>260</v>
      </c>
      <c r="CK733" s="5" t="s">
        <v>238</v>
      </c>
      <c r="CM733" s="5" t="s">
        <v>970</v>
      </c>
      <c r="CN733" s="6" t="s">
        <v>262</v>
      </c>
      <c r="CO733" s="5" t="s">
        <v>263</v>
      </c>
      <c r="CP733" s="5" t="s">
        <v>264</v>
      </c>
      <c r="CQ733" s="5" t="s">
        <v>238</v>
      </c>
      <c r="CR733" s="5" t="s">
        <v>238</v>
      </c>
      <c r="CS733" s="5">
        <v>0</v>
      </c>
      <c r="CT733" s="5" t="s">
        <v>265</v>
      </c>
      <c r="CU733" s="5" t="s">
        <v>1360</v>
      </c>
      <c r="CV733" s="5" t="s">
        <v>2508</v>
      </c>
      <c r="CX733" s="8">
        <f>34946100</f>
        <v>34946100</v>
      </c>
      <c r="CY733" s="8">
        <f>0</f>
        <v>0</v>
      </c>
      <c r="DA733" s="5" t="s">
        <v>238</v>
      </c>
      <c r="DB733" s="5" t="s">
        <v>238</v>
      </c>
      <c r="DD733" s="5" t="s">
        <v>238</v>
      </c>
      <c r="DG733" s="5" t="s">
        <v>238</v>
      </c>
      <c r="DH733" s="5" t="s">
        <v>238</v>
      </c>
      <c r="DI733" s="5" t="s">
        <v>238</v>
      </c>
      <c r="DJ733" s="5" t="s">
        <v>238</v>
      </c>
      <c r="DK733" s="5" t="s">
        <v>274</v>
      </c>
      <c r="DL733" s="5" t="s">
        <v>272</v>
      </c>
      <c r="DM733" s="7">
        <f>332.82</f>
        <v>332.82</v>
      </c>
      <c r="DN733" s="5" t="s">
        <v>238</v>
      </c>
      <c r="DO733" s="5" t="s">
        <v>238</v>
      </c>
      <c r="DP733" s="5" t="s">
        <v>238</v>
      </c>
      <c r="DQ733" s="5" t="s">
        <v>238</v>
      </c>
      <c r="DT733" s="5" t="s">
        <v>2524</v>
      </c>
      <c r="DU733" s="5" t="s">
        <v>271</v>
      </c>
      <c r="HM733" s="5" t="s">
        <v>274</v>
      </c>
      <c r="HP733" s="5" t="s">
        <v>272</v>
      </c>
      <c r="HQ733" s="5" t="s">
        <v>272</v>
      </c>
    </row>
    <row r="734" spans="1:238" x14ac:dyDescent="0.4">
      <c r="A734" s="5">
        <v>826</v>
      </c>
      <c r="B734" s="5">
        <v>1</v>
      </c>
      <c r="C734" s="5">
        <v>1</v>
      </c>
      <c r="D734" s="5" t="s">
        <v>2522</v>
      </c>
      <c r="E734" s="5" t="s">
        <v>277</v>
      </c>
      <c r="F734" s="5" t="s">
        <v>282</v>
      </c>
      <c r="G734" s="5" t="s">
        <v>2491</v>
      </c>
      <c r="H734" s="6" t="s">
        <v>2523</v>
      </c>
      <c r="I734" s="5" t="s">
        <v>2505</v>
      </c>
      <c r="J734" s="7">
        <f>332.82</f>
        <v>332.82</v>
      </c>
      <c r="K734" s="5" t="s">
        <v>270</v>
      </c>
      <c r="L734" s="8">
        <f>1</f>
        <v>1</v>
      </c>
      <c r="M734" s="8">
        <f>34946100</f>
        <v>34946100</v>
      </c>
      <c r="N734" s="6" t="s">
        <v>1117</v>
      </c>
      <c r="O734" s="5" t="s">
        <v>639</v>
      </c>
      <c r="P734" s="5" t="s">
        <v>639</v>
      </c>
      <c r="R734" s="8">
        <f>34946099</f>
        <v>34946099</v>
      </c>
      <c r="S734" s="5" t="s">
        <v>240</v>
      </c>
      <c r="T734" s="5" t="s">
        <v>237</v>
      </c>
      <c r="U734" s="5" t="s">
        <v>238</v>
      </c>
      <c r="V734" s="5" t="s">
        <v>238</v>
      </c>
      <c r="W734" s="5" t="s">
        <v>241</v>
      </c>
      <c r="X734" s="5" t="s">
        <v>276</v>
      </c>
      <c r="Y734" s="5" t="s">
        <v>238</v>
      </c>
      <c r="AB734" s="5" t="s">
        <v>238</v>
      </c>
      <c r="AD734" s="6" t="s">
        <v>238</v>
      </c>
      <c r="AG734" s="6" t="s">
        <v>246</v>
      </c>
      <c r="AH734" s="5" t="s">
        <v>247</v>
      </c>
      <c r="AI734" s="5" t="s">
        <v>248</v>
      </c>
      <c r="AY734" s="5" t="s">
        <v>250</v>
      </c>
      <c r="AZ734" s="5" t="s">
        <v>238</v>
      </c>
      <c r="BA734" s="5" t="s">
        <v>251</v>
      </c>
      <c r="BB734" s="5" t="s">
        <v>238</v>
      </c>
      <c r="BC734" s="5" t="s">
        <v>253</v>
      </c>
      <c r="BD734" s="5" t="s">
        <v>238</v>
      </c>
      <c r="BF734" s="5" t="s">
        <v>238</v>
      </c>
      <c r="BH734" s="5" t="s">
        <v>859</v>
      </c>
      <c r="BI734" s="6" t="s">
        <v>368</v>
      </c>
      <c r="BJ734" s="5" t="s">
        <v>255</v>
      </c>
      <c r="BK734" s="5" t="s">
        <v>294</v>
      </c>
      <c r="BL734" s="5" t="s">
        <v>238</v>
      </c>
      <c r="BM734" s="7">
        <f>0</f>
        <v>0</v>
      </c>
      <c r="BN734" s="8">
        <f>0</f>
        <v>0</v>
      </c>
      <c r="BO734" s="5" t="s">
        <v>257</v>
      </c>
      <c r="BP734" s="5" t="s">
        <v>258</v>
      </c>
      <c r="CD734" s="5" t="s">
        <v>238</v>
      </c>
      <c r="CE734" s="5" t="s">
        <v>238</v>
      </c>
      <c r="CI734" s="5" t="s">
        <v>527</v>
      </c>
      <c r="CJ734" s="5" t="s">
        <v>260</v>
      </c>
      <c r="CK734" s="5" t="s">
        <v>238</v>
      </c>
      <c r="CM734" s="5" t="s">
        <v>970</v>
      </c>
      <c r="CN734" s="6" t="s">
        <v>262</v>
      </c>
      <c r="CO734" s="5" t="s">
        <v>263</v>
      </c>
      <c r="CP734" s="5" t="s">
        <v>264</v>
      </c>
      <c r="CQ734" s="5" t="s">
        <v>238</v>
      </c>
      <c r="CR734" s="5" t="s">
        <v>238</v>
      </c>
      <c r="CS734" s="5">
        <v>0</v>
      </c>
      <c r="CT734" s="5" t="s">
        <v>265</v>
      </c>
      <c r="CU734" s="5" t="s">
        <v>1360</v>
      </c>
      <c r="CV734" s="5" t="s">
        <v>2508</v>
      </c>
      <c r="CX734" s="8">
        <f>34946100</f>
        <v>34946100</v>
      </c>
      <c r="CY734" s="8">
        <f>0</f>
        <v>0</v>
      </c>
      <c r="DA734" s="5" t="s">
        <v>238</v>
      </c>
      <c r="DB734" s="5" t="s">
        <v>238</v>
      </c>
      <c r="DD734" s="5" t="s">
        <v>238</v>
      </c>
      <c r="DG734" s="5" t="s">
        <v>238</v>
      </c>
      <c r="DH734" s="5" t="s">
        <v>238</v>
      </c>
      <c r="DI734" s="5" t="s">
        <v>238</v>
      </c>
      <c r="DJ734" s="5" t="s">
        <v>238</v>
      </c>
      <c r="DK734" s="5" t="s">
        <v>274</v>
      </c>
      <c r="DL734" s="5" t="s">
        <v>272</v>
      </c>
      <c r="DM734" s="7">
        <f>332.82</f>
        <v>332.82</v>
      </c>
      <c r="DN734" s="5" t="s">
        <v>238</v>
      </c>
      <c r="DO734" s="5" t="s">
        <v>238</v>
      </c>
      <c r="DP734" s="5" t="s">
        <v>238</v>
      </c>
      <c r="DQ734" s="5" t="s">
        <v>238</v>
      </c>
      <c r="DT734" s="5" t="s">
        <v>2524</v>
      </c>
      <c r="DU734" s="5" t="s">
        <v>274</v>
      </c>
      <c r="HM734" s="5" t="s">
        <v>274</v>
      </c>
      <c r="HP734" s="5" t="s">
        <v>272</v>
      </c>
      <c r="HQ734" s="5" t="s">
        <v>272</v>
      </c>
    </row>
    <row r="735" spans="1:238" x14ac:dyDescent="0.4">
      <c r="A735" s="5">
        <v>827</v>
      </c>
      <c r="B735" s="5">
        <v>1</v>
      </c>
      <c r="C735" s="5">
        <v>1</v>
      </c>
      <c r="D735" s="5" t="s">
        <v>2522</v>
      </c>
      <c r="E735" s="5" t="s">
        <v>277</v>
      </c>
      <c r="F735" s="5" t="s">
        <v>282</v>
      </c>
      <c r="G735" s="5" t="s">
        <v>2491</v>
      </c>
      <c r="H735" s="6" t="s">
        <v>2523</v>
      </c>
      <c r="I735" s="5" t="s">
        <v>2504</v>
      </c>
      <c r="J735" s="7">
        <f>332.82</f>
        <v>332.82</v>
      </c>
      <c r="K735" s="5" t="s">
        <v>270</v>
      </c>
      <c r="L735" s="8">
        <f>1</f>
        <v>1</v>
      </c>
      <c r="M735" s="8">
        <f>34946100</f>
        <v>34946100</v>
      </c>
      <c r="N735" s="6" t="s">
        <v>953</v>
      </c>
      <c r="O735" s="5" t="s">
        <v>639</v>
      </c>
      <c r="P735" s="5" t="s">
        <v>639</v>
      </c>
      <c r="R735" s="8">
        <f>34946099</f>
        <v>34946099</v>
      </c>
      <c r="S735" s="5" t="s">
        <v>240</v>
      </c>
      <c r="T735" s="5" t="s">
        <v>237</v>
      </c>
      <c r="U735" s="5" t="s">
        <v>238</v>
      </c>
      <c r="V735" s="5" t="s">
        <v>238</v>
      </c>
      <c r="W735" s="5" t="s">
        <v>241</v>
      </c>
      <c r="X735" s="5" t="s">
        <v>276</v>
      </c>
      <c r="Y735" s="5" t="s">
        <v>238</v>
      </c>
      <c r="AB735" s="5" t="s">
        <v>238</v>
      </c>
      <c r="AD735" s="6" t="s">
        <v>238</v>
      </c>
      <c r="AG735" s="6" t="s">
        <v>246</v>
      </c>
      <c r="AH735" s="5" t="s">
        <v>247</v>
      </c>
      <c r="AI735" s="5" t="s">
        <v>248</v>
      </c>
      <c r="AY735" s="5" t="s">
        <v>250</v>
      </c>
      <c r="AZ735" s="5" t="s">
        <v>238</v>
      </c>
      <c r="BA735" s="5" t="s">
        <v>251</v>
      </c>
      <c r="BB735" s="5" t="s">
        <v>238</v>
      </c>
      <c r="BC735" s="5" t="s">
        <v>253</v>
      </c>
      <c r="BD735" s="5" t="s">
        <v>238</v>
      </c>
      <c r="BF735" s="5" t="s">
        <v>238</v>
      </c>
      <c r="BH735" s="5" t="s">
        <v>697</v>
      </c>
      <c r="BI735" s="6" t="s">
        <v>698</v>
      </c>
      <c r="BJ735" s="5" t="s">
        <v>255</v>
      </c>
      <c r="BK735" s="5" t="s">
        <v>294</v>
      </c>
      <c r="BL735" s="5" t="s">
        <v>238</v>
      </c>
      <c r="BM735" s="7">
        <f>0</f>
        <v>0</v>
      </c>
      <c r="BN735" s="8">
        <f>0</f>
        <v>0</v>
      </c>
      <c r="BO735" s="5" t="s">
        <v>257</v>
      </c>
      <c r="BP735" s="5" t="s">
        <v>258</v>
      </c>
      <c r="CD735" s="5" t="s">
        <v>238</v>
      </c>
      <c r="CE735" s="5" t="s">
        <v>238</v>
      </c>
      <c r="CI735" s="5" t="s">
        <v>527</v>
      </c>
      <c r="CJ735" s="5" t="s">
        <v>260</v>
      </c>
      <c r="CK735" s="5" t="s">
        <v>238</v>
      </c>
      <c r="CM735" s="5" t="s">
        <v>865</v>
      </c>
      <c r="CN735" s="6" t="s">
        <v>262</v>
      </c>
      <c r="CO735" s="5" t="s">
        <v>263</v>
      </c>
      <c r="CP735" s="5" t="s">
        <v>264</v>
      </c>
      <c r="CQ735" s="5" t="s">
        <v>238</v>
      </c>
      <c r="CR735" s="5" t="s">
        <v>238</v>
      </c>
      <c r="CS735" s="5">
        <v>0</v>
      </c>
      <c r="CT735" s="5" t="s">
        <v>265</v>
      </c>
      <c r="CU735" s="5" t="s">
        <v>1360</v>
      </c>
      <c r="CV735" s="5" t="s">
        <v>2508</v>
      </c>
      <c r="CX735" s="8">
        <f>34946100</f>
        <v>34946100</v>
      </c>
      <c r="CY735" s="8">
        <f>0</f>
        <v>0</v>
      </c>
      <c r="DA735" s="5" t="s">
        <v>238</v>
      </c>
      <c r="DB735" s="5" t="s">
        <v>238</v>
      </c>
      <c r="DD735" s="5" t="s">
        <v>238</v>
      </c>
      <c r="DG735" s="5" t="s">
        <v>238</v>
      </c>
      <c r="DH735" s="5" t="s">
        <v>238</v>
      </c>
      <c r="DI735" s="5" t="s">
        <v>238</v>
      </c>
      <c r="DJ735" s="5" t="s">
        <v>238</v>
      </c>
      <c r="DK735" s="5" t="s">
        <v>274</v>
      </c>
      <c r="DL735" s="5" t="s">
        <v>272</v>
      </c>
      <c r="DM735" s="7">
        <f>332.82</f>
        <v>332.82</v>
      </c>
      <c r="DN735" s="5" t="s">
        <v>238</v>
      </c>
      <c r="DO735" s="5" t="s">
        <v>238</v>
      </c>
      <c r="DP735" s="5" t="s">
        <v>238</v>
      </c>
      <c r="DQ735" s="5" t="s">
        <v>238</v>
      </c>
      <c r="DT735" s="5" t="s">
        <v>2524</v>
      </c>
      <c r="DU735" s="5" t="s">
        <v>356</v>
      </c>
      <c r="HM735" s="5" t="s">
        <v>356</v>
      </c>
      <c r="HP735" s="5" t="s">
        <v>272</v>
      </c>
      <c r="HQ735" s="5" t="s">
        <v>272</v>
      </c>
    </row>
    <row r="736" spans="1:238" x14ac:dyDescent="0.4">
      <c r="A736" s="5">
        <v>828</v>
      </c>
      <c r="B736" s="5">
        <v>1</v>
      </c>
      <c r="C736" s="5">
        <v>1</v>
      </c>
      <c r="D736" s="5" t="s">
        <v>2522</v>
      </c>
      <c r="E736" s="5" t="s">
        <v>277</v>
      </c>
      <c r="F736" s="5" t="s">
        <v>282</v>
      </c>
      <c r="G736" s="5" t="s">
        <v>2491</v>
      </c>
      <c r="H736" s="6" t="s">
        <v>2523</v>
      </c>
      <c r="I736" s="5" t="s">
        <v>2494</v>
      </c>
      <c r="J736" s="7">
        <f>332.82</f>
        <v>332.82</v>
      </c>
      <c r="K736" s="5" t="s">
        <v>270</v>
      </c>
      <c r="L736" s="8">
        <f>1</f>
        <v>1</v>
      </c>
      <c r="M736" s="8">
        <f>34946100</f>
        <v>34946100</v>
      </c>
      <c r="N736" s="6" t="s">
        <v>953</v>
      </c>
      <c r="O736" s="5" t="s">
        <v>639</v>
      </c>
      <c r="P736" s="5" t="s">
        <v>639</v>
      </c>
      <c r="R736" s="8">
        <f>34946099</f>
        <v>34946099</v>
      </c>
      <c r="S736" s="5" t="s">
        <v>240</v>
      </c>
      <c r="T736" s="5" t="s">
        <v>237</v>
      </c>
      <c r="U736" s="5" t="s">
        <v>238</v>
      </c>
      <c r="V736" s="5" t="s">
        <v>238</v>
      </c>
      <c r="W736" s="5" t="s">
        <v>241</v>
      </c>
      <c r="X736" s="5" t="s">
        <v>276</v>
      </c>
      <c r="Y736" s="5" t="s">
        <v>238</v>
      </c>
      <c r="AB736" s="5" t="s">
        <v>238</v>
      </c>
      <c r="AD736" s="6" t="s">
        <v>238</v>
      </c>
      <c r="AG736" s="6" t="s">
        <v>246</v>
      </c>
      <c r="AH736" s="5" t="s">
        <v>247</v>
      </c>
      <c r="AI736" s="5" t="s">
        <v>248</v>
      </c>
      <c r="AY736" s="5" t="s">
        <v>250</v>
      </c>
      <c r="AZ736" s="5" t="s">
        <v>238</v>
      </c>
      <c r="BA736" s="5" t="s">
        <v>251</v>
      </c>
      <c r="BB736" s="5" t="s">
        <v>238</v>
      </c>
      <c r="BC736" s="5" t="s">
        <v>253</v>
      </c>
      <c r="BD736" s="5" t="s">
        <v>238</v>
      </c>
      <c r="BF736" s="5" t="s">
        <v>238</v>
      </c>
      <c r="BH736" s="5" t="s">
        <v>798</v>
      </c>
      <c r="BI736" s="6" t="s">
        <v>799</v>
      </c>
      <c r="BJ736" s="5" t="s">
        <v>255</v>
      </c>
      <c r="BK736" s="5" t="s">
        <v>294</v>
      </c>
      <c r="BL736" s="5" t="s">
        <v>238</v>
      </c>
      <c r="BM736" s="7">
        <f>0</f>
        <v>0</v>
      </c>
      <c r="BN736" s="8">
        <f>0</f>
        <v>0</v>
      </c>
      <c r="BO736" s="5" t="s">
        <v>257</v>
      </c>
      <c r="BP736" s="5" t="s">
        <v>258</v>
      </c>
      <c r="CD736" s="5" t="s">
        <v>238</v>
      </c>
      <c r="CE736" s="5" t="s">
        <v>238</v>
      </c>
      <c r="CI736" s="5" t="s">
        <v>527</v>
      </c>
      <c r="CJ736" s="5" t="s">
        <v>260</v>
      </c>
      <c r="CK736" s="5" t="s">
        <v>238</v>
      </c>
      <c r="CM736" s="5" t="s">
        <v>865</v>
      </c>
      <c r="CN736" s="6" t="s">
        <v>262</v>
      </c>
      <c r="CO736" s="5" t="s">
        <v>263</v>
      </c>
      <c r="CP736" s="5" t="s">
        <v>264</v>
      </c>
      <c r="CQ736" s="5" t="s">
        <v>238</v>
      </c>
      <c r="CR736" s="5" t="s">
        <v>238</v>
      </c>
      <c r="CS736" s="5">
        <v>0</v>
      </c>
      <c r="CT736" s="5" t="s">
        <v>265</v>
      </c>
      <c r="CU736" s="5" t="s">
        <v>1360</v>
      </c>
      <c r="CV736" s="5" t="s">
        <v>2508</v>
      </c>
      <c r="CX736" s="8">
        <f>34946100</f>
        <v>34946100</v>
      </c>
      <c r="CY736" s="8">
        <f>0</f>
        <v>0</v>
      </c>
      <c r="DA736" s="5" t="s">
        <v>238</v>
      </c>
      <c r="DB736" s="5" t="s">
        <v>238</v>
      </c>
      <c r="DD736" s="5" t="s">
        <v>238</v>
      </c>
      <c r="DG736" s="5" t="s">
        <v>238</v>
      </c>
      <c r="DH736" s="5" t="s">
        <v>238</v>
      </c>
      <c r="DI736" s="5" t="s">
        <v>238</v>
      </c>
      <c r="DJ736" s="5" t="s">
        <v>238</v>
      </c>
      <c r="DK736" s="5" t="s">
        <v>274</v>
      </c>
      <c r="DL736" s="5" t="s">
        <v>272</v>
      </c>
      <c r="DM736" s="7">
        <f>332.82</f>
        <v>332.82</v>
      </c>
      <c r="DN736" s="5" t="s">
        <v>238</v>
      </c>
      <c r="DO736" s="5" t="s">
        <v>238</v>
      </c>
      <c r="DP736" s="5" t="s">
        <v>238</v>
      </c>
      <c r="DQ736" s="5" t="s">
        <v>238</v>
      </c>
      <c r="DT736" s="5" t="s">
        <v>2524</v>
      </c>
      <c r="DU736" s="5" t="s">
        <v>310</v>
      </c>
      <c r="HM736" s="5" t="s">
        <v>356</v>
      </c>
      <c r="HP736" s="5" t="s">
        <v>272</v>
      </c>
      <c r="HQ736" s="5" t="s">
        <v>272</v>
      </c>
    </row>
    <row r="737" spans="1:238" x14ac:dyDescent="0.4">
      <c r="A737" s="5">
        <v>829</v>
      </c>
      <c r="B737" s="5">
        <v>1</v>
      </c>
      <c r="C737" s="5">
        <v>1</v>
      </c>
      <c r="D737" s="5" t="s">
        <v>2522</v>
      </c>
      <c r="E737" s="5" t="s">
        <v>277</v>
      </c>
      <c r="F737" s="5" t="s">
        <v>282</v>
      </c>
      <c r="G737" s="5" t="s">
        <v>2491</v>
      </c>
      <c r="H737" s="6" t="s">
        <v>2523</v>
      </c>
      <c r="I737" s="5" t="s">
        <v>2489</v>
      </c>
      <c r="J737" s="7">
        <f>378.78</f>
        <v>378.78</v>
      </c>
      <c r="K737" s="5" t="s">
        <v>270</v>
      </c>
      <c r="L737" s="8">
        <f>1</f>
        <v>1</v>
      </c>
      <c r="M737" s="8">
        <f>39771900</f>
        <v>39771900</v>
      </c>
      <c r="N737" s="6" t="s">
        <v>953</v>
      </c>
      <c r="O737" s="5" t="s">
        <v>639</v>
      </c>
      <c r="P737" s="5" t="s">
        <v>639</v>
      </c>
      <c r="R737" s="8">
        <f>39771899</f>
        <v>39771899</v>
      </c>
      <c r="S737" s="5" t="s">
        <v>240</v>
      </c>
      <c r="T737" s="5" t="s">
        <v>237</v>
      </c>
      <c r="U737" s="5" t="s">
        <v>238</v>
      </c>
      <c r="V737" s="5" t="s">
        <v>238</v>
      </c>
      <c r="W737" s="5" t="s">
        <v>241</v>
      </c>
      <c r="X737" s="5" t="s">
        <v>276</v>
      </c>
      <c r="Y737" s="5" t="s">
        <v>238</v>
      </c>
      <c r="AB737" s="5" t="s">
        <v>238</v>
      </c>
      <c r="AD737" s="6" t="s">
        <v>238</v>
      </c>
      <c r="AG737" s="6" t="s">
        <v>246</v>
      </c>
      <c r="AH737" s="5" t="s">
        <v>247</v>
      </c>
      <c r="AI737" s="5" t="s">
        <v>248</v>
      </c>
      <c r="AY737" s="5" t="s">
        <v>250</v>
      </c>
      <c r="AZ737" s="5" t="s">
        <v>238</v>
      </c>
      <c r="BA737" s="5" t="s">
        <v>251</v>
      </c>
      <c r="BB737" s="5" t="s">
        <v>238</v>
      </c>
      <c r="BC737" s="5" t="s">
        <v>253</v>
      </c>
      <c r="BD737" s="5" t="s">
        <v>238</v>
      </c>
      <c r="BF737" s="5" t="s">
        <v>238</v>
      </c>
      <c r="BH737" s="5" t="s">
        <v>254</v>
      </c>
      <c r="BI737" s="6" t="s">
        <v>246</v>
      </c>
      <c r="BJ737" s="5" t="s">
        <v>255</v>
      </c>
      <c r="BK737" s="5" t="s">
        <v>294</v>
      </c>
      <c r="BL737" s="5" t="s">
        <v>238</v>
      </c>
      <c r="BM737" s="7">
        <f>0</f>
        <v>0</v>
      </c>
      <c r="BN737" s="8">
        <f>0</f>
        <v>0</v>
      </c>
      <c r="BO737" s="5" t="s">
        <v>257</v>
      </c>
      <c r="BP737" s="5" t="s">
        <v>258</v>
      </c>
      <c r="CD737" s="5" t="s">
        <v>238</v>
      </c>
      <c r="CE737" s="5" t="s">
        <v>238</v>
      </c>
      <c r="CI737" s="5" t="s">
        <v>527</v>
      </c>
      <c r="CJ737" s="5" t="s">
        <v>260</v>
      </c>
      <c r="CK737" s="5" t="s">
        <v>238</v>
      </c>
      <c r="CM737" s="5" t="s">
        <v>865</v>
      </c>
      <c r="CN737" s="6" t="s">
        <v>262</v>
      </c>
      <c r="CO737" s="5" t="s">
        <v>263</v>
      </c>
      <c r="CP737" s="5" t="s">
        <v>264</v>
      </c>
      <c r="CQ737" s="5" t="s">
        <v>238</v>
      </c>
      <c r="CR737" s="5" t="s">
        <v>238</v>
      </c>
      <c r="CS737" s="5">
        <v>0</v>
      </c>
      <c r="CT737" s="5" t="s">
        <v>265</v>
      </c>
      <c r="CU737" s="5" t="s">
        <v>1360</v>
      </c>
      <c r="CV737" s="5" t="s">
        <v>2508</v>
      </c>
      <c r="CX737" s="8">
        <f>39771900</f>
        <v>39771900</v>
      </c>
      <c r="CY737" s="8">
        <f>0</f>
        <v>0</v>
      </c>
      <c r="DA737" s="5" t="s">
        <v>238</v>
      </c>
      <c r="DB737" s="5" t="s">
        <v>238</v>
      </c>
      <c r="DD737" s="5" t="s">
        <v>238</v>
      </c>
      <c r="DG737" s="5" t="s">
        <v>238</v>
      </c>
      <c r="DH737" s="5" t="s">
        <v>238</v>
      </c>
      <c r="DI737" s="5" t="s">
        <v>238</v>
      </c>
      <c r="DJ737" s="5" t="s">
        <v>238</v>
      </c>
      <c r="DK737" s="5" t="s">
        <v>274</v>
      </c>
      <c r="DL737" s="5" t="s">
        <v>272</v>
      </c>
      <c r="DM737" s="7">
        <f>378.78</f>
        <v>378.78</v>
      </c>
      <c r="DN737" s="5" t="s">
        <v>238</v>
      </c>
      <c r="DO737" s="5" t="s">
        <v>238</v>
      </c>
      <c r="DP737" s="5" t="s">
        <v>238</v>
      </c>
      <c r="DQ737" s="5" t="s">
        <v>238</v>
      </c>
      <c r="DT737" s="5" t="s">
        <v>2524</v>
      </c>
      <c r="DU737" s="5" t="s">
        <v>379</v>
      </c>
      <c r="HM737" s="5" t="s">
        <v>356</v>
      </c>
      <c r="HP737" s="5" t="s">
        <v>272</v>
      </c>
      <c r="HQ737" s="5" t="s">
        <v>272</v>
      </c>
    </row>
    <row r="738" spans="1:238" x14ac:dyDescent="0.4">
      <c r="A738" s="5">
        <v>830</v>
      </c>
      <c r="B738" s="5">
        <v>1</v>
      </c>
      <c r="C738" s="5">
        <v>1</v>
      </c>
      <c r="D738" s="5" t="s">
        <v>2522</v>
      </c>
      <c r="E738" s="5" t="s">
        <v>277</v>
      </c>
      <c r="F738" s="5" t="s">
        <v>282</v>
      </c>
      <c r="G738" s="5" t="s">
        <v>2491</v>
      </c>
      <c r="H738" s="6" t="s">
        <v>2523</v>
      </c>
      <c r="I738" s="5" t="s">
        <v>2520</v>
      </c>
      <c r="J738" s="7">
        <f>378.78</f>
        <v>378.78</v>
      </c>
      <c r="K738" s="5" t="s">
        <v>270</v>
      </c>
      <c r="L738" s="8">
        <f>1</f>
        <v>1</v>
      </c>
      <c r="M738" s="8">
        <f>39771900</f>
        <v>39771900</v>
      </c>
      <c r="N738" s="6" t="s">
        <v>953</v>
      </c>
      <c r="O738" s="5" t="s">
        <v>639</v>
      </c>
      <c r="P738" s="5" t="s">
        <v>639</v>
      </c>
      <c r="R738" s="8">
        <f>39771899</f>
        <v>39771899</v>
      </c>
      <c r="S738" s="5" t="s">
        <v>240</v>
      </c>
      <c r="T738" s="5" t="s">
        <v>237</v>
      </c>
      <c r="U738" s="5" t="s">
        <v>238</v>
      </c>
      <c r="V738" s="5" t="s">
        <v>238</v>
      </c>
      <c r="W738" s="5" t="s">
        <v>241</v>
      </c>
      <c r="X738" s="5" t="s">
        <v>276</v>
      </c>
      <c r="Y738" s="5" t="s">
        <v>238</v>
      </c>
      <c r="AB738" s="5" t="s">
        <v>238</v>
      </c>
      <c r="AD738" s="6" t="s">
        <v>238</v>
      </c>
      <c r="AG738" s="6" t="s">
        <v>246</v>
      </c>
      <c r="AH738" s="5" t="s">
        <v>247</v>
      </c>
      <c r="AI738" s="5" t="s">
        <v>248</v>
      </c>
      <c r="AY738" s="5" t="s">
        <v>250</v>
      </c>
      <c r="AZ738" s="5" t="s">
        <v>238</v>
      </c>
      <c r="BA738" s="5" t="s">
        <v>251</v>
      </c>
      <c r="BB738" s="5" t="s">
        <v>238</v>
      </c>
      <c r="BC738" s="5" t="s">
        <v>253</v>
      </c>
      <c r="BD738" s="5" t="s">
        <v>238</v>
      </c>
      <c r="BF738" s="5" t="s">
        <v>238</v>
      </c>
      <c r="BH738" s="5" t="s">
        <v>859</v>
      </c>
      <c r="BI738" s="6" t="s">
        <v>368</v>
      </c>
      <c r="BJ738" s="5" t="s">
        <v>255</v>
      </c>
      <c r="BK738" s="5" t="s">
        <v>294</v>
      </c>
      <c r="BL738" s="5" t="s">
        <v>238</v>
      </c>
      <c r="BM738" s="7">
        <f>0</f>
        <v>0</v>
      </c>
      <c r="BN738" s="8">
        <f>0</f>
        <v>0</v>
      </c>
      <c r="BO738" s="5" t="s">
        <v>257</v>
      </c>
      <c r="BP738" s="5" t="s">
        <v>258</v>
      </c>
      <c r="CD738" s="5" t="s">
        <v>238</v>
      </c>
      <c r="CE738" s="5" t="s">
        <v>238</v>
      </c>
      <c r="CI738" s="5" t="s">
        <v>527</v>
      </c>
      <c r="CJ738" s="5" t="s">
        <v>260</v>
      </c>
      <c r="CK738" s="5" t="s">
        <v>238</v>
      </c>
      <c r="CM738" s="5" t="s">
        <v>865</v>
      </c>
      <c r="CN738" s="6" t="s">
        <v>262</v>
      </c>
      <c r="CO738" s="5" t="s">
        <v>263</v>
      </c>
      <c r="CP738" s="5" t="s">
        <v>264</v>
      </c>
      <c r="CQ738" s="5" t="s">
        <v>238</v>
      </c>
      <c r="CR738" s="5" t="s">
        <v>238</v>
      </c>
      <c r="CS738" s="5">
        <v>0</v>
      </c>
      <c r="CT738" s="5" t="s">
        <v>265</v>
      </c>
      <c r="CU738" s="5" t="s">
        <v>1360</v>
      </c>
      <c r="CV738" s="5" t="s">
        <v>2508</v>
      </c>
      <c r="CX738" s="8">
        <f>39771900</f>
        <v>39771900</v>
      </c>
      <c r="CY738" s="8">
        <f>0</f>
        <v>0</v>
      </c>
      <c r="DA738" s="5" t="s">
        <v>238</v>
      </c>
      <c r="DB738" s="5" t="s">
        <v>238</v>
      </c>
      <c r="DD738" s="5" t="s">
        <v>238</v>
      </c>
      <c r="DG738" s="5" t="s">
        <v>238</v>
      </c>
      <c r="DH738" s="5" t="s">
        <v>238</v>
      </c>
      <c r="DI738" s="5" t="s">
        <v>238</v>
      </c>
      <c r="DJ738" s="5" t="s">
        <v>238</v>
      </c>
      <c r="DK738" s="5" t="s">
        <v>274</v>
      </c>
      <c r="DL738" s="5" t="s">
        <v>272</v>
      </c>
      <c r="DM738" s="7">
        <f>378.78</f>
        <v>378.78</v>
      </c>
      <c r="DN738" s="5" t="s">
        <v>238</v>
      </c>
      <c r="DO738" s="5" t="s">
        <v>238</v>
      </c>
      <c r="DP738" s="5" t="s">
        <v>238</v>
      </c>
      <c r="DQ738" s="5" t="s">
        <v>238</v>
      </c>
      <c r="DT738" s="5" t="s">
        <v>2524</v>
      </c>
      <c r="DU738" s="5" t="s">
        <v>313</v>
      </c>
      <c r="HM738" s="5" t="s">
        <v>356</v>
      </c>
      <c r="HP738" s="5" t="s">
        <v>272</v>
      </c>
      <c r="HQ738" s="5" t="s">
        <v>272</v>
      </c>
    </row>
    <row r="739" spans="1:238" x14ac:dyDescent="0.4">
      <c r="A739" s="5">
        <v>831</v>
      </c>
      <c r="B739" s="5">
        <v>1</v>
      </c>
      <c r="C739" s="5">
        <v>1</v>
      </c>
      <c r="D739" s="5" t="s">
        <v>2522</v>
      </c>
      <c r="E739" s="5" t="s">
        <v>277</v>
      </c>
      <c r="F739" s="5" t="s">
        <v>282</v>
      </c>
      <c r="G739" s="5" t="s">
        <v>2491</v>
      </c>
      <c r="H739" s="6" t="s">
        <v>2523</v>
      </c>
      <c r="I739" s="5" t="s">
        <v>2516</v>
      </c>
      <c r="J739" s="7">
        <f>324.6</f>
        <v>324.60000000000002</v>
      </c>
      <c r="K739" s="5" t="s">
        <v>270</v>
      </c>
      <c r="L739" s="8">
        <f>1</f>
        <v>1</v>
      </c>
      <c r="M739" s="8">
        <f>34083000</f>
        <v>34083000</v>
      </c>
      <c r="N739" s="6" t="s">
        <v>1571</v>
      </c>
      <c r="O739" s="5" t="s">
        <v>639</v>
      </c>
      <c r="P739" s="5" t="s">
        <v>639</v>
      </c>
      <c r="R739" s="8">
        <f>34082999</f>
        <v>34082999</v>
      </c>
      <c r="S739" s="5" t="s">
        <v>240</v>
      </c>
      <c r="T739" s="5" t="s">
        <v>237</v>
      </c>
      <c r="U739" s="5" t="s">
        <v>238</v>
      </c>
      <c r="V739" s="5" t="s">
        <v>238</v>
      </c>
      <c r="W739" s="5" t="s">
        <v>241</v>
      </c>
      <c r="X739" s="5" t="s">
        <v>276</v>
      </c>
      <c r="Y739" s="5" t="s">
        <v>238</v>
      </c>
      <c r="AB739" s="5" t="s">
        <v>238</v>
      </c>
      <c r="AD739" s="6" t="s">
        <v>238</v>
      </c>
      <c r="AG739" s="6" t="s">
        <v>246</v>
      </c>
      <c r="AH739" s="5" t="s">
        <v>247</v>
      </c>
      <c r="AI739" s="5" t="s">
        <v>248</v>
      </c>
      <c r="AY739" s="5" t="s">
        <v>250</v>
      </c>
      <c r="AZ739" s="5" t="s">
        <v>238</v>
      </c>
      <c r="BA739" s="5" t="s">
        <v>251</v>
      </c>
      <c r="BB739" s="5" t="s">
        <v>238</v>
      </c>
      <c r="BC739" s="5" t="s">
        <v>253</v>
      </c>
      <c r="BD739" s="5" t="s">
        <v>238</v>
      </c>
      <c r="BF739" s="5" t="s">
        <v>238</v>
      </c>
      <c r="BH739" s="5" t="s">
        <v>697</v>
      </c>
      <c r="BI739" s="6" t="s">
        <v>698</v>
      </c>
      <c r="BJ739" s="5" t="s">
        <v>255</v>
      </c>
      <c r="BK739" s="5" t="s">
        <v>294</v>
      </c>
      <c r="BL739" s="5" t="s">
        <v>238</v>
      </c>
      <c r="BM739" s="7">
        <f>0</f>
        <v>0</v>
      </c>
      <c r="BN739" s="8">
        <f>0</f>
        <v>0</v>
      </c>
      <c r="BO739" s="5" t="s">
        <v>257</v>
      </c>
      <c r="BP739" s="5" t="s">
        <v>258</v>
      </c>
      <c r="CD739" s="5" t="s">
        <v>238</v>
      </c>
      <c r="CE739" s="5" t="s">
        <v>238</v>
      </c>
      <c r="CI739" s="5" t="s">
        <v>527</v>
      </c>
      <c r="CJ739" s="5" t="s">
        <v>260</v>
      </c>
      <c r="CK739" s="5" t="s">
        <v>238</v>
      </c>
      <c r="CM739" s="5" t="s">
        <v>699</v>
      </c>
      <c r="CN739" s="6" t="s">
        <v>262</v>
      </c>
      <c r="CO739" s="5" t="s">
        <v>263</v>
      </c>
      <c r="CP739" s="5" t="s">
        <v>264</v>
      </c>
      <c r="CQ739" s="5" t="s">
        <v>238</v>
      </c>
      <c r="CR739" s="5" t="s">
        <v>238</v>
      </c>
      <c r="CS739" s="5">
        <v>0</v>
      </c>
      <c r="CT739" s="5" t="s">
        <v>265</v>
      </c>
      <c r="CU739" s="5" t="s">
        <v>1360</v>
      </c>
      <c r="CV739" s="5" t="s">
        <v>2508</v>
      </c>
      <c r="CX739" s="8">
        <f>34083000</f>
        <v>34083000</v>
      </c>
      <c r="CY739" s="8">
        <f>0</f>
        <v>0</v>
      </c>
      <c r="DA739" s="5" t="s">
        <v>238</v>
      </c>
      <c r="DB739" s="5" t="s">
        <v>238</v>
      </c>
      <c r="DD739" s="5" t="s">
        <v>238</v>
      </c>
      <c r="DG739" s="5" t="s">
        <v>238</v>
      </c>
      <c r="DH739" s="5" t="s">
        <v>238</v>
      </c>
      <c r="DI739" s="5" t="s">
        <v>238</v>
      </c>
      <c r="DJ739" s="5" t="s">
        <v>238</v>
      </c>
      <c r="DK739" s="5" t="s">
        <v>274</v>
      </c>
      <c r="DL739" s="5" t="s">
        <v>272</v>
      </c>
      <c r="DM739" s="7">
        <f>324.6</f>
        <v>324.60000000000002</v>
      </c>
      <c r="DN739" s="5" t="s">
        <v>238</v>
      </c>
      <c r="DO739" s="5" t="s">
        <v>238</v>
      </c>
      <c r="DP739" s="5" t="s">
        <v>238</v>
      </c>
      <c r="DQ739" s="5" t="s">
        <v>238</v>
      </c>
      <c r="DT739" s="5" t="s">
        <v>2524</v>
      </c>
      <c r="DU739" s="5" t="s">
        <v>389</v>
      </c>
      <c r="HM739" s="5" t="s">
        <v>310</v>
      </c>
      <c r="HP739" s="5" t="s">
        <v>272</v>
      </c>
      <c r="HQ739" s="5" t="s">
        <v>272</v>
      </c>
    </row>
    <row r="740" spans="1:238" x14ac:dyDescent="0.4">
      <c r="A740" s="5">
        <v>832</v>
      </c>
      <c r="B740" s="5">
        <v>1</v>
      </c>
      <c r="C740" s="5">
        <v>1</v>
      </c>
      <c r="D740" s="5" t="s">
        <v>2522</v>
      </c>
      <c r="E740" s="5" t="s">
        <v>277</v>
      </c>
      <c r="F740" s="5" t="s">
        <v>282</v>
      </c>
      <c r="G740" s="5" t="s">
        <v>2491</v>
      </c>
      <c r="H740" s="6" t="s">
        <v>2523</v>
      </c>
      <c r="I740" s="5" t="s">
        <v>2521</v>
      </c>
      <c r="J740" s="7">
        <f>324.6</f>
        <v>324.60000000000002</v>
      </c>
      <c r="K740" s="5" t="s">
        <v>270</v>
      </c>
      <c r="L740" s="8">
        <f>1</f>
        <v>1</v>
      </c>
      <c r="M740" s="8">
        <f>34083000</f>
        <v>34083000</v>
      </c>
      <c r="N740" s="6" t="s">
        <v>1571</v>
      </c>
      <c r="O740" s="5" t="s">
        <v>639</v>
      </c>
      <c r="P740" s="5" t="s">
        <v>639</v>
      </c>
      <c r="R740" s="8">
        <f>34082999</f>
        <v>34082999</v>
      </c>
      <c r="S740" s="5" t="s">
        <v>240</v>
      </c>
      <c r="T740" s="5" t="s">
        <v>237</v>
      </c>
      <c r="U740" s="5" t="s">
        <v>238</v>
      </c>
      <c r="V740" s="5" t="s">
        <v>238</v>
      </c>
      <c r="W740" s="5" t="s">
        <v>241</v>
      </c>
      <c r="X740" s="5" t="s">
        <v>276</v>
      </c>
      <c r="Y740" s="5" t="s">
        <v>238</v>
      </c>
      <c r="AB740" s="5" t="s">
        <v>238</v>
      </c>
      <c r="AD740" s="6" t="s">
        <v>238</v>
      </c>
      <c r="AG740" s="6" t="s">
        <v>246</v>
      </c>
      <c r="AH740" s="5" t="s">
        <v>247</v>
      </c>
      <c r="AI740" s="5" t="s">
        <v>248</v>
      </c>
      <c r="AY740" s="5" t="s">
        <v>250</v>
      </c>
      <c r="AZ740" s="5" t="s">
        <v>238</v>
      </c>
      <c r="BA740" s="5" t="s">
        <v>251</v>
      </c>
      <c r="BB740" s="5" t="s">
        <v>238</v>
      </c>
      <c r="BC740" s="5" t="s">
        <v>253</v>
      </c>
      <c r="BD740" s="5" t="s">
        <v>238</v>
      </c>
      <c r="BF740" s="5" t="s">
        <v>238</v>
      </c>
      <c r="BH740" s="5" t="s">
        <v>798</v>
      </c>
      <c r="BI740" s="6" t="s">
        <v>799</v>
      </c>
      <c r="BJ740" s="5" t="s">
        <v>255</v>
      </c>
      <c r="BK740" s="5" t="s">
        <v>294</v>
      </c>
      <c r="BL740" s="5" t="s">
        <v>238</v>
      </c>
      <c r="BM740" s="7">
        <f>0</f>
        <v>0</v>
      </c>
      <c r="BN740" s="8">
        <f>0</f>
        <v>0</v>
      </c>
      <c r="BO740" s="5" t="s">
        <v>257</v>
      </c>
      <c r="BP740" s="5" t="s">
        <v>258</v>
      </c>
      <c r="CD740" s="5" t="s">
        <v>238</v>
      </c>
      <c r="CE740" s="5" t="s">
        <v>238</v>
      </c>
      <c r="CI740" s="5" t="s">
        <v>527</v>
      </c>
      <c r="CJ740" s="5" t="s">
        <v>260</v>
      </c>
      <c r="CK740" s="5" t="s">
        <v>238</v>
      </c>
      <c r="CM740" s="5" t="s">
        <v>699</v>
      </c>
      <c r="CN740" s="6" t="s">
        <v>262</v>
      </c>
      <c r="CO740" s="5" t="s">
        <v>263</v>
      </c>
      <c r="CP740" s="5" t="s">
        <v>264</v>
      </c>
      <c r="CQ740" s="5" t="s">
        <v>238</v>
      </c>
      <c r="CR740" s="5" t="s">
        <v>238</v>
      </c>
      <c r="CS740" s="5">
        <v>0</v>
      </c>
      <c r="CT740" s="5" t="s">
        <v>265</v>
      </c>
      <c r="CU740" s="5" t="s">
        <v>1360</v>
      </c>
      <c r="CV740" s="5" t="s">
        <v>2508</v>
      </c>
      <c r="CX740" s="8">
        <f>34083000</f>
        <v>34083000</v>
      </c>
      <c r="CY740" s="8">
        <f>0</f>
        <v>0</v>
      </c>
      <c r="DA740" s="5" t="s">
        <v>238</v>
      </c>
      <c r="DB740" s="5" t="s">
        <v>238</v>
      </c>
      <c r="DD740" s="5" t="s">
        <v>238</v>
      </c>
      <c r="DG740" s="5" t="s">
        <v>238</v>
      </c>
      <c r="DH740" s="5" t="s">
        <v>238</v>
      </c>
      <c r="DI740" s="5" t="s">
        <v>238</v>
      </c>
      <c r="DJ740" s="5" t="s">
        <v>238</v>
      </c>
      <c r="DK740" s="5" t="s">
        <v>274</v>
      </c>
      <c r="DL740" s="5" t="s">
        <v>272</v>
      </c>
      <c r="DM740" s="7">
        <f>324.6</f>
        <v>324.60000000000002</v>
      </c>
      <c r="DN740" s="5" t="s">
        <v>238</v>
      </c>
      <c r="DO740" s="5" t="s">
        <v>238</v>
      </c>
      <c r="DP740" s="5" t="s">
        <v>238</v>
      </c>
      <c r="DQ740" s="5" t="s">
        <v>238</v>
      </c>
      <c r="DT740" s="5" t="s">
        <v>2524</v>
      </c>
      <c r="DU740" s="5" t="s">
        <v>354</v>
      </c>
      <c r="HM740" s="5" t="s">
        <v>310</v>
      </c>
      <c r="HP740" s="5" t="s">
        <v>272</v>
      </c>
      <c r="HQ740" s="5" t="s">
        <v>272</v>
      </c>
    </row>
    <row r="741" spans="1:238" x14ac:dyDescent="0.4">
      <c r="A741" s="5">
        <v>833</v>
      </c>
      <c r="B741" s="5">
        <v>1</v>
      </c>
      <c r="C741" s="5">
        <v>4</v>
      </c>
      <c r="D741" s="5" t="s">
        <v>2723</v>
      </c>
      <c r="E741" s="5" t="s">
        <v>277</v>
      </c>
      <c r="F741" s="5" t="s">
        <v>282</v>
      </c>
      <c r="G741" s="5" t="s">
        <v>2485</v>
      </c>
      <c r="H741" s="6" t="s">
        <v>2724</v>
      </c>
      <c r="I741" s="5" t="s">
        <v>2495</v>
      </c>
      <c r="J741" s="7">
        <f>157.32</f>
        <v>157.32</v>
      </c>
      <c r="K741" s="5" t="s">
        <v>270</v>
      </c>
      <c r="L741" s="8">
        <f>3211228</f>
        <v>3211228</v>
      </c>
      <c r="M741" s="8">
        <f>25485840</f>
        <v>25485840</v>
      </c>
      <c r="N741" s="6" t="s">
        <v>804</v>
      </c>
      <c r="O741" s="5" t="s">
        <v>286</v>
      </c>
      <c r="P741" s="5" t="s">
        <v>631</v>
      </c>
      <c r="Q741" s="8">
        <f>1172348</f>
        <v>1172348</v>
      </c>
      <c r="R741" s="8">
        <f>22274612</f>
        <v>22274612</v>
      </c>
      <c r="S741" s="5" t="s">
        <v>240</v>
      </c>
      <c r="T741" s="5" t="s">
        <v>237</v>
      </c>
      <c r="U741" s="5" t="s">
        <v>238</v>
      </c>
      <c r="V741" s="5" t="s">
        <v>238</v>
      </c>
      <c r="W741" s="5" t="s">
        <v>241</v>
      </c>
      <c r="X741" s="5" t="s">
        <v>276</v>
      </c>
      <c r="Y741" s="5" t="s">
        <v>238</v>
      </c>
      <c r="AB741" s="5" t="s">
        <v>238</v>
      </c>
      <c r="AC741" s="6" t="s">
        <v>238</v>
      </c>
      <c r="AD741" s="6" t="s">
        <v>238</v>
      </c>
      <c r="AF741" s="6" t="s">
        <v>238</v>
      </c>
      <c r="AG741" s="6" t="s">
        <v>246</v>
      </c>
      <c r="AH741" s="5" t="s">
        <v>247</v>
      </c>
      <c r="AI741" s="5" t="s">
        <v>248</v>
      </c>
      <c r="AO741" s="5" t="s">
        <v>238</v>
      </c>
      <c r="AP741" s="5" t="s">
        <v>238</v>
      </c>
      <c r="AQ741" s="5" t="s">
        <v>238</v>
      </c>
      <c r="AR741" s="6" t="s">
        <v>238</v>
      </c>
      <c r="AS741" s="6" t="s">
        <v>238</v>
      </c>
      <c r="AT741" s="6" t="s">
        <v>238</v>
      </c>
      <c r="AW741" s="5" t="s">
        <v>304</v>
      </c>
      <c r="AX741" s="5" t="s">
        <v>304</v>
      </c>
      <c r="AY741" s="5" t="s">
        <v>250</v>
      </c>
      <c r="AZ741" s="5" t="s">
        <v>305</v>
      </c>
      <c r="BA741" s="5" t="s">
        <v>251</v>
      </c>
      <c r="BB741" s="5" t="s">
        <v>238</v>
      </c>
      <c r="BC741" s="5" t="s">
        <v>253</v>
      </c>
      <c r="BD741" s="5" t="s">
        <v>238</v>
      </c>
      <c r="BF741" s="5" t="s">
        <v>238</v>
      </c>
      <c r="BH741" s="5" t="s">
        <v>283</v>
      </c>
      <c r="BI741" s="6" t="s">
        <v>293</v>
      </c>
      <c r="BJ741" s="5" t="s">
        <v>294</v>
      </c>
      <c r="BK741" s="5" t="s">
        <v>294</v>
      </c>
      <c r="BL741" s="5" t="s">
        <v>238</v>
      </c>
      <c r="BM741" s="7">
        <f>0</f>
        <v>0</v>
      </c>
      <c r="BN741" s="8">
        <f>-1172348</f>
        <v>-1172348</v>
      </c>
      <c r="BO741" s="5" t="s">
        <v>257</v>
      </c>
      <c r="BP741" s="5" t="s">
        <v>258</v>
      </c>
      <c r="BQ741" s="5" t="s">
        <v>238</v>
      </c>
      <c r="BR741" s="5" t="s">
        <v>238</v>
      </c>
      <c r="BS741" s="5" t="s">
        <v>238</v>
      </c>
      <c r="BT741" s="5" t="s">
        <v>238</v>
      </c>
      <c r="CC741" s="5" t="s">
        <v>258</v>
      </c>
      <c r="CD741" s="5" t="s">
        <v>238</v>
      </c>
      <c r="CE741" s="5" t="s">
        <v>238</v>
      </c>
      <c r="CI741" s="5" t="s">
        <v>259</v>
      </c>
      <c r="CJ741" s="5" t="s">
        <v>260</v>
      </c>
      <c r="CK741" s="5" t="s">
        <v>238</v>
      </c>
      <c r="CM741" s="5" t="s">
        <v>807</v>
      </c>
      <c r="CN741" s="6" t="s">
        <v>262</v>
      </c>
      <c r="CO741" s="5" t="s">
        <v>263</v>
      </c>
      <c r="CP741" s="5" t="s">
        <v>264</v>
      </c>
      <c r="CQ741" s="5" t="s">
        <v>285</v>
      </c>
      <c r="CR741" s="5" t="s">
        <v>238</v>
      </c>
      <c r="CS741" s="5">
        <v>4.5999999999999999E-2</v>
      </c>
      <c r="CT741" s="5" t="s">
        <v>265</v>
      </c>
      <c r="CU741" s="5" t="s">
        <v>1360</v>
      </c>
      <c r="CV741" s="5" t="s">
        <v>267</v>
      </c>
      <c r="CW741" s="7">
        <f>0</f>
        <v>0</v>
      </c>
      <c r="CX741" s="8">
        <f>25485840</f>
        <v>25485840</v>
      </c>
      <c r="CY741" s="8">
        <f>4383576</f>
        <v>4383576</v>
      </c>
      <c r="DA741" s="5" t="s">
        <v>238</v>
      </c>
      <c r="DB741" s="5" t="s">
        <v>238</v>
      </c>
      <c r="DD741" s="5" t="s">
        <v>238</v>
      </c>
      <c r="DE741" s="8">
        <f>0</f>
        <v>0</v>
      </c>
      <c r="DG741" s="5" t="s">
        <v>238</v>
      </c>
      <c r="DH741" s="5" t="s">
        <v>238</v>
      </c>
      <c r="DI741" s="5" t="s">
        <v>238</v>
      </c>
      <c r="DJ741" s="5" t="s">
        <v>238</v>
      </c>
      <c r="DK741" s="5" t="s">
        <v>274</v>
      </c>
      <c r="DL741" s="5" t="s">
        <v>272</v>
      </c>
      <c r="DM741" s="7">
        <f>157.32</f>
        <v>157.32</v>
      </c>
      <c r="DN741" s="5" t="s">
        <v>238</v>
      </c>
      <c r="DO741" s="5" t="s">
        <v>238</v>
      </c>
      <c r="DP741" s="5" t="s">
        <v>238</v>
      </c>
      <c r="DQ741" s="5" t="s">
        <v>238</v>
      </c>
      <c r="DT741" s="5" t="s">
        <v>2725</v>
      </c>
      <c r="DU741" s="5" t="s">
        <v>271</v>
      </c>
      <c r="GL741" s="5" t="s">
        <v>2737</v>
      </c>
      <c r="HM741" s="5" t="s">
        <v>313</v>
      </c>
      <c r="HP741" s="5" t="s">
        <v>272</v>
      </c>
      <c r="HQ741" s="5" t="s">
        <v>272</v>
      </c>
      <c r="HR741" s="5" t="s">
        <v>238</v>
      </c>
      <c r="HS741" s="5" t="s">
        <v>238</v>
      </c>
      <c r="HT741" s="5" t="s">
        <v>238</v>
      </c>
      <c r="HU741" s="5" t="s">
        <v>238</v>
      </c>
      <c r="HV741" s="5" t="s">
        <v>238</v>
      </c>
      <c r="HW741" s="5" t="s">
        <v>238</v>
      </c>
      <c r="HX741" s="5" t="s">
        <v>238</v>
      </c>
      <c r="HY741" s="5" t="s">
        <v>238</v>
      </c>
      <c r="HZ741" s="5" t="s">
        <v>238</v>
      </c>
      <c r="IA741" s="5" t="s">
        <v>238</v>
      </c>
      <c r="IB741" s="5" t="s">
        <v>238</v>
      </c>
      <c r="IC741" s="5" t="s">
        <v>238</v>
      </c>
      <c r="ID741" s="5" t="s">
        <v>238</v>
      </c>
    </row>
    <row r="742" spans="1:238" x14ac:dyDescent="0.4">
      <c r="A742" s="5">
        <v>834</v>
      </c>
      <c r="B742" s="5">
        <v>1</v>
      </c>
      <c r="C742" s="5">
        <v>4</v>
      </c>
      <c r="D742" s="5" t="s">
        <v>2723</v>
      </c>
      <c r="E742" s="5" t="s">
        <v>277</v>
      </c>
      <c r="F742" s="5" t="s">
        <v>282</v>
      </c>
      <c r="G742" s="5" t="s">
        <v>2485</v>
      </c>
      <c r="H742" s="6" t="s">
        <v>2724</v>
      </c>
      <c r="I742" s="5" t="s">
        <v>2505</v>
      </c>
      <c r="J742" s="7">
        <f>157.32</f>
        <v>157.32</v>
      </c>
      <c r="K742" s="5" t="s">
        <v>270</v>
      </c>
      <c r="L742" s="8">
        <f>3211228</f>
        <v>3211228</v>
      </c>
      <c r="M742" s="8">
        <f>25485840</f>
        <v>25485840</v>
      </c>
      <c r="N742" s="6" t="s">
        <v>804</v>
      </c>
      <c r="O742" s="5" t="s">
        <v>286</v>
      </c>
      <c r="P742" s="5" t="s">
        <v>631</v>
      </c>
      <c r="Q742" s="8">
        <f>1172348</f>
        <v>1172348</v>
      </c>
      <c r="R742" s="8">
        <f>22274612</f>
        <v>22274612</v>
      </c>
      <c r="S742" s="5" t="s">
        <v>240</v>
      </c>
      <c r="T742" s="5" t="s">
        <v>237</v>
      </c>
      <c r="U742" s="5" t="s">
        <v>238</v>
      </c>
      <c r="V742" s="5" t="s">
        <v>238</v>
      </c>
      <c r="W742" s="5" t="s">
        <v>241</v>
      </c>
      <c r="X742" s="5" t="s">
        <v>276</v>
      </c>
      <c r="Y742" s="5" t="s">
        <v>238</v>
      </c>
      <c r="AB742" s="5" t="s">
        <v>238</v>
      </c>
      <c r="AC742" s="6" t="s">
        <v>238</v>
      </c>
      <c r="AD742" s="6" t="s">
        <v>238</v>
      </c>
      <c r="AF742" s="6" t="s">
        <v>238</v>
      </c>
      <c r="AG742" s="6" t="s">
        <v>246</v>
      </c>
      <c r="AH742" s="5" t="s">
        <v>247</v>
      </c>
      <c r="AI742" s="5" t="s">
        <v>248</v>
      </c>
      <c r="AO742" s="5" t="s">
        <v>238</v>
      </c>
      <c r="AP742" s="5" t="s">
        <v>238</v>
      </c>
      <c r="AQ742" s="5" t="s">
        <v>238</v>
      </c>
      <c r="AR742" s="6" t="s">
        <v>238</v>
      </c>
      <c r="AS742" s="6" t="s">
        <v>238</v>
      </c>
      <c r="AT742" s="6" t="s">
        <v>238</v>
      </c>
      <c r="AW742" s="5" t="s">
        <v>304</v>
      </c>
      <c r="AX742" s="5" t="s">
        <v>304</v>
      </c>
      <c r="AY742" s="5" t="s">
        <v>250</v>
      </c>
      <c r="AZ742" s="5" t="s">
        <v>305</v>
      </c>
      <c r="BA742" s="5" t="s">
        <v>251</v>
      </c>
      <c r="BB742" s="5" t="s">
        <v>238</v>
      </c>
      <c r="BC742" s="5" t="s">
        <v>253</v>
      </c>
      <c r="BD742" s="5" t="s">
        <v>238</v>
      </c>
      <c r="BF742" s="5" t="s">
        <v>238</v>
      </c>
      <c r="BH742" s="5" t="s">
        <v>283</v>
      </c>
      <c r="BI742" s="6" t="s">
        <v>293</v>
      </c>
      <c r="BJ742" s="5" t="s">
        <v>294</v>
      </c>
      <c r="BK742" s="5" t="s">
        <v>294</v>
      </c>
      <c r="BL742" s="5" t="s">
        <v>238</v>
      </c>
      <c r="BM742" s="7">
        <f>0</f>
        <v>0</v>
      </c>
      <c r="BN742" s="8">
        <f>-1172348</f>
        <v>-1172348</v>
      </c>
      <c r="BO742" s="5" t="s">
        <v>257</v>
      </c>
      <c r="BP742" s="5" t="s">
        <v>258</v>
      </c>
      <c r="BQ742" s="5" t="s">
        <v>238</v>
      </c>
      <c r="BR742" s="5" t="s">
        <v>238</v>
      </c>
      <c r="BS742" s="5" t="s">
        <v>238</v>
      </c>
      <c r="BT742" s="5" t="s">
        <v>238</v>
      </c>
      <c r="CC742" s="5" t="s">
        <v>258</v>
      </c>
      <c r="CD742" s="5" t="s">
        <v>238</v>
      </c>
      <c r="CE742" s="5" t="s">
        <v>238</v>
      </c>
      <c r="CI742" s="5" t="s">
        <v>259</v>
      </c>
      <c r="CJ742" s="5" t="s">
        <v>260</v>
      </c>
      <c r="CK742" s="5" t="s">
        <v>238</v>
      </c>
      <c r="CM742" s="5" t="s">
        <v>807</v>
      </c>
      <c r="CN742" s="6" t="s">
        <v>262</v>
      </c>
      <c r="CO742" s="5" t="s">
        <v>263</v>
      </c>
      <c r="CP742" s="5" t="s">
        <v>264</v>
      </c>
      <c r="CQ742" s="5" t="s">
        <v>285</v>
      </c>
      <c r="CR742" s="5" t="s">
        <v>238</v>
      </c>
      <c r="CS742" s="5">
        <v>4.5999999999999999E-2</v>
      </c>
      <c r="CT742" s="5" t="s">
        <v>265</v>
      </c>
      <c r="CU742" s="5" t="s">
        <v>1360</v>
      </c>
      <c r="CV742" s="5" t="s">
        <v>267</v>
      </c>
      <c r="CW742" s="7">
        <f>0</f>
        <v>0</v>
      </c>
      <c r="CX742" s="8">
        <f>25485840</f>
        <v>25485840</v>
      </c>
      <c r="CY742" s="8">
        <f>4383576</f>
        <v>4383576</v>
      </c>
      <c r="DA742" s="5" t="s">
        <v>238</v>
      </c>
      <c r="DB742" s="5" t="s">
        <v>238</v>
      </c>
      <c r="DD742" s="5" t="s">
        <v>238</v>
      </c>
      <c r="DE742" s="8">
        <f>0</f>
        <v>0</v>
      </c>
      <c r="DG742" s="5" t="s">
        <v>238</v>
      </c>
      <c r="DH742" s="5" t="s">
        <v>238</v>
      </c>
      <c r="DI742" s="5" t="s">
        <v>238</v>
      </c>
      <c r="DJ742" s="5" t="s">
        <v>238</v>
      </c>
      <c r="DK742" s="5" t="s">
        <v>274</v>
      </c>
      <c r="DL742" s="5" t="s">
        <v>272</v>
      </c>
      <c r="DM742" s="7">
        <f>157.32</f>
        <v>157.32</v>
      </c>
      <c r="DN742" s="5" t="s">
        <v>238</v>
      </c>
      <c r="DO742" s="5" t="s">
        <v>238</v>
      </c>
      <c r="DP742" s="5" t="s">
        <v>238</v>
      </c>
      <c r="DQ742" s="5" t="s">
        <v>238</v>
      </c>
      <c r="DT742" s="5" t="s">
        <v>2725</v>
      </c>
      <c r="DU742" s="5" t="s">
        <v>274</v>
      </c>
      <c r="GL742" s="5" t="s">
        <v>2736</v>
      </c>
      <c r="HM742" s="5" t="s">
        <v>313</v>
      </c>
      <c r="HP742" s="5" t="s">
        <v>272</v>
      </c>
      <c r="HQ742" s="5" t="s">
        <v>272</v>
      </c>
      <c r="HR742" s="5" t="s">
        <v>238</v>
      </c>
      <c r="HS742" s="5" t="s">
        <v>238</v>
      </c>
      <c r="HT742" s="5" t="s">
        <v>238</v>
      </c>
      <c r="HU742" s="5" t="s">
        <v>238</v>
      </c>
      <c r="HV742" s="5" t="s">
        <v>238</v>
      </c>
      <c r="HW742" s="5" t="s">
        <v>238</v>
      </c>
      <c r="HX742" s="5" t="s">
        <v>238</v>
      </c>
      <c r="HY742" s="5" t="s">
        <v>238</v>
      </c>
      <c r="HZ742" s="5" t="s">
        <v>238</v>
      </c>
      <c r="IA742" s="5" t="s">
        <v>238</v>
      </c>
      <c r="IB742" s="5" t="s">
        <v>238</v>
      </c>
      <c r="IC742" s="5" t="s">
        <v>238</v>
      </c>
      <c r="ID742" s="5" t="s">
        <v>238</v>
      </c>
    </row>
    <row r="743" spans="1:238" x14ac:dyDescent="0.4">
      <c r="A743" s="5">
        <v>835</v>
      </c>
      <c r="B743" s="5">
        <v>1</v>
      </c>
      <c r="C743" s="5">
        <v>4</v>
      </c>
      <c r="D743" s="5" t="s">
        <v>2723</v>
      </c>
      <c r="E743" s="5" t="s">
        <v>277</v>
      </c>
      <c r="F743" s="5" t="s">
        <v>282</v>
      </c>
      <c r="G743" s="5" t="s">
        <v>2485</v>
      </c>
      <c r="H743" s="6" t="s">
        <v>2724</v>
      </c>
      <c r="I743" s="5" t="s">
        <v>2504</v>
      </c>
      <c r="J743" s="7">
        <f>157.32</f>
        <v>157.32</v>
      </c>
      <c r="K743" s="5" t="s">
        <v>270</v>
      </c>
      <c r="L743" s="8">
        <f>3211228</f>
        <v>3211228</v>
      </c>
      <c r="M743" s="8">
        <f>25485840</f>
        <v>25485840</v>
      </c>
      <c r="N743" s="6" t="s">
        <v>804</v>
      </c>
      <c r="O743" s="5" t="s">
        <v>286</v>
      </c>
      <c r="P743" s="5" t="s">
        <v>631</v>
      </c>
      <c r="Q743" s="8">
        <f>1172348</f>
        <v>1172348</v>
      </c>
      <c r="R743" s="8">
        <f>22274612</f>
        <v>22274612</v>
      </c>
      <c r="S743" s="5" t="s">
        <v>240</v>
      </c>
      <c r="T743" s="5" t="s">
        <v>237</v>
      </c>
      <c r="U743" s="5" t="s">
        <v>238</v>
      </c>
      <c r="V743" s="5" t="s">
        <v>238</v>
      </c>
      <c r="W743" s="5" t="s">
        <v>241</v>
      </c>
      <c r="X743" s="5" t="s">
        <v>276</v>
      </c>
      <c r="Y743" s="5" t="s">
        <v>238</v>
      </c>
      <c r="AB743" s="5" t="s">
        <v>238</v>
      </c>
      <c r="AC743" s="6" t="s">
        <v>238</v>
      </c>
      <c r="AD743" s="6" t="s">
        <v>238</v>
      </c>
      <c r="AF743" s="6" t="s">
        <v>238</v>
      </c>
      <c r="AG743" s="6" t="s">
        <v>246</v>
      </c>
      <c r="AH743" s="5" t="s">
        <v>247</v>
      </c>
      <c r="AI743" s="5" t="s">
        <v>248</v>
      </c>
      <c r="AO743" s="5" t="s">
        <v>238</v>
      </c>
      <c r="AP743" s="5" t="s">
        <v>238</v>
      </c>
      <c r="AQ743" s="5" t="s">
        <v>238</v>
      </c>
      <c r="AR743" s="6" t="s">
        <v>238</v>
      </c>
      <c r="AS743" s="6" t="s">
        <v>238</v>
      </c>
      <c r="AT743" s="6" t="s">
        <v>238</v>
      </c>
      <c r="AW743" s="5" t="s">
        <v>304</v>
      </c>
      <c r="AX743" s="5" t="s">
        <v>304</v>
      </c>
      <c r="AY743" s="5" t="s">
        <v>250</v>
      </c>
      <c r="AZ743" s="5" t="s">
        <v>305</v>
      </c>
      <c r="BA743" s="5" t="s">
        <v>251</v>
      </c>
      <c r="BB743" s="5" t="s">
        <v>238</v>
      </c>
      <c r="BC743" s="5" t="s">
        <v>253</v>
      </c>
      <c r="BD743" s="5" t="s">
        <v>238</v>
      </c>
      <c r="BF743" s="5" t="s">
        <v>238</v>
      </c>
      <c r="BH743" s="5" t="s">
        <v>283</v>
      </c>
      <c r="BI743" s="6" t="s">
        <v>293</v>
      </c>
      <c r="BJ743" s="5" t="s">
        <v>294</v>
      </c>
      <c r="BK743" s="5" t="s">
        <v>294</v>
      </c>
      <c r="BL743" s="5" t="s">
        <v>238</v>
      </c>
      <c r="BM743" s="7">
        <f>0</f>
        <v>0</v>
      </c>
      <c r="BN743" s="8">
        <f>-1172348</f>
        <v>-1172348</v>
      </c>
      <c r="BO743" s="5" t="s">
        <v>257</v>
      </c>
      <c r="BP743" s="5" t="s">
        <v>258</v>
      </c>
      <c r="BQ743" s="5" t="s">
        <v>238</v>
      </c>
      <c r="BR743" s="5" t="s">
        <v>238</v>
      </c>
      <c r="BS743" s="5" t="s">
        <v>238</v>
      </c>
      <c r="BT743" s="5" t="s">
        <v>238</v>
      </c>
      <c r="CC743" s="5" t="s">
        <v>258</v>
      </c>
      <c r="CD743" s="5" t="s">
        <v>238</v>
      </c>
      <c r="CE743" s="5" t="s">
        <v>238</v>
      </c>
      <c r="CI743" s="5" t="s">
        <v>259</v>
      </c>
      <c r="CJ743" s="5" t="s">
        <v>260</v>
      </c>
      <c r="CK743" s="5" t="s">
        <v>238</v>
      </c>
      <c r="CM743" s="5" t="s">
        <v>807</v>
      </c>
      <c r="CN743" s="6" t="s">
        <v>262</v>
      </c>
      <c r="CO743" s="5" t="s">
        <v>263</v>
      </c>
      <c r="CP743" s="5" t="s">
        <v>264</v>
      </c>
      <c r="CQ743" s="5" t="s">
        <v>285</v>
      </c>
      <c r="CR743" s="5" t="s">
        <v>238</v>
      </c>
      <c r="CS743" s="5">
        <v>4.5999999999999999E-2</v>
      </c>
      <c r="CT743" s="5" t="s">
        <v>265</v>
      </c>
      <c r="CU743" s="5" t="s">
        <v>1360</v>
      </c>
      <c r="CV743" s="5" t="s">
        <v>267</v>
      </c>
      <c r="CW743" s="7">
        <f>0</f>
        <v>0</v>
      </c>
      <c r="CX743" s="8">
        <f>25485840</f>
        <v>25485840</v>
      </c>
      <c r="CY743" s="8">
        <f>4383576</f>
        <v>4383576</v>
      </c>
      <c r="DA743" s="5" t="s">
        <v>238</v>
      </c>
      <c r="DB743" s="5" t="s">
        <v>238</v>
      </c>
      <c r="DD743" s="5" t="s">
        <v>238</v>
      </c>
      <c r="DE743" s="8">
        <f>0</f>
        <v>0</v>
      </c>
      <c r="DG743" s="5" t="s">
        <v>238</v>
      </c>
      <c r="DH743" s="5" t="s">
        <v>238</v>
      </c>
      <c r="DI743" s="5" t="s">
        <v>238</v>
      </c>
      <c r="DJ743" s="5" t="s">
        <v>238</v>
      </c>
      <c r="DK743" s="5" t="s">
        <v>274</v>
      </c>
      <c r="DL743" s="5" t="s">
        <v>272</v>
      </c>
      <c r="DM743" s="7">
        <f>157.32</f>
        <v>157.32</v>
      </c>
      <c r="DN743" s="5" t="s">
        <v>238</v>
      </c>
      <c r="DO743" s="5" t="s">
        <v>238</v>
      </c>
      <c r="DP743" s="5" t="s">
        <v>238</v>
      </c>
      <c r="DQ743" s="5" t="s">
        <v>238</v>
      </c>
      <c r="DT743" s="5" t="s">
        <v>2725</v>
      </c>
      <c r="DU743" s="5" t="s">
        <v>356</v>
      </c>
      <c r="GL743" s="5" t="s">
        <v>2735</v>
      </c>
      <c r="HM743" s="5" t="s">
        <v>313</v>
      </c>
      <c r="HP743" s="5" t="s">
        <v>272</v>
      </c>
      <c r="HQ743" s="5" t="s">
        <v>272</v>
      </c>
      <c r="HR743" s="5" t="s">
        <v>238</v>
      </c>
      <c r="HS743" s="5" t="s">
        <v>238</v>
      </c>
      <c r="HT743" s="5" t="s">
        <v>238</v>
      </c>
      <c r="HU743" s="5" t="s">
        <v>238</v>
      </c>
      <c r="HV743" s="5" t="s">
        <v>238</v>
      </c>
      <c r="HW743" s="5" t="s">
        <v>238</v>
      </c>
      <c r="HX743" s="5" t="s">
        <v>238</v>
      </c>
      <c r="HY743" s="5" t="s">
        <v>238</v>
      </c>
      <c r="HZ743" s="5" t="s">
        <v>238</v>
      </c>
      <c r="IA743" s="5" t="s">
        <v>238</v>
      </c>
      <c r="IB743" s="5" t="s">
        <v>238</v>
      </c>
      <c r="IC743" s="5" t="s">
        <v>238</v>
      </c>
      <c r="ID743" s="5" t="s">
        <v>238</v>
      </c>
    </row>
    <row r="744" spans="1:238" x14ac:dyDescent="0.4">
      <c r="A744" s="5">
        <v>836</v>
      </c>
      <c r="B744" s="5">
        <v>1</v>
      </c>
      <c r="C744" s="5">
        <v>4</v>
      </c>
      <c r="D744" s="5" t="s">
        <v>2723</v>
      </c>
      <c r="E744" s="5" t="s">
        <v>277</v>
      </c>
      <c r="F744" s="5" t="s">
        <v>282</v>
      </c>
      <c r="G744" s="5" t="s">
        <v>2485</v>
      </c>
      <c r="H744" s="6" t="s">
        <v>2724</v>
      </c>
      <c r="I744" s="5" t="s">
        <v>2494</v>
      </c>
      <c r="J744" s="7">
        <f>157.32</f>
        <v>157.32</v>
      </c>
      <c r="K744" s="5" t="s">
        <v>270</v>
      </c>
      <c r="L744" s="8">
        <f>3211228</f>
        <v>3211228</v>
      </c>
      <c r="M744" s="8">
        <f>25485840</f>
        <v>25485840</v>
      </c>
      <c r="N744" s="6" t="s">
        <v>804</v>
      </c>
      <c r="O744" s="5" t="s">
        <v>286</v>
      </c>
      <c r="P744" s="5" t="s">
        <v>631</v>
      </c>
      <c r="Q744" s="8">
        <f>1172348</f>
        <v>1172348</v>
      </c>
      <c r="R744" s="8">
        <f>22274612</f>
        <v>22274612</v>
      </c>
      <c r="S744" s="5" t="s">
        <v>240</v>
      </c>
      <c r="T744" s="5" t="s">
        <v>237</v>
      </c>
      <c r="U744" s="5" t="s">
        <v>238</v>
      </c>
      <c r="V744" s="5" t="s">
        <v>238</v>
      </c>
      <c r="W744" s="5" t="s">
        <v>241</v>
      </c>
      <c r="X744" s="5" t="s">
        <v>276</v>
      </c>
      <c r="Y744" s="5" t="s">
        <v>238</v>
      </c>
      <c r="AB744" s="5" t="s">
        <v>238</v>
      </c>
      <c r="AC744" s="6" t="s">
        <v>238</v>
      </c>
      <c r="AD744" s="6" t="s">
        <v>238</v>
      </c>
      <c r="AF744" s="6" t="s">
        <v>238</v>
      </c>
      <c r="AG744" s="6" t="s">
        <v>246</v>
      </c>
      <c r="AH744" s="5" t="s">
        <v>247</v>
      </c>
      <c r="AI744" s="5" t="s">
        <v>248</v>
      </c>
      <c r="AO744" s="5" t="s">
        <v>238</v>
      </c>
      <c r="AP744" s="5" t="s">
        <v>238</v>
      </c>
      <c r="AQ744" s="5" t="s">
        <v>238</v>
      </c>
      <c r="AR744" s="6" t="s">
        <v>238</v>
      </c>
      <c r="AS744" s="6" t="s">
        <v>238</v>
      </c>
      <c r="AT744" s="6" t="s">
        <v>238</v>
      </c>
      <c r="AW744" s="5" t="s">
        <v>304</v>
      </c>
      <c r="AX744" s="5" t="s">
        <v>304</v>
      </c>
      <c r="AY744" s="5" t="s">
        <v>250</v>
      </c>
      <c r="AZ744" s="5" t="s">
        <v>305</v>
      </c>
      <c r="BA744" s="5" t="s">
        <v>251</v>
      </c>
      <c r="BB744" s="5" t="s">
        <v>238</v>
      </c>
      <c r="BC744" s="5" t="s">
        <v>253</v>
      </c>
      <c r="BD744" s="5" t="s">
        <v>238</v>
      </c>
      <c r="BF744" s="5" t="s">
        <v>238</v>
      </c>
      <c r="BH744" s="5" t="s">
        <v>283</v>
      </c>
      <c r="BI744" s="6" t="s">
        <v>293</v>
      </c>
      <c r="BJ744" s="5" t="s">
        <v>294</v>
      </c>
      <c r="BK744" s="5" t="s">
        <v>294</v>
      </c>
      <c r="BL744" s="5" t="s">
        <v>238</v>
      </c>
      <c r="BM744" s="7">
        <f>0</f>
        <v>0</v>
      </c>
      <c r="BN744" s="8">
        <f>-1172348</f>
        <v>-1172348</v>
      </c>
      <c r="BO744" s="5" t="s">
        <v>257</v>
      </c>
      <c r="BP744" s="5" t="s">
        <v>258</v>
      </c>
      <c r="BQ744" s="5" t="s">
        <v>238</v>
      </c>
      <c r="BR744" s="5" t="s">
        <v>238</v>
      </c>
      <c r="BS744" s="5" t="s">
        <v>238</v>
      </c>
      <c r="BT744" s="5" t="s">
        <v>238</v>
      </c>
      <c r="CC744" s="5" t="s">
        <v>258</v>
      </c>
      <c r="CD744" s="5" t="s">
        <v>238</v>
      </c>
      <c r="CE744" s="5" t="s">
        <v>238</v>
      </c>
      <c r="CI744" s="5" t="s">
        <v>259</v>
      </c>
      <c r="CJ744" s="5" t="s">
        <v>260</v>
      </c>
      <c r="CK744" s="5" t="s">
        <v>238</v>
      </c>
      <c r="CM744" s="5" t="s">
        <v>807</v>
      </c>
      <c r="CN744" s="6" t="s">
        <v>262</v>
      </c>
      <c r="CO744" s="5" t="s">
        <v>263</v>
      </c>
      <c r="CP744" s="5" t="s">
        <v>264</v>
      </c>
      <c r="CQ744" s="5" t="s">
        <v>285</v>
      </c>
      <c r="CR744" s="5" t="s">
        <v>238</v>
      </c>
      <c r="CS744" s="5">
        <v>4.5999999999999999E-2</v>
      </c>
      <c r="CT744" s="5" t="s">
        <v>265</v>
      </c>
      <c r="CU744" s="5" t="s">
        <v>1360</v>
      </c>
      <c r="CV744" s="5" t="s">
        <v>267</v>
      </c>
      <c r="CW744" s="7">
        <f>0</f>
        <v>0</v>
      </c>
      <c r="CX744" s="8">
        <f>25485840</f>
        <v>25485840</v>
      </c>
      <c r="CY744" s="8">
        <f>4383576</f>
        <v>4383576</v>
      </c>
      <c r="DA744" s="5" t="s">
        <v>238</v>
      </c>
      <c r="DB744" s="5" t="s">
        <v>238</v>
      </c>
      <c r="DD744" s="5" t="s">
        <v>238</v>
      </c>
      <c r="DE744" s="8">
        <f>0</f>
        <v>0</v>
      </c>
      <c r="DG744" s="5" t="s">
        <v>238</v>
      </c>
      <c r="DH744" s="5" t="s">
        <v>238</v>
      </c>
      <c r="DI744" s="5" t="s">
        <v>238</v>
      </c>
      <c r="DJ744" s="5" t="s">
        <v>238</v>
      </c>
      <c r="DK744" s="5" t="s">
        <v>274</v>
      </c>
      <c r="DL744" s="5" t="s">
        <v>272</v>
      </c>
      <c r="DM744" s="7">
        <f>157.32</f>
        <v>157.32</v>
      </c>
      <c r="DN744" s="5" t="s">
        <v>238</v>
      </c>
      <c r="DO744" s="5" t="s">
        <v>238</v>
      </c>
      <c r="DP744" s="5" t="s">
        <v>238</v>
      </c>
      <c r="DQ744" s="5" t="s">
        <v>238</v>
      </c>
      <c r="DT744" s="5" t="s">
        <v>2725</v>
      </c>
      <c r="DU744" s="5" t="s">
        <v>310</v>
      </c>
      <c r="GL744" s="5" t="s">
        <v>2734</v>
      </c>
      <c r="HM744" s="5" t="s">
        <v>313</v>
      </c>
      <c r="HP744" s="5" t="s">
        <v>272</v>
      </c>
      <c r="HQ744" s="5" t="s">
        <v>272</v>
      </c>
      <c r="HR744" s="5" t="s">
        <v>238</v>
      </c>
      <c r="HS744" s="5" t="s">
        <v>238</v>
      </c>
      <c r="HT744" s="5" t="s">
        <v>238</v>
      </c>
      <c r="HU744" s="5" t="s">
        <v>238</v>
      </c>
      <c r="HV744" s="5" t="s">
        <v>238</v>
      </c>
      <c r="HW744" s="5" t="s">
        <v>238</v>
      </c>
      <c r="HX744" s="5" t="s">
        <v>238</v>
      </c>
      <c r="HY744" s="5" t="s">
        <v>238</v>
      </c>
      <c r="HZ744" s="5" t="s">
        <v>238</v>
      </c>
      <c r="IA744" s="5" t="s">
        <v>238</v>
      </c>
      <c r="IB744" s="5" t="s">
        <v>238</v>
      </c>
      <c r="IC744" s="5" t="s">
        <v>238</v>
      </c>
      <c r="ID744" s="5" t="s">
        <v>238</v>
      </c>
    </row>
    <row r="745" spans="1:238" x14ac:dyDescent="0.4">
      <c r="A745" s="5">
        <v>837</v>
      </c>
      <c r="B745" s="5">
        <v>1</v>
      </c>
      <c r="C745" s="5">
        <v>4</v>
      </c>
      <c r="D745" s="5" t="s">
        <v>2723</v>
      </c>
      <c r="E745" s="5" t="s">
        <v>277</v>
      </c>
      <c r="F745" s="5" t="s">
        <v>282</v>
      </c>
      <c r="G745" s="5" t="s">
        <v>2485</v>
      </c>
      <c r="H745" s="6" t="s">
        <v>2724</v>
      </c>
      <c r="I745" s="5" t="s">
        <v>2489</v>
      </c>
      <c r="J745" s="7">
        <f t="shared" ref="J745:J752" si="32">77.76</f>
        <v>77.760000000000005</v>
      </c>
      <c r="K745" s="5" t="s">
        <v>270</v>
      </c>
      <c r="L745" s="8">
        <f t="shared" ref="L745:L752" si="33">3674640</f>
        <v>3674640</v>
      </c>
      <c r="M745" s="8">
        <f t="shared" ref="M745:M752" si="34">13919040</f>
        <v>13919040</v>
      </c>
      <c r="N745" s="6" t="s">
        <v>1111</v>
      </c>
      <c r="O745" s="5" t="s">
        <v>286</v>
      </c>
      <c r="P745" s="5" t="s">
        <v>1114</v>
      </c>
      <c r="Q745" s="8">
        <f t="shared" ref="Q745:Q752" si="35">640275</f>
        <v>640275</v>
      </c>
      <c r="R745" s="8">
        <f t="shared" ref="R745:R752" si="36">10244400</f>
        <v>10244400</v>
      </c>
      <c r="S745" s="5" t="s">
        <v>240</v>
      </c>
      <c r="T745" s="5" t="s">
        <v>237</v>
      </c>
      <c r="U745" s="5" t="s">
        <v>238</v>
      </c>
      <c r="V745" s="5" t="s">
        <v>238</v>
      </c>
      <c r="W745" s="5" t="s">
        <v>241</v>
      </c>
      <c r="X745" s="5" t="s">
        <v>276</v>
      </c>
      <c r="Y745" s="5" t="s">
        <v>238</v>
      </c>
      <c r="AB745" s="5" t="s">
        <v>238</v>
      </c>
      <c r="AC745" s="6" t="s">
        <v>238</v>
      </c>
      <c r="AD745" s="6" t="s">
        <v>238</v>
      </c>
      <c r="AF745" s="6" t="s">
        <v>238</v>
      </c>
      <c r="AG745" s="6" t="s">
        <v>246</v>
      </c>
      <c r="AH745" s="5" t="s">
        <v>247</v>
      </c>
      <c r="AI745" s="5" t="s">
        <v>248</v>
      </c>
      <c r="AO745" s="5" t="s">
        <v>238</v>
      </c>
      <c r="AP745" s="5" t="s">
        <v>238</v>
      </c>
      <c r="AQ745" s="5" t="s">
        <v>238</v>
      </c>
      <c r="AR745" s="6" t="s">
        <v>238</v>
      </c>
      <c r="AS745" s="6" t="s">
        <v>238</v>
      </c>
      <c r="AT745" s="6" t="s">
        <v>238</v>
      </c>
      <c r="AW745" s="5" t="s">
        <v>304</v>
      </c>
      <c r="AX745" s="5" t="s">
        <v>304</v>
      </c>
      <c r="AY745" s="5" t="s">
        <v>250</v>
      </c>
      <c r="AZ745" s="5" t="s">
        <v>305</v>
      </c>
      <c r="BA745" s="5" t="s">
        <v>251</v>
      </c>
      <c r="BB745" s="5" t="s">
        <v>238</v>
      </c>
      <c r="BC745" s="5" t="s">
        <v>253</v>
      </c>
      <c r="BD745" s="5" t="s">
        <v>238</v>
      </c>
      <c r="BF745" s="5" t="s">
        <v>238</v>
      </c>
      <c r="BH745" s="5" t="s">
        <v>283</v>
      </c>
      <c r="BI745" s="6" t="s">
        <v>293</v>
      </c>
      <c r="BJ745" s="5" t="s">
        <v>294</v>
      </c>
      <c r="BK745" s="5" t="s">
        <v>294</v>
      </c>
      <c r="BL745" s="5" t="s">
        <v>238</v>
      </c>
      <c r="BM745" s="7">
        <f>0</f>
        <v>0</v>
      </c>
      <c r="BN745" s="8">
        <f t="shared" ref="BN745:BN752" si="37">-640275</f>
        <v>-640275</v>
      </c>
      <c r="BO745" s="5" t="s">
        <v>257</v>
      </c>
      <c r="BP745" s="5" t="s">
        <v>258</v>
      </c>
      <c r="BQ745" s="5" t="s">
        <v>238</v>
      </c>
      <c r="BR745" s="5" t="s">
        <v>238</v>
      </c>
      <c r="BS745" s="5" t="s">
        <v>238</v>
      </c>
      <c r="BT745" s="5" t="s">
        <v>238</v>
      </c>
      <c r="CC745" s="5" t="s">
        <v>258</v>
      </c>
      <c r="CD745" s="5" t="s">
        <v>238</v>
      </c>
      <c r="CE745" s="5" t="s">
        <v>238</v>
      </c>
      <c r="CI745" s="5" t="s">
        <v>259</v>
      </c>
      <c r="CJ745" s="5" t="s">
        <v>260</v>
      </c>
      <c r="CK745" s="5" t="s">
        <v>238</v>
      </c>
      <c r="CM745" s="5" t="s">
        <v>1113</v>
      </c>
      <c r="CN745" s="6" t="s">
        <v>262</v>
      </c>
      <c r="CO745" s="5" t="s">
        <v>263</v>
      </c>
      <c r="CP745" s="5" t="s">
        <v>264</v>
      </c>
      <c r="CQ745" s="5" t="s">
        <v>285</v>
      </c>
      <c r="CR745" s="5" t="s">
        <v>238</v>
      </c>
      <c r="CS745" s="5">
        <v>4.5999999999999999E-2</v>
      </c>
      <c r="CT745" s="5" t="s">
        <v>265</v>
      </c>
      <c r="CU745" s="5" t="s">
        <v>1360</v>
      </c>
      <c r="CV745" s="5" t="s">
        <v>267</v>
      </c>
      <c r="CW745" s="7">
        <f>0</f>
        <v>0</v>
      </c>
      <c r="CX745" s="8">
        <f t="shared" ref="CX745:CX752" si="38">13919040</f>
        <v>13919040</v>
      </c>
      <c r="CY745" s="8">
        <f t="shared" ref="CY745:CY752" si="39">4314915</f>
        <v>4314915</v>
      </c>
      <c r="DA745" s="5" t="s">
        <v>238</v>
      </c>
      <c r="DB745" s="5" t="s">
        <v>238</v>
      </c>
      <c r="DD745" s="5" t="s">
        <v>238</v>
      </c>
      <c r="DE745" s="8">
        <f>0</f>
        <v>0</v>
      </c>
      <c r="DG745" s="5" t="s">
        <v>238</v>
      </c>
      <c r="DH745" s="5" t="s">
        <v>238</v>
      </c>
      <c r="DI745" s="5" t="s">
        <v>238</v>
      </c>
      <c r="DJ745" s="5" t="s">
        <v>238</v>
      </c>
      <c r="DK745" s="5" t="s">
        <v>271</v>
      </c>
      <c r="DL745" s="5" t="s">
        <v>272</v>
      </c>
      <c r="DM745" s="7">
        <f t="shared" ref="DM745:DM752" si="40">77.76</f>
        <v>77.760000000000005</v>
      </c>
      <c r="DN745" s="5" t="s">
        <v>238</v>
      </c>
      <c r="DO745" s="5" t="s">
        <v>238</v>
      </c>
      <c r="DP745" s="5" t="s">
        <v>238</v>
      </c>
      <c r="DQ745" s="5" t="s">
        <v>238</v>
      </c>
      <c r="DT745" s="5" t="s">
        <v>2725</v>
      </c>
      <c r="DU745" s="5" t="s">
        <v>379</v>
      </c>
      <c r="GL745" s="5" t="s">
        <v>2733</v>
      </c>
      <c r="HM745" s="5" t="s">
        <v>313</v>
      </c>
      <c r="HP745" s="5" t="s">
        <v>272</v>
      </c>
      <c r="HQ745" s="5" t="s">
        <v>272</v>
      </c>
      <c r="HR745" s="5" t="s">
        <v>238</v>
      </c>
      <c r="HS745" s="5" t="s">
        <v>238</v>
      </c>
      <c r="HT745" s="5" t="s">
        <v>238</v>
      </c>
      <c r="HU745" s="5" t="s">
        <v>238</v>
      </c>
      <c r="HV745" s="5" t="s">
        <v>238</v>
      </c>
      <c r="HW745" s="5" t="s">
        <v>238</v>
      </c>
      <c r="HX745" s="5" t="s">
        <v>238</v>
      </c>
      <c r="HY745" s="5" t="s">
        <v>238</v>
      </c>
      <c r="HZ745" s="5" t="s">
        <v>238</v>
      </c>
      <c r="IA745" s="5" t="s">
        <v>238</v>
      </c>
      <c r="IB745" s="5" t="s">
        <v>238</v>
      </c>
      <c r="IC745" s="5" t="s">
        <v>238</v>
      </c>
      <c r="ID745" s="5" t="s">
        <v>238</v>
      </c>
    </row>
    <row r="746" spans="1:238" x14ac:dyDescent="0.4">
      <c r="A746" s="5">
        <v>838</v>
      </c>
      <c r="B746" s="5">
        <v>1</v>
      </c>
      <c r="C746" s="5">
        <v>4</v>
      </c>
      <c r="D746" s="5" t="s">
        <v>2723</v>
      </c>
      <c r="E746" s="5" t="s">
        <v>277</v>
      </c>
      <c r="F746" s="5" t="s">
        <v>282</v>
      </c>
      <c r="G746" s="5" t="s">
        <v>2485</v>
      </c>
      <c r="H746" s="6" t="s">
        <v>2724</v>
      </c>
      <c r="I746" s="5" t="s">
        <v>2520</v>
      </c>
      <c r="J746" s="7">
        <f t="shared" si="32"/>
        <v>77.760000000000005</v>
      </c>
      <c r="K746" s="5" t="s">
        <v>270</v>
      </c>
      <c r="L746" s="8">
        <f t="shared" si="33"/>
        <v>3674640</v>
      </c>
      <c r="M746" s="8">
        <f t="shared" si="34"/>
        <v>13919040</v>
      </c>
      <c r="N746" s="6" t="s">
        <v>1111</v>
      </c>
      <c r="O746" s="5" t="s">
        <v>286</v>
      </c>
      <c r="P746" s="5" t="s">
        <v>1114</v>
      </c>
      <c r="Q746" s="8">
        <f t="shared" si="35"/>
        <v>640275</v>
      </c>
      <c r="R746" s="8">
        <f t="shared" si="36"/>
        <v>10244400</v>
      </c>
      <c r="S746" s="5" t="s">
        <v>240</v>
      </c>
      <c r="T746" s="5" t="s">
        <v>237</v>
      </c>
      <c r="U746" s="5" t="s">
        <v>238</v>
      </c>
      <c r="V746" s="5" t="s">
        <v>238</v>
      </c>
      <c r="W746" s="5" t="s">
        <v>241</v>
      </c>
      <c r="X746" s="5" t="s">
        <v>276</v>
      </c>
      <c r="Y746" s="5" t="s">
        <v>238</v>
      </c>
      <c r="AB746" s="5" t="s">
        <v>238</v>
      </c>
      <c r="AC746" s="6" t="s">
        <v>238</v>
      </c>
      <c r="AD746" s="6" t="s">
        <v>238</v>
      </c>
      <c r="AF746" s="6" t="s">
        <v>238</v>
      </c>
      <c r="AG746" s="6" t="s">
        <v>246</v>
      </c>
      <c r="AH746" s="5" t="s">
        <v>247</v>
      </c>
      <c r="AI746" s="5" t="s">
        <v>248</v>
      </c>
      <c r="AO746" s="5" t="s">
        <v>238</v>
      </c>
      <c r="AP746" s="5" t="s">
        <v>238</v>
      </c>
      <c r="AQ746" s="5" t="s">
        <v>238</v>
      </c>
      <c r="AR746" s="6" t="s">
        <v>238</v>
      </c>
      <c r="AS746" s="6" t="s">
        <v>238</v>
      </c>
      <c r="AT746" s="6" t="s">
        <v>238</v>
      </c>
      <c r="AW746" s="5" t="s">
        <v>304</v>
      </c>
      <c r="AX746" s="5" t="s">
        <v>304</v>
      </c>
      <c r="AY746" s="5" t="s">
        <v>250</v>
      </c>
      <c r="AZ746" s="5" t="s">
        <v>305</v>
      </c>
      <c r="BA746" s="5" t="s">
        <v>251</v>
      </c>
      <c r="BB746" s="5" t="s">
        <v>238</v>
      </c>
      <c r="BC746" s="5" t="s">
        <v>253</v>
      </c>
      <c r="BD746" s="5" t="s">
        <v>238</v>
      </c>
      <c r="BF746" s="5" t="s">
        <v>238</v>
      </c>
      <c r="BH746" s="5" t="s">
        <v>283</v>
      </c>
      <c r="BI746" s="6" t="s">
        <v>293</v>
      </c>
      <c r="BJ746" s="5" t="s">
        <v>294</v>
      </c>
      <c r="BK746" s="5" t="s">
        <v>294</v>
      </c>
      <c r="BL746" s="5" t="s">
        <v>238</v>
      </c>
      <c r="BM746" s="7">
        <f>0</f>
        <v>0</v>
      </c>
      <c r="BN746" s="8">
        <f t="shared" si="37"/>
        <v>-640275</v>
      </c>
      <c r="BO746" s="5" t="s">
        <v>257</v>
      </c>
      <c r="BP746" s="5" t="s">
        <v>258</v>
      </c>
      <c r="BQ746" s="5" t="s">
        <v>238</v>
      </c>
      <c r="BR746" s="5" t="s">
        <v>238</v>
      </c>
      <c r="BS746" s="5" t="s">
        <v>238</v>
      </c>
      <c r="BT746" s="5" t="s">
        <v>238</v>
      </c>
      <c r="CC746" s="5" t="s">
        <v>258</v>
      </c>
      <c r="CD746" s="5" t="s">
        <v>238</v>
      </c>
      <c r="CE746" s="5" t="s">
        <v>238</v>
      </c>
      <c r="CI746" s="5" t="s">
        <v>259</v>
      </c>
      <c r="CJ746" s="5" t="s">
        <v>260</v>
      </c>
      <c r="CK746" s="5" t="s">
        <v>238</v>
      </c>
      <c r="CM746" s="5" t="s">
        <v>1113</v>
      </c>
      <c r="CN746" s="6" t="s">
        <v>262</v>
      </c>
      <c r="CO746" s="5" t="s">
        <v>263</v>
      </c>
      <c r="CP746" s="5" t="s">
        <v>264</v>
      </c>
      <c r="CQ746" s="5" t="s">
        <v>285</v>
      </c>
      <c r="CR746" s="5" t="s">
        <v>238</v>
      </c>
      <c r="CS746" s="5">
        <v>4.5999999999999999E-2</v>
      </c>
      <c r="CT746" s="5" t="s">
        <v>265</v>
      </c>
      <c r="CU746" s="5" t="s">
        <v>1360</v>
      </c>
      <c r="CV746" s="5" t="s">
        <v>267</v>
      </c>
      <c r="CW746" s="7">
        <f>0</f>
        <v>0</v>
      </c>
      <c r="CX746" s="8">
        <f t="shared" si="38"/>
        <v>13919040</v>
      </c>
      <c r="CY746" s="8">
        <f t="shared" si="39"/>
        <v>4314915</v>
      </c>
      <c r="DA746" s="5" t="s">
        <v>238</v>
      </c>
      <c r="DB746" s="5" t="s">
        <v>238</v>
      </c>
      <c r="DD746" s="5" t="s">
        <v>238</v>
      </c>
      <c r="DE746" s="8">
        <f>0</f>
        <v>0</v>
      </c>
      <c r="DG746" s="5" t="s">
        <v>238</v>
      </c>
      <c r="DH746" s="5" t="s">
        <v>238</v>
      </c>
      <c r="DI746" s="5" t="s">
        <v>238</v>
      </c>
      <c r="DJ746" s="5" t="s">
        <v>238</v>
      </c>
      <c r="DK746" s="5" t="s">
        <v>271</v>
      </c>
      <c r="DL746" s="5" t="s">
        <v>272</v>
      </c>
      <c r="DM746" s="7">
        <f t="shared" si="40"/>
        <v>77.760000000000005</v>
      </c>
      <c r="DN746" s="5" t="s">
        <v>238</v>
      </c>
      <c r="DO746" s="5" t="s">
        <v>238</v>
      </c>
      <c r="DP746" s="5" t="s">
        <v>238</v>
      </c>
      <c r="DQ746" s="5" t="s">
        <v>238</v>
      </c>
      <c r="DT746" s="5" t="s">
        <v>2725</v>
      </c>
      <c r="DU746" s="5" t="s">
        <v>313</v>
      </c>
      <c r="GL746" s="5" t="s">
        <v>2732</v>
      </c>
      <c r="HM746" s="5" t="s">
        <v>313</v>
      </c>
      <c r="HP746" s="5" t="s">
        <v>272</v>
      </c>
      <c r="HQ746" s="5" t="s">
        <v>272</v>
      </c>
      <c r="HR746" s="5" t="s">
        <v>238</v>
      </c>
      <c r="HS746" s="5" t="s">
        <v>238</v>
      </c>
      <c r="HT746" s="5" t="s">
        <v>238</v>
      </c>
      <c r="HU746" s="5" t="s">
        <v>238</v>
      </c>
      <c r="HV746" s="5" t="s">
        <v>238</v>
      </c>
      <c r="HW746" s="5" t="s">
        <v>238</v>
      </c>
      <c r="HX746" s="5" t="s">
        <v>238</v>
      </c>
      <c r="HY746" s="5" t="s">
        <v>238</v>
      </c>
      <c r="HZ746" s="5" t="s">
        <v>238</v>
      </c>
      <c r="IA746" s="5" t="s">
        <v>238</v>
      </c>
      <c r="IB746" s="5" t="s">
        <v>238</v>
      </c>
      <c r="IC746" s="5" t="s">
        <v>238</v>
      </c>
      <c r="ID746" s="5" t="s">
        <v>238</v>
      </c>
    </row>
    <row r="747" spans="1:238" x14ac:dyDescent="0.4">
      <c r="A747" s="5">
        <v>839</v>
      </c>
      <c r="B747" s="5">
        <v>1</v>
      </c>
      <c r="C747" s="5">
        <v>4</v>
      </c>
      <c r="D747" s="5" t="s">
        <v>2723</v>
      </c>
      <c r="E747" s="5" t="s">
        <v>277</v>
      </c>
      <c r="F747" s="5" t="s">
        <v>282</v>
      </c>
      <c r="G747" s="5" t="s">
        <v>2485</v>
      </c>
      <c r="H747" s="6" t="s">
        <v>2724</v>
      </c>
      <c r="I747" s="5" t="s">
        <v>2516</v>
      </c>
      <c r="J747" s="7">
        <f t="shared" si="32"/>
        <v>77.760000000000005</v>
      </c>
      <c r="K747" s="5" t="s">
        <v>270</v>
      </c>
      <c r="L747" s="8">
        <f t="shared" si="33"/>
        <v>3674640</v>
      </c>
      <c r="M747" s="8">
        <f t="shared" si="34"/>
        <v>13919040</v>
      </c>
      <c r="N747" s="6" t="s">
        <v>1111</v>
      </c>
      <c r="O747" s="5" t="s">
        <v>286</v>
      </c>
      <c r="P747" s="5" t="s">
        <v>1114</v>
      </c>
      <c r="Q747" s="8">
        <f t="shared" si="35"/>
        <v>640275</v>
      </c>
      <c r="R747" s="8">
        <f t="shared" si="36"/>
        <v>10244400</v>
      </c>
      <c r="S747" s="5" t="s">
        <v>240</v>
      </c>
      <c r="T747" s="5" t="s">
        <v>237</v>
      </c>
      <c r="U747" s="5" t="s">
        <v>238</v>
      </c>
      <c r="V747" s="5" t="s">
        <v>238</v>
      </c>
      <c r="W747" s="5" t="s">
        <v>241</v>
      </c>
      <c r="X747" s="5" t="s">
        <v>276</v>
      </c>
      <c r="Y747" s="5" t="s">
        <v>238</v>
      </c>
      <c r="AB747" s="5" t="s">
        <v>238</v>
      </c>
      <c r="AC747" s="6" t="s">
        <v>238</v>
      </c>
      <c r="AD747" s="6" t="s">
        <v>238</v>
      </c>
      <c r="AF747" s="6" t="s">
        <v>238</v>
      </c>
      <c r="AG747" s="6" t="s">
        <v>374</v>
      </c>
      <c r="AH747" s="5" t="s">
        <v>247</v>
      </c>
      <c r="AI747" s="5" t="s">
        <v>248</v>
      </c>
      <c r="AO747" s="5" t="s">
        <v>238</v>
      </c>
      <c r="AP747" s="5" t="s">
        <v>238</v>
      </c>
      <c r="AQ747" s="5" t="s">
        <v>238</v>
      </c>
      <c r="AR747" s="6" t="s">
        <v>238</v>
      </c>
      <c r="AS747" s="6" t="s">
        <v>238</v>
      </c>
      <c r="AT747" s="6" t="s">
        <v>238</v>
      </c>
      <c r="AW747" s="5" t="s">
        <v>304</v>
      </c>
      <c r="AX747" s="5" t="s">
        <v>304</v>
      </c>
      <c r="AY747" s="5" t="s">
        <v>250</v>
      </c>
      <c r="AZ747" s="5" t="s">
        <v>305</v>
      </c>
      <c r="BA747" s="5" t="s">
        <v>251</v>
      </c>
      <c r="BB747" s="5" t="s">
        <v>238</v>
      </c>
      <c r="BC747" s="5" t="s">
        <v>253</v>
      </c>
      <c r="BD747" s="5" t="s">
        <v>238</v>
      </c>
      <c r="BF747" s="5" t="s">
        <v>238</v>
      </c>
      <c r="BH747" s="5" t="s">
        <v>283</v>
      </c>
      <c r="BI747" s="6" t="s">
        <v>293</v>
      </c>
      <c r="BJ747" s="5" t="s">
        <v>294</v>
      </c>
      <c r="BK747" s="5" t="s">
        <v>294</v>
      </c>
      <c r="BL747" s="5" t="s">
        <v>238</v>
      </c>
      <c r="BM747" s="7">
        <f>0</f>
        <v>0</v>
      </c>
      <c r="BN747" s="8">
        <f t="shared" si="37"/>
        <v>-640275</v>
      </c>
      <c r="BO747" s="5" t="s">
        <v>257</v>
      </c>
      <c r="BP747" s="5" t="s">
        <v>258</v>
      </c>
      <c r="BQ747" s="5" t="s">
        <v>238</v>
      </c>
      <c r="BR747" s="5" t="s">
        <v>238</v>
      </c>
      <c r="BS747" s="5" t="s">
        <v>238</v>
      </c>
      <c r="BT747" s="5" t="s">
        <v>238</v>
      </c>
      <c r="CC747" s="5" t="s">
        <v>258</v>
      </c>
      <c r="CD747" s="5" t="s">
        <v>238</v>
      </c>
      <c r="CE747" s="5" t="s">
        <v>238</v>
      </c>
      <c r="CI747" s="5" t="s">
        <v>259</v>
      </c>
      <c r="CJ747" s="5" t="s">
        <v>260</v>
      </c>
      <c r="CK747" s="5" t="s">
        <v>238</v>
      </c>
      <c r="CM747" s="5" t="s">
        <v>1113</v>
      </c>
      <c r="CN747" s="6" t="s">
        <v>262</v>
      </c>
      <c r="CO747" s="5" t="s">
        <v>263</v>
      </c>
      <c r="CP747" s="5" t="s">
        <v>264</v>
      </c>
      <c r="CQ747" s="5" t="s">
        <v>285</v>
      </c>
      <c r="CR747" s="5" t="s">
        <v>238</v>
      </c>
      <c r="CS747" s="5">
        <v>4.5999999999999999E-2</v>
      </c>
      <c r="CT747" s="5" t="s">
        <v>265</v>
      </c>
      <c r="CU747" s="5" t="s">
        <v>1360</v>
      </c>
      <c r="CV747" s="5" t="s">
        <v>267</v>
      </c>
      <c r="CW747" s="7">
        <f>0</f>
        <v>0</v>
      </c>
      <c r="CX747" s="8">
        <f t="shared" si="38"/>
        <v>13919040</v>
      </c>
      <c r="CY747" s="8">
        <f t="shared" si="39"/>
        <v>4314915</v>
      </c>
      <c r="DA747" s="5" t="s">
        <v>238</v>
      </c>
      <c r="DB747" s="5" t="s">
        <v>238</v>
      </c>
      <c r="DD747" s="5" t="s">
        <v>238</v>
      </c>
      <c r="DE747" s="8">
        <f>0</f>
        <v>0</v>
      </c>
      <c r="DG747" s="5" t="s">
        <v>238</v>
      </c>
      <c r="DH747" s="5" t="s">
        <v>238</v>
      </c>
      <c r="DI747" s="5" t="s">
        <v>238</v>
      </c>
      <c r="DJ747" s="5" t="s">
        <v>238</v>
      </c>
      <c r="DK747" s="5" t="s">
        <v>271</v>
      </c>
      <c r="DL747" s="5" t="s">
        <v>272</v>
      </c>
      <c r="DM747" s="7">
        <f t="shared" si="40"/>
        <v>77.760000000000005</v>
      </c>
      <c r="DN747" s="5" t="s">
        <v>238</v>
      </c>
      <c r="DO747" s="5" t="s">
        <v>238</v>
      </c>
      <c r="DP747" s="5" t="s">
        <v>238</v>
      </c>
      <c r="DQ747" s="5" t="s">
        <v>238</v>
      </c>
      <c r="DT747" s="5" t="s">
        <v>2725</v>
      </c>
      <c r="DU747" s="5" t="s">
        <v>389</v>
      </c>
      <c r="GL747" s="5" t="s">
        <v>2731</v>
      </c>
      <c r="HM747" s="5" t="s">
        <v>313</v>
      </c>
      <c r="HP747" s="5" t="s">
        <v>272</v>
      </c>
      <c r="HQ747" s="5" t="s">
        <v>272</v>
      </c>
      <c r="HR747" s="5" t="s">
        <v>238</v>
      </c>
      <c r="HS747" s="5" t="s">
        <v>238</v>
      </c>
      <c r="HT747" s="5" t="s">
        <v>238</v>
      </c>
      <c r="HU747" s="5" t="s">
        <v>238</v>
      </c>
      <c r="HV747" s="5" t="s">
        <v>238</v>
      </c>
      <c r="HW747" s="5" t="s">
        <v>238</v>
      </c>
      <c r="HX747" s="5" t="s">
        <v>238</v>
      </c>
      <c r="HY747" s="5" t="s">
        <v>238</v>
      </c>
      <c r="HZ747" s="5" t="s">
        <v>238</v>
      </c>
      <c r="IA747" s="5" t="s">
        <v>238</v>
      </c>
      <c r="IB747" s="5" t="s">
        <v>238</v>
      </c>
      <c r="IC747" s="5" t="s">
        <v>238</v>
      </c>
      <c r="ID747" s="5" t="s">
        <v>238</v>
      </c>
    </row>
    <row r="748" spans="1:238" x14ac:dyDescent="0.4">
      <c r="A748" s="5">
        <v>840</v>
      </c>
      <c r="B748" s="5">
        <v>1</v>
      </c>
      <c r="C748" s="5">
        <v>4</v>
      </c>
      <c r="D748" s="5" t="s">
        <v>2723</v>
      </c>
      <c r="E748" s="5" t="s">
        <v>277</v>
      </c>
      <c r="F748" s="5" t="s">
        <v>282</v>
      </c>
      <c r="G748" s="5" t="s">
        <v>2485</v>
      </c>
      <c r="H748" s="6" t="s">
        <v>2724</v>
      </c>
      <c r="I748" s="5" t="s">
        <v>2521</v>
      </c>
      <c r="J748" s="7">
        <f t="shared" si="32"/>
        <v>77.760000000000005</v>
      </c>
      <c r="K748" s="5" t="s">
        <v>270</v>
      </c>
      <c r="L748" s="8">
        <f t="shared" si="33"/>
        <v>3674640</v>
      </c>
      <c r="M748" s="8">
        <f t="shared" si="34"/>
        <v>13919040</v>
      </c>
      <c r="N748" s="6" t="s">
        <v>1111</v>
      </c>
      <c r="O748" s="5" t="s">
        <v>286</v>
      </c>
      <c r="P748" s="5" t="s">
        <v>1114</v>
      </c>
      <c r="Q748" s="8">
        <f t="shared" si="35"/>
        <v>640275</v>
      </c>
      <c r="R748" s="8">
        <f t="shared" si="36"/>
        <v>10244400</v>
      </c>
      <c r="S748" s="5" t="s">
        <v>240</v>
      </c>
      <c r="T748" s="5" t="s">
        <v>237</v>
      </c>
      <c r="U748" s="5" t="s">
        <v>238</v>
      </c>
      <c r="V748" s="5" t="s">
        <v>238</v>
      </c>
      <c r="W748" s="5" t="s">
        <v>241</v>
      </c>
      <c r="X748" s="5" t="s">
        <v>276</v>
      </c>
      <c r="Y748" s="5" t="s">
        <v>238</v>
      </c>
      <c r="AB748" s="5" t="s">
        <v>238</v>
      </c>
      <c r="AC748" s="6" t="s">
        <v>238</v>
      </c>
      <c r="AD748" s="6" t="s">
        <v>238</v>
      </c>
      <c r="AF748" s="6" t="s">
        <v>238</v>
      </c>
      <c r="AG748" s="6" t="s">
        <v>374</v>
      </c>
      <c r="AH748" s="5" t="s">
        <v>247</v>
      </c>
      <c r="AI748" s="5" t="s">
        <v>248</v>
      </c>
      <c r="AO748" s="5" t="s">
        <v>238</v>
      </c>
      <c r="AP748" s="5" t="s">
        <v>238</v>
      </c>
      <c r="AQ748" s="5" t="s">
        <v>238</v>
      </c>
      <c r="AR748" s="6" t="s">
        <v>238</v>
      </c>
      <c r="AS748" s="6" t="s">
        <v>238</v>
      </c>
      <c r="AT748" s="6" t="s">
        <v>238</v>
      </c>
      <c r="AW748" s="5" t="s">
        <v>304</v>
      </c>
      <c r="AX748" s="5" t="s">
        <v>304</v>
      </c>
      <c r="AY748" s="5" t="s">
        <v>250</v>
      </c>
      <c r="AZ748" s="5" t="s">
        <v>305</v>
      </c>
      <c r="BA748" s="5" t="s">
        <v>251</v>
      </c>
      <c r="BB748" s="5" t="s">
        <v>238</v>
      </c>
      <c r="BC748" s="5" t="s">
        <v>253</v>
      </c>
      <c r="BD748" s="5" t="s">
        <v>238</v>
      </c>
      <c r="BF748" s="5" t="s">
        <v>238</v>
      </c>
      <c r="BH748" s="5" t="s">
        <v>283</v>
      </c>
      <c r="BI748" s="6" t="s">
        <v>293</v>
      </c>
      <c r="BJ748" s="5" t="s">
        <v>294</v>
      </c>
      <c r="BK748" s="5" t="s">
        <v>294</v>
      </c>
      <c r="BL748" s="5" t="s">
        <v>238</v>
      </c>
      <c r="BM748" s="7">
        <f>0</f>
        <v>0</v>
      </c>
      <c r="BN748" s="8">
        <f t="shared" si="37"/>
        <v>-640275</v>
      </c>
      <c r="BO748" s="5" t="s">
        <v>257</v>
      </c>
      <c r="BP748" s="5" t="s">
        <v>258</v>
      </c>
      <c r="BQ748" s="5" t="s">
        <v>238</v>
      </c>
      <c r="BR748" s="5" t="s">
        <v>238</v>
      </c>
      <c r="BS748" s="5" t="s">
        <v>238</v>
      </c>
      <c r="BT748" s="5" t="s">
        <v>238</v>
      </c>
      <c r="CC748" s="5" t="s">
        <v>258</v>
      </c>
      <c r="CD748" s="5" t="s">
        <v>238</v>
      </c>
      <c r="CE748" s="5" t="s">
        <v>238</v>
      </c>
      <c r="CI748" s="5" t="s">
        <v>259</v>
      </c>
      <c r="CJ748" s="5" t="s">
        <v>260</v>
      </c>
      <c r="CK748" s="5" t="s">
        <v>238</v>
      </c>
      <c r="CM748" s="5" t="s">
        <v>1113</v>
      </c>
      <c r="CN748" s="6" t="s">
        <v>262</v>
      </c>
      <c r="CO748" s="5" t="s">
        <v>263</v>
      </c>
      <c r="CP748" s="5" t="s">
        <v>264</v>
      </c>
      <c r="CQ748" s="5" t="s">
        <v>285</v>
      </c>
      <c r="CR748" s="5" t="s">
        <v>238</v>
      </c>
      <c r="CS748" s="5">
        <v>4.5999999999999999E-2</v>
      </c>
      <c r="CT748" s="5" t="s">
        <v>265</v>
      </c>
      <c r="CU748" s="5" t="s">
        <v>1360</v>
      </c>
      <c r="CV748" s="5" t="s">
        <v>267</v>
      </c>
      <c r="CW748" s="7">
        <f>0</f>
        <v>0</v>
      </c>
      <c r="CX748" s="8">
        <f t="shared" si="38"/>
        <v>13919040</v>
      </c>
      <c r="CY748" s="8">
        <f t="shared" si="39"/>
        <v>4314915</v>
      </c>
      <c r="DA748" s="5" t="s">
        <v>238</v>
      </c>
      <c r="DB748" s="5" t="s">
        <v>238</v>
      </c>
      <c r="DD748" s="5" t="s">
        <v>238</v>
      </c>
      <c r="DE748" s="8">
        <f>0</f>
        <v>0</v>
      </c>
      <c r="DG748" s="5" t="s">
        <v>238</v>
      </c>
      <c r="DH748" s="5" t="s">
        <v>238</v>
      </c>
      <c r="DI748" s="5" t="s">
        <v>238</v>
      </c>
      <c r="DJ748" s="5" t="s">
        <v>238</v>
      </c>
      <c r="DK748" s="5" t="s">
        <v>271</v>
      </c>
      <c r="DL748" s="5" t="s">
        <v>272</v>
      </c>
      <c r="DM748" s="7">
        <f t="shared" si="40"/>
        <v>77.760000000000005</v>
      </c>
      <c r="DN748" s="5" t="s">
        <v>238</v>
      </c>
      <c r="DO748" s="5" t="s">
        <v>238</v>
      </c>
      <c r="DP748" s="5" t="s">
        <v>238</v>
      </c>
      <c r="DQ748" s="5" t="s">
        <v>238</v>
      </c>
      <c r="DT748" s="5" t="s">
        <v>2725</v>
      </c>
      <c r="DU748" s="5" t="s">
        <v>354</v>
      </c>
      <c r="GL748" s="5" t="s">
        <v>2730</v>
      </c>
      <c r="HM748" s="5" t="s">
        <v>313</v>
      </c>
      <c r="HP748" s="5" t="s">
        <v>272</v>
      </c>
      <c r="HQ748" s="5" t="s">
        <v>272</v>
      </c>
      <c r="HR748" s="5" t="s">
        <v>238</v>
      </c>
      <c r="HS748" s="5" t="s">
        <v>238</v>
      </c>
      <c r="HT748" s="5" t="s">
        <v>238</v>
      </c>
      <c r="HU748" s="5" t="s">
        <v>238</v>
      </c>
      <c r="HV748" s="5" t="s">
        <v>238</v>
      </c>
      <c r="HW748" s="5" t="s">
        <v>238</v>
      </c>
      <c r="HX748" s="5" t="s">
        <v>238</v>
      </c>
      <c r="HY748" s="5" t="s">
        <v>238</v>
      </c>
      <c r="HZ748" s="5" t="s">
        <v>238</v>
      </c>
      <c r="IA748" s="5" t="s">
        <v>238</v>
      </c>
      <c r="IB748" s="5" t="s">
        <v>238</v>
      </c>
      <c r="IC748" s="5" t="s">
        <v>238</v>
      </c>
      <c r="ID748" s="5" t="s">
        <v>238</v>
      </c>
    </row>
    <row r="749" spans="1:238" x14ac:dyDescent="0.4">
      <c r="A749" s="5">
        <v>841</v>
      </c>
      <c r="B749" s="5">
        <v>1</v>
      </c>
      <c r="C749" s="5">
        <v>4</v>
      </c>
      <c r="D749" s="5" t="s">
        <v>2723</v>
      </c>
      <c r="E749" s="5" t="s">
        <v>277</v>
      </c>
      <c r="F749" s="5" t="s">
        <v>282</v>
      </c>
      <c r="G749" s="5" t="s">
        <v>2485</v>
      </c>
      <c r="H749" s="6" t="s">
        <v>2724</v>
      </c>
      <c r="I749" s="5" t="s">
        <v>2500</v>
      </c>
      <c r="J749" s="7">
        <f t="shared" si="32"/>
        <v>77.760000000000005</v>
      </c>
      <c r="K749" s="5" t="s">
        <v>270</v>
      </c>
      <c r="L749" s="8">
        <f t="shared" si="33"/>
        <v>3674640</v>
      </c>
      <c r="M749" s="8">
        <f t="shared" si="34"/>
        <v>13919040</v>
      </c>
      <c r="N749" s="6" t="s">
        <v>1111</v>
      </c>
      <c r="O749" s="5" t="s">
        <v>286</v>
      </c>
      <c r="P749" s="5" t="s">
        <v>1114</v>
      </c>
      <c r="Q749" s="8">
        <f t="shared" si="35"/>
        <v>640275</v>
      </c>
      <c r="R749" s="8">
        <f t="shared" si="36"/>
        <v>10244400</v>
      </c>
      <c r="S749" s="5" t="s">
        <v>240</v>
      </c>
      <c r="T749" s="5" t="s">
        <v>237</v>
      </c>
      <c r="U749" s="5" t="s">
        <v>238</v>
      </c>
      <c r="V749" s="5" t="s">
        <v>238</v>
      </c>
      <c r="W749" s="5" t="s">
        <v>241</v>
      </c>
      <c r="X749" s="5" t="s">
        <v>276</v>
      </c>
      <c r="Y749" s="5" t="s">
        <v>238</v>
      </c>
      <c r="AB749" s="5" t="s">
        <v>238</v>
      </c>
      <c r="AC749" s="6" t="s">
        <v>238</v>
      </c>
      <c r="AD749" s="6" t="s">
        <v>238</v>
      </c>
      <c r="AF749" s="6" t="s">
        <v>238</v>
      </c>
      <c r="AG749" s="6" t="s">
        <v>374</v>
      </c>
      <c r="AH749" s="5" t="s">
        <v>247</v>
      </c>
      <c r="AI749" s="5" t="s">
        <v>248</v>
      </c>
      <c r="AO749" s="5" t="s">
        <v>238</v>
      </c>
      <c r="AP749" s="5" t="s">
        <v>238</v>
      </c>
      <c r="AQ749" s="5" t="s">
        <v>238</v>
      </c>
      <c r="AR749" s="6" t="s">
        <v>238</v>
      </c>
      <c r="AS749" s="6" t="s">
        <v>238</v>
      </c>
      <c r="AT749" s="6" t="s">
        <v>238</v>
      </c>
      <c r="AW749" s="5" t="s">
        <v>304</v>
      </c>
      <c r="AX749" s="5" t="s">
        <v>304</v>
      </c>
      <c r="AY749" s="5" t="s">
        <v>250</v>
      </c>
      <c r="AZ749" s="5" t="s">
        <v>305</v>
      </c>
      <c r="BA749" s="5" t="s">
        <v>251</v>
      </c>
      <c r="BB749" s="5" t="s">
        <v>238</v>
      </c>
      <c r="BC749" s="5" t="s">
        <v>253</v>
      </c>
      <c r="BD749" s="5" t="s">
        <v>238</v>
      </c>
      <c r="BF749" s="5" t="s">
        <v>238</v>
      </c>
      <c r="BH749" s="5" t="s">
        <v>283</v>
      </c>
      <c r="BI749" s="6" t="s">
        <v>293</v>
      </c>
      <c r="BJ749" s="5" t="s">
        <v>294</v>
      </c>
      <c r="BK749" s="5" t="s">
        <v>294</v>
      </c>
      <c r="BL749" s="5" t="s">
        <v>238</v>
      </c>
      <c r="BM749" s="7">
        <f>0</f>
        <v>0</v>
      </c>
      <c r="BN749" s="8">
        <f t="shared" si="37"/>
        <v>-640275</v>
      </c>
      <c r="BO749" s="5" t="s">
        <v>257</v>
      </c>
      <c r="BP749" s="5" t="s">
        <v>258</v>
      </c>
      <c r="BQ749" s="5" t="s">
        <v>238</v>
      </c>
      <c r="BR749" s="5" t="s">
        <v>238</v>
      </c>
      <c r="BS749" s="5" t="s">
        <v>238</v>
      </c>
      <c r="BT749" s="5" t="s">
        <v>238</v>
      </c>
      <c r="CC749" s="5" t="s">
        <v>258</v>
      </c>
      <c r="CD749" s="5" t="s">
        <v>238</v>
      </c>
      <c r="CE749" s="5" t="s">
        <v>238</v>
      </c>
      <c r="CI749" s="5" t="s">
        <v>259</v>
      </c>
      <c r="CJ749" s="5" t="s">
        <v>260</v>
      </c>
      <c r="CK749" s="5" t="s">
        <v>238</v>
      </c>
      <c r="CM749" s="5" t="s">
        <v>1113</v>
      </c>
      <c r="CN749" s="6" t="s">
        <v>262</v>
      </c>
      <c r="CO749" s="5" t="s">
        <v>263</v>
      </c>
      <c r="CP749" s="5" t="s">
        <v>264</v>
      </c>
      <c r="CQ749" s="5" t="s">
        <v>285</v>
      </c>
      <c r="CR749" s="5" t="s">
        <v>238</v>
      </c>
      <c r="CS749" s="5">
        <v>4.5999999999999999E-2</v>
      </c>
      <c r="CT749" s="5" t="s">
        <v>265</v>
      </c>
      <c r="CU749" s="5" t="s">
        <v>1360</v>
      </c>
      <c r="CV749" s="5" t="s">
        <v>267</v>
      </c>
      <c r="CW749" s="7">
        <f>0</f>
        <v>0</v>
      </c>
      <c r="CX749" s="8">
        <f t="shared" si="38"/>
        <v>13919040</v>
      </c>
      <c r="CY749" s="8">
        <f t="shared" si="39"/>
        <v>4314915</v>
      </c>
      <c r="DA749" s="5" t="s">
        <v>238</v>
      </c>
      <c r="DB749" s="5" t="s">
        <v>238</v>
      </c>
      <c r="DD749" s="5" t="s">
        <v>238</v>
      </c>
      <c r="DE749" s="8">
        <f>0</f>
        <v>0</v>
      </c>
      <c r="DG749" s="5" t="s">
        <v>238</v>
      </c>
      <c r="DH749" s="5" t="s">
        <v>238</v>
      </c>
      <c r="DI749" s="5" t="s">
        <v>238</v>
      </c>
      <c r="DJ749" s="5" t="s">
        <v>238</v>
      </c>
      <c r="DK749" s="5" t="s">
        <v>271</v>
      </c>
      <c r="DL749" s="5" t="s">
        <v>272</v>
      </c>
      <c r="DM749" s="7">
        <f t="shared" si="40"/>
        <v>77.760000000000005</v>
      </c>
      <c r="DN749" s="5" t="s">
        <v>238</v>
      </c>
      <c r="DO749" s="5" t="s">
        <v>238</v>
      </c>
      <c r="DP749" s="5" t="s">
        <v>238</v>
      </c>
      <c r="DQ749" s="5" t="s">
        <v>238</v>
      </c>
      <c r="DT749" s="5" t="s">
        <v>2725</v>
      </c>
      <c r="DU749" s="5" t="s">
        <v>361</v>
      </c>
      <c r="GL749" s="5" t="s">
        <v>2729</v>
      </c>
      <c r="HM749" s="5" t="s">
        <v>313</v>
      </c>
      <c r="HP749" s="5" t="s">
        <v>272</v>
      </c>
      <c r="HQ749" s="5" t="s">
        <v>272</v>
      </c>
      <c r="HR749" s="5" t="s">
        <v>238</v>
      </c>
      <c r="HS749" s="5" t="s">
        <v>238</v>
      </c>
      <c r="HT749" s="5" t="s">
        <v>238</v>
      </c>
      <c r="HU749" s="5" t="s">
        <v>238</v>
      </c>
      <c r="HV749" s="5" t="s">
        <v>238</v>
      </c>
      <c r="HW749" s="5" t="s">
        <v>238</v>
      </c>
      <c r="HX749" s="5" t="s">
        <v>238</v>
      </c>
      <c r="HY749" s="5" t="s">
        <v>238</v>
      </c>
      <c r="HZ749" s="5" t="s">
        <v>238</v>
      </c>
      <c r="IA749" s="5" t="s">
        <v>238</v>
      </c>
      <c r="IB749" s="5" t="s">
        <v>238</v>
      </c>
      <c r="IC749" s="5" t="s">
        <v>238</v>
      </c>
      <c r="ID749" s="5" t="s">
        <v>238</v>
      </c>
    </row>
    <row r="750" spans="1:238" x14ac:dyDescent="0.4">
      <c r="A750" s="5">
        <v>842</v>
      </c>
      <c r="B750" s="5">
        <v>1</v>
      </c>
      <c r="C750" s="5">
        <v>4</v>
      </c>
      <c r="D750" s="5" t="s">
        <v>2723</v>
      </c>
      <c r="E750" s="5" t="s">
        <v>277</v>
      </c>
      <c r="F750" s="5" t="s">
        <v>282</v>
      </c>
      <c r="G750" s="5" t="s">
        <v>2485</v>
      </c>
      <c r="H750" s="6" t="s">
        <v>2724</v>
      </c>
      <c r="I750" s="5" t="s">
        <v>2526</v>
      </c>
      <c r="J750" s="7">
        <f t="shared" si="32"/>
        <v>77.760000000000005</v>
      </c>
      <c r="K750" s="5" t="s">
        <v>270</v>
      </c>
      <c r="L750" s="8">
        <f t="shared" si="33"/>
        <v>3674640</v>
      </c>
      <c r="M750" s="8">
        <f t="shared" si="34"/>
        <v>13919040</v>
      </c>
      <c r="N750" s="6" t="s">
        <v>1111</v>
      </c>
      <c r="O750" s="5" t="s">
        <v>286</v>
      </c>
      <c r="P750" s="5" t="s">
        <v>1114</v>
      </c>
      <c r="Q750" s="8">
        <f t="shared" si="35"/>
        <v>640275</v>
      </c>
      <c r="R750" s="8">
        <f t="shared" si="36"/>
        <v>10244400</v>
      </c>
      <c r="S750" s="5" t="s">
        <v>240</v>
      </c>
      <c r="T750" s="5" t="s">
        <v>237</v>
      </c>
      <c r="U750" s="5" t="s">
        <v>238</v>
      </c>
      <c r="V750" s="5" t="s">
        <v>238</v>
      </c>
      <c r="W750" s="5" t="s">
        <v>241</v>
      </c>
      <c r="X750" s="5" t="s">
        <v>276</v>
      </c>
      <c r="Y750" s="5" t="s">
        <v>238</v>
      </c>
      <c r="AB750" s="5" t="s">
        <v>238</v>
      </c>
      <c r="AC750" s="6" t="s">
        <v>238</v>
      </c>
      <c r="AD750" s="6" t="s">
        <v>238</v>
      </c>
      <c r="AF750" s="6" t="s">
        <v>238</v>
      </c>
      <c r="AG750" s="6" t="s">
        <v>246</v>
      </c>
      <c r="AH750" s="5" t="s">
        <v>247</v>
      </c>
      <c r="AI750" s="5" t="s">
        <v>248</v>
      </c>
      <c r="AO750" s="5" t="s">
        <v>238</v>
      </c>
      <c r="AP750" s="5" t="s">
        <v>238</v>
      </c>
      <c r="AQ750" s="5" t="s">
        <v>238</v>
      </c>
      <c r="AR750" s="6" t="s">
        <v>238</v>
      </c>
      <c r="AS750" s="6" t="s">
        <v>238</v>
      </c>
      <c r="AT750" s="6" t="s">
        <v>238</v>
      </c>
      <c r="AW750" s="5" t="s">
        <v>304</v>
      </c>
      <c r="AX750" s="5" t="s">
        <v>304</v>
      </c>
      <c r="AY750" s="5" t="s">
        <v>250</v>
      </c>
      <c r="AZ750" s="5" t="s">
        <v>305</v>
      </c>
      <c r="BA750" s="5" t="s">
        <v>251</v>
      </c>
      <c r="BB750" s="5" t="s">
        <v>238</v>
      </c>
      <c r="BC750" s="5" t="s">
        <v>253</v>
      </c>
      <c r="BD750" s="5" t="s">
        <v>238</v>
      </c>
      <c r="BF750" s="5" t="s">
        <v>238</v>
      </c>
      <c r="BH750" s="5" t="s">
        <v>283</v>
      </c>
      <c r="BI750" s="6" t="s">
        <v>293</v>
      </c>
      <c r="BJ750" s="5" t="s">
        <v>294</v>
      </c>
      <c r="BK750" s="5" t="s">
        <v>294</v>
      </c>
      <c r="BL750" s="5" t="s">
        <v>238</v>
      </c>
      <c r="BM750" s="7">
        <f>0</f>
        <v>0</v>
      </c>
      <c r="BN750" s="8">
        <f t="shared" si="37"/>
        <v>-640275</v>
      </c>
      <c r="BO750" s="5" t="s">
        <v>257</v>
      </c>
      <c r="BP750" s="5" t="s">
        <v>258</v>
      </c>
      <c r="BQ750" s="5" t="s">
        <v>238</v>
      </c>
      <c r="BR750" s="5" t="s">
        <v>238</v>
      </c>
      <c r="BS750" s="5" t="s">
        <v>238</v>
      </c>
      <c r="BT750" s="5" t="s">
        <v>238</v>
      </c>
      <c r="CC750" s="5" t="s">
        <v>258</v>
      </c>
      <c r="CD750" s="5" t="s">
        <v>238</v>
      </c>
      <c r="CE750" s="5" t="s">
        <v>238</v>
      </c>
      <c r="CI750" s="5" t="s">
        <v>259</v>
      </c>
      <c r="CJ750" s="5" t="s">
        <v>260</v>
      </c>
      <c r="CK750" s="5" t="s">
        <v>238</v>
      </c>
      <c r="CM750" s="5" t="s">
        <v>1113</v>
      </c>
      <c r="CN750" s="6" t="s">
        <v>262</v>
      </c>
      <c r="CO750" s="5" t="s">
        <v>263</v>
      </c>
      <c r="CP750" s="5" t="s">
        <v>264</v>
      </c>
      <c r="CQ750" s="5" t="s">
        <v>285</v>
      </c>
      <c r="CR750" s="5" t="s">
        <v>238</v>
      </c>
      <c r="CS750" s="5">
        <v>4.5999999999999999E-2</v>
      </c>
      <c r="CT750" s="5" t="s">
        <v>265</v>
      </c>
      <c r="CU750" s="5" t="s">
        <v>1360</v>
      </c>
      <c r="CV750" s="5" t="s">
        <v>267</v>
      </c>
      <c r="CW750" s="7">
        <f>0</f>
        <v>0</v>
      </c>
      <c r="CX750" s="8">
        <f t="shared" si="38"/>
        <v>13919040</v>
      </c>
      <c r="CY750" s="8">
        <f t="shared" si="39"/>
        <v>4314915</v>
      </c>
      <c r="DA750" s="5" t="s">
        <v>238</v>
      </c>
      <c r="DB750" s="5" t="s">
        <v>238</v>
      </c>
      <c r="DD750" s="5" t="s">
        <v>238</v>
      </c>
      <c r="DE750" s="8">
        <f>0</f>
        <v>0</v>
      </c>
      <c r="DG750" s="5" t="s">
        <v>238</v>
      </c>
      <c r="DH750" s="5" t="s">
        <v>238</v>
      </c>
      <c r="DI750" s="5" t="s">
        <v>238</v>
      </c>
      <c r="DJ750" s="5" t="s">
        <v>238</v>
      </c>
      <c r="DK750" s="5" t="s">
        <v>271</v>
      </c>
      <c r="DL750" s="5" t="s">
        <v>272</v>
      </c>
      <c r="DM750" s="7">
        <f t="shared" si="40"/>
        <v>77.760000000000005</v>
      </c>
      <c r="DN750" s="5" t="s">
        <v>238</v>
      </c>
      <c r="DO750" s="5" t="s">
        <v>238</v>
      </c>
      <c r="DP750" s="5" t="s">
        <v>238</v>
      </c>
      <c r="DQ750" s="5" t="s">
        <v>238</v>
      </c>
      <c r="DT750" s="5" t="s">
        <v>2725</v>
      </c>
      <c r="DU750" s="5" t="s">
        <v>377</v>
      </c>
      <c r="GL750" s="5" t="s">
        <v>2728</v>
      </c>
      <c r="HM750" s="5" t="s">
        <v>313</v>
      </c>
      <c r="HP750" s="5" t="s">
        <v>272</v>
      </c>
      <c r="HQ750" s="5" t="s">
        <v>272</v>
      </c>
      <c r="HR750" s="5" t="s">
        <v>238</v>
      </c>
      <c r="HS750" s="5" t="s">
        <v>238</v>
      </c>
      <c r="HT750" s="5" t="s">
        <v>238</v>
      </c>
      <c r="HU750" s="5" t="s">
        <v>238</v>
      </c>
      <c r="HV750" s="5" t="s">
        <v>238</v>
      </c>
      <c r="HW750" s="5" t="s">
        <v>238</v>
      </c>
      <c r="HX750" s="5" t="s">
        <v>238</v>
      </c>
      <c r="HY750" s="5" t="s">
        <v>238</v>
      </c>
      <c r="HZ750" s="5" t="s">
        <v>238</v>
      </c>
      <c r="IA750" s="5" t="s">
        <v>238</v>
      </c>
      <c r="IB750" s="5" t="s">
        <v>238</v>
      </c>
      <c r="IC750" s="5" t="s">
        <v>238</v>
      </c>
      <c r="ID750" s="5" t="s">
        <v>238</v>
      </c>
    </row>
    <row r="751" spans="1:238" x14ac:dyDescent="0.4">
      <c r="A751" s="5">
        <v>843</v>
      </c>
      <c r="B751" s="5">
        <v>1</v>
      </c>
      <c r="C751" s="5">
        <v>4</v>
      </c>
      <c r="D751" s="5" t="s">
        <v>2723</v>
      </c>
      <c r="E751" s="5" t="s">
        <v>277</v>
      </c>
      <c r="F751" s="5" t="s">
        <v>282</v>
      </c>
      <c r="G751" s="5" t="s">
        <v>2485</v>
      </c>
      <c r="H751" s="6" t="s">
        <v>2724</v>
      </c>
      <c r="I751" s="5" t="s">
        <v>2525</v>
      </c>
      <c r="J751" s="7">
        <f t="shared" si="32"/>
        <v>77.760000000000005</v>
      </c>
      <c r="K751" s="5" t="s">
        <v>270</v>
      </c>
      <c r="L751" s="8">
        <f t="shared" si="33"/>
        <v>3674640</v>
      </c>
      <c r="M751" s="8">
        <f t="shared" si="34"/>
        <v>13919040</v>
      </c>
      <c r="N751" s="6" t="s">
        <v>1111</v>
      </c>
      <c r="O751" s="5" t="s">
        <v>286</v>
      </c>
      <c r="P751" s="5" t="s">
        <v>1114</v>
      </c>
      <c r="Q751" s="8">
        <f t="shared" si="35"/>
        <v>640275</v>
      </c>
      <c r="R751" s="8">
        <f t="shared" si="36"/>
        <v>10244400</v>
      </c>
      <c r="S751" s="5" t="s">
        <v>240</v>
      </c>
      <c r="T751" s="5" t="s">
        <v>237</v>
      </c>
      <c r="U751" s="5" t="s">
        <v>238</v>
      </c>
      <c r="V751" s="5" t="s">
        <v>238</v>
      </c>
      <c r="W751" s="5" t="s">
        <v>241</v>
      </c>
      <c r="X751" s="5" t="s">
        <v>276</v>
      </c>
      <c r="Y751" s="5" t="s">
        <v>238</v>
      </c>
      <c r="AB751" s="5" t="s">
        <v>238</v>
      </c>
      <c r="AC751" s="6" t="s">
        <v>238</v>
      </c>
      <c r="AD751" s="6" t="s">
        <v>238</v>
      </c>
      <c r="AF751" s="6" t="s">
        <v>238</v>
      </c>
      <c r="AG751" s="6" t="s">
        <v>246</v>
      </c>
      <c r="AH751" s="5" t="s">
        <v>247</v>
      </c>
      <c r="AI751" s="5" t="s">
        <v>248</v>
      </c>
      <c r="AO751" s="5" t="s">
        <v>238</v>
      </c>
      <c r="AP751" s="5" t="s">
        <v>238</v>
      </c>
      <c r="AQ751" s="5" t="s">
        <v>238</v>
      </c>
      <c r="AR751" s="6" t="s">
        <v>238</v>
      </c>
      <c r="AS751" s="6" t="s">
        <v>238</v>
      </c>
      <c r="AT751" s="6" t="s">
        <v>238</v>
      </c>
      <c r="AW751" s="5" t="s">
        <v>304</v>
      </c>
      <c r="AX751" s="5" t="s">
        <v>304</v>
      </c>
      <c r="AY751" s="5" t="s">
        <v>250</v>
      </c>
      <c r="AZ751" s="5" t="s">
        <v>305</v>
      </c>
      <c r="BA751" s="5" t="s">
        <v>251</v>
      </c>
      <c r="BB751" s="5" t="s">
        <v>238</v>
      </c>
      <c r="BC751" s="5" t="s">
        <v>253</v>
      </c>
      <c r="BD751" s="5" t="s">
        <v>238</v>
      </c>
      <c r="BF751" s="5" t="s">
        <v>238</v>
      </c>
      <c r="BH751" s="5" t="s">
        <v>283</v>
      </c>
      <c r="BI751" s="6" t="s">
        <v>293</v>
      </c>
      <c r="BJ751" s="5" t="s">
        <v>294</v>
      </c>
      <c r="BK751" s="5" t="s">
        <v>294</v>
      </c>
      <c r="BL751" s="5" t="s">
        <v>238</v>
      </c>
      <c r="BM751" s="7">
        <f>0</f>
        <v>0</v>
      </c>
      <c r="BN751" s="8">
        <f t="shared" si="37"/>
        <v>-640275</v>
      </c>
      <c r="BO751" s="5" t="s">
        <v>257</v>
      </c>
      <c r="BP751" s="5" t="s">
        <v>258</v>
      </c>
      <c r="BQ751" s="5" t="s">
        <v>238</v>
      </c>
      <c r="BR751" s="5" t="s">
        <v>238</v>
      </c>
      <c r="BS751" s="5" t="s">
        <v>238</v>
      </c>
      <c r="BT751" s="5" t="s">
        <v>238</v>
      </c>
      <c r="CC751" s="5" t="s">
        <v>258</v>
      </c>
      <c r="CD751" s="5" t="s">
        <v>238</v>
      </c>
      <c r="CE751" s="5" t="s">
        <v>238</v>
      </c>
      <c r="CI751" s="5" t="s">
        <v>259</v>
      </c>
      <c r="CJ751" s="5" t="s">
        <v>260</v>
      </c>
      <c r="CK751" s="5" t="s">
        <v>238</v>
      </c>
      <c r="CM751" s="5" t="s">
        <v>1113</v>
      </c>
      <c r="CN751" s="6" t="s">
        <v>262</v>
      </c>
      <c r="CO751" s="5" t="s">
        <v>263</v>
      </c>
      <c r="CP751" s="5" t="s">
        <v>264</v>
      </c>
      <c r="CQ751" s="5" t="s">
        <v>285</v>
      </c>
      <c r="CR751" s="5" t="s">
        <v>238</v>
      </c>
      <c r="CS751" s="5">
        <v>4.5999999999999999E-2</v>
      </c>
      <c r="CT751" s="5" t="s">
        <v>265</v>
      </c>
      <c r="CU751" s="5" t="s">
        <v>1360</v>
      </c>
      <c r="CV751" s="5" t="s">
        <v>267</v>
      </c>
      <c r="CW751" s="7">
        <f>0</f>
        <v>0</v>
      </c>
      <c r="CX751" s="8">
        <f t="shared" si="38"/>
        <v>13919040</v>
      </c>
      <c r="CY751" s="8">
        <f t="shared" si="39"/>
        <v>4314915</v>
      </c>
      <c r="DA751" s="5" t="s">
        <v>238</v>
      </c>
      <c r="DB751" s="5" t="s">
        <v>238</v>
      </c>
      <c r="DD751" s="5" t="s">
        <v>238</v>
      </c>
      <c r="DE751" s="8">
        <f>0</f>
        <v>0</v>
      </c>
      <c r="DG751" s="5" t="s">
        <v>238</v>
      </c>
      <c r="DH751" s="5" t="s">
        <v>238</v>
      </c>
      <c r="DI751" s="5" t="s">
        <v>238</v>
      </c>
      <c r="DJ751" s="5" t="s">
        <v>238</v>
      </c>
      <c r="DK751" s="5" t="s">
        <v>271</v>
      </c>
      <c r="DL751" s="5" t="s">
        <v>272</v>
      </c>
      <c r="DM751" s="7">
        <f t="shared" si="40"/>
        <v>77.760000000000005</v>
      </c>
      <c r="DN751" s="5" t="s">
        <v>238</v>
      </c>
      <c r="DO751" s="5" t="s">
        <v>238</v>
      </c>
      <c r="DP751" s="5" t="s">
        <v>238</v>
      </c>
      <c r="DQ751" s="5" t="s">
        <v>238</v>
      </c>
      <c r="DT751" s="5" t="s">
        <v>2725</v>
      </c>
      <c r="DU751" s="5" t="s">
        <v>371</v>
      </c>
      <c r="GL751" s="5" t="s">
        <v>2727</v>
      </c>
      <c r="HM751" s="5" t="s">
        <v>313</v>
      </c>
      <c r="HP751" s="5" t="s">
        <v>272</v>
      </c>
      <c r="HQ751" s="5" t="s">
        <v>272</v>
      </c>
      <c r="HR751" s="5" t="s">
        <v>238</v>
      </c>
      <c r="HS751" s="5" t="s">
        <v>238</v>
      </c>
      <c r="HT751" s="5" t="s">
        <v>238</v>
      </c>
      <c r="HU751" s="5" t="s">
        <v>238</v>
      </c>
      <c r="HV751" s="5" t="s">
        <v>238</v>
      </c>
      <c r="HW751" s="5" t="s">
        <v>238</v>
      </c>
      <c r="HX751" s="5" t="s">
        <v>238</v>
      </c>
      <c r="HY751" s="5" t="s">
        <v>238</v>
      </c>
      <c r="HZ751" s="5" t="s">
        <v>238</v>
      </c>
      <c r="IA751" s="5" t="s">
        <v>238</v>
      </c>
      <c r="IB751" s="5" t="s">
        <v>238</v>
      </c>
      <c r="IC751" s="5" t="s">
        <v>238</v>
      </c>
      <c r="ID751" s="5" t="s">
        <v>238</v>
      </c>
    </row>
    <row r="752" spans="1:238" x14ac:dyDescent="0.4">
      <c r="A752" s="5">
        <v>844</v>
      </c>
      <c r="B752" s="5">
        <v>1</v>
      </c>
      <c r="C752" s="5">
        <v>4</v>
      </c>
      <c r="D752" s="5" t="s">
        <v>2723</v>
      </c>
      <c r="E752" s="5" t="s">
        <v>277</v>
      </c>
      <c r="F752" s="5" t="s">
        <v>282</v>
      </c>
      <c r="G752" s="5" t="s">
        <v>2485</v>
      </c>
      <c r="H752" s="6" t="s">
        <v>2724</v>
      </c>
      <c r="I752" s="5" t="s">
        <v>2722</v>
      </c>
      <c r="J752" s="7">
        <f t="shared" si="32"/>
        <v>77.760000000000005</v>
      </c>
      <c r="K752" s="5" t="s">
        <v>270</v>
      </c>
      <c r="L752" s="8">
        <f t="shared" si="33"/>
        <v>3674640</v>
      </c>
      <c r="M752" s="8">
        <f t="shared" si="34"/>
        <v>13919040</v>
      </c>
      <c r="N752" s="6" t="s">
        <v>1111</v>
      </c>
      <c r="O752" s="5" t="s">
        <v>286</v>
      </c>
      <c r="P752" s="5" t="s">
        <v>1114</v>
      </c>
      <c r="Q752" s="8">
        <f t="shared" si="35"/>
        <v>640275</v>
      </c>
      <c r="R752" s="8">
        <f t="shared" si="36"/>
        <v>10244400</v>
      </c>
      <c r="S752" s="5" t="s">
        <v>240</v>
      </c>
      <c r="T752" s="5" t="s">
        <v>237</v>
      </c>
      <c r="U752" s="5" t="s">
        <v>238</v>
      </c>
      <c r="V752" s="5" t="s">
        <v>238</v>
      </c>
      <c r="W752" s="5" t="s">
        <v>241</v>
      </c>
      <c r="X752" s="5" t="s">
        <v>276</v>
      </c>
      <c r="Y752" s="5" t="s">
        <v>238</v>
      </c>
      <c r="AB752" s="5" t="s">
        <v>238</v>
      </c>
      <c r="AC752" s="6" t="s">
        <v>238</v>
      </c>
      <c r="AD752" s="6" t="s">
        <v>238</v>
      </c>
      <c r="AF752" s="6" t="s">
        <v>238</v>
      </c>
      <c r="AG752" s="6" t="s">
        <v>246</v>
      </c>
      <c r="AH752" s="5" t="s">
        <v>247</v>
      </c>
      <c r="AI752" s="5" t="s">
        <v>248</v>
      </c>
      <c r="AO752" s="5" t="s">
        <v>238</v>
      </c>
      <c r="AP752" s="5" t="s">
        <v>238</v>
      </c>
      <c r="AQ752" s="5" t="s">
        <v>238</v>
      </c>
      <c r="AR752" s="6" t="s">
        <v>238</v>
      </c>
      <c r="AS752" s="6" t="s">
        <v>238</v>
      </c>
      <c r="AT752" s="6" t="s">
        <v>238</v>
      </c>
      <c r="AW752" s="5" t="s">
        <v>304</v>
      </c>
      <c r="AX752" s="5" t="s">
        <v>304</v>
      </c>
      <c r="AY752" s="5" t="s">
        <v>250</v>
      </c>
      <c r="AZ752" s="5" t="s">
        <v>305</v>
      </c>
      <c r="BA752" s="5" t="s">
        <v>251</v>
      </c>
      <c r="BB752" s="5" t="s">
        <v>238</v>
      </c>
      <c r="BC752" s="5" t="s">
        <v>253</v>
      </c>
      <c r="BD752" s="5" t="s">
        <v>238</v>
      </c>
      <c r="BF752" s="5" t="s">
        <v>238</v>
      </c>
      <c r="BH752" s="5" t="s">
        <v>283</v>
      </c>
      <c r="BI752" s="6" t="s">
        <v>293</v>
      </c>
      <c r="BJ752" s="5" t="s">
        <v>294</v>
      </c>
      <c r="BK752" s="5" t="s">
        <v>294</v>
      </c>
      <c r="BL752" s="5" t="s">
        <v>238</v>
      </c>
      <c r="BM752" s="7">
        <f>0</f>
        <v>0</v>
      </c>
      <c r="BN752" s="8">
        <f t="shared" si="37"/>
        <v>-640275</v>
      </c>
      <c r="BO752" s="5" t="s">
        <v>257</v>
      </c>
      <c r="BP752" s="5" t="s">
        <v>258</v>
      </c>
      <c r="BQ752" s="5" t="s">
        <v>238</v>
      </c>
      <c r="BR752" s="5" t="s">
        <v>238</v>
      </c>
      <c r="BS752" s="5" t="s">
        <v>238</v>
      </c>
      <c r="BT752" s="5" t="s">
        <v>238</v>
      </c>
      <c r="CC752" s="5" t="s">
        <v>258</v>
      </c>
      <c r="CD752" s="5" t="s">
        <v>238</v>
      </c>
      <c r="CE752" s="5" t="s">
        <v>238</v>
      </c>
      <c r="CI752" s="5" t="s">
        <v>259</v>
      </c>
      <c r="CJ752" s="5" t="s">
        <v>260</v>
      </c>
      <c r="CK752" s="5" t="s">
        <v>238</v>
      </c>
      <c r="CM752" s="5" t="s">
        <v>1113</v>
      </c>
      <c r="CN752" s="6" t="s">
        <v>262</v>
      </c>
      <c r="CO752" s="5" t="s">
        <v>263</v>
      </c>
      <c r="CP752" s="5" t="s">
        <v>264</v>
      </c>
      <c r="CQ752" s="5" t="s">
        <v>285</v>
      </c>
      <c r="CR752" s="5" t="s">
        <v>238</v>
      </c>
      <c r="CS752" s="5">
        <v>4.5999999999999999E-2</v>
      </c>
      <c r="CT752" s="5" t="s">
        <v>265</v>
      </c>
      <c r="CU752" s="5" t="s">
        <v>1360</v>
      </c>
      <c r="CV752" s="5" t="s">
        <v>267</v>
      </c>
      <c r="CW752" s="7">
        <f>0</f>
        <v>0</v>
      </c>
      <c r="CX752" s="8">
        <f t="shared" si="38"/>
        <v>13919040</v>
      </c>
      <c r="CY752" s="8">
        <f t="shared" si="39"/>
        <v>4314915</v>
      </c>
      <c r="DA752" s="5" t="s">
        <v>238</v>
      </c>
      <c r="DB752" s="5" t="s">
        <v>238</v>
      </c>
      <c r="DD752" s="5" t="s">
        <v>238</v>
      </c>
      <c r="DE752" s="8">
        <f>0</f>
        <v>0</v>
      </c>
      <c r="DG752" s="5" t="s">
        <v>238</v>
      </c>
      <c r="DH752" s="5" t="s">
        <v>238</v>
      </c>
      <c r="DI752" s="5" t="s">
        <v>238</v>
      </c>
      <c r="DJ752" s="5" t="s">
        <v>238</v>
      </c>
      <c r="DK752" s="5" t="s">
        <v>271</v>
      </c>
      <c r="DL752" s="5" t="s">
        <v>272</v>
      </c>
      <c r="DM752" s="7">
        <f t="shared" si="40"/>
        <v>77.760000000000005</v>
      </c>
      <c r="DN752" s="5" t="s">
        <v>238</v>
      </c>
      <c r="DO752" s="5" t="s">
        <v>238</v>
      </c>
      <c r="DP752" s="5" t="s">
        <v>238</v>
      </c>
      <c r="DQ752" s="5" t="s">
        <v>238</v>
      </c>
      <c r="DT752" s="5" t="s">
        <v>2725</v>
      </c>
      <c r="DU752" s="5" t="s">
        <v>395</v>
      </c>
      <c r="GL752" s="5" t="s">
        <v>2726</v>
      </c>
      <c r="HM752" s="5" t="s">
        <v>313</v>
      </c>
      <c r="HP752" s="5" t="s">
        <v>272</v>
      </c>
      <c r="HQ752" s="5" t="s">
        <v>272</v>
      </c>
      <c r="HR752" s="5" t="s">
        <v>238</v>
      </c>
      <c r="HS752" s="5" t="s">
        <v>238</v>
      </c>
      <c r="HT752" s="5" t="s">
        <v>238</v>
      </c>
      <c r="HU752" s="5" t="s">
        <v>238</v>
      </c>
      <c r="HV752" s="5" t="s">
        <v>238</v>
      </c>
      <c r="HW752" s="5" t="s">
        <v>238</v>
      </c>
      <c r="HX752" s="5" t="s">
        <v>238</v>
      </c>
      <c r="HY752" s="5" t="s">
        <v>238</v>
      </c>
      <c r="HZ752" s="5" t="s">
        <v>238</v>
      </c>
      <c r="IA752" s="5" t="s">
        <v>238</v>
      </c>
      <c r="IB752" s="5" t="s">
        <v>238</v>
      </c>
      <c r="IC752" s="5" t="s">
        <v>238</v>
      </c>
      <c r="ID752" s="5" t="s">
        <v>238</v>
      </c>
    </row>
    <row r="753" spans="1:238" x14ac:dyDescent="0.4">
      <c r="A753" s="5">
        <v>845</v>
      </c>
      <c r="B753" s="5">
        <v>1</v>
      </c>
      <c r="C753" s="5">
        <v>4</v>
      </c>
      <c r="D753" s="5" t="s">
        <v>2713</v>
      </c>
      <c r="E753" s="5" t="s">
        <v>277</v>
      </c>
      <c r="F753" s="5" t="s">
        <v>282</v>
      </c>
      <c r="G753" s="5" t="s">
        <v>2485</v>
      </c>
      <c r="H753" s="6" t="s">
        <v>2714</v>
      </c>
      <c r="I753" s="5" t="s">
        <v>2482</v>
      </c>
      <c r="J753" s="7">
        <f t="shared" ref="J753:J758" si="41">157.33</f>
        <v>157.33000000000001</v>
      </c>
      <c r="K753" s="5" t="s">
        <v>270</v>
      </c>
      <c r="L753" s="8">
        <f t="shared" ref="L753:L758" si="42">5556269</f>
        <v>5556269</v>
      </c>
      <c r="M753" s="8">
        <f t="shared" ref="M753:M758" si="43">25487460</f>
        <v>25487460</v>
      </c>
      <c r="N753" s="6" t="s">
        <v>843</v>
      </c>
      <c r="O753" s="5" t="s">
        <v>286</v>
      </c>
      <c r="P753" s="5" t="s">
        <v>268</v>
      </c>
      <c r="Q753" s="8">
        <f t="shared" ref="Q753:Q758" si="44">1172423</f>
        <v>1172423</v>
      </c>
      <c r="R753" s="8">
        <f t="shared" ref="R753:R758" si="45">19931191</f>
        <v>19931191</v>
      </c>
      <c r="S753" s="5" t="s">
        <v>240</v>
      </c>
      <c r="T753" s="5" t="s">
        <v>237</v>
      </c>
      <c r="U753" s="5" t="s">
        <v>238</v>
      </c>
      <c r="V753" s="5" t="s">
        <v>238</v>
      </c>
      <c r="W753" s="5" t="s">
        <v>241</v>
      </c>
      <c r="X753" s="5" t="s">
        <v>276</v>
      </c>
      <c r="Y753" s="5" t="s">
        <v>238</v>
      </c>
      <c r="AB753" s="5" t="s">
        <v>238</v>
      </c>
      <c r="AC753" s="6" t="s">
        <v>238</v>
      </c>
      <c r="AD753" s="6" t="s">
        <v>238</v>
      </c>
      <c r="AF753" s="6" t="s">
        <v>238</v>
      </c>
      <c r="AG753" s="6" t="s">
        <v>246</v>
      </c>
      <c r="AH753" s="5" t="s">
        <v>247</v>
      </c>
      <c r="AI753" s="5" t="s">
        <v>248</v>
      </c>
      <c r="AO753" s="5" t="s">
        <v>238</v>
      </c>
      <c r="AP753" s="5" t="s">
        <v>238</v>
      </c>
      <c r="AQ753" s="5" t="s">
        <v>238</v>
      </c>
      <c r="AR753" s="6" t="s">
        <v>238</v>
      </c>
      <c r="AS753" s="6" t="s">
        <v>238</v>
      </c>
      <c r="AT753" s="6" t="s">
        <v>238</v>
      </c>
      <c r="AW753" s="5" t="s">
        <v>304</v>
      </c>
      <c r="AX753" s="5" t="s">
        <v>304</v>
      </c>
      <c r="AY753" s="5" t="s">
        <v>250</v>
      </c>
      <c r="AZ753" s="5" t="s">
        <v>305</v>
      </c>
      <c r="BA753" s="5" t="s">
        <v>251</v>
      </c>
      <c r="BB753" s="5" t="s">
        <v>238</v>
      </c>
      <c r="BC753" s="5" t="s">
        <v>253</v>
      </c>
      <c r="BD753" s="5" t="s">
        <v>238</v>
      </c>
      <c r="BF753" s="5" t="s">
        <v>238</v>
      </c>
      <c r="BH753" s="5" t="s">
        <v>283</v>
      </c>
      <c r="BI753" s="6" t="s">
        <v>293</v>
      </c>
      <c r="BJ753" s="5" t="s">
        <v>294</v>
      </c>
      <c r="BK753" s="5" t="s">
        <v>294</v>
      </c>
      <c r="BL753" s="5" t="s">
        <v>238</v>
      </c>
      <c r="BM753" s="7">
        <f>0</f>
        <v>0</v>
      </c>
      <c r="BN753" s="8">
        <f t="shared" ref="BN753:BN758" si="46">-1172423</f>
        <v>-1172423</v>
      </c>
      <c r="BO753" s="5" t="s">
        <v>257</v>
      </c>
      <c r="BP753" s="5" t="s">
        <v>258</v>
      </c>
      <c r="BQ753" s="5" t="s">
        <v>238</v>
      </c>
      <c r="BR753" s="5" t="s">
        <v>238</v>
      </c>
      <c r="BS753" s="5" t="s">
        <v>238</v>
      </c>
      <c r="BT753" s="5" t="s">
        <v>238</v>
      </c>
      <c r="CC753" s="5" t="s">
        <v>258</v>
      </c>
      <c r="CD753" s="5" t="s">
        <v>238</v>
      </c>
      <c r="CE753" s="5" t="s">
        <v>238</v>
      </c>
      <c r="CI753" s="5" t="s">
        <v>259</v>
      </c>
      <c r="CJ753" s="5" t="s">
        <v>260</v>
      </c>
      <c r="CK753" s="5" t="s">
        <v>238</v>
      </c>
      <c r="CM753" s="5" t="s">
        <v>845</v>
      </c>
      <c r="CN753" s="6" t="s">
        <v>262</v>
      </c>
      <c r="CO753" s="5" t="s">
        <v>263</v>
      </c>
      <c r="CP753" s="5" t="s">
        <v>264</v>
      </c>
      <c r="CQ753" s="5" t="s">
        <v>285</v>
      </c>
      <c r="CR753" s="5" t="s">
        <v>238</v>
      </c>
      <c r="CS753" s="5">
        <v>4.5999999999999999E-2</v>
      </c>
      <c r="CT753" s="5" t="s">
        <v>265</v>
      </c>
      <c r="CU753" s="5" t="s">
        <v>1360</v>
      </c>
      <c r="CV753" s="5" t="s">
        <v>267</v>
      </c>
      <c r="CW753" s="7">
        <f>0</f>
        <v>0</v>
      </c>
      <c r="CX753" s="8">
        <f t="shared" ref="CX753:CX758" si="47">25487460</f>
        <v>25487460</v>
      </c>
      <c r="CY753" s="8">
        <f t="shared" ref="CY753:CY758" si="48">6728692</f>
        <v>6728692</v>
      </c>
      <c r="DA753" s="5" t="s">
        <v>238</v>
      </c>
      <c r="DB753" s="5" t="s">
        <v>238</v>
      </c>
      <c r="DD753" s="5" t="s">
        <v>238</v>
      </c>
      <c r="DE753" s="8">
        <f>0</f>
        <v>0</v>
      </c>
      <c r="DG753" s="5" t="s">
        <v>238</v>
      </c>
      <c r="DH753" s="5" t="s">
        <v>238</v>
      </c>
      <c r="DI753" s="5" t="s">
        <v>238</v>
      </c>
      <c r="DJ753" s="5" t="s">
        <v>238</v>
      </c>
      <c r="DK753" s="5" t="s">
        <v>274</v>
      </c>
      <c r="DL753" s="5" t="s">
        <v>272</v>
      </c>
      <c r="DM753" s="7">
        <f t="shared" ref="DM753:DM758" si="49">157.33</f>
        <v>157.33000000000001</v>
      </c>
      <c r="DN753" s="5" t="s">
        <v>238</v>
      </c>
      <c r="DO753" s="5" t="s">
        <v>238</v>
      </c>
      <c r="DP753" s="5" t="s">
        <v>238</v>
      </c>
      <c r="DQ753" s="5" t="s">
        <v>238</v>
      </c>
      <c r="DT753" s="5" t="s">
        <v>2715</v>
      </c>
      <c r="DU753" s="5" t="s">
        <v>271</v>
      </c>
      <c r="GL753" s="5" t="s">
        <v>2721</v>
      </c>
      <c r="HM753" s="5" t="s">
        <v>313</v>
      </c>
      <c r="HP753" s="5" t="s">
        <v>272</v>
      </c>
      <c r="HQ753" s="5" t="s">
        <v>272</v>
      </c>
      <c r="HR753" s="5" t="s">
        <v>238</v>
      </c>
      <c r="HS753" s="5" t="s">
        <v>238</v>
      </c>
      <c r="HT753" s="5" t="s">
        <v>238</v>
      </c>
      <c r="HU753" s="5" t="s">
        <v>238</v>
      </c>
      <c r="HV753" s="5" t="s">
        <v>238</v>
      </c>
      <c r="HW753" s="5" t="s">
        <v>238</v>
      </c>
      <c r="HX753" s="5" t="s">
        <v>238</v>
      </c>
      <c r="HY753" s="5" t="s">
        <v>238</v>
      </c>
      <c r="HZ753" s="5" t="s">
        <v>238</v>
      </c>
      <c r="IA753" s="5" t="s">
        <v>238</v>
      </c>
      <c r="IB753" s="5" t="s">
        <v>238</v>
      </c>
      <c r="IC753" s="5" t="s">
        <v>238</v>
      </c>
      <c r="ID753" s="5" t="s">
        <v>238</v>
      </c>
    </row>
    <row r="754" spans="1:238" x14ac:dyDescent="0.4">
      <c r="A754" s="5">
        <v>846</v>
      </c>
      <c r="B754" s="5">
        <v>1</v>
      </c>
      <c r="C754" s="5">
        <v>4</v>
      </c>
      <c r="D754" s="5" t="s">
        <v>2713</v>
      </c>
      <c r="E754" s="5" t="s">
        <v>277</v>
      </c>
      <c r="F754" s="5" t="s">
        <v>282</v>
      </c>
      <c r="G754" s="5" t="s">
        <v>2485</v>
      </c>
      <c r="H754" s="6" t="s">
        <v>2714</v>
      </c>
      <c r="I754" s="5" t="s">
        <v>2482</v>
      </c>
      <c r="J754" s="7">
        <f t="shared" si="41"/>
        <v>157.33000000000001</v>
      </c>
      <c r="K754" s="5" t="s">
        <v>270</v>
      </c>
      <c r="L754" s="8">
        <f t="shared" si="42"/>
        <v>5556269</v>
      </c>
      <c r="M754" s="8">
        <f t="shared" si="43"/>
        <v>25487460</v>
      </c>
      <c r="N754" s="6" t="s">
        <v>843</v>
      </c>
      <c r="O754" s="5" t="s">
        <v>286</v>
      </c>
      <c r="P754" s="5" t="s">
        <v>268</v>
      </c>
      <c r="Q754" s="8">
        <f t="shared" si="44"/>
        <v>1172423</v>
      </c>
      <c r="R754" s="8">
        <f t="shared" si="45"/>
        <v>19931191</v>
      </c>
      <c r="S754" s="5" t="s">
        <v>240</v>
      </c>
      <c r="T754" s="5" t="s">
        <v>237</v>
      </c>
      <c r="U754" s="5" t="s">
        <v>238</v>
      </c>
      <c r="V754" s="5" t="s">
        <v>238</v>
      </c>
      <c r="W754" s="5" t="s">
        <v>241</v>
      </c>
      <c r="X754" s="5" t="s">
        <v>276</v>
      </c>
      <c r="Y754" s="5" t="s">
        <v>238</v>
      </c>
      <c r="AB754" s="5" t="s">
        <v>238</v>
      </c>
      <c r="AC754" s="6" t="s">
        <v>238</v>
      </c>
      <c r="AD754" s="6" t="s">
        <v>238</v>
      </c>
      <c r="AF754" s="6" t="s">
        <v>238</v>
      </c>
      <c r="AG754" s="6" t="s">
        <v>246</v>
      </c>
      <c r="AH754" s="5" t="s">
        <v>247</v>
      </c>
      <c r="AI754" s="5" t="s">
        <v>248</v>
      </c>
      <c r="AO754" s="5" t="s">
        <v>238</v>
      </c>
      <c r="AP754" s="5" t="s">
        <v>238</v>
      </c>
      <c r="AQ754" s="5" t="s">
        <v>238</v>
      </c>
      <c r="AR754" s="6" t="s">
        <v>238</v>
      </c>
      <c r="AS754" s="6" t="s">
        <v>238</v>
      </c>
      <c r="AT754" s="6" t="s">
        <v>238</v>
      </c>
      <c r="AW754" s="5" t="s">
        <v>304</v>
      </c>
      <c r="AX754" s="5" t="s">
        <v>304</v>
      </c>
      <c r="AY754" s="5" t="s">
        <v>250</v>
      </c>
      <c r="AZ754" s="5" t="s">
        <v>305</v>
      </c>
      <c r="BA754" s="5" t="s">
        <v>251</v>
      </c>
      <c r="BB754" s="5" t="s">
        <v>238</v>
      </c>
      <c r="BC754" s="5" t="s">
        <v>253</v>
      </c>
      <c r="BD754" s="5" t="s">
        <v>238</v>
      </c>
      <c r="BF754" s="5" t="s">
        <v>238</v>
      </c>
      <c r="BH754" s="5" t="s">
        <v>283</v>
      </c>
      <c r="BI754" s="6" t="s">
        <v>293</v>
      </c>
      <c r="BJ754" s="5" t="s">
        <v>294</v>
      </c>
      <c r="BK754" s="5" t="s">
        <v>294</v>
      </c>
      <c r="BL754" s="5" t="s">
        <v>238</v>
      </c>
      <c r="BM754" s="7">
        <f>0</f>
        <v>0</v>
      </c>
      <c r="BN754" s="8">
        <f t="shared" si="46"/>
        <v>-1172423</v>
      </c>
      <c r="BO754" s="5" t="s">
        <v>257</v>
      </c>
      <c r="BP754" s="5" t="s">
        <v>258</v>
      </c>
      <c r="BQ754" s="5" t="s">
        <v>238</v>
      </c>
      <c r="BR754" s="5" t="s">
        <v>238</v>
      </c>
      <c r="BS754" s="5" t="s">
        <v>238</v>
      </c>
      <c r="BT754" s="5" t="s">
        <v>238</v>
      </c>
      <c r="CC754" s="5" t="s">
        <v>258</v>
      </c>
      <c r="CD754" s="5" t="s">
        <v>238</v>
      </c>
      <c r="CE754" s="5" t="s">
        <v>238</v>
      </c>
      <c r="CI754" s="5" t="s">
        <v>259</v>
      </c>
      <c r="CJ754" s="5" t="s">
        <v>260</v>
      </c>
      <c r="CK754" s="5" t="s">
        <v>238</v>
      </c>
      <c r="CM754" s="5" t="s">
        <v>845</v>
      </c>
      <c r="CN754" s="6" t="s">
        <v>262</v>
      </c>
      <c r="CO754" s="5" t="s">
        <v>263</v>
      </c>
      <c r="CP754" s="5" t="s">
        <v>264</v>
      </c>
      <c r="CQ754" s="5" t="s">
        <v>285</v>
      </c>
      <c r="CR754" s="5" t="s">
        <v>238</v>
      </c>
      <c r="CS754" s="5">
        <v>4.5999999999999999E-2</v>
      </c>
      <c r="CT754" s="5" t="s">
        <v>265</v>
      </c>
      <c r="CU754" s="5" t="s">
        <v>1360</v>
      </c>
      <c r="CV754" s="5" t="s">
        <v>267</v>
      </c>
      <c r="CW754" s="7">
        <f>0</f>
        <v>0</v>
      </c>
      <c r="CX754" s="8">
        <f t="shared" si="47"/>
        <v>25487460</v>
      </c>
      <c r="CY754" s="8">
        <f t="shared" si="48"/>
        <v>6728692</v>
      </c>
      <c r="DA754" s="5" t="s">
        <v>238</v>
      </c>
      <c r="DB754" s="5" t="s">
        <v>238</v>
      </c>
      <c r="DD754" s="5" t="s">
        <v>238</v>
      </c>
      <c r="DE754" s="8">
        <f>0</f>
        <v>0</v>
      </c>
      <c r="DG754" s="5" t="s">
        <v>238</v>
      </c>
      <c r="DH754" s="5" t="s">
        <v>238</v>
      </c>
      <c r="DI754" s="5" t="s">
        <v>238</v>
      </c>
      <c r="DJ754" s="5" t="s">
        <v>238</v>
      </c>
      <c r="DK754" s="5" t="s">
        <v>274</v>
      </c>
      <c r="DL754" s="5" t="s">
        <v>272</v>
      </c>
      <c r="DM754" s="7">
        <f t="shared" si="49"/>
        <v>157.33000000000001</v>
      </c>
      <c r="DN754" s="5" t="s">
        <v>238</v>
      </c>
      <c r="DO754" s="5" t="s">
        <v>238</v>
      </c>
      <c r="DP754" s="5" t="s">
        <v>238</v>
      </c>
      <c r="DQ754" s="5" t="s">
        <v>238</v>
      </c>
      <c r="DT754" s="5" t="s">
        <v>2715</v>
      </c>
      <c r="DU754" s="5" t="s">
        <v>274</v>
      </c>
      <c r="GL754" s="5" t="s">
        <v>2720</v>
      </c>
      <c r="HM754" s="5" t="s">
        <v>313</v>
      </c>
      <c r="HP754" s="5" t="s">
        <v>272</v>
      </c>
      <c r="HQ754" s="5" t="s">
        <v>272</v>
      </c>
      <c r="HR754" s="5" t="s">
        <v>238</v>
      </c>
      <c r="HS754" s="5" t="s">
        <v>238</v>
      </c>
      <c r="HT754" s="5" t="s">
        <v>238</v>
      </c>
      <c r="HU754" s="5" t="s">
        <v>238</v>
      </c>
      <c r="HV754" s="5" t="s">
        <v>238</v>
      </c>
      <c r="HW754" s="5" t="s">
        <v>238</v>
      </c>
      <c r="HX754" s="5" t="s">
        <v>238</v>
      </c>
      <c r="HY754" s="5" t="s">
        <v>238</v>
      </c>
      <c r="HZ754" s="5" t="s">
        <v>238</v>
      </c>
      <c r="IA754" s="5" t="s">
        <v>238</v>
      </c>
      <c r="IB754" s="5" t="s">
        <v>238</v>
      </c>
      <c r="IC754" s="5" t="s">
        <v>238</v>
      </c>
      <c r="ID754" s="5" t="s">
        <v>238</v>
      </c>
    </row>
    <row r="755" spans="1:238" x14ac:dyDescent="0.4">
      <c r="A755" s="5">
        <v>847</v>
      </c>
      <c r="B755" s="5">
        <v>1</v>
      </c>
      <c r="C755" s="5">
        <v>4</v>
      </c>
      <c r="D755" s="5" t="s">
        <v>2713</v>
      </c>
      <c r="E755" s="5" t="s">
        <v>277</v>
      </c>
      <c r="F755" s="5" t="s">
        <v>282</v>
      </c>
      <c r="G755" s="5" t="s">
        <v>2485</v>
      </c>
      <c r="H755" s="6" t="s">
        <v>2714</v>
      </c>
      <c r="I755" s="5" t="s">
        <v>2482</v>
      </c>
      <c r="J755" s="7">
        <f t="shared" si="41"/>
        <v>157.33000000000001</v>
      </c>
      <c r="K755" s="5" t="s">
        <v>270</v>
      </c>
      <c r="L755" s="8">
        <f t="shared" si="42"/>
        <v>5556269</v>
      </c>
      <c r="M755" s="8">
        <f t="shared" si="43"/>
        <v>25487460</v>
      </c>
      <c r="N755" s="6" t="s">
        <v>843</v>
      </c>
      <c r="O755" s="5" t="s">
        <v>286</v>
      </c>
      <c r="P755" s="5" t="s">
        <v>268</v>
      </c>
      <c r="Q755" s="8">
        <f t="shared" si="44"/>
        <v>1172423</v>
      </c>
      <c r="R755" s="8">
        <f t="shared" si="45"/>
        <v>19931191</v>
      </c>
      <c r="S755" s="5" t="s">
        <v>240</v>
      </c>
      <c r="T755" s="5" t="s">
        <v>237</v>
      </c>
      <c r="U755" s="5" t="s">
        <v>238</v>
      </c>
      <c r="V755" s="5" t="s">
        <v>238</v>
      </c>
      <c r="W755" s="5" t="s">
        <v>241</v>
      </c>
      <c r="X755" s="5" t="s">
        <v>276</v>
      </c>
      <c r="Y755" s="5" t="s">
        <v>238</v>
      </c>
      <c r="AB755" s="5" t="s">
        <v>238</v>
      </c>
      <c r="AC755" s="6" t="s">
        <v>238</v>
      </c>
      <c r="AD755" s="6" t="s">
        <v>238</v>
      </c>
      <c r="AF755" s="6" t="s">
        <v>238</v>
      </c>
      <c r="AG755" s="6" t="s">
        <v>246</v>
      </c>
      <c r="AH755" s="5" t="s">
        <v>247</v>
      </c>
      <c r="AI755" s="5" t="s">
        <v>248</v>
      </c>
      <c r="AO755" s="5" t="s">
        <v>238</v>
      </c>
      <c r="AP755" s="5" t="s">
        <v>238</v>
      </c>
      <c r="AQ755" s="5" t="s">
        <v>238</v>
      </c>
      <c r="AR755" s="6" t="s">
        <v>238</v>
      </c>
      <c r="AS755" s="6" t="s">
        <v>238</v>
      </c>
      <c r="AT755" s="6" t="s">
        <v>238</v>
      </c>
      <c r="AW755" s="5" t="s">
        <v>304</v>
      </c>
      <c r="AX755" s="5" t="s">
        <v>304</v>
      </c>
      <c r="AY755" s="5" t="s">
        <v>250</v>
      </c>
      <c r="AZ755" s="5" t="s">
        <v>305</v>
      </c>
      <c r="BA755" s="5" t="s">
        <v>251</v>
      </c>
      <c r="BB755" s="5" t="s">
        <v>238</v>
      </c>
      <c r="BC755" s="5" t="s">
        <v>253</v>
      </c>
      <c r="BD755" s="5" t="s">
        <v>238</v>
      </c>
      <c r="BF755" s="5" t="s">
        <v>238</v>
      </c>
      <c r="BH755" s="5" t="s">
        <v>283</v>
      </c>
      <c r="BI755" s="6" t="s">
        <v>293</v>
      </c>
      <c r="BJ755" s="5" t="s">
        <v>294</v>
      </c>
      <c r="BK755" s="5" t="s">
        <v>294</v>
      </c>
      <c r="BL755" s="5" t="s">
        <v>238</v>
      </c>
      <c r="BM755" s="7">
        <f>0</f>
        <v>0</v>
      </c>
      <c r="BN755" s="8">
        <f t="shared" si="46"/>
        <v>-1172423</v>
      </c>
      <c r="BO755" s="5" t="s">
        <v>257</v>
      </c>
      <c r="BP755" s="5" t="s">
        <v>258</v>
      </c>
      <c r="BQ755" s="5" t="s">
        <v>238</v>
      </c>
      <c r="BR755" s="5" t="s">
        <v>238</v>
      </c>
      <c r="BS755" s="5" t="s">
        <v>238</v>
      </c>
      <c r="BT755" s="5" t="s">
        <v>238</v>
      </c>
      <c r="CC755" s="5" t="s">
        <v>258</v>
      </c>
      <c r="CD755" s="5" t="s">
        <v>238</v>
      </c>
      <c r="CE755" s="5" t="s">
        <v>238</v>
      </c>
      <c r="CI755" s="5" t="s">
        <v>259</v>
      </c>
      <c r="CJ755" s="5" t="s">
        <v>260</v>
      </c>
      <c r="CK755" s="5" t="s">
        <v>238</v>
      </c>
      <c r="CM755" s="5" t="s">
        <v>845</v>
      </c>
      <c r="CN755" s="6" t="s">
        <v>262</v>
      </c>
      <c r="CO755" s="5" t="s">
        <v>263</v>
      </c>
      <c r="CP755" s="5" t="s">
        <v>264</v>
      </c>
      <c r="CQ755" s="5" t="s">
        <v>285</v>
      </c>
      <c r="CR755" s="5" t="s">
        <v>238</v>
      </c>
      <c r="CS755" s="5">
        <v>4.5999999999999999E-2</v>
      </c>
      <c r="CT755" s="5" t="s">
        <v>265</v>
      </c>
      <c r="CU755" s="5" t="s">
        <v>1360</v>
      </c>
      <c r="CV755" s="5" t="s">
        <v>267</v>
      </c>
      <c r="CW755" s="7">
        <f>0</f>
        <v>0</v>
      </c>
      <c r="CX755" s="8">
        <f t="shared" si="47"/>
        <v>25487460</v>
      </c>
      <c r="CY755" s="8">
        <f t="shared" si="48"/>
        <v>6728692</v>
      </c>
      <c r="DA755" s="5" t="s">
        <v>238</v>
      </c>
      <c r="DB755" s="5" t="s">
        <v>238</v>
      </c>
      <c r="DD755" s="5" t="s">
        <v>238</v>
      </c>
      <c r="DE755" s="8">
        <f>0</f>
        <v>0</v>
      </c>
      <c r="DG755" s="5" t="s">
        <v>238</v>
      </c>
      <c r="DH755" s="5" t="s">
        <v>238</v>
      </c>
      <c r="DI755" s="5" t="s">
        <v>238</v>
      </c>
      <c r="DJ755" s="5" t="s">
        <v>238</v>
      </c>
      <c r="DK755" s="5" t="s">
        <v>274</v>
      </c>
      <c r="DL755" s="5" t="s">
        <v>272</v>
      </c>
      <c r="DM755" s="7">
        <f t="shared" si="49"/>
        <v>157.33000000000001</v>
      </c>
      <c r="DN755" s="5" t="s">
        <v>238</v>
      </c>
      <c r="DO755" s="5" t="s">
        <v>238</v>
      </c>
      <c r="DP755" s="5" t="s">
        <v>238</v>
      </c>
      <c r="DQ755" s="5" t="s">
        <v>238</v>
      </c>
      <c r="DT755" s="5" t="s">
        <v>2715</v>
      </c>
      <c r="DU755" s="5" t="s">
        <v>356</v>
      </c>
      <c r="GL755" s="5" t="s">
        <v>2719</v>
      </c>
      <c r="HM755" s="5" t="s">
        <v>313</v>
      </c>
      <c r="HP755" s="5" t="s">
        <v>272</v>
      </c>
      <c r="HQ755" s="5" t="s">
        <v>272</v>
      </c>
      <c r="HR755" s="5" t="s">
        <v>238</v>
      </c>
      <c r="HS755" s="5" t="s">
        <v>238</v>
      </c>
      <c r="HT755" s="5" t="s">
        <v>238</v>
      </c>
      <c r="HU755" s="5" t="s">
        <v>238</v>
      </c>
      <c r="HV755" s="5" t="s">
        <v>238</v>
      </c>
      <c r="HW755" s="5" t="s">
        <v>238</v>
      </c>
      <c r="HX755" s="5" t="s">
        <v>238</v>
      </c>
      <c r="HY755" s="5" t="s">
        <v>238</v>
      </c>
      <c r="HZ755" s="5" t="s">
        <v>238</v>
      </c>
      <c r="IA755" s="5" t="s">
        <v>238</v>
      </c>
      <c r="IB755" s="5" t="s">
        <v>238</v>
      </c>
      <c r="IC755" s="5" t="s">
        <v>238</v>
      </c>
      <c r="ID755" s="5" t="s">
        <v>238</v>
      </c>
    </row>
    <row r="756" spans="1:238" x14ac:dyDescent="0.4">
      <c r="A756" s="5">
        <v>848</v>
      </c>
      <c r="B756" s="5">
        <v>1</v>
      </c>
      <c r="C756" s="5">
        <v>4</v>
      </c>
      <c r="D756" s="5" t="s">
        <v>2713</v>
      </c>
      <c r="E756" s="5" t="s">
        <v>277</v>
      </c>
      <c r="F756" s="5" t="s">
        <v>282</v>
      </c>
      <c r="G756" s="5" t="s">
        <v>2485</v>
      </c>
      <c r="H756" s="6" t="s">
        <v>2714</v>
      </c>
      <c r="I756" s="5" t="s">
        <v>2482</v>
      </c>
      <c r="J756" s="7">
        <f t="shared" si="41"/>
        <v>157.33000000000001</v>
      </c>
      <c r="K756" s="5" t="s">
        <v>270</v>
      </c>
      <c r="L756" s="8">
        <f t="shared" si="42"/>
        <v>5556269</v>
      </c>
      <c r="M756" s="8">
        <f t="shared" si="43"/>
        <v>25487460</v>
      </c>
      <c r="N756" s="6" t="s">
        <v>843</v>
      </c>
      <c r="O756" s="5" t="s">
        <v>286</v>
      </c>
      <c r="P756" s="5" t="s">
        <v>268</v>
      </c>
      <c r="Q756" s="8">
        <f t="shared" si="44"/>
        <v>1172423</v>
      </c>
      <c r="R756" s="8">
        <f t="shared" si="45"/>
        <v>19931191</v>
      </c>
      <c r="S756" s="5" t="s">
        <v>240</v>
      </c>
      <c r="T756" s="5" t="s">
        <v>237</v>
      </c>
      <c r="U756" s="5" t="s">
        <v>238</v>
      </c>
      <c r="V756" s="5" t="s">
        <v>238</v>
      </c>
      <c r="W756" s="5" t="s">
        <v>241</v>
      </c>
      <c r="X756" s="5" t="s">
        <v>276</v>
      </c>
      <c r="Y756" s="5" t="s">
        <v>238</v>
      </c>
      <c r="AB756" s="5" t="s">
        <v>238</v>
      </c>
      <c r="AC756" s="6" t="s">
        <v>238</v>
      </c>
      <c r="AD756" s="6" t="s">
        <v>238</v>
      </c>
      <c r="AF756" s="6" t="s">
        <v>238</v>
      </c>
      <c r="AG756" s="6" t="s">
        <v>246</v>
      </c>
      <c r="AH756" s="5" t="s">
        <v>247</v>
      </c>
      <c r="AI756" s="5" t="s">
        <v>248</v>
      </c>
      <c r="AO756" s="5" t="s">
        <v>238</v>
      </c>
      <c r="AP756" s="5" t="s">
        <v>238</v>
      </c>
      <c r="AQ756" s="5" t="s">
        <v>238</v>
      </c>
      <c r="AR756" s="6" t="s">
        <v>238</v>
      </c>
      <c r="AS756" s="6" t="s">
        <v>238</v>
      </c>
      <c r="AT756" s="6" t="s">
        <v>238</v>
      </c>
      <c r="AW756" s="5" t="s">
        <v>304</v>
      </c>
      <c r="AX756" s="5" t="s">
        <v>304</v>
      </c>
      <c r="AY756" s="5" t="s">
        <v>250</v>
      </c>
      <c r="AZ756" s="5" t="s">
        <v>305</v>
      </c>
      <c r="BA756" s="5" t="s">
        <v>251</v>
      </c>
      <c r="BB756" s="5" t="s">
        <v>238</v>
      </c>
      <c r="BC756" s="5" t="s">
        <v>253</v>
      </c>
      <c r="BD756" s="5" t="s">
        <v>238</v>
      </c>
      <c r="BF756" s="5" t="s">
        <v>238</v>
      </c>
      <c r="BH756" s="5" t="s">
        <v>283</v>
      </c>
      <c r="BI756" s="6" t="s">
        <v>293</v>
      </c>
      <c r="BJ756" s="5" t="s">
        <v>294</v>
      </c>
      <c r="BK756" s="5" t="s">
        <v>294</v>
      </c>
      <c r="BL756" s="5" t="s">
        <v>238</v>
      </c>
      <c r="BM756" s="7">
        <f>0</f>
        <v>0</v>
      </c>
      <c r="BN756" s="8">
        <f t="shared" si="46"/>
        <v>-1172423</v>
      </c>
      <c r="BO756" s="5" t="s">
        <v>257</v>
      </c>
      <c r="BP756" s="5" t="s">
        <v>258</v>
      </c>
      <c r="BQ756" s="5" t="s">
        <v>238</v>
      </c>
      <c r="BR756" s="5" t="s">
        <v>238</v>
      </c>
      <c r="BS756" s="5" t="s">
        <v>238</v>
      </c>
      <c r="BT756" s="5" t="s">
        <v>238</v>
      </c>
      <c r="CC756" s="5" t="s">
        <v>258</v>
      </c>
      <c r="CD756" s="5" t="s">
        <v>238</v>
      </c>
      <c r="CE756" s="5" t="s">
        <v>238</v>
      </c>
      <c r="CI756" s="5" t="s">
        <v>259</v>
      </c>
      <c r="CJ756" s="5" t="s">
        <v>260</v>
      </c>
      <c r="CK756" s="5" t="s">
        <v>238</v>
      </c>
      <c r="CM756" s="5" t="s">
        <v>845</v>
      </c>
      <c r="CN756" s="6" t="s">
        <v>262</v>
      </c>
      <c r="CO756" s="5" t="s">
        <v>263</v>
      </c>
      <c r="CP756" s="5" t="s">
        <v>264</v>
      </c>
      <c r="CQ756" s="5" t="s">
        <v>285</v>
      </c>
      <c r="CR756" s="5" t="s">
        <v>238</v>
      </c>
      <c r="CS756" s="5">
        <v>4.5999999999999999E-2</v>
      </c>
      <c r="CT756" s="5" t="s">
        <v>265</v>
      </c>
      <c r="CU756" s="5" t="s">
        <v>1360</v>
      </c>
      <c r="CV756" s="5" t="s">
        <v>267</v>
      </c>
      <c r="CW756" s="7">
        <f>0</f>
        <v>0</v>
      </c>
      <c r="CX756" s="8">
        <f t="shared" si="47"/>
        <v>25487460</v>
      </c>
      <c r="CY756" s="8">
        <f t="shared" si="48"/>
        <v>6728692</v>
      </c>
      <c r="DA756" s="5" t="s">
        <v>238</v>
      </c>
      <c r="DB756" s="5" t="s">
        <v>238</v>
      </c>
      <c r="DD756" s="5" t="s">
        <v>238</v>
      </c>
      <c r="DE756" s="8">
        <f>0</f>
        <v>0</v>
      </c>
      <c r="DG756" s="5" t="s">
        <v>238</v>
      </c>
      <c r="DH756" s="5" t="s">
        <v>238</v>
      </c>
      <c r="DI756" s="5" t="s">
        <v>238</v>
      </c>
      <c r="DJ756" s="5" t="s">
        <v>238</v>
      </c>
      <c r="DK756" s="5" t="s">
        <v>274</v>
      </c>
      <c r="DL756" s="5" t="s">
        <v>272</v>
      </c>
      <c r="DM756" s="7">
        <f t="shared" si="49"/>
        <v>157.33000000000001</v>
      </c>
      <c r="DN756" s="5" t="s">
        <v>238</v>
      </c>
      <c r="DO756" s="5" t="s">
        <v>238</v>
      </c>
      <c r="DP756" s="5" t="s">
        <v>238</v>
      </c>
      <c r="DQ756" s="5" t="s">
        <v>238</v>
      </c>
      <c r="DT756" s="5" t="s">
        <v>2715</v>
      </c>
      <c r="DU756" s="5" t="s">
        <v>310</v>
      </c>
      <c r="GL756" s="5" t="s">
        <v>2718</v>
      </c>
      <c r="HM756" s="5" t="s">
        <v>313</v>
      </c>
      <c r="HP756" s="5" t="s">
        <v>272</v>
      </c>
      <c r="HQ756" s="5" t="s">
        <v>272</v>
      </c>
      <c r="HR756" s="5" t="s">
        <v>238</v>
      </c>
      <c r="HS756" s="5" t="s">
        <v>238</v>
      </c>
      <c r="HT756" s="5" t="s">
        <v>238</v>
      </c>
      <c r="HU756" s="5" t="s">
        <v>238</v>
      </c>
      <c r="HV756" s="5" t="s">
        <v>238</v>
      </c>
      <c r="HW756" s="5" t="s">
        <v>238</v>
      </c>
      <c r="HX756" s="5" t="s">
        <v>238</v>
      </c>
      <c r="HY756" s="5" t="s">
        <v>238</v>
      </c>
      <c r="HZ756" s="5" t="s">
        <v>238</v>
      </c>
      <c r="IA756" s="5" t="s">
        <v>238</v>
      </c>
      <c r="IB756" s="5" t="s">
        <v>238</v>
      </c>
      <c r="IC756" s="5" t="s">
        <v>238</v>
      </c>
      <c r="ID756" s="5" t="s">
        <v>238</v>
      </c>
    </row>
    <row r="757" spans="1:238" x14ac:dyDescent="0.4">
      <c r="A757" s="5">
        <v>849</v>
      </c>
      <c r="B757" s="5">
        <v>1</v>
      </c>
      <c r="C757" s="5">
        <v>4</v>
      </c>
      <c r="D757" s="5" t="s">
        <v>2713</v>
      </c>
      <c r="E757" s="5" t="s">
        <v>277</v>
      </c>
      <c r="F757" s="5" t="s">
        <v>282</v>
      </c>
      <c r="G757" s="5" t="s">
        <v>2485</v>
      </c>
      <c r="H757" s="6" t="s">
        <v>2714</v>
      </c>
      <c r="I757" s="5" t="s">
        <v>2482</v>
      </c>
      <c r="J757" s="7">
        <f t="shared" si="41"/>
        <v>157.33000000000001</v>
      </c>
      <c r="K757" s="5" t="s">
        <v>270</v>
      </c>
      <c r="L757" s="8">
        <f t="shared" si="42"/>
        <v>5556269</v>
      </c>
      <c r="M757" s="8">
        <f t="shared" si="43"/>
        <v>25487460</v>
      </c>
      <c r="N757" s="6" t="s">
        <v>843</v>
      </c>
      <c r="O757" s="5" t="s">
        <v>286</v>
      </c>
      <c r="P757" s="5" t="s">
        <v>268</v>
      </c>
      <c r="Q757" s="8">
        <f t="shared" si="44"/>
        <v>1172423</v>
      </c>
      <c r="R757" s="8">
        <f t="shared" si="45"/>
        <v>19931191</v>
      </c>
      <c r="S757" s="5" t="s">
        <v>240</v>
      </c>
      <c r="T757" s="5" t="s">
        <v>237</v>
      </c>
      <c r="U757" s="5" t="s">
        <v>238</v>
      </c>
      <c r="V757" s="5" t="s">
        <v>238</v>
      </c>
      <c r="W757" s="5" t="s">
        <v>241</v>
      </c>
      <c r="X757" s="5" t="s">
        <v>276</v>
      </c>
      <c r="Y757" s="5" t="s">
        <v>238</v>
      </c>
      <c r="AB757" s="5" t="s">
        <v>238</v>
      </c>
      <c r="AC757" s="6" t="s">
        <v>238</v>
      </c>
      <c r="AD757" s="6" t="s">
        <v>238</v>
      </c>
      <c r="AF757" s="6" t="s">
        <v>238</v>
      </c>
      <c r="AG757" s="6" t="s">
        <v>246</v>
      </c>
      <c r="AH757" s="5" t="s">
        <v>247</v>
      </c>
      <c r="AI757" s="5" t="s">
        <v>248</v>
      </c>
      <c r="AO757" s="5" t="s">
        <v>238</v>
      </c>
      <c r="AP757" s="5" t="s">
        <v>238</v>
      </c>
      <c r="AQ757" s="5" t="s">
        <v>238</v>
      </c>
      <c r="AR757" s="6" t="s">
        <v>238</v>
      </c>
      <c r="AS757" s="6" t="s">
        <v>238</v>
      </c>
      <c r="AT757" s="6" t="s">
        <v>238</v>
      </c>
      <c r="AW757" s="5" t="s">
        <v>304</v>
      </c>
      <c r="AX757" s="5" t="s">
        <v>304</v>
      </c>
      <c r="AY757" s="5" t="s">
        <v>250</v>
      </c>
      <c r="AZ757" s="5" t="s">
        <v>305</v>
      </c>
      <c r="BA757" s="5" t="s">
        <v>251</v>
      </c>
      <c r="BB757" s="5" t="s">
        <v>238</v>
      </c>
      <c r="BC757" s="5" t="s">
        <v>253</v>
      </c>
      <c r="BD757" s="5" t="s">
        <v>238</v>
      </c>
      <c r="BF757" s="5" t="s">
        <v>238</v>
      </c>
      <c r="BH757" s="5" t="s">
        <v>283</v>
      </c>
      <c r="BI757" s="6" t="s">
        <v>293</v>
      </c>
      <c r="BJ757" s="5" t="s">
        <v>294</v>
      </c>
      <c r="BK757" s="5" t="s">
        <v>294</v>
      </c>
      <c r="BL757" s="5" t="s">
        <v>238</v>
      </c>
      <c r="BM757" s="7">
        <f>0</f>
        <v>0</v>
      </c>
      <c r="BN757" s="8">
        <f t="shared" si="46"/>
        <v>-1172423</v>
      </c>
      <c r="BO757" s="5" t="s">
        <v>257</v>
      </c>
      <c r="BP757" s="5" t="s">
        <v>258</v>
      </c>
      <c r="BQ757" s="5" t="s">
        <v>238</v>
      </c>
      <c r="BR757" s="5" t="s">
        <v>238</v>
      </c>
      <c r="BS757" s="5" t="s">
        <v>238</v>
      </c>
      <c r="BT757" s="5" t="s">
        <v>238</v>
      </c>
      <c r="CC757" s="5" t="s">
        <v>258</v>
      </c>
      <c r="CD757" s="5" t="s">
        <v>238</v>
      </c>
      <c r="CE757" s="5" t="s">
        <v>238</v>
      </c>
      <c r="CI757" s="5" t="s">
        <v>259</v>
      </c>
      <c r="CJ757" s="5" t="s">
        <v>260</v>
      </c>
      <c r="CK757" s="5" t="s">
        <v>238</v>
      </c>
      <c r="CM757" s="5" t="s">
        <v>845</v>
      </c>
      <c r="CN757" s="6" t="s">
        <v>262</v>
      </c>
      <c r="CO757" s="5" t="s">
        <v>263</v>
      </c>
      <c r="CP757" s="5" t="s">
        <v>264</v>
      </c>
      <c r="CQ757" s="5" t="s">
        <v>285</v>
      </c>
      <c r="CR757" s="5" t="s">
        <v>238</v>
      </c>
      <c r="CS757" s="5">
        <v>4.5999999999999999E-2</v>
      </c>
      <c r="CT757" s="5" t="s">
        <v>265</v>
      </c>
      <c r="CU757" s="5" t="s">
        <v>1360</v>
      </c>
      <c r="CV757" s="5" t="s">
        <v>267</v>
      </c>
      <c r="CW757" s="7">
        <f>0</f>
        <v>0</v>
      </c>
      <c r="CX757" s="8">
        <f t="shared" si="47"/>
        <v>25487460</v>
      </c>
      <c r="CY757" s="8">
        <f t="shared" si="48"/>
        <v>6728692</v>
      </c>
      <c r="DA757" s="5" t="s">
        <v>238</v>
      </c>
      <c r="DB757" s="5" t="s">
        <v>238</v>
      </c>
      <c r="DD757" s="5" t="s">
        <v>238</v>
      </c>
      <c r="DE757" s="8">
        <f>0</f>
        <v>0</v>
      </c>
      <c r="DG757" s="5" t="s">
        <v>238</v>
      </c>
      <c r="DH757" s="5" t="s">
        <v>238</v>
      </c>
      <c r="DI757" s="5" t="s">
        <v>238</v>
      </c>
      <c r="DJ757" s="5" t="s">
        <v>238</v>
      </c>
      <c r="DK757" s="5" t="s">
        <v>274</v>
      </c>
      <c r="DL757" s="5" t="s">
        <v>272</v>
      </c>
      <c r="DM757" s="7">
        <f t="shared" si="49"/>
        <v>157.33000000000001</v>
      </c>
      <c r="DN757" s="5" t="s">
        <v>238</v>
      </c>
      <c r="DO757" s="5" t="s">
        <v>238</v>
      </c>
      <c r="DP757" s="5" t="s">
        <v>238</v>
      </c>
      <c r="DQ757" s="5" t="s">
        <v>238</v>
      </c>
      <c r="DT757" s="5" t="s">
        <v>2715</v>
      </c>
      <c r="DU757" s="5" t="s">
        <v>379</v>
      </c>
      <c r="GL757" s="5" t="s">
        <v>2717</v>
      </c>
      <c r="HM757" s="5" t="s">
        <v>313</v>
      </c>
      <c r="HP757" s="5" t="s">
        <v>272</v>
      </c>
      <c r="HQ757" s="5" t="s">
        <v>272</v>
      </c>
      <c r="HR757" s="5" t="s">
        <v>238</v>
      </c>
      <c r="HS757" s="5" t="s">
        <v>238</v>
      </c>
      <c r="HT757" s="5" t="s">
        <v>238</v>
      </c>
      <c r="HU757" s="5" t="s">
        <v>238</v>
      </c>
      <c r="HV757" s="5" t="s">
        <v>238</v>
      </c>
      <c r="HW757" s="5" t="s">
        <v>238</v>
      </c>
      <c r="HX757" s="5" t="s">
        <v>238</v>
      </c>
      <c r="HY757" s="5" t="s">
        <v>238</v>
      </c>
      <c r="HZ757" s="5" t="s">
        <v>238</v>
      </c>
      <c r="IA757" s="5" t="s">
        <v>238</v>
      </c>
      <c r="IB757" s="5" t="s">
        <v>238</v>
      </c>
      <c r="IC757" s="5" t="s">
        <v>238</v>
      </c>
      <c r="ID757" s="5" t="s">
        <v>238</v>
      </c>
    </row>
    <row r="758" spans="1:238" x14ac:dyDescent="0.4">
      <c r="A758" s="5">
        <v>850</v>
      </c>
      <c r="B758" s="5">
        <v>1</v>
      </c>
      <c r="C758" s="5">
        <v>4</v>
      </c>
      <c r="D758" s="5" t="s">
        <v>2713</v>
      </c>
      <c r="E758" s="5" t="s">
        <v>277</v>
      </c>
      <c r="F758" s="5" t="s">
        <v>282</v>
      </c>
      <c r="G758" s="5" t="s">
        <v>2485</v>
      </c>
      <c r="H758" s="6" t="s">
        <v>2714</v>
      </c>
      <c r="I758" s="5" t="s">
        <v>2482</v>
      </c>
      <c r="J758" s="7">
        <f t="shared" si="41"/>
        <v>157.33000000000001</v>
      </c>
      <c r="K758" s="5" t="s">
        <v>270</v>
      </c>
      <c r="L758" s="8">
        <f t="shared" si="42"/>
        <v>5556269</v>
      </c>
      <c r="M758" s="8">
        <f t="shared" si="43"/>
        <v>25487460</v>
      </c>
      <c r="N758" s="6" t="s">
        <v>843</v>
      </c>
      <c r="O758" s="5" t="s">
        <v>286</v>
      </c>
      <c r="P758" s="5" t="s">
        <v>268</v>
      </c>
      <c r="Q758" s="8">
        <f t="shared" si="44"/>
        <v>1172423</v>
      </c>
      <c r="R758" s="8">
        <f t="shared" si="45"/>
        <v>19931191</v>
      </c>
      <c r="S758" s="5" t="s">
        <v>240</v>
      </c>
      <c r="T758" s="5" t="s">
        <v>237</v>
      </c>
      <c r="U758" s="5" t="s">
        <v>238</v>
      </c>
      <c r="V758" s="5" t="s">
        <v>238</v>
      </c>
      <c r="W758" s="5" t="s">
        <v>241</v>
      </c>
      <c r="X758" s="5" t="s">
        <v>276</v>
      </c>
      <c r="Y758" s="5" t="s">
        <v>238</v>
      </c>
      <c r="AB758" s="5" t="s">
        <v>238</v>
      </c>
      <c r="AC758" s="6" t="s">
        <v>238</v>
      </c>
      <c r="AD758" s="6" t="s">
        <v>238</v>
      </c>
      <c r="AF758" s="6" t="s">
        <v>238</v>
      </c>
      <c r="AG758" s="6" t="s">
        <v>246</v>
      </c>
      <c r="AH758" s="5" t="s">
        <v>247</v>
      </c>
      <c r="AI758" s="5" t="s">
        <v>248</v>
      </c>
      <c r="AO758" s="5" t="s">
        <v>238</v>
      </c>
      <c r="AP758" s="5" t="s">
        <v>238</v>
      </c>
      <c r="AQ758" s="5" t="s">
        <v>238</v>
      </c>
      <c r="AR758" s="6" t="s">
        <v>238</v>
      </c>
      <c r="AS758" s="6" t="s">
        <v>238</v>
      </c>
      <c r="AT758" s="6" t="s">
        <v>238</v>
      </c>
      <c r="AW758" s="5" t="s">
        <v>304</v>
      </c>
      <c r="AX758" s="5" t="s">
        <v>304</v>
      </c>
      <c r="AY758" s="5" t="s">
        <v>250</v>
      </c>
      <c r="AZ758" s="5" t="s">
        <v>305</v>
      </c>
      <c r="BA758" s="5" t="s">
        <v>251</v>
      </c>
      <c r="BB758" s="5" t="s">
        <v>238</v>
      </c>
      <c r="BC758" s="5" t="s">
        <v>253</v>
      </c>
      <c r="BD758" s="5" t="s">
        <v>238</v>
      </c>
      <c r="BF758" s="5" t="s">
        <v>238</v>
      </c>
      <c r="BH758" s="5" t="s">
        <v>283</v>
      </c>
      <c r="BI758" s="6" t="s">
        <v>293</v>
      </c>
      <c r="BJ758" s="5" t="s">
        <v>294</v>
      </c>
      <c r="BK758" s="5" t="s">
        <v>294</v>
      </c>
      <c r="BL758" s="5" t="s">
        <v>238</v>
      </c>
      <c r="BM758" s="7">
        <f>0</f>
        <v>0</v>
      </c>
      <c r="BN758" s="8">
        <f t="shared" si="46"/>
        <v>-1172423</v>
      </c>
      <c r="BO758" s="5" t="s">
        <v>257</v>
      </c>
      <c r="BP758" s="5" t="s">
        <v>258</v>
      </c>
      <c r="BQ758" s="5" t="s">
        <v>238</v>
      </c>
      <c r="BR758" s="5" t="s">
        <v>238</v>
      </c>
      <c r="BS758" s="5" t="s">
        <v>238</v>
      </c>
      <c r="BT758" s="5" t="s">
        <v>238</v>
      </c>
      <c r="CC758" s="5" t="s">
        <v>258</v>
      </c>
      <c r="CD758" s="5" t="s">
        <v>238</v>
      </c>
      <c r="CE758" s="5" t="s">
        <v>238</v>
      </c>
      <c r="CI758" s="5" t="s">
        <v>259</v>
      </c>
      <c r="CJ758" s="5" t="s">
        <v>260</v>
      </c>
      <c r="CK758" s="5" t="s">
        <v>238</v>
      </c>
      <c r="CM758" s="5" t="s">
        <v>845</v>
      </c>
      <c r="CN758" s="6" t="s">
        <v>262</v>
      </c>
      <c r="CO758" s="5" t="s">
        <v>263</v>
      </c>
      <c r="CP758" s="5" t="s">
        <v>264</v>
      </c>
      <c r="CQ758" s="5" t="s">
        <v>285</v>
      </c>
      <c r="CR758" s="5" t="s">
        <v>238</v>
      </c>
      <c r="CS758" s="5">
        <v>4.5999999999999999E-2</v>
      </c>
      <c r="CT758" s="5" t="s">
        <v>265</v>
      </c>
      <c r="CU758" s="5" t="s">
        <v>1360</v>
      </c>
      <c r="CV758" s="5" t="s">
        <v>267</v>
      </c>
      <c r="CW758" s="7">
        <f>0</f>
        <v>0</v>
      </c>
      <c r="CX758" s="8">
        <f t="shared" si="47"/>
        <v>25487460</v>
      </c>
      <c r="CY758" s="8">
        <f t="shared" si="48"/>
        <v>6728692</v>
      </c>
      <c r="DA758" s="5" t="s">
        <v>238</v>
      </c>
      <c r="DB758" s="5" t="s">
        <v>238</v>
      </c>
      <c r="DD758" s="5" t="s">
        <v>238</v>
      </c>
      <c r="DE758" s="8">
        <f>0</f>
        <v>0</v>
      </c>
      <c r="DG758" s="5" t="s">
        <v>238</v>
      </c>
      <c r="DH758" s="5" t="s">
        <v>238</v>
      </c>
      <c r="DI758" s="5" t="s">
        <v>238</v>
      </c>
      <c r="DJ758" s="5" t="s">
        <v>238</v>
      </c>
      <c r="DK758" s="5" t="s">
        <v>274</v>
      </c>
      <c r="DL758" s="5" t="s">
        <v>272</v>
      </c>
      <c r="DM758" s="7">
        <f t="shared" si="49"/>
        <v>157.33000000000001</v>
      </c>
      <c r="DN758" s="5" t="s">
        <v>238</v>
      </c>
      <c r="DO758" s="5" t="s">
        <v>238</v>
      </c>
      <c r="DP758" s="5" t="s">
        <v>238</v>
      </c>
      <c r="DQ758" s="5" t="s">
        <v>238</v>
      </c>
      <c r="DT758" s="5" t="s">
        <v>2715</v>
      </c>
      <c r="DU758" s="5" t="s">
        <v>313</v>
      </c>
      <c r="GL758" s="5" t="s">
        <v>2716</v>
      </c>
      <c r="HM758" s="5" t="s">
        <v>313</v>
      </c>
      <c r="HP758" s="5" t="s">
        <v>272</v>
      </c>
      <c r="HQ758" s="5" t="s">
        <v>272</v>
      </c>
      <c r="HR758" s="5" t="s">
        <v>238</v>
      </c>
      <c r="HS758" s="5" t="s">
        <v>238</v>
      </c>
      <c r="HT758" s="5" t="s">
        <v>238</v>
      </c>
      <c r="HU758" s="5" t="s">
        <v>238</v>
      </c>
      <c r="HV758" s="5" t="s">
        <v>238</v>
      </c>
      <c r="HW758" s="5" t="s">
        <v>238</v>
      </c>
      <c r="HX758" s="5" t="s">
        <v>238</v>
      </c>
      <c r="HY758" s="5" t="s">
        <v>238</v>
      </c>
      <c r="HZ758" s="5" t="s">
        <v>238</v>
      </c>
      <c r="IA758" s="5" t="s">
        <v>238</v>
      </c>
      <c r="IB758" s="5" t="s">
        <v>238</v>
      </c>
      <c r="IC758" s="5" t="s">
        <v>238</v>
      </c>
      <c r="ID758" s="5" t="s">
        <v>238</v>
      </c>
    </row>
    <row r="759" spans="1:238" x14ac:dyDescent="0.4">
      <c r="A759" s="5">
        <v>851</v>
      </c>
      <c r="B759" s="5">
        <v>1</v>
      </c>
      <c r="C759" s="5">
        <v>1</v>
      </c>
      <c r="D759" s="5" t="s">
        <v>2823</v>
      </c>
      <c r="E759" s="5" t="s">
        <v>277</v>
      </c>
      <c r="F759" s="5" t="s">
        <v>282</v>
      </c>
      <c r="G759" s="5" t="s">
        <v>2491</v>
      </c>
      <c r="H759" s="6" t="s">
        <v>2824</v>
      </c>
      <c r="I759" s="5" t="s">
        <v>2482</v>
      </c>
      <c r="J759" s="7">
        <f>31.59</f>
        <v>31.59</v>
      </c>
      <c r="K759" s="5" t="s">
        <v>270</v>
      </c>
      <c r="L759" s="8">
        <f>1</f>
        <v>1</v>
      </c>
      <c r="M759" s="8">
        <f>3159000</f>
        <v>3159000</v>
      </c>
      <c r="N759" s="6" t="s">
        <v>2766</v>
      </c>
      <c r="O759" s="5" t="s">
        <v>286</v>
      </c>
      <c r="P759" s="5" t="s">
        <v>898</v>
      </c>
      <c r="R759" s="8">
        <f>3158999</f>
        <v>3158999</v>
      </c>
      <c r="S759" s="5" t="s">
        <v>240</v>
      </c>
      <c r="T759" s="5" t="s">
        <v>237</v>
      </c>
      <c r="U759" s="5" t="s">
        <v>238</v>
      </c>
      <c r="V759" s="5" t="s">
        <v>238</v>
      </c>
      <c r="W759" s="5" t="s">
        <v>241</v>
      </c>
      <c r="X759" s="5" t="s">
        <v>276</v>
      </c>
      <c r="Y759" s="5" t="s">
        <v>238</v>
      </c>
      <c r="AB759" s="5" t="s">
        <v>238</v>
      </c>
      <c r="AD759" s="6" t="s">
        <v>238</v>
      </c>
      <c r="AG759" s="6" t="s">
        <v>520</v>
      </c>
      <c r="AH759" s="5" t="s">
        <v>247</v>
      </c>
      <c r="AI759" s="5" t="s">
        <v>248</v>
      </c>
      <c r="AY759" s="5" t="s">
        <v>250</v>
      </c>
      <c r="AZ759" s="5" t="s">
        <v>238</v>
      </c>
      <c r="BA759" s="5" t="s">
        <v>251</v>
      </c>
      <c r="BB759" s="5" t="s">
        <v>238</v>
      </c>
      <c r="BC759" s="5" t="s">
        <v>253</v>
      </c>
      <c r="BD759" s="5" t="s">
        <v>238</v>
      </c>
      <c r="BF759" s="5" t="s">
        <v>238</v>
      </c>
      <c r="BH759" s="5" t="s">
        <v>697</v>
      </c>
      <c r="BI759" s="6" t="s">
        <v>520</v>
      </c>
      <c r="BJ759" s="5" t="s">
        <v>255</v>
      </c>
      <c r="BK759" s="5" t="s">
        <v>256</v>
      </c>
      <c r="BL759" s="5" t="s">
        <v>238</v>
      </c>
      <c r="BM759" s="7">
        <f>0</f>
        <v>0</v>
      </c>
      <c r="BN759" s="8">
        <f>0</f>
        <v>0</v>
      </c>
      <c r="BO759" s="5" t="s">
        <v>257</v>
      </c>
      <c r="BP759" s="5" t="s">
        <v>258</v>
      </c>
      <c r="CD759" s="5" t="s">
        <v>238</v>
      </c>
      <c r="CE759" s="5" t="s">
        <v>238</v>
      </c>
      <c r="CI759" s="5" t="s">
        <v>527</v>
      </c>
      <c r="CJ759" s="5" t="s">
        <v>260</v>
      </c>
      <c r="CK759" s="5" t="s">
        <v>238</v>
      </c>
      <c r="CM759" s="5" t="s">
        <v>897</v>
      </c>
      <c r="CN759" s="6" t="s">
        <v>262</v>
      </c>
      <c r="CO759" s="5" t="s">
        <v>263</v>
      </c>
      <c r="CP759" s="5" t="s">
        <v>264</v>
      </c>
      <c r="CQ759" s="5" t="s">
        <v>238</v>
      </c>
      <c r="CR759" s="5" t="s">
        <v>238</v>
      </c>
      <c r="CS759" s="5">
        <v>0</v>
      </c>
      <c r="CT759" s="5" t="s">
        <v>265</v>
      </c>
      <c r="CU759" s="5" t="s">
        <v>1360</v>
      </c>
      <c r="CV759" s="5" t="s">
        <v>267</v>
      </c>
      <c r="CX759" s="8">
        <f>3159000</f>
        <v>3159000</v>
      </c>
      <c r="CY759" s="8">
        <f>0</f>
        <v>0</v>
      </c>
      <c r="DA759" s="5" t="s">
        <v>238</v>
      </c>
      <c r="DB759" s="5" t="s">
        <v>238</v>
      </c>
      <c r="DD759" s="5" t="s">
        <v>238</v>
      </c>
      <c r="DG759" s="5" t="s">
        <v>238</v>
      </c>
      <c r="DH759" s="5" t="s">
        <v>238</v>
      </c>
      <c r="DI759" s="5" t="s">
        <v>238</v>
      </c>
      <c r="DJ759" s="5" t="s">
        <v>238</v>
      </c>
      <c r="DK759" s="5" t="s">
        <v>271</v>
      </c>
      <c r="DL759" s="5" t="s">
        <v>272</v>
      </c>
      <c r="DM759" s="7">
        <f>31.59</f>
        <v>31.59</v>
      </c>
      <c r="DN759" s="5" t="s">
        <v>238</v>
      </c>
      <c r="DO759" s="5" t="s">
        <v>238</v>
      </c>
      <c r="DP759" s="5" t="s">
        <v>238</v>
      </c>
      <c r="DQ759" s="5" t="s">
        <v>238</v>
      </c>
      <c r="DT759" s="5" t="s">
        <v>2825</v>
      </c>
      <c r="DU759" s="5" t="s">
        <v>271</v>
      </c>
      <c r="HM759" s="5" t="s">
        <v>271</v>
      </c>
      <c r="HP759" s="5" t="s">
        <v>272</v>
      </c>
      <c r="HQ759" s="5" t="s">
        <v>272</v>
      </c>
    </row>
    <row r="760" spans="1:238" x14ac:dyDescent="0.4">
      <c r="A760" s="5">
        <v>852</v>
      </c>
      <c r="B760" s="5">
        <v>1</v>
      </c>
      <c r="C760" s="5">
        <v>1</v>
      </c>
      <c r="D760" s="5" t="s">
        <v>2823</v>
      </c>
      <c r="E760" s="5" t="s">
        <v>277</v>
      </c>
      <c r="F760" s="5" t="s">
        <v>282</v>
      </c>
      <c r="G760" s="5" t="s">
        <v>2491</v>
      </c>
      <c r="H760" s="6" t="s">
        <v>2824</v>
      </c>
      <c r="I760" s="5" t="s">
        <v>2482</v>
      </c>
      <c r="J760" s="7">
        <f>31.59</f>
        <v>31.59</v>
      </c>
      <c r="K760" s="5" t="s">
        <v>270</v>
      </c>
      <c r="L760" s="8">
        <f>1</f>
        <v>1</v>
      </c>
      <c r="M760" s="8">
        <f>3159000</f>
        <v>3159000</v>
      </c>
      <c r="N760" s="6" t="s">
        <v>2766</v>
      </c>
      <c r="O760" s="5" t="s">
        <v>286</v>
      </c>
      <c r="P760" s="5" t="s">
        <v>898</v>
      </c>
      <c r="R760" s="8">
        <f>3158999</f>
        <v>3158999</v>
      </c>
      <c r="S760" s="5" t="s">
        <v>240</v>
      </c>
      <c r="T760" s="5" t="s">
        <v>237</v>
      </c>
      <c r="U760" s="5" t="s">
        <v>238</v>
      </c>
      <c r="V760" s="5" t="s">
        <v>238</v>
      </c>
      <c r="W760" s="5" t="s">
        <v>241</v>
      </c>
      <c r="X760" s="5" t="s">
        <v>276</v>
      </c>
      <c r="Y760" s="5" t="s">
        <v>238</v>
      </c>
      <c r="AB760" s="5" t="s">
        <v>238</v>
      </c>
      <c r="AD760" s="6" t="s">
        <v>238</v>
      </c>
      <c r="AG760" s="6" t="s">
        <v>520</v>
      </c>
      <c r="AH760" s="5" t="s">
        <v>247</v>
      </c>
      <c r="AI760" s="5" t="s">
        <v>248</v>
      </c>
      <c r="AY760" s="5" t="s">
        <v>250</v>
      </c>
      <c r="AZ760" s="5" t="s">
        <v>238</v>
      </c>
      <c r="BA760" s="5" t="s">
        <v>251</v>
      </c>
      <c r="BB760" s="5" t="s">
        <v>238</v>
      </c>
      <c r="BC760" s="5" t="s">
        <v>253</v>
      </c>
      <c r="BD760" s="5" t="s">
        <v>238</v>
      </c>
      <c r="BF760" s="5" t="s">
        <v>238</v>
      </c>
      <c r="BH760" s="5" t="s">
        <v>697</v>
      </c>
      <c r="BI760" s="6" t="s">
        <v>698</v>
      </c>
      <c r="BJ760" s="5" t="s">
        <v>255</v>
      </c>
      <c r="BK760" s="5" t="s">
        <v>256</v>
      </c>
      <c r="BL760" s="5" t="s">
        <v>238</v>
      </c>
      <c r="BM760" s="7">
        <f>0</f>
        <v>0</v>
      </c>
      <c r="BN760" s="8">
        <f>0</f>
        <v>0</v>
      </c>
      <c r="BO760" s="5" t="s">
        <v>257</v>
      </c>
      <c r="BP760" s="5" t="s">
        <v>258</v>
      </c>
      <c r="CD760" s="5" t="s">
        <v>238</v>
      </c>
      <c r="CE760" s="5" t="s">
        <v>238</v>
      </c>
      <c r="CI760" s="5" t="s">
        <v>527</v>
      </c>
      <c r="CJ760" s="5" t="s">
        <v>260</v>
      </c>
      <c r="CK760" s="5" t="s">
        <v>238</v>
      </c>
      <c r="CM760" s="5" t="s">
        <v>897</v>
      </c>
      <c r="CN760" s="6" t="s">
        <v>262</v>
      </c>
      <c r="CO760" s="5" t="s">
        <v>263</v>
      </c>
      <c r="CP760" s="5" t="s">
        <v>264</v>
      </c>
      <c r="CQ760" s="5" t="s">
        <v>238</v>
      </c>
      <c r="CR760" s="5" t="s">
        <v>238</v>
      </c>
      <c r="CS760" s="5">
        <v>0</v>
      </c>
      <c r="CT760" s="5" t="s">
        <v>265</v>
      </c>
      <c r="CU760" s="5" t="s">
        <v>1360</v>
      </c>
      <c r="CV760" s="5" t="s">
        <v>267</v>
      </c>
      <c r="CX760" s="8">
        <f>3159000</f>
        <v>3159000</v>
      </c>
      <c r="CY760" s="8">
        <f>0</f>
        <v>0</v>
      </c>
      <c r="DA760" s="5" t="s">
        <v>238</v>
      </c>
      <c r="DB760" s="5" t="s">
        <v>238</v>
      </c>
      <c r="DD760" s="5" t="s">
        <v>238</v>
      </c>
      <c r="DG760" s="5" t="s">
        <v>238</v>
      </c>
      <c r="DH760" s="5" t="s">
        <v>238</v>
      </c>
      <c r="DI760" s="5" t="s">
        <v>238</v>
      </c>
      <c r="DJ760" s="5" t="s">
        <v>238</v>
      </c>
      <c r="DK760" s="5" t="s">
        <v>271</v>
      </c>
      <c r="DL760" s="5" t="s">
        <v>272</v>
      </c>
      <c r="DM760" s="7">
        <f>31.59</f>
        <v>31.59</v>
      </c>
      <c r="DN760" s="5" t="s">
        <v>238</v>
      </c>
      <c r="DO760" s="5" t="s">
        <v>238</v>
      </c>
      <c r="DP760" s="5" t="s">
        <v>238</v>
      </c>
      <c r="DQ760" s="5" t="s">
        <v>238</v>
      </c>
      <c r="DT760" s="5" t="s">
        <v>2825</v>
      </c>
      <c r="DU760" s="5" t="s">
        <v>274</v>
      </c>
      <c r="HM760" s="5" t="s">
        <v>271</v>
      </c>
      <c r="HP760" s="5" t="s">
        <v>272</v>
      </c>
      <c r="HQ760" s="5" t="s">
        <v>272</v>
      </c>
    </row>
    <row r="761" spans="1:238" x14ac:dyDescent="0.4">
      <c r="A761" s="5">
        <v>853</v>
      </c>
      <c r="B761" s="5">
        <v>1</v>
      </c>
      <c r="C761" s="5">
        <v>1</v>
      </c>
      <c r="D761" s="5" t="s">
        <v>2823</v>
      </c>
      <c r="E761" s="5" t="s">
        <v>277</v>
      </c>
      <c r="F761" s="5" t="s">
        <v>282</v>
      </c>
      <c r="G761" s="5" t="s">
        <v>2491</v>
      </c>
      <c r="H761" s="6" t="s">
        <v>2824</v>
      </c>
      <c r="I761" s="5" t="s">
        <v>2482</v>
      </c>
      <c r="J761" s="7">
        <f>31.59</f>
        <v>31.59</v>
      </c>
      <c r="K761" s="5" t="s">
        <v>270</v>
      </c>
      <c r="L761" s="8">
        <f>1</f>
        <v>1</v>
      </c>
      <c r="M761" s="8">
        <f>3159000</f>
        <v>3159000</v>
      </c>
      <c r="N761" s="6" t="s">
        <v>2766</v>
      </c>
      <c r="O761" s="5" t="s">
        <v>286</v>
      </c>
      <c r="P761" s="5" t="s">
        <v>898</v>
      </c>
      <c r="R761" s="8">
        <f>3158999</f>
        <v>3158999</v>
      </c>
      <c r="S761" s="5" t="s">
        <v>240</v>
      </c>
      <c r="T761" s="5" t="s">
        <v>237</v>
      </c>
      <c r="U761" s="5" t="s">
        <v>238</v>
      </c>
      <c r="V761" s="5" t="s">
        <v>238</v>
      </c>
      <c r="W761" s="5" t="s">
        <v>241</v>
      </c>
      <c r="X761" s="5" t="s">
        <v>276</v>
      </c>
      <c r="Y761" s="5" t="s">
        <v>238</v>
      </c>
      <c r="AB761" s="5" t="s">
        <v>238</v>
      </c>
      <c r="AD761" s="6" t="s">
        <v>238</v>
      </c>
      <c r="AG761" s="6" t="s">
        <v>520</v>
      </c>
      <c r="AH761" s="5" t="s">
        <v>247</v>
      </c>
      <c r="AI761" s="5" t="s">
        <v>248</v>
      </c>
      <c r="AY761" s="5" t="s">
        <v>250</v>
      </c>
      <c r="AZ761" s="5" t="s">
        <v>238</v>
      </c>
      <c r="BA761" s="5" t="s">
        <v>251</v>
      </c>
      <c r="BB761" s="5" t="s">
        <v>238</v>
      </c>
      <c r="BC761" s="5" t="s">
        <v>253</v>
      </c>
      <c r="BD761" s="5" t="s">
        <v>238</v>
      </c>
      <c r="BF761" s="5" t="s">
        <v>238</v>
      </c>
      <c r="BH761" s="5" t="s">
        <v>798</v>
      </c>
      <c r="BI761" s="6" t="s">
        <v>799</v>
      </c>
      <c r="BJ761" s="5" t="s">
        <v>255</v>
      </c>
      <c r="BK761" s="5" t="s">
        <v>256</v>
      </c>
      <c r="BL761" s="5" t="s">
        <v>238</v>
      </c>
      <c r="BM761" s="7">
        <f>0</f>
        <v>0</v>
      </c>
      <c r="BN761" s="8">
        <f>0</f>
        <v>0</v>
      </c>
      <c r="BO761" s="5" t="s">
        <v>257</v>
      </c>
      <c r="BP761" s="5" t="s">
        <v>258</v>
      </c>
      <c r="CD761" s="5" t="s">
        <v>238</v>
      </c>
      <c r="CE761" s="5" t="s">
        <v>238</v>
      </c>
      <c r="CI761" s="5" t="s">
        <v>527</v>
      </c>
      <c r="CJ761" s="5" t="s">
        <v>260</v>
      </c>
      <c r="CK761" s="5" t="s">
        <v>238</v>
      </c>
      <c r="CM761" s="5" t="s">
        <v>897</v>
      </c>
      <c r="CN761" s="6" t="s">
        <v>262</v>
      </c>
      <c r="CO761" s="5" t="s">
        <v>263</v>
      </c>
      <c r="CP761" s="5" t="s">
        <v>264</v>
      </c>
      <c r="CQ761" s="5" t="s">
        <v>238</v>
      </c>
      <c r="CR761" s="5" t="s">
        <v>238</v>
      </c>
      <c r="CS761" s="5">
        <v>0</v>
      </c>
      <c r="CT761" s="5" t="s">
        <v>265</v>
      </c>
      <c r="CU761" s="5" t="s">
        <v>1360</v>
      </c>
      <c r="CV761" s="5" t="s">
        <v>267</v>
      </c>
      <c r="CX761" s="8">
        <f>3159000</f>
        <v>3159000</v>
      </c>
      <c r="CY761" s="8">
        <f>0</f>
        <v>0</v>
      </c>
      <c r="DA761" s="5" t="s">
        <v>238</v>
      </c>
      <c r="DB761" s="5" t="s">
        <v>238</v>
      </c>
      <c r="DD761" s="5" t="s">
        <v>238</v>
      </c>
      <c r="DG761" s="5" t="s">
        <v>238</v>
      </c>
      <c r="DH761" s="5" t="s">
        <v>238</v>
      </c>
      <c r="DI761" s="5" t="s">
        <v>238</v>
      </c>
      <c r="DJ761" s="5" t="s">
        <v>238</v>
      </c>
      <c r="DK761" s="5" t="s">
        <v>271</v>
      </c>
      <c r="DL761" s="5" t="s">
        <v>272</v>
      </c>
      <c r="DM761" s="7">
        <f>31.59</f>
        <v>31.59</v>
      </c>
      <c r="DN761" s="5" t="s">
        <v>238</v>
      </c>
      <c r="DO761" s="5" t="s">
        <v>238</v>
      </c>
      <c r="DP761" s="5" t="s">
        <v>238</v>
      </c>
      <c r="DQ761" s="5" t="s">
        <v>238</v>
      </c>
      <c r="DT761" s="5" t="s">
        <v>2825</v>
      </c>
      <c r="DU761" s="5" t="s">
        <v>356</v>
      </c>
      <c r="HM761" s="5" t="s">
        <v>271</v>
      </c>
      <c r="HP761" s="5" t="s">
        <v>272</v>
      </c>
      <c r="HQ761" s="5" t="s">
        <v>272</v>
      </c>
    </row>
    <row r="762" spans="1:238" x14ac:dyDescent="0.4">
      <c r="A762" s="5">
        <v>854</v>
      </c>
      <c r="B762" s="5">
        <v>1</v>
      </c>
      <c r="C762" s="5">
        <v>1</v>
      </c>
      <c r="D762" s="5" t="s">
        <v>2823</v>
      </c>
      <c r="E762" s="5" t="s">
        <v>277</v>
      </c>
      <c r="F762" s="5" t="s">
        <v>282</v>
      </c>
      <c r="G762" s="5" t="s">
        <v>2491</v>
      </c>
      <c r="H762" s="6" t="s">
        <v>2824</v>
      </c>
      <c r="I762" s="5" t="s">
        <v>2482</v>
      </c>
      <c r="J762" s="7">
        <f>31.59</f>
        <v>31.59</v>
      </c>
      <c r="K762" s="5" t="s">
        <v>270</v>
      </c>
      <c r="L762" s="8">
        <f>1</f>
        <v>1</v>
      </c>
      <c r="M762" s="8">
        <f>3159000</f>
        <v>3159000</v>
      </c>
      <c r="N762" s="6" t="s">
        <v>2766</v>
      </c>
      <c r="O762" s="5" t="s">
        <v>286</v>
      </c>
      <c r="P762" s="5" t="s">
        <v>898</v>
      </c>
      <c r="R762" s="8">
        <f>3158999</f>
        <v>3158999</v>
      </c>
      <c r="S762" s="5" t="s">
        <v>240</v>
      </c>
      <c r="T762" s="5" t="s">
        <v>237</v>
      </c>
      <c r="U762" s="5" t="s">
        <v>238</v>
      </c>
      <c r="V762" s="5" t="s">
        <v>238</v>
      </c>
      <c r="W762" s="5" t="s">
        <v>241</v>
      </c>
      <c r="X762" s="5" t="s">
        <v>276</v>
      </c>
      <c r="Y762" s="5" t="s">
        <v>238</v>
      </c>
      <c r="AB762" s="5" t="s">
        <v>238</v>
      </c>
      <c r="AD762" s="6" t="s">
        <v>238</v>
      </c>
      <c r="AG762" s="6" t="s">
        <v>246</v>
      </c>
      <c r="AH762" s="5" t="s">
        <v>247</v>
      </c>
      <c r="AI762" s="5" t="s">
        <v>248</v>
      </c>
      <c r="AY762" s="5" t="s">
        <v>250</v>
      </c>
      <c r="AZ762" s="5" t="s">
        <v>238</v>
      </c>
      <c r="BA762" s="5" t="s">
        <v>251</v>
      </c>
      <c r="BB762" s="5" t="s">
        <v>238</v>
      </c>
      <c r="BC762" s="5" t="s">
        <v>253</v>
      </c>
      <c r="BD762" s="5" t="s">
        <v>238</v>
      </c>
      <c r="BF762" s="5" t="s">
        <v>238</v>
      </c>
      <c r="BH762" s="5" t="s">
        <v>254</v>
      </c>
      <c r="BI762" s="6" t="s">
        <v>246</v>
      </c>
      <c r="BJ762" s="5" t="s">
        <v>255</v>
      </c>
      <c r="BK762" s="5" t="s">
        <v>256</v>
      </c>
      <c r="BL762" s="5" t="s">
        <v>238</v>
      </c>
      <c r="BM762" s="7">
        <f>0</f>
        <v>0</v>
      </c>
      <c r="BN762" s="8">
        <f>0</f>
        <v>0</v>
      </c>
      <c r="BO762" s="5" t="s">
        <v>257</v>
      </c>
      <c r="BP762" s="5" t="s">
        <v>258</v>
      </c>
      <c r="CD762" s="5" t="s">
        <v>238</v>
      </c>
      <c r="CE762" s="5" t="s">
        <v>238</v>
      </c>
      <c r="CI762" s="5" t="s">
        <v>527</v>
      </c>
      <c r="CJ762" s="5" t="s">
        <v>260</v>
      </c>
      <c r="CK762" s="5" t="s">
        <v>238</v>
      </c>
      <c r="CM762" s="5" t="s">
        <v>897</v>
      </c>
      <c r="CN762" s="6" t="s">
        <v>262</v>
      </c>
      <c r="CO762" s="5" t="s">
        <v>263</v>
      </c>
      <c r="CP762" s="5" t="s">
        <v>264</v>
      </c>
      <c r="CQ762" s="5" t="s">
        <v>238</v>
      </c>
      <c r="CR762" s="5" t="s">
        <v>238</v>
      </c>
      <c r="CS762" s="5">
        <v>0</v>
      </c>
      <c r="CT762" s="5" t="s">
        <v>265</v>
      </c>
      <c r="CU762" s="5" t="s">
        <v>1360</v>
      </c>
      <c r="CV762" s="5" t="s">
        <v>267</v>
      </c>
      <c r="CX762" s="8">
        <f>3159000</f>
        <v>3159000</v>
      </c>
      <c r="CY762" s="8">
        <f>0</f>
        <v>0</v>
      </c>
      <c r="DA762" s="5" t="s">
        <v>238</v>
      </c>
      <c r="DB762" s="5" t="s">
        <v>238</v>
      </c>
      <c r="DD762" s="5" t="s">
        <v>238</v>
      </c>
      <c r="DG762" s="5" t="s">
        <v>238</v>
      </c>
      <c r="DH762" s="5" t="s">
        <v>238</v>
      </c>
      <c r="DI762" s="5" t="s">
        <v>238</v>
      </c>
      <c r="DJ762" s="5" t="s">
        <v>238</v>
      </c>
      <c r="DK762" s="5" t="s">
        <v>271</v>
      </c>
      <c r="DL762" s="5" t="s">
        <v>272</v>
      </c>
      <c r="DM762" s="7">
        <f>31.59</f>
        <v>31.59</v>
      </c>
      <c r="DN762" s="5" t="s">
        <v>238</v>
      </c>
      <c r="DO762" s="5" t="s">
        <v>238</v>
      </c>
      <c r="DP762" s="5" t="s">
        <v>238</v>
      </c>
      <c r="DQ762" s="5" t="s">
        <v>238</v>
      </c>
      <c r="DT762" s="5" t="s">
        <v>2825</v>
      </c>
      <c r="DU762" s="5" t="s">
        <v>310</v>
      </c>
      <c r="HM762" s="5" t="s">
        <v>271</v>
      </c>
      <c r="HP762" s="5" t="s">
        <v>272</v>
      </c>
      <c r="HQ762" s="5" t="s">
        <v>272</v>
      </c>
    </row>
    <row r="763" spans="1:238" x14ac:dyDescent="0.4">
      <c r="A763" s="5">
        <v>855</v>
      </c>
      <c r="B763" s="5">
        <v>1</v>
      </c>
      <c r="C763" s="5">
        <v>1</v>
      </c>
      <c r="D763" s="5" t="s">
        <v>2823</v>
      </c>
      <c r="E763" s="5" t="s">
        <v>277</v>
      </c>
      <c r="F763" s="5" t="s">
        <v>282</v>
      </c>
      <c r="G763" s="5" t="s">
        <v>2491</v>
      </c>
      <c r="H763" s="6" t="s">
        <v>2824</v>
      </c>
      <c r="I763" s="5" t="s">
        <v>2525</v>
      </c>
      <c r="J763" s="7">
        <f>63.18</f>
        <v>63.18</v>
      </c>
      <c r="K763" s="5" t="s">
        <v>270</v>
      </c>
      <c r="L763" s="8">
        <f>1</f>
        <v>1</v>
      </c>
      <c r="M763" s="8">
        <f>6318000</f>
        <v>6318000</v>
      </c>
      <c r="N763" s="6" t="s">
        <v>2766</v>
      </c>
      <c r="O763" s="5" t="s">
        <v>286</v>
      </c>
      <c r="P763" s="5" t="s">
        <v>898</v>
      </c>
      <c r="R763" s="8">
        <f>6317999</f>
        <v>6317999</v>
      </c>
      <c r="S763" s="5" t="s">
        <v>240</v>
      </c>
      <c r="T763" s="5" t="s">
        <v>237</v>
      </c>
      <c r="U763" s="5" t="s">
        <v>238</v>
      </c>
      <c r="V763" s="5" t="s">
        <v>238</v>
      </c>
      <c r="W763" s="5" t="s">
        <v>241</v>
      </c>
      <c r="X763" s="5" t="s">
        <v>276</v>
      </c>
      <c r="Y763" s="5" t="s">
        <v>238</v>
      </c>
      <c r="AB763" s="5" t="s">
        <v>238</v>
      </c>
      <c r="AD763" s="6" t="s">
        <v>238</v>
      </c>
      <c r="AG763" s="6" t="s">
        <v>246</v>
      </c>
      <c r="AH763" s="5" t="s">
        <v>247</v>
      </c>
      <c r="AI763" s="5" t="s">
        <v>248</v>
      </c>
      <c r="AY763" s="5" t="s">
        <v>250</v>
      </c>
      <c r="AZ763" s="5" t="s">
        <v>238</v>
      </c>
      <c r="BA763" s="5" t="s">
        <v>251</v>
      </c>
      <c r="BB763" s="5" t="s">
        <v>238</v>
      </c>
      <c r="BC763" s="5" t="s">
        <v>253</v>
      </c>
      <c r="BD763" s="5" t="s">
        <v>238</v>
      </c>
      <c r="BF763" s="5" t="s">
        <v>238</v>
      </c>
      <c r="BH763" s="5" t="s">
        <v>859</v>
      </c>
      <c r="BI763" s="6" t="s">
        <v>368</v>
      </c>
      <c r="BJ763" s="5" t="s">
        <v>255</v>
      </c>
      <c r="BK763" s="5" t="s">
        <v>256</v>
      </c>
      <c r="BL763" s="5" t="s">
        <v>238</v>
      </c>
      <c r="BM763" s="7">
        <f>0</f>
        <v>0</v>
      </c>
      <c r="BN763" s="8">
        <f>0</f>
        <v>0</v>
      </c>
      <c r="BO763" s="5" t="s">
        <v>257</v>
      </c>
      <c r="BP763" s="5" t="s">
        <v>258</v>
      </c>
      <c r="CD763" s="5" t="s">
        <v>238</v>
      </c>
      <c r="CE763" s="5" t="s">
        <v>238</v>
      </c>
      <c r="CI763" s="5" t="s">
        <v>527</v>
      </c>
      <c r="CJ763" s="5" t="s">
        <v>260</v>
      </c>
      <c r="CK763" s="5" t="s">
        <v>238</v>
      </c>
      <c r="CM763" s="5" t="s">
        <v>897</v>
      </c>
      <c r="CN763" s="6" t="s">
        <v>262</v>
      </c>
      <c r="CO763" s="5" t="s">
        <v>263</v>
      </c>
      <c r="CP763" s="5" t="s">
        <v>264</v>
      </c>
      <c r="CQ763" s="5" t="s">
        <v>238</v>
      </c>
      <c r="CR763" s="5" t="s">
        <v>238</v>
      </c>
      <c r="CS763" s="5">
        <v>0</v>
      </c>
      <c r="CT763" s="5" t="s">
        <v>265</v>
      </c>
      <c r="CU763" s="5" t="s">
        <v>1360</v>
      </c>
      <c r="CV763" s="5" t="s">
        <v>267</v>
      </c>
      <c r="CX763" s="8">
        <f>6318000</f>
        <v>6318000</v>
      </c>
      <c r="CY763" s="8">
        <f>0</f>
        <v>0</v>
      </c>
      <c r="DA763" s="5" t="s">
        <v>238</v>
      </c>
      <c r="DB763" s="5" t="s">
        <v>238</v>
      </c>
      <c r="DD763" s="5" t="s">
        <v>238</v>
      </c>
      <c r="DG763" s="5" t="s">
        <v>238</v>
      </c>
      <c r="DH763" s="5" t="s">
        <v>238</v>
      </c>
      <c r="DI763" s="5" t="s">
        <v>238</v>
      </c>
      <c r="DJ763" s="5" t="s">
        <v>238</v>
      </c>
      <c r="DK763" s="5" t="s">
        <v>271</v>
      </c>
      <c r="DL763" s="5" t="s">
        <v>272</v>
      </c>
      <c r="DM763" s="7">
        <f>63.18</f>
        <v>63.18</v>
      </c>
      <c r="DN763" s="5" t="s">
        <v>238</v>
      </c>
      <c r="DO763" s="5" t="s">
        <v>238</v>
      </c>
      <c r="DP763" s="5" t="s">
        <v>238</v>
      </c>
      <c r="DQ763" s="5" t="s">
        <v>238</v>
      </c>
      <c r="DT763" s="5" t="s">
        <v>2825</v>
      </c>
      <c r="DU763" s="5" t="s">
        <v>379</v>
      </c>
      <c r="HM763" s="5" t="s">
        <v>271</v>
      </c>
      <c r="HP763" s="5" t="s">
        <v>272</v>
      </c>
      <c r="HQ763" s="5" t="s">
        <v>272</v>
      </c>
    </row>
    <row r="764" spans="1:238" x14ac:dyDescent="0.4">
      <c r="A764" s="5">
        <v>856</v>
      </c>
      <c r="B764" s="5">
        <v>1</v>
      </c>
      <c r="C764" s="5">
        <v>4</v>
      </c>
      <c r="D764" s="5" t="s">
        <v>2708</v>
      </c>
      <c r="E764" s="5" t="s">
        <v>277</v>
      </c>
      <c r="F764" s="5" t="s">
        <v>282</v>
      </c>
      <c r="G764" s="5" t="s">
        <v>2485</v>
      </c>
      <c r="H764" s="6" t="s">
        <v>2709</v>
      </c>
      <c r="I764" s="5" t="s">
        <v>2495</v>
      </c>
      <c r="J764" s="7">
        <f>1105.5</f>
        <v>1105.5</v>
      </c>
      <c r="K764" s="5" t="s">
        <v>270</v>
      </c>
      <c r="L764" s="8">
        <f>99727155</f>
        <v>99727155</v>
      </c>
      <c r="M764" s="8">
        <f>171352500</f>
        <v>171352500</v>
      </c>
      <c r="N764" s="6" t="s">
        <v>804</v>
      </c>
      <c r="O764" s="5" t="s">
        <v>898</v>
      </c>
      <c r="P764" s="5" t="s">
        <v>631</v>
      </c>
      <c r="Q764" s="8">
        <f>3769755</f>
        <v>3769755</v>
      </c>
      <c r="R764" s="8">
        <f>71625345</f>
        <v>71625345</v>
      </c>
      <c r="S764" s="5" t="s">
        <v>240</v>
      </c>
      <c r="T764" s="5" t="s">
        <v>237</v>
      </c>
      <c r="U764" s="5" t="s">
        <v>238</v>
      </c>
      <c r="V764" s="5" t="s">
        <v>238</v>
      </c>
      <c r="W764" s="5" t="s">
        <v>241</v>
      </c>
      <c r="X764" s="5" t="s">
        <v>276</v>
      </c>
      <c r="Y764" s="5" t="s">
        <v>238</v>
      </c>
      <c r="AB764" s="5" t="s">
        <v>238</v>
      </c>
      <c r="AC764" s="6" t="s">
        <v>238</v>
      </c>
      <c r="AD764" s="6" t="s">
        <v>238</v>
      </c>
      <c r="AF764" s="6" t="s">
        <v>238</v>
      </c>
      <c r="AG764" s="6" t="s">
        <v>246</v>
      </c>
      <c r="AH764" s="5" t="s">
        <v>247</v>
      </c>
      <c r="AI764" s="5" t="s">
        <v>248</v>
      </c>
      <c r="AO764" s="5" t="s">
        <v>238</v>
      </c>
      <c r="AP764" s="5" t="s">
        <v>238</v>
      </c>
      <c r="AQ764" s="5" t="s">
        <v>238</v>
      </c>
      <c r="AR764" s="6" t="s">
        <v>238</v>
      </c>
      <c r="AS764" s="6" t="s">
        <v>238</v>
      </c>
      <c r="AT764" s="6" t="s">
        <v>238</v>
      </c>
      <c r="AW764" s="5" t="s">
        <v>304</v>
      </c>
      <c r="AX764" s="5" t="s">
        <v>304</v>
      </c>
      <c r="AY764" s="5" t="s">
        <v>250</v>
      </c>
      <c r="AZ764" s="5" t="s">
        <v>305</v>
      </c>
      <c r="BA764" s="5" t="s">
        <v>251</v>
      </c>
      <c r="BB764" s="5" t="s">
        <v>238</v>
      </c>
      <c r="BC764" s="5" t="s">
        <v>253</v>
      </c>
      <c r="BD764" s="5" t="s">
        <v>238</v>
      </c>
      <c r="BF764" s="5" t="s">
        <v>238</v>
      </c>
      <c r="BH764" s="5" t="s">
        <v>283</v>
      </c>
      <c r="BI764" s="6" t="s">
        <v>293</v>
      </c>
      <c r="BJ764" s="5" t="s">
        <v>294</v>
      </c>
      <c r="BK764" s="5" t="s">
        <v>294</v>
      </c>
      <c r="BL764" s="5" t="s">
        <v>238</v>
      </c>
      <c r="BM764" s="7">
        <f>0</f>
        <v>0</v>
      </c>
      <c r="BN764" s="8">
        <f>-3769755</f>
        <v>-3769755</v>
      </c>
      <c r="BO764" s="5" t="s">
        <v>257</v>
      </c>
      <c r="BP764" s="5" t="s">
        <v>258</v>
      </c>
      <c r="BQ764" s="5" t="s">
        <v>238</v>
      </c>
      <c r="BR764" s="5" t="s">
        <v>238</v>
      </c>
      <c r="BS764" s="5" t="s">
        <v>238</v>
      </c>
      <c r="BT764" s="5" t="s">
        <v>238</v>
      </c>
      <c r="CC764" s="5" t="s">
        <v>258</v>
      </c>
      <c r="CD764" s="5" t="s">
        <v>238</v>
      </c>
      <c r="CE764" s="5" t="s">
        <v>238</v>
      </c>
      <c r="CI764" s="5" t="s">
        <v>259</v>
      </c>
      <c r="CJ764" s="5" t="s">
        <v>260</v>
      </c>
      <c r="CK764" s="5" t="s">
        <v>238</v>
      </c>
      <c r="CM764" s="5" t="s">
        <v>807</v>
      </c>
      <c r="CN764" s="6" t="s">
        <v>262</v>
      </c>
      <c r="CO764" s="5" t="s">
        <v>263</v>
      </c>
      <c r="CP764" s="5" t="s">
        <v>264</v>
      </c>
      <c r="CQ764" s="5" t="s">
        <v>285</v>
      </c>
      <c r="CR764" s="5" t="s">
        <v>238</v>
      </c>
      <c r="CS764" s="5">
        <v>2.1999999999999999E-2</v>
      </c>
      <c r="CT764" s="5" t="s">
        <v>265</v>
      </c>
      <c r="CU764" s="5" t="s">
        <v>1360</v>
      </c>
      <c r="CV764" s="5" t="s">
        <v>308</v>
      </c>
      <c r="CW764" s="7">
        <f>0</f>
        <v>0</v>
      </c>
      <c r="CX764" s="8">
        <f>171352500</f>
        <v>171352500</v>
      </c>
      <c r="CY764" s="8">
        <f>103496910</f>
        <v>103496910</v>
      </c>
      <c r="DA764" s="5" t="s">
        <v>238</v>
      </c>
      <c r="DB764" s="5" t="s">
        <v>238</v>
      </c>
      <c r="DD764" s="5" t="s">
        <v>238</v>
      </c>
      <c r="DE764" s="8">
        <f>0</f>
        <v>0</v>
      </c>
      <c r="DG764" s="5" t="s">
        <v>238</v>
      </c>
      <c r="DH764" s="5" t="s">
        <v>238</v>
      </c>
      <c r="DI764" s="5" t="s">
        <v>238</v>
      </c>
      <c r="DJ764" s="5" t="s">
        <v>238</v>
      </c>
      <c r="DK764" s="5" t="s">
        <v>274</v>
      </c>
      <c r="DL764" s="5" t="s">
        <v>272</v>
      </c>
      <c r="DM764" s="7">
        <f>1105.5</f>
        <v>1105.5</v>
      </c>
      <c r="DN764" s="5" t="s">
        <v>238</v>
      </c>
      <c r="DO764" s="5" t="s">
        <v>238</v>
      </c>
      <c r="DP764" s="5" t="s">
        <v>238</v>
      </c>
      <c r="DQ764" s="5" t="s">
        <v>238</v>
      </c>
      <c r="DT764" s="5" t="s">
        <v>2710</v>
      </c>
      <c r="DU764" s="5" t="s">
        <v>271</v>
      </c>
      <c r="GL764" s="5" t="s">
        <v>2712</v>
      </c>
      <c r="HM764" s="5" t="s">
        <v>313</v>
      </c>
      <c r="HP764" s="5" t="s">
        <v>272</v>
      </c>
      <c r="HQ764" s="5" t="s">
        <v>272</v>
      </c>
      <c r="HR764" s="5" t="s">
        <v>238</v>
      </c>
      <c r="HS764" s="5" t="s">
        <v>238</v>
      </c>
      <c r="HT764" s="5" t="s">
        <v>238</v>
      </c>
      <c r="HU764" s="5" t="s">
        <v>238</v>
      </c>
      <c r="HV764" s="5" t="s">
        <v>238</v>
      </c>
      <c r="HW764" s="5" t="s">
        <v>238</v>
      </c>
      <c r="HX764" s="5" t="s">
        <v>238</v>
      </c>
      <c r="HY764" s="5" t="s">
        <v>238</v>
      </c>
      <c r="HZ764" s="5" t="s">
        <v>238</v>
      </c>
      <c r="IA764" s="5" t="s">
        <v>238</v>
      </c>
      <c r="IB764" s="5" t="s">
        <v>238</v>
      </c>
      <c r="IC764" s="5" t="s">
        <v>238</v>
      </c>
      <c r="ID764" s="5" t="s">
        <v>238</v>
      </c>
    </row>
    <row r="765" spans="1:238" x14ac:dyDescent="0.4">
      <c r="A765" s="5">
        <v>857</v>
      </c>
      <c r="B765" s="5">
        <v>1</v>
      </c>
      <c r="C765" s="5">
        <v>4</v>
      </c>
      <c r="D765" s="5" t="s">
        <v>2708</v>
      </c>
      <c r="E765" s="5" t="s">
        <v>277</v>
      </c>
      <c r="F765" s="5" t="s">
        <v>282</v>
      </c>
      <c r="G765" s="5" t="s">
        <v>2485</v>
      </c>
      <c r="H765" s="6" t="s">
        <v>2709</v>
      </c>
      <c r="I765" s="5" t="s">
        <v>2505</v>
      </c>
      <c r="J765" s="7">
        <f>796.62</f>
        <v>796.62</v>
      </c>
      <c r="K765" s="5" t="s">
        <v>270</v>
      </c>
      <c r="L765" s="8">
        <f>123673674</f>
        <v>123673674</v>
      </c>
      <c r="M765" s="8">
        <f>197561760</f>
        <v>197561760</v>
      </c>
      <c r="N765" s="6" t="s">
        <v>843</v>
      </c>
      <c r="O765" s="5" t="s">
        <v>898</v>
      </c>
      <c r="P765" s="5" t="s">
        <v>268</v>
      </c>
      <c r="Q765" s="8">
        <f>4346358</f>
        <v>4346358</v>
      </c>
      <c r="R765" s="8">
        <f>73888086</f>
        <v>73888086</v>
      </c>
      <c r="S765" s="5" t="s">
        <v>240</v>
      </c>
      <c r="T765" s="5" t="s">
        <v>237</v>
      </c>
      <c r="U765" s="5" t="s">
        <v>238</v>
      </c>
      <c r="V765" s="5" t="s">
        <v>238</v>
      </c>
      <c r="W765" s="5" t="s">
        <v>241</v>
      </c>
      <c r="X765" s="5" t="s">
        <v>276</v>
      </c>
      <c r="Y765" s="5" t="s">
        <v>238</v>
      </c>
      <c r="AB765" s="5" t="s">
        <v>238</v>
      </c>
      <c r="AC765" s="6" t="s">
        <v>238</v>
      </c>
      <c r="AD765" s="6" t="s">
        <v>238</v>
      </c>
      <c r="AF765" s="6" t="s">
        <v>238</v>
      </c>
      <c r="AG765" s="6" t="s">
        <v>246</v>
      </c>
      <c r="AH765" s="5" t="s">
        <v>247</v>
      </c>
      <c r="AI765" s="5" t="s">
        <v>248</v>
      </c>
      <c r="AO765" s="5" t="s">
        <v>238</v>
      </c>
      <c r="AP765" s="5" t="s">
        <v>238</v>
      </c>
      <c r="AQ765" s="5" t="s">
        <v>238</v>
      </c>
      <c r="AR765" s="6" t="s">
        <v>238</v>
      </c>
      <c r="AS765" s="6" t="s">
        <v>238</v>
      </c>
      <c r="AT765" s="6" t="s">
        <v>238</v>
      </c>
      <c r="AW765" s="5" t="s">
        <v>304</v>
      </c>
      <c r="AX765" s="5" t="s">
        <v>304</v>
      </c>
      <c r="AY765" s="5" t="s">
        <v>250</v>
      </c>
      <c r="AZ765" s="5" t="s">
        <v>305</v>
      </c>
      <c r="BA765" s="5" t="s">
        <v>251</v>
      </c>
      <c r="BB765" s="5" t="s">
        <v>238</v>
      </c>
      <c r="BC765" s="5" t="s">
        <v>253</v>
      </c>
      <c r="BD765" s="5" t="s">
        <v>238</v>
      </c>
      <c r="BF765" s="5" t="s">
        <v>238</v>
      </c>
      <c r="BH765" s="5" t="s">
        <v>283</v>
      </c>
      <c r="BI765" s="6" t="s">
        <v>293</v>
      </c>
      <c r="BJ765" s="5" t="s">
        <v>294</v>
      </c>
      <c r="BK765" s="5" t="s">
        <v>294</v>
      </c>
      <c r="BL765" s="5" t="s">
        <v>238</v>
      </c>
      <c r="BM765" s="7">
        <f>0</f>
        <v>0</v>
      </c>
      <c r="BN765" s="8">
        <f>-4346358</f>
        <v>-4346358</v>
      </c>
      <c r="BO765" s="5" t="s">
        <v>257</v>
      </c>
      <c r="BP765" s="5" t="s">
        <v>258</v>
      </c>
      <c r="BQ765" s="5" t="s">
        <v>238</v>
      </c>
      <c r="BR765" s="5" t="s">
        <v>238</v>
      </c>
      <c r="BS765" s="5" t="s">
        <v>238</v>
      </c>
      <c r="BT765" s="5" t="s">
        <v>238</v>
      </c>
      <c r="CC765" s="5" t="s">
        <v>258</v>
      </c>
      <c r="CD765" s="5" t="s">
        <v>238</v>
      </c>
      <c r="CE765" s="5" t="s">
        <v>238</v>
      </c>
      <c r="CI765" s="5" t="s">
        <v>259</v>
      </c>
      <c r="CJ765" s="5" t="s">
        <v>260</v>
      </c>
      <c r="CK765" s="5" t="s">
        <v>238</v>
      </c>
      <c r="CM765" s="5" t="s">
        <v>845</v>
      </c>
      <c r="CN765" s="6" t="s">
        <v>262</v>
      </c>
      <c r="CO765" s="5" t="s">
        <v>263</v>
      </c>
      <c r="CP765" s="5" t="s">
        <v>264</v>
      </c>
      <c r="CQ765" s="5" t="s">
        <v>285</v>
      </c>
      <c r="CR765" s="5" t="s">
        <v>238</v>
      </c>
      <c r="CS765" s="5">
        <v>2.1999999999999999E-2</v>
      </c>
      <c r="CT765" s="5" t="s">
        <v>265</v>
      </c>
      <c r="CU765" s="5" t="s">
        <v>1360</v>
      </c>
      <c r="CV765" s="5" t="s">
        <v>308</v>
      </c>
      <c r="CW765" s="7">
        <f>0</f>
        <v>0</v>
      </c>
      <c r="CX765" s="8">
        <f>197561760</f>
        <v>197561760</v>
      </c>
      <c r="CY765" s="8">
        <f>128020032</f>
        <v>128020032</v>
      </c>
      <c r="DA765" s="5" t="s">
        <v>238</v>
      </c>
      <c r="DB765" s="5" t="s">
        <v>238</v>
      </c>
      <c r="DD765" s="5" t="s">
        <v>238</v>
      </c>
      <c r="DE765" s="8">
        <f>0</f>
        <v>0</v>
      </c>
      <c r="DG765" s="5" t="s">
        <v>238</v>
      </c>
      <c r="DH765" s="5" t="s">
        <v>238</v>
      </c>
      <c r="DI765" s="5" t="s">
        <v>238</v>
      </c>
      <c r="DJ765" s="5" t="s">
        <v>238</v>
      </c>
      <c r="DK765" s="5" t="s">
        <v>274</v>
      </c>
      <c r="DL765" s="5" t="s">
        <v>272</v>
      </c>
      <c r="DM765" s="7">
        <f>796.62</f>
        <v>796.62</v>
      </c>
      <c r="DN765" s="5" t="s">
        <v>238</v>
      </c>
      <c r="DO765" s="5" t="s">
        <v>238</v>
      </c>
      <c r="DP765" s="5" t="s">
        <v>238</v>
      </c>
      <c r="DQ765" s="5" t="s">
        <v>238</v>
      </c>
      <c r="DT765" s="5" t="s">
        <v>2710</v>
      </c>
      <c r="DU765" s="5" t="s">
        <v>274</v>
      </c>
      <c r="GL765" s="5" t="s">
        <v>2711</v>
      </c>
      <c r="HM765" s="5" t="s">
        <v>313</v>
      </c>
      <c r="HP765" s="5" t="s">
        <v>272</v>
      </c>
      <c r="HQ765" s="5" t="s">
        <v>272</v>
      </c>
      <c r="HR765" s="5" t="s">
        <v>238</v>
      </c>
      <c r="HS765" s="5" t="s">
        <v>238</v>
      </c>
      <c r="HT765" s="5" t="s">
        <v>238</v>
      </c>
      <c r="HU765" s="5" t="s">
        <v>238</v>
      </c>
      <c r="HV765" s="5" t="s">
        <v>238</v>
      </c>
      <c r="HW765" s="5" t="s">
        <v>238</v>
      </c>
      <c r="HX765" s="5" t="s">
        <v>238</v>
      </c>
      <c r="HY765" s="5" t="s">
        <v>238</v>
      </c>
      <c r="HZ765" s="5" t="s">
        <v>238</v>
      </c>
      <c r="IA765" s="5" t="s">
        <v>238</v>
      </c>
      <c r="IB765" s="5" t="s">
        <v>238</v>
      </c>
      <c r="IC765" s="5" t="s">
        <v>238</v>
      </c>
      <c r="ID765" s="5" t="s">
        <v>238</v>
      </c>
    </row>
    <row r="766" spans="1:238" x14ac:dyDescent="0.4">
      <c r="A766" s="5">
        <v>858</v>
      </c>
      <c r="B766" s="5">
        <v>1</v>
      </c>
      <c r="C766" s="5">
        <v>1</v>
      </c>
      <c r="D766" s="5" t="s">
        <v>2820</v>
      </c>
      <c r="E766" s="5" t="s">
        <v>277</v>
      </c>
      <c r="F766" s="5" t="s">
        <v>282</v>
      </c>
      <c r="G766" s="5" t="s">
        <v>2491</v>
      </c>
      <c r="H766" s="6" t="s">
        <v>2821</v>
      </c>
      <c r="I766" s="5" t="s">
        <v>2495</v>
      </c>
      <c r="J766" s="7">
        <f>332.82</f>
        <v>332.82</v>
      </c>
      <c r="K766" s="5" t="s">
        <v>270</v>
      </c>
      <c r="L766" s="8">
        <f>1</f>
        <v>1</v>
      </c>
      <c r="M766" s="8">
        <f>34946100</f>
        <v>34946100</v>
      </c>
      <c r="N766" s="6" t="s">
        <v>1355</v>
      </c>
      <c r="O766" s="5" t="s">
        <v>639</v>
      </c>
      <c r="P766" s="5" t="s">
        <v>639</v>
      </c>
      <c r="R766" s="8">
        <f>34946099</f>
        <v>34946099</v>
      </c>
      <c r="S766" s="5" t="s">
        <v>240</v>
      </c>
      <c r="T766" s="5" t="s">
        <v>237</v>
      </c>
      <c r="U766" s="5" t="s">
        <v>238</v>
      </c>
      <c r="V766" s="5" t="s">
        <v>238</v>
      </c>
      <c r="W766" s="5" t="s">
        <v>241</v>
      </c>
      <c r="X766" s="5" t="s">
        <v>276</v>
      </c>
      <c r="Y766" s="5" t="s">
        <v>238</v>
      </c>
      <c r="AB766" s="5" t="s">
        <v>238</v>
      </c>
      <c r="AD766" s="6" t="s">
        <v>238</v>
      </c>
      <c r="AG766" s="6" t="s">
        <v>246</v>
      </c>
      <c r="AH766" s="5" t="s">
        <v>247</v>
      </c>
      <c r="AI766" s="5" t="s">
        <v>248</v>
      </c>
      <c r="AY766" s="5" t="s">
        <v>250</v>
      </c>
      <c r="AZ766" s="5" t="s">
        <v>238</v>
      </c>
      <c r="BA766" s="5" t="s">
        <v>251</v>
      </c>
      <c r="BB766" s="5" t="s">
        <v>238</v>
      </c>
      <c r="BC766" s="5" t="s">
        <v>253</v>
      </c>
      <c r="BD766" s="5" t="s">
        <v>238</v>
      </c>
      <c r="BF766" s="5" t="s">
        <v>238</v>
      </c>
      <c r="BH766" s="5" t="s">
        <v>254</v>
      </c>
      <c r="BI766" s="6" t="s">
        <v>246</v>
      </c>
      <c r="BJ766" s="5" t="s">
        <v>255</v>
      </c>
      <c r="BK766" s="5" t="s">
        <v>256</v>
      </c>
      <c r="BL766" s="5" t="s">
        <v>238</v>
      </c>
      <c r="BM766" s="7">
        <f>0</f>
        <v>0</v>
      </c>
      <c r="BN766" s="8">
        <f>0</f>
        <v>0</v>
      </c>
      <c r="BO766" s="5" t="s">
        <v>257</v>
      </c>
      <c r="BP766" s="5" t="s">
        <v>258</v>
      </c>
      <c r="CD766" s="5" t="s">
        <v>238</v>
      </c>
      <c r="CE766" s="5" t="s">
        <v>238</v>
      </c>
      <c r="CI766" s="5" t="s">
        <v>527</v>
      </c>
      <c r="CJ766" s="5" t="s">
        <v>260</v>
      </c>
      <c r="CK766" s="5" t="s">
        <v>238</v>
      </c>
      <c r="CM766" s="5" t="s">
        <v>1095</v>
      </c>
      <c r="CN766" s="6" t="s">
        <v>262</v>
      </c>
      <c r="CO766" s="5" t="s">
        <v>263</v>
      </c>
      <c r="CP766" s="5" t="s">
        <v>264</v>
      </c>
      <c r="CQ766" s="5" t="s">
        <v>238</v>
      </c>
      <c r="CR766" s="5" t="s">
        <v>238</v>
      </c>
      <c r="CS766" s="5">
        <v>0</v>
      </c>
      <c r="CT766" s="5" t="s">
        <v>265</v>
      </c>
      <c r="CU766" s="5" t="s">
        <v>1360</v>
      </c>
      <c r="CV766" s="5" t="s">
        <v>2508</v>
      </c>
      <c r="CX766" s="8">
        <f>34946100</f>
        <v>34946100</v>
      </c>
      <c r="CY766" s="8">
        <f>0</f>
        <v>0</v>
      </c>
      <c r="DA766" s="5" t="s">
        <v>238</v>
      </c>
      <c r="DB766" s="5" t="s">
        <v>238</v>
      </c>
      <c r="DD766" s="5" t="s">
        <v>238</v>
      </c>
      <c r="DG766" s="5" t="s">
        <v>238</v>
      </c>
      <c r="DH766" s="5" t="s">
        <v>238</v>
      </c>
      <c r="DI766" s="5" t="s">
        <v>238</v>
      </c>
      <c r="DJ766" s="5" t="s">
        <v>238</v>
      </c>
      <c r="DK766" s="5" t="s">
        <v>274</v>
      </c>
      <c r="DL766" s="5" t="s">
        <v>272</v>
      </c>
      <c r="DM766" s="7">
        <f>332.82</f>
        <v>332.82</v>
      </c>
      <c r="DN766" s="5" t="s">
        <v>238</v>
      </c>
      <c r="DO766" s="5" t="s">
        <v>238</v>
      </c>
      <c r="DP766" s="5" t="s">
        <v>238</v>
      </c>
      <c r="DQ766" s="5" t="s">
        <v>238</v>
      </c>
      <c r="DT766" s="5" t="s">
        <v>2822</v>
      </c>
      <c r="DU766" s="5" t="s">
        <v>271</v>
      </c>
      <c r="HM766" s="5" t="s">
        <v>271</v>
      </c>
      <c r="HP766" s="5" t="s">
        <v>272</v>
      </c>
      <c r="HQ766" s="5" t="s">
        <v>272</v>
      </c>
    </row>
    <row r="767" spans="1:238" x14ac:dyDescent="0.4">
      <c r="A767" s="5">
        <v>859</v>
      </c>
      <c r="B767" s="5">
        <v>1</v>
      </c>
      <c r="C767" s="5">
        <v>1</v>
      </c>
      <c r="D767" s="5" t="s">
        <v>2820</v>
      </c>
      <c r="E767" s="5" t="s">
        <v>277</v>
      </c>
      <c r="F767" s="5" t="s">
        <v>282</v>
      </c>
      <c r="G767" s="5" t="s">
        <v>2491</v>
      </c>
      <c r="H767" s="6" t="s">
        <v>2821</v>
      </c>
      <c r="I767" s="5" t="s">
        <v>2505</v>
      </c>
      <c r="J767" s="7">
        <f>332.82</f>
        <v>332.82</v>
      </c>
      <c r="K767" s="5" t="s">
        <v>270</v>
      </c>
      <c r="L767" s="8">
        <f>1</f>
        <v>1</v>
      </c>
      <c r="M767" s="8">
        <f>34946100</f>
        <v>34946100</v>
      </c>
      <c r="N767" s="6" t="s">
        <v>1355</v>
      </c>
      <c r="O767" s="5" t="s">
        <v>639</v>
      </c>
      <c r="P767" s="5" t="s">
        <v>639</v>
      </c>
      <c r="R767" s="8">
        <f>34946099</f>
        <v>34946099</v>
      </c>
      <c r="S767" s="5" t="s">
        <v>240</v>
      </c>
      <c r="T767" s="5" t="s">
        <v>237</v>
      </c>
      <c r="U767" s="5" t="s">
        <v>238</v>
      </c>
      <c r="V767" s="5" t="s">
        <v>238</v>
      </c>
      <c r="W767" s="5" t="s">
        <v>241</v>
      </c>
      <c r="X767" s="5" t="s">
        <v>276</v>
      </c>
      <c r="Y767" s="5" t="s">
        <v>238</v>
      </c>
      <c r="AB767" s="5" t="s">
        <v>238</v>
      </c>
      <c r="AD767" s="6" t="s">
        <v>238</v>
      </c>
      <c r="AG767" s="6" t="s">
        <v>246</v>
      </c>
      <c r="AH767" s="5" t="s">
        <v>247</v>
      </c>
      <c r="AI767" s="5" t="s">
        <v>248</v>
      </c>
      <c r="AY767" s="5" t="s">
        <v>250</v>
      </c>
      <c r="AZ767" s="5" t="s">
        <v>238</v>
      </c>
      <c r="BA767" s="5" t="s">
        <v>251</v>
      </c>
      <c r="BB767" s="5" t="s">
        <v>238</v>
      </c>
      <c r="BC767" s="5" t="s">
        <v>253</v>
      </c>
      <c r="BD767" s="5" t="s">
        <v>238</v>
      </c>
      <c r="BF767" s="5" t="s">
        <v>238</v>
      </c>
      <c r="BH767" s="5" t="s">
        <v>859</v>
      </c>
      <c r="BI767" s="6" t="s">
        <v>368</v>
      </c>
      <c r="BJ767" s="5" t="s">
        <v>255</v>
      </c>
      <c r="BK767" s="5" t="s">
        <v>256</v>
      </c>
      <c r="BL767" s="5" t="s">
        <v>238</v>
      </c>
      <c r="BM767" s="7">
        <f>0</f>
        <v>0</v>
      </c>
      <c r="BN767" s="8">
        <f>0</f>
        <v>0</v>
      </c>
      <c r="BO767" s="5" t="s">
        <v>257</v>
      </c>
      <c r="BP767" s="5" t="s">
        <v>258</v>
      </c>
      <c r="CD767" s="5" t="s">
        <v>238</v>
      </c>
      <c r="CE767" s="5" t="s">
        <v>238</v>
      </c>
      <c r="CI767" s="5" t="s">
        <v>527</v>
      </c>
      <c r="CJ767" s="5" t="s">
        <v>260</v>
      </c>
      <c r="CK767" s="5" t="s">
        <v>238</v>
      </c>
      <c r="CM767" s="5" t="s">
        <v>1095</v>
      </c>
      <c r="CN767" s="6" t="s">
        <v>262</v>
      </c>
      <c r="CO767" s="5" t="s">
        <v>263</v>
      </c>
      <c r="CP767" s="5" t="s">
        <v>264</v>
      </c>
      <c r="CQ767" s="5" t="s">
        <v>238</v>
      </c>
      <c r="CR767" s="5" t="s">
        <v>238</v>
      </c>
      <c r="CS767" s="5">
        <v>0</v>
      </c>
      <c r="CT767" s="5" t="s">
        <v>265</v>
      </c>
      <c r="CU767" s="5" t="s">
        <v>1360</v>
      </c>
      <c r="CV767" s="5" t="s">
        <v>2508</v>
      </c>
      <c r="CX767" s="8">
        <f>34946100</f>
        <v>34946100</v>
      </c>
      <c r="CY767" s="8">
        <f>0</f>
        <v>0</v>
      </c>
      <c r="DA767" s="5" t="s">
        <v>238</v>
      </c>
      <c r="DB767" s="5" t="s">
        <v>238</v>
      </c>
      <c r="DD767" s="5" t="s">
        <v>238</v>
      </c>
      <c r="DG767" s="5" t="s">
        <v>238</v>
      </c>
      <c r="DH767" s="5" t="s">
        <v>238</v>
      </c>
      <c r="DI767" s="5" t="s">
        <v>238</v>
      </c>
      <c r="DJ767" s="5" t="s">
        <v>238</v>
      </c>
      <c r="DK767" s="5" t="s">
        <v>274</v>
      </c>
      <c r="DL767" s="5" t="s">
        <v>272</v>
      </c>
      <c r="DM767" s="7">
        <f>332.82</f>
        <v>332.82</v>
      </c>
      <c r="DN767" s="5" t="s">
        <v>238</v>
      </c>
      <c r="DO767" s="5" t="s">
        <v>238</v>
      </c>
      <c r="DP767" s="5" t="s">
        <v>238</v>
      </c>
      <c r="DQ767" s="5" t="s">
        <v>238</v>
      </c>
      <c r="DT767" s="5" t="s">
        <v>2822</v>
      </c>
      <c r="DU767" s="5" t="s">
        <v>274</v>
      </c>
      <c r="HM767" s="5" t="s">
        <v>271</v>
      </c>
      <c r="HP767" s="5" t="s">
        <v>272</v>
      </c>
      <c r="HQ767" s="5" t="s">
        <v>272</v>
      </c>
    </row>
    <row r="768" spans="1:238" x14ac:dyDescent="0.4">
      <c r="A768" s="5">
        <v>860</v>
      </c>
      <c r="B768" s="5">
        <v>1</v>
      </c>
      <c r="C768" s="5">
        <v>1</v>
      </c>
      <c r="D768" s="5" t="s">
        <v>2517</v>
      </c>
      <c r="E768" s="5" t="s">
        <v>277</v>
      </c>
      <c r="F768" s="5" t="s">
        <v>282</v>
      </c>
      <c r="G768" s="5" t="s">
        <v>2491</v>
      </c>
      <c r="H768" s="6" t="s">
        <v>2518</v>
      </c>
      <c r="I768" s="5" t="s">
        <v>2495</v>
      </c>
      <c r="J768" s="7">
        <f>297.66</f>
        <v>297.66000000000003</v>
      </c>
      <c r="K768" s="5" t="s">
        <v>270</v>
      </c>
      <c r="L768" s="8">
        <f>1</f>
        <v>1</v>
      </c>
      <c r="M768" s="8">
        <f>31254300</f>
        <v>31254300</v>
      </c>
      <c r="N768" s="6" t="s">
        <v>1353</v>
      </c>
      <c r="O768" s="5" t="s">
        <v>639</v>
      </c>
      <c r="P768" s="5" t="s">
        <v>965</v>
      </c>
      <c r="R768" s="8">
        <f>31254299</f>
        <v>31254299</v>
      </c>
      <c r="S768" s="5" t="s">
        <v>240</v>
      </c>
      <c r="T768" s="5" t="s">
        <v>237</v>
      </c>
      <c r="U768" s="5" t="s">
        <v>238</v>
      </c>
      <c r="V768" s="5" t="s">
        <v>238</v>
      </c>
      <c r="W768" s="5" t="s">
        <v>241</v>
      </c>
      <c r="X768" s="5" t="s">
        <v>276</v>
      </c>
      <c r="Y768" s="5" t="s">
        <v>238</v>
      </c>
      <c r="AB768" s="5" t="s">
        <v>238</v>
      </c>
      <c r="AD768" s="6" t="s">
        <v>238</v>
      </c>
      <c r="AG768" s="6" t="s">
        <v>246</v>
      </c>
      <c r="AH768" s="5" t="s">
        <v>247</v>
      </c>
      <c r="AI768" s="5" t="s">
        <v>248</v>
      </c>
      <c r="AY768" s="5" t="s">
        <v>250</v>
      </c>
      <c r="AZ768" s="5" t="s">
        <v>238</v>
      </c>
      <c r="BA768" s="5" t="s">
        <v>251</v>
      </c>
      <c r="BB768" s="5" t="s">
        <v>238</v>
      </c>
      <c r="BC768" s="5" t="s">
        <v>253</v>
      </c>
      <c r="BD768" s="5" t="s">
        <v>238</v>
      </c>
      <c r="BF768" s="5" t="s">
        <v>238</v>
      </c>
      <c r="BH768" s="5" t="s">
        <v>697</v>
      </c>
      <c r="BI768" s="6" t="s">
        <v>698</v>
      </c>
      <c r="BJ768" s="5" t="s">
        <v>255</v>
      </c>
      <c r="BK768" s="5" t="s">
        <v>256</v>
      </c>
      <c r="BL768" s="5" t="s">
        <v>238</v>
      </c>
      <c r="BM768" s="7">
        <f>0</f>
        <v>0</v>
      </c>
      <c r="BN768" s="8">
        <f>0</f>
        <v>0</v>
      </c>
      <c r="BO768" s="5" t="s">
        <v>257</v>
      </c>
      <c r="BP768" s="5" t="s">
        <v>258</v>
      </c>
      <c r="CD768" s="5" t="s">
        <v>238</v>
      </c>
      <c r="CE768" s="5" t="s">
        <v>238</v>
      </c>
      <c r="CI768" s="5" t="s">
        <v>527</v>
      </c>
      <c r="CJ768" s="5" t="s">
        <v>260</v>
      </c>
      <c r="CK768" s="5" t="s">
        <v>238</v>
      </c>
      <c r="CM768" s="5" t="s">
        <v>964</v>
      </c>
      <c r="CN768" s="6" t="s">
        <v>262</v>
      </c>
      <c r="CO768" s="5" t="s">
        <v>263</v>
      </c>
      <c r="CP768" s="5" t="s">
        <v>264</v>
      </c>
      <c r="CQ768" s="5" t="s">
        <v>238</v>
      </c>
      <c r="CR768" s="5" t="s">
        <v>238</v>
      </c>
      <c r="CS768" s="5">
        <v>0</v>
      </c>
      <c r="CT768" s="5" t="s">
        <v>265</v>
      </c>
      <c r="CU768" s="5" t="s">
        <v>1360</v>
      </c>
      <c r="CV768" s="5" t="s">
        <v>2508</v>
      </c>
      <c r="CX768" s="8">
        <f>31254300</f>
        <v>31254300</v>
      </c>
      <c r="CY768" s="8">
        <f>0</f>
        <v>0</v>
      </c>
      <c r="DA768" s="5" t="s">
        <v>238</v>
      </c>
      <c r="DB768" s="5" t="s">
        <v>238</v>
      </c>
      <c r="DD768" s="5" t="s">
        <v>238</v>
      </c>
      <c r="DG768" s="5" t="s">
        <v>238</v>
      </c>
      <c r="DH768" s="5" t="s">
        <v>238</v>
      </c>
      <c r="DI768" s="5" t="s">
        <v>238</v>
      </c>
      <c r="DJ768" s="5" t="s">
        <v>238</v>
      </c>
      <c r="DK768" s="5" t="s">
        <v>274</v>
      </c>
      <c r="DL768" s="5" t="s">
        <v>272</v>
      </c>
      <c r="DM768" s="7">
        <f>297.66</f>
        <v>297.66000000000003</v>
      </c>
      <c r="DN768" s="5" t="s">
        <v>238</v>
      </c>
      <c r="DO768" s="5" t="s">
        <v>238</v>
      </c>
      <c r="DP768" s="5" t="s">
        <v>238</v>
      </c>
      <c r="DQ768" s="5" t="s">
        <v>238</v>
      </c>
      <c r="DT768" s="5" t="s">
        <v>2519</v>
      </c>
      <c r="DU768" s="5" t="s">
        <v>271</v>
      </c>
      <c r="HM768" s="5" t="s">
        <v>271</v>
      </c>
      <c r="HP768" s="5" t="s">
        <v>272</v>
      </c>
      <c r="HQ768" s="5" t="s">
        <v>272</v>
      </c>
    </row>
    <row r="769" spans="1:225" x14ac:dyDescent="0.4">
      <c r="A769" s="5">
        <v>861</v>
      </c>
      <c r="B769" s="5">
        <v>1</v>
      </c>
      <c r="C769" s="5">
        <v>1</v>
      </c>
      <c r="D769" s="5" t="s">
        <v>2517</v>
      </c>
      <c r="E769" s="5" t="s">
        <v>277</v>
      </c>
      <c r="F769" s="5" t="s">
        <v>282</v>
      </c>
      <c r="G769" s="5" t="s">
        <v>2491</v>
      </c>
      <c r="H769" s="6" t="s">
        <v>2518</v>
      </c>
      <c r="I769" s="5" t="s">
        <v>2505</v>
      </c>
      <c r="J769" s="7">
        <f>297.66</f>
        <v>297.66000000000003</v>
      </c>
      <c r="K769" s="5" t="s">
        <v>270</v>
      </c>
      <c r="L769" s="8">
        <f>1</f>
        <v>1</v>
      </c>
      <c r="M769" s="8">
        <f>31254300</f>
        <v>31254300</v>
      </c>
      <c r="N769" s="6" t="s">
        <v>1353</v>
      </c>
      <c r="O769" s="5" t="s">
        <v>639</v>
      </c>
      <c r="P769" s="5" t="s">
        <v>965</v>
      </c>
      <c r="R769" s="8">
        <f>31254299</f>
        <v>31254299</v>
      </c>
      <c r="S769" s="5" t="s">
        <v>240</v>
      </c>
      <c r="T769" s="5" t="s">
        <v>237</v>
      </c>
      <c r="U769" s="5" t="s">
        <v>238</v>
      </c>
      <c r="V769" s="5" t="s">
        <v>238</v>
      </c>
      <c r="W769" s="5" t="s">
        <v>241</v>
      </c>
      <c r="X769" s="5" t="s">
        <v>276</v>
      </c>
      <c r="Y769" s="5" t="s">
        <v>238</v>
      </c>
      <c r="AB769" s="5" t="s">
        <v>238</v>
      </c>
      <c r="AD769" s="6" t="s">
        <v>238</v>
      </c>
      <c r="AG769" s="6" t="s">
        <v>246</v>
      </c>
      <c r="AH769" s="5" t="s">
        <v>247</v>
      </c>
      <c r="AI769" s="5" t="s">
        <v>248</v>
      </c>
      <c r="AY769" s="5" t="s">
        <v>250</v>
      </c>
      <c r="AZ769" s="5" t="s">
        <v>238</v>
      </c>
      <c r="BA769" s="5" t="s">
        <v>251</v>
      </c>
      <c r="BB769" s="5" t="s">
        <v>238</v>
      </c>
      <c r="BC769" s="5" t="s">
        <v>253</v>
      </c>
      <c r="BD769" s="5" t="s">
        <v>238</v>
      </c>
      <c r="BF769" s="5" t="s">
        <v>238</v>
      </c>
      <c r="BH769" s="5" t="s">
        <v>798</v>
      </c>
      <c r="BI769" s="6" t="s">
        <v>799</v>
      </c>
      <c r="BJ769" s="5" t="s">
        <v>255</v>
      </c>
      <c r="BK769" s="5" t="s">
        <v>256</v>
      </c>
      <c r="BL769" s="5" t="s">
        <v>238</v>
      </c>
      <c r="BM769" s="7">
        <f>0</f>
        <v>0</v>
      </c>
      <c r="BN769" s="8">
        <f>0</f>
        <v>0</v>
      </c>
      <c r="BO769" s="5" t="s">
        <v>257</v>
      </c>
      <c r="BP769" s="5" t="s">
        <v>258</v>
      </c>
      <c r="CD769" s="5" t="s">
        <v>238</v>
      </c>
      <c r="CE769" s="5" t="s">
        <v>238</v>
      </c>
      <c r="CI769" s="5" t="s">
        <v>527</v>
      </c>
      <c r="CJ769" s="5" t="s">
        <v>260</v>
      </c>
      <c r="CK769" s="5" t="s">
        <v>238</v>
      </c>
      <c r="CM769" s="5" t="s">
        <v>964</v>
      </c>
      <c r="CN769" s="6" t="s">
        <v>262</v>
      </c>
      <c r="CO769" s="5" t="s">
        <v>263</v>
      </c>
      <c r="CP769" s="5" t="s">
        <v>264</v>
      </c>
      <c r="CQ769" s="5" t="s">
        <v>238</v>
      </c>
      <c r="CR769" s="5" t="s">
        <v>238</v>
      </c>
      <c r="CS769" s="5">
        <v>0</v>
      </c>
      <c r="CT769" s="5" t="s">
        <v>265</v>
      </c>
      <c r="CU769" s="5" t="s">
        <v>1360</v>
      </c>
      <c r="CV769" s="5" t="s">
        <v>2508</v>
      </c>
      <c r="CX769" s="8">
        <f>31254300</f>
        <v>31254300</v>
      </c>
      <c r="CY769" s="8">
        <f>0</f>
        <v>0</v>
      </c>
      <c r="DA769" s="5" t="s">
        <v>238</v>
      </c>
      <c r="DB769" s="5" t="s">
        <v>238</v>
      </c>
      <c r="DD769" s="5" t="s">
        <v>238</v>
      </c>
      <c r="DG769" s="5" t="s">
        <v>238</v>
      </c>
      <c r="DH769" s="5" t="s">
        <v>238</v>
      </c>
      <c r="DI769" s="5" t="s">
        <v>238</v>
      </c>
      <c r="DJ769" s="5" t="s">
        <v>238</v>
      </c>
      <c r="DK769" s="5" t="s">
        <v>274</v>
      </c>
      <c r="DL769" s="5" t="s">
        <v>272</v>
      </c>
      <c r="DM769" s="7">
        <f>297.66</f>
        <v>297.66000000000003</v>
      </c>
      <c r="DN769" s="5" t="s">
        <v>238</v>
      </c>
      <c r="DO769" s="5" t="s">
        <v>238</v>
      </c>
      <c r="DP769" s="5" t="s">
        <v>238</v>
      </c>
      <c r="DQ769" s="5" t="s">
        <v>238</v>
      </c>
      <c r="DT769" s="5" t="s">
        <v>2519</v>
      </c>
      <c r="DU769" s="5" t="s">
        <v>274</v>
      </c>
      <c r="HM769" s="5" t="s">
        <v>271</v>
      </c>
      <c r="HP769" s="5" t="s">
        <v>272</v>
      </c>
      <c r="HQ769" s="5" t="s">
        <v>272</v>
      </c>
    </row>
    <row r="770" spans="1:225" x14ac:dyDescent="0.4">
      <c r="A770" s="5">
        <v>862</v>
      </c>
      <c r="B770" s="5">
        <v>1</v>
      </c>
      <c r="C770" s="5">
        <v>1</v>
      </c>
      <c r="D770" s="5" t="s">
        <v>2517</v>
      </c>
      <c r="E770" s="5" t="s">
        <v>277</v>
      </c>
      <c r="F770" s="5" t="s">
        <v>282</v>
      </c>
      <c r="G770" s="5" t="s">
        <v>2491</v>
      </c>
      <c r="H770" s="6" t="s">
        <v>2518</v>
      </c>
      <c r="I770" s="5" t="s">
        <v>2504</v>
      </c>
      <c r="J770" s="7">
        <f>332.82</f>
        <v>332.82</v>
      </c>
      <c r="K770" s="5" t="s">
        <v>270</v>
      </c>
      <c r="L770" s="8">
        <f>1</f>
        <v>1</v>
      </c>
      <c r="M770" s="8">
        <f>34946100</f>
        <v>34946100</v>
      </c>
      <c r="N770" s="6" t="s">
        <v>1353</v>
      </c>
      <c r="O770" s="5" t="s">
        <v>639</v>
      </c>
      <c r="P770" s="5" t="s">
        <v>965</v>
      </c>
      <c r="R770" s="8">
        <f>34946099</f>
        <v>34946099</v>
      </c>
      <c r="S770" s="5" t="s">
        <v>240</v>
      </c>
      <c r="T770" s="5" t="s">
        <v>237</v>
      </c>
      <c r="U770" s="5" t="s">
        <v>238</v>
      </c>
      <c r="V770" s="5" t="s">
        <v>238</v>
      </c>
      <c r="W770" s="5" t="s">
        <v>241</v>
      </c>
      <c r="X770" s="5" t="s">
        <v>276</v>
      </c>
      <c r="Y770" s="5" t="s">
        <v>238</v>
      </c>
      <c r="AB770" s="5" t="s">
        <v>238</v>
      </c>
      <c r="AD770" s="6" t="s">
        <v>238</v>
      </c>
      <c r="AG770" s="6" t="s">
        <v>246</v>
      </c>
      <c r="AH770" s="5" t="s">
        <v>247</v>
      </c>
      <c r="AI770" s="5" t="s">
        <v>248</v>
      </c>
      <c r="AY770" s="5" t="s">
        <v>250</v>
      </c>
      <c r="AZ770" s="5" t="s">
        <v>238</v>
      </c>
      <c r="BA770" s="5" t="s">
        <v>251</v>
      </c>
      <c r="BB770" s="5" t="s">
        <v>238</v>
      </c>
      <c r="BC770" s="5" t="s">
        <v>253</v>
      </c>
      <c r="BD770" s="5" t="s">
        <v>238</v>
      </c>
      <c r="BF770" s="5" t="s">
        <v>238</v>
      </c>
      <c r="BH770" s="5" t="s">
        <v>254</v>
      </c>
      <c r="BI770" s="6" t="s">
        <v>246</v>
      </c>
      <c r="BJ770" s="5" t="s">
        <v>255</v>
      </c>
      <c r="BK770" s="5" t="s">
        <v>256</v>
      </c>
      <c r="BL770" s="5" t="s">
        <v>238</v>
      </c>
      <c r="BM770" s="7">
        <f>0</f>
        <v>0</v>
      </c>
      <c r="BN770" s="8">
        <f>0</f>
        <v>0</v>
      </c>
      <c r="BO770" s="5" t="s">
        <v>257</v>
      </c>
      <c r="BP770" s="5" t="s">
        <v>258</v>
      </c>
      <c r="CD770" s="5" t="s">
        <v>238</v>
      </c>
      <c r="CE770" s="5" t="s">
        <v>238</v>
      </c>
      <c r="CI770" s="5" t="s">
        <v>527</v>
      </c>
      <c r="CJ770" s="5" t="s">
        <v>260</v>
      </c>
      <c r="CK770" s="5" t="s">
        <v>238</v>
      </c>
      <c r="CM770" s="5" t="s">
        <v>964</v>
      </c>
      <c r="CN770" s="6" t="s">
        <v>262</v>
      </c>
      <c r="CO770" s="5" t="s">
        <v>263</v>
      </c>
      <c r="CP770" s="5" t="s">
        <v>264</v>
      </c>
      <c r="CQ770" s="5" t="s">
        <v>238</v>
      </c>
      <c r="CR770" s="5" t="s">
        <v>238</v>
      </c>
      <c r="CS770" s="5">
        <v>0</v>
      </c>
      <c r="CT770" s="5" t="s">
        <v>265</v>
      </c>
      <c r="CU770" s="5" t="s">
        <v>1360</v>
      </c>
      <c r="CV770" s="5" t="s">
        <v>2508</v>
      </c>
      <c r="CX770" s="8">
        <f>34946100</f>
        <v>34946100</v>
      </c>
      <c r="CY770" s="8">
        <f>0</f>
        <v>0</v>
      </c>
      <c r="DA770" s="5" t="s">
        <v>238</v>
      </c>
      <c r="DB770" s="5" t="s">
        <v>238</v>
      </c>
      <c r="DD770" s="5" t="s">
        <v>238</v>
      </c>
      <c r="DG770" s="5" t="s">
        <v>238</v>
      </c>
      <c r="DH770" s="5" t="s">
        <v>238</v>
      </c>
      <c r="DI770" s="5" t="s">
        <v>238</v>
      </c>
      <c r="DJ770" s="5" t="s">
        <v>238</v>
      </c>
      <c r="DK770" s="5" t="s">
        <v>274</v>
      </c>
      <c r="DL770" s="5" t="s">
        <v>272</v>
      </c>
      <c r="DM770" s="7">
        <f>332.82</f>
        <v>332.82</v>
      </c>
      <c r="DN770" s="5" t="s">
        <v>238</v>
      </c>
      <c r="DO770" s="5" t="s">
        <v>238</v>
      </c>
      <c r="DP770" s="5" t="s">
        <v>238</v>
      </c>
      <c r="DQ770" s="5" t="s">
        <v>238</v>
      </c>
      <c r="DT770" s="5" t="s">
        <v>2519</v>
      </c>
      <c r="DU770" s="5" t="s">
        <v>356</v>
      </c>
      <c r="HM770" s="5" t="s">
        <v>271</v>
      </c>
      <c r="HP770" s="5" t="s">
        <v>272</v>
      </c>
      <c r="HQ770" s="5" t="s">
        <v>272</v>
      </c>
    </row>
    <row r="771" spans="1:225" x14ac:dyDescent="0.4">
      <c r="A771" s="5">
        <v>863</v>
      </c>
      <c r="B771" s="5">
        <v>1</v>
      </c>
      <c r="C771" s="5">
        <v>1</v>
      </c>
      <c r="D771" s="5" t="s">
        <v>2517</v>
      </c>
      <c r="E771" s="5" t="s">
        <v>277</v>
      </c>
      <c r="F771" s="5" t="s">
        <v>282</v>
      </c>
      <c r="G771" s="5" t="s">
        <v>2491</v>
      </c>
      <c r="H771" s="6" t="s">
        <v>2518</v>
      </c>
      <c r="I771" s="5" t="s">
        <v>2494</v>
      </c>
      <c r="J771" s="7">
        <f>221.88</f>
        <v>221.88</v>
      </c>
      <c r="K771" s="5" t="s">
        <v>270</v>
      </c>
      <c r="L771" s="8">
        <f>1</f>
        <v>1</v>
      </c>
      <c r="M771" s="8">
        <f>23297400</f>
        <v>23297400</v>
      </c>
      <c r="N771" s="6" t="s">
        <v>2799</v>
      </c>
      <c r="O771" s="5" t="s">
        <v>639</v>
      </c>
      <c r="P771" s="5" t="s">
        <v>975</v>
      </c>
      <c r="R771" s="8">
        <f>23297399</f>
        <v>23297399</v>
      </c>
      <c r="S771" s="5" t="s">
        <v>240</v>
      </c>
      <c r="T771" s="5" t="s">
        <v>237</v>
      </c>
      <c r="U771" s="5" t="s">
        <v>238</v>
      </c>
      <c r="V771" s="5" t="s">
        <v>238</v>
      </c>
      <c r="W771" s="5" t="s">
        <v>241</v>
      </c>
      <c r="X771" s="5" t="s">
        <v>276</v>
      </c>
      <c r="Y771" s="5" t="s">
        <v>238</v>
      </c>
      <c r="AB771" s="5" t="s">
        <v>238</v>
      </c>
      <c r="AD771" s="6" t="s">
        <v>238</v>
      </c>
      <c r="AG771" s="6" t="s">
        <v>246</v>
      </c>
      <c r="AH771" s="5" t="s">
        <v>247</v>
      </c>
      <c r="AI771" s="5" t="s">
        <v>248</v>
      </c>
      <c r="AY771" s="5" t="s">
        <v>250</v>
      </c>
      <c r="AZ771" s="5" t="s">
        <v>238</v>
      </c>
      <c r="BA771" s="5" t="s">
        <v>251</v>
      </c>
      <c r="BB771" s="5" t="s">
        <v>238</v>
      </c>
      <c r="BC771" s="5" t="s">
        <v>253</v>
      </c>
      <c r="BD771" s="5" t="s">
        <v>238</v>
      </c>
      <c r="BF771" s="5" t="s">
        <v>238</v>
      </c>
      <c r="BH771" s="5" t="s">
        <v>254</v>
      </c>
      <c r="BI771" s="6" t="s">
        <v>246</v>
      </c>
      <c r="BJ771" s="5" t="s">
        <v>255</v>
      </c>
      <c r="BK771" s="5" t="s">
        <v>256</v>
      </c>
      <c r="BL771" s="5" t="s">
        <v>238</v>
      </c>
      <c r="BM771" s="7">
        <f>0</f>
        <v>0</v>
      </c>
      <c r="BN771" s="8">
        <f>0</f>
        <v>0</v>
      </c>
      <c r="BO771" s="5" t="s">
        <v>257</v>
      </c>
      <c r="BP771" s="5" t="s">
        <v>258</v>
      </c>
      <c r="CD771" s="5" t="s">
        <v>238</v>
      </c>
      <c r="CE771" s="5" t="s">
        <v>238</v>
      </c>
      <c r="CI771" s="5" t="s">
        <v>527</v>
      </c>
      <c r="CJ771" s="5" t="s">
        <v>260</v>
      </c>
      <c r="CK771" s="5" t="s">
        <v>238</v>
      </c>
      <c r="CM771" s="5" t="s">
        <v>974</v>
      </c>
      <c r="CN771" s="6" t="s">
        <v>262</v>
      </c>
      <c r="CO771" s="5" t="s">
        <v>263</v>
      </c>
      <c r="CP771" s="5" t="s">
        <v>264</v>
      </c>
      <c r="CQ771" s="5" t="s">
        <v>238</v>
      </c>
      <c r="CR771" s="5" t="s">
        <v>238</v>
      </c>
      <c r="CS771" s="5">
        <v>0</v>
      </c>
      <c r="CT771" s="5" t="s">
        <v>265</v>
      </c>
      <c r="CU771" s="5" t="s">
        <v>1360</v>
      </c>
      <c r="CV771" s="5" t="s">
        <v>2508</v>
      </c>
      <c r="CX771" s="8">
        <f>23297400</f>
        <v>23297400</v>
      </c>
      <c r="CY771" s="8">
        <f>0</f>
        <v>0</v>
      </c>
      <c r="DA771" s="5" t="s">
        <v>238</v>
      </c>
      <c r="DB771" s="5" t="s">
        <v>238</v>
      </c>
      <c r="DD771" s="5" t="s">
        <v>238</v>
      </c>
      <c r="DG771" s="5" t="s">
        <v>238</v>
      </c>
      <c r="DH771" s="5" t="s">
        <v>238</v>
      </c>
      <c r="DI771" s="5" t="s">
        <v>238</v>
      </c>
      <c r="DJ771" s="5" t="s">
        <v>238</v>
      </c>
      <c r="DK771" s="5" t="s">
        <v>274</v>
      </c>
      <c r="DL771" s="5" t="s">
        <v>272</v>
      </c>
      <c r="DM771" s="7">
        <f>221.88</f>
        <v>221.88</v>
      </c>
      <c r="DN771" s="5" t="s">
        <v>238</v>
      </c>
      <c r="DO771" s="5" t="s">
        <v>238</v>
      </c>
      <c r="DP771" s="5" t="s">
        <v>238</v>
      </c>
      <c r="DQ771" s="5" t="s">
        <v>238</v>
      </c>
      <c r="DT771" s="5" t="s">
        <v>2519</v>
      </c>
      <c r="DU771" s="5" t="s">
        <v>310</v>
      </c>
      <c r="HM771" s="5" t="s">
        <v>271</v>
      </c>
      <c r="HP771" s="5" t="s">
        <v>272</v>
      </c>
      <c r="HQ771" s="5" t="s">
        <v>272</v>
      </c>
    </row>
    <row r="772" spans="1:225" x14ac:dyDescent="0.4">
      <c r="A772" s="5">
        <v>864</v>
      </c>
      <c r="B772" s="5">
        <v>1</v>
      </c>
      <c r="C772" s="5">
        <v>1</v>
      </c>
      <c r="D772" s="5" t="s">
        <v>2517</v>
      </c>
      <c r="E772" s="5" t="s">
        <v>277</v>
      </c>
      <c r="F772" s="5" t="s">
        <v>282</v>
      </c>
      <c r="G772" s="5" t="s">
        <v>2491</v>
      </c>
      <c r="H772" s="6" t="s">
        <v>2518</v>
      </c>
      <c r="I772" s="5" t="s">
        <v>2489</v>
      </c>
      <c r="J772" s="7">
        <f>166.41</f>
        <v>166.41</v>
      </c>
      <c r="K772" s="5" t="s">
        <v>270</v>
      </c>
      <c r="L772" s="8">
        <f>1</f>
        <v>1</v>
      </c>
      <c r="M772" s="8">
        <f>17473050</f>
        <v>17473050</v>
      </c>
      <c r="N772" s="6" t="s">
        <v>2799</v>
      </c>
      <c r="O772" s="5" t="s">
        <v>639</v>
      </c>
      <c r="P772" s="5" t="s">
        <v>975</v>
      </c>
      <c r="R772" s="8">
        <f>17473049</f>
        <v>17473049</v>
      </c>
      <c r="S772" s="5" t="s">
        <v>240</v>
      </c>
      <c r="T772" s="5" t="s">
        <v>237</v>
      </c>
      <c r="U772" s="5" t="s">
        <v>238</v>
      </c>
      <c r="V772" s="5" t="s">
        <v>238</v>
      </c>
      <c r="W772" s="5" t="s">
        <v>241</v>
      </c>
      <c r="X772" s="5" t="s">
        <v>276</v>
      </c>
      <c r="Y772" s="5" t="s">
        <v>238</v>
      </c>
      <c r="AB772" s="5" t="s">
        <v>238</v>
      </c>
      <c r="AD772" s="6" t="s">
        <v>238</v>
      </c>
      <c r="AG772" s="6" t="s">
        <v>246</v>
      </c>
      <c r="AH772" s="5" t="s">
        <v>247</v>
      </c>
      <c r="AI772" s="5" t="s">
        <v>248</v>
      </c>
      <c r="AY772" s="5" t="s">
        <v>250</v>
      </c>
      <c r="AZ772" s="5" t="s">
        <v>238</v>
      </c>
      <c r="BA772" s="5" t="s">
        <v>251</v>
      </c>
      <c r="BB772" s="5" t="s">
        <v>238</v>
      </c>
      <c r="BC772" s="5" t="s">
        <v>253</v>
      </c>
      <c r="BD772" s="5" t="s">
        <v>238</v>
      </c>
      <c r="BF772" s="5" t="s">
        <v>238</v>
      </c>
      <c r="BH772" s="5" t="s">
        <v>254</v>
      </c>
      <c r="BI772" s="6" t="s">
        <v>246</v>
      </c>
      <c r="BJ772" s="5" t="s">
        <v>255</v>
      </c>
      <c r="BK772" s="5" t="s">
        <v>256</v>
      </c>
      <c r="BL772" s="5" t="s">
        <v>238</v>
      </c>
      <c r="BM772" s="7">
        <f>0</f>
        <v>0</v>
      </c>
      <c r="BN772" s="8">
        <f>0</f>
        <v>0</v>
      </c>
      <c r="BO772" s="5" t="s">
        <v>257</v>
      </c>
      <c r="BP772" s="5" t="s">
        <v>258</v>
      </c>
      <c r="CD772" s="5" t="s">
        <v>238</v>
      </c>
      <c r="CE772" s="5" t="s">
        <v>238</v>
      </c>
      <c r="CI772" s="5" t="s">
        <v>527</v>
      </c>
      <c r="CJ772" s="5" t="s">
        <v>260</v>
      </c>
      <c r="CK772" s="5" t="s">
        <v>238</v>
      </c>
      <c r="CM772" s="5" t="s">
        <v>974</v>
      </c>
      <c r="CN772" s="6" t="s">
        <v>262</v>
      </c>
      <c r="CO772" s="5" t="s">
        <v>263</v>
      </c>
      <c r="CP772" s="5" t="s">
        <v>264</v>
      </c>
      <c r="CQ772" s="5" t="s">
        <v>238</v>
      </c>
      <c r="CR772" s="5" t="s">
        <v>238</v>
      </c>
      <c r="CS772" s="5">
        <v>0</v>
      </c>
      <c r="CT772" s="5" t="s">
        <v>265</v>
      </c>
      <c r="CU772" s="5" t="s">
        <v>1360</v>
      </c>
      <c r="CV772" s="5" t="s">
        <v>2508</v>
      </c>
      <c r="CX772" s="8">
        <f>17473050</f>
        <v>17473050</v>
      </c>
      <c r="CY772" s="8">
        <f>0</f>
        <v>0</v>
      </c>
      <c r="DA772" s="5" t="s">
        <v>238</v>
      </c>
      <c r="DB772" s="5" t="s">
        <v>238</v>
      </c>
      <c r="DD772" s="5" t="s">
        <v>238</v>
      </c>
      <c r="DG772" s="5" t="s">
        <v>238</v>
      </c>
      <c r="DH772" s="5" t="s">
        <v>238</v>
      </c>
      <c r="DI772" s="5" t="s">
        <v>238</v>
      </c>
      <c r="DJ772" s="5" t="s">
        <v>238</v>
      </c>
      <c r="DK772" s="5" t="s">
        <v>274</v>
      </c>
      <c r="DL772" s="5" t="s">
        <v>272</v>
      </c>
      <c r="DM772" s="7">
        <f>166.41</f>
        <v>166.41</v>
      </c>
      <c r="DN772" s="5" t="s">
        <v>238</v>
      </c>
      <c r="DO772" s="5" t="s">
        <v>238</v>
      </c>
      <c r="DP772" s="5" t="s">
        <v>238</v>
      </c>
      <c r="DQ772" s="5" t="s">
        <v>238</v>
      </c>
      <c r="DT772" s="5" t="s">
        <v>2519</v>
      </c>
      <c r="DU772" s="5" t="s">
        <v>379</v>
      </c>
      <c r="HM772" s="5" t="s">
        <v>271</v>
      </c>
      <c r="HP772" s="5" t="s">
        <v>272</v>
      </c>
      <c r="HQ772" s="5" t="s">
        <v>272</v>
      </c>
    </row>
    <row r="773" spans="1:225" x14ac:dyDescent="0.4">
      <c r="A773" s="5">
        <v>865</v>
      </c>
      <c r="B773" s="5">
        <v>1</v>
      </c>
      <c r="C773" s="5">
        <v>1</v>
      </c>
      <c r="D773" s="5" t="s">
        <v>2517</v>
      </c>
      <c r="E773" s="5" t="s">
        <v>277</v>
      </c>
      <c r="F773" s="5" t="s">
        <v>282</v>
      </c>
      <c r="G773" s="5" t="s">
        <v>2491</v>
      </c>
      <c r="H773" s="6" t="s">
        <v>2518</v>
      </c>
      <c r="I773" s="5" t="s">
        <v>2520</v>
      </c>
      <c r="J773" s="7">
        <f>166.41</f>
        <v>166.41</v>
      </c>
      <c r="K773" s="5" t="s">
        <v>270</v>
      </c>
      <c r="L773" s="8">
        <f>1</f>
        <v>1</v>
      </c>
      <c r="M773" s="8">
        <f>17473050</f>
        <v>17473050</v>
      </c>
      <c r="N773" s="6" t="s">
        <v>1117</v>
      </c>
      <c r="O773" s="5" t="s">
        <v>639</v>
      </c>
      <c r="P773" s="5" t="s">
        <v>639</v>
      </c>
      <c r="R773" s="8">
        <f>17473049</f>
        <v>17473049</v>
      </c>
      <c r="S773" s="5" t="s">
        <v>240</v>
      </c>
      <c r="T773" s="5" t="s">
        <v>237</v>
      </c>
      <c r="U773" s="5" t="s">
        <v>238</v>
      </c>
      <c r="V773" s="5" t="s">
        <v>238</v>
      </c>
      <c r="W773" s="5" t="s">
        <v>241</v>
      </c>
      <c r="X773" s="5" t="s">
        <v>276</v>
      </c>
      <c r="Y773" s="5" t="s">
        <v>238</v>
      </c>
      <c r="AB773" s="5" t="s">
        <v>238</v>
      </c>
      <c r="AD773" s="6" t="s">
        <v>238</v>
      </c>
      <c r="AG773" s="6" t="s">
        <v>246</v>
      </c>
      <c r="AH773" s="5" t="s">
        <v>247</v>
      </c>
      <c r="AI773" s="5" t="s">
        <v>248</v>
      </c>
      <c r="AY773" s="5" t="s">
        <v>250</v>
      </c>
      <c r="AZ773" s="5" t="s">
        <v>238</v>
      </c>
      <c r="BA773" s="5" t="s">
        <v>251</v>
      </c>
      <c r="BB773" s="5" t="s">
        <v>238</v>
      </c>
      <c r="BC773" s="5" t="s">
        <v>253</v>
      </c>
      <c r="BD773" s="5" t="s">
        <v>238</v>
      </c>
      <c r="BF773" s="5" t="s">
        <v>238</v>
      </c>
      <c r="BH773" s="5" t="s">
        <v>254</v>
      </c>
      <c r="BI773" s="6" t="s">
        <v>246</v>
      </c>
      <c r="BJ773" s="5" t="s">
        <v>255</v>
      </c>
      <c r="BK773" s="5" t="s">
        <v>294</v>
      </c>
      <c r="BL773" s="5" t="s">
        <v>238</v>
      </c>
      <c r="BM773" s="7">
        <f>0</f>
        <v>0</v>
      </c>
      <c r="BN773" s="8">
        <f>0</f>
        <v>0</v>
      </c>
      <c r="BO773" s="5" t="s">
        <v>257</v>
      </c>
      <c r="BP773" s="5" t="s">
        <v>258</v>
      </c>
      <c r="CD773" s="5" t="s">
        <v>238</v>
      </c>
      <c r="CE773" s="5" t="s">
        <v>238</v>
      </c>
      <c r="CI773" s="5" t="s">
        <v>527</v>
      </c>
      <c r="CJ773" s="5" t="s">
        <v>260</v>
      </c>
      <c r="CK773" s="5" t="s">
        <v>238</v>
      </c>
      <c r="CM773" s="5" t="s">
        <v>970</v>
      </c>
      <c r="CN773" s="6" t="s">
        <v>262</v>
      </c>
      <c r="CO773" s="5" t="s">
        <v>263</v>
      </c>
      <c r="CP773" s="5" t="s">
        <v>264</v>
      </c>
      <c r="CQ773" s="5" t="s">
        <v>238</v>
      </c>
      <c r="CR773" s="5" t="s">
        <v>238</v>
      </c>
      <c r="CS773" s="5">
        <v>0</v>
      </c>
      <c r="CT773" s="5" t="s">
        <v>265</v>
      </c>
      <c r="CU773" s="5" t="s">
        <v>1360</v>
      </c>
      <c r="CV773" s="5" t="s">
        <v>2508</v>
      </c>
      <c r="CX773" s="8">
        <f>17473050</f>
        <v>17473050</v>
      </c>
      <c r="CY773" s="8">
        <f>0</f>
        <v>0</v>
      </c>
      <c r="DA773" s="5" t="s">
        <v>238</v>
      </c>
      <c r="DB773" s="5" t="s">
        <v>238</v>
      </c>
      <c r="DD773" s="5" t="s">
        <v>238</v>
      </c>
      <c r="DG773" s="5" t="s">
        <v>238</v>
      </c>
      <c r="DH773" s="5" t="s">
        <v>238</v>
      </c>
      <c r="DI773" s="5" t="s">
        <v>238</v>
      </c>
      <c r="DJ773" s="5" t="s">
        <v>238</v>
      </c>
      <c r="DK773" s="5" t="s">
        <v>274</v>
      </c>
      <c r="DL773" s="5" t="s">
        <v>272</v>
      </c>
      <c r="DM773" s="7">
        <f>166.41</f>
        <v>166.41</v>
      </c>
      <c r="DN773" s="5" t="s">
        <v>238</v>
      </c>
      <c r="DO773" s="5" t="s">
        <v>238</v>
      </c>
      <c r="DP773" s="5" t="s">
        <v>238</v>
      </c>
      <c r="DQ773" s="5" t="s">
        <v>238</v>
      </c>
      <c r="DT773" s="5" t="s">
        <v>2519</v>
      </c>
      <c r="DU773" s="5" t="s">
        <v>313</v>
      </c>
      <c r="HM773" s="5" t="s">
        <v>274</v>
      </c>
      <c r="HP773" s="5" t="s">
        <v>272</v>
      </c>
      <c r="HQ773" s="5" t="s">
        <v>272</v>
      </c>
    </row>
    <row r="774" spans="1:225" x14ac:dyDescent="0.4">
      <c r="A774" s="5">
        <v>866</v>
      </c>
      <c r="B774" s="5">
        <v>1</v>
      </c>
      <c r="C774" s="5">
        <v>1</v>
      </c>
      <c r="D774" s="5" t="s">
        <v>2517</v>
      </c>
      <c r="E774" s="5" t="s">
        <v>277</v>
      </c>
      <c r="F774" s="5" t="s">
        <v>282</v>
      </c>
      <c r="G774" s="5" t="s">
        <v>2491</v>
      </c>
      <c r="H774" s="6" t="s">
        <v>2518</v>
      </c>
      <c r="I774" s="5" t="s">
        <v>2516</v>
      </c>
      <c r="J774" s="7">
        <f>110.94</f>
        <v>110.94</v>
      </c>
      <c r="K774" s="5" t="s">
        <v>270</v>
      </c>
      <c r="L774" s="8">
        <f>1</f>
        <v>1</v>
      </c>
      <c r="M774" s="8">
        <f>11648700</f>
        <v>11648700</v>
      </c>
      <c r="N774" s="6" t="s">
        <v>1117</v>
      </c>
      <c r="O774" s="5" t="s">
        <v>639</v>
      </c>
      <c r="P774" s="5" t="s">
        <v>639</v>
      </c>
      <c r="R774" s="8">
        <f>11648699</f>
        <v>11648699</v>
      </c>
      <c r="S774" s="5" t="s">
        <v>240</v>
      </c>
      <c r="T774" s="5" t="s">
        <v>237</v>
      </c>
      <c r="U774" s="5" t="s">
        <v>238</v>
      </c>
      <c r="V774" s="5" t="s">
        <v>238</v>
      </c>
      <c r="W774" s="5" t="s">
        <v>241</v>
      </c>
      <c r="X774" s="5" t="s">
        <v>276</v>
      </c>
      <c r="Y774" s="5" t="s">
        <v>238</v>
      </c>
      <c r="AB774" s="5" t="s">
        <v>238</v>
      </c>
      <c r="AD774" s="6" t="s">
        <v>238</v>
      </c>
      <c r="AG774" s="6" t="s">
        <v>246</v>
      </c>
      <c r="AH774" s="5" t="s">
        <v>247</v>
      </c>
      <c r="AI774" s="5" t="s">
        <v>248</v>
      </c>
      <c r="AY774" s="5" t="s">
        <v>250</v>
      </c>
      <c r="AZ774" s="5" t="s">
        <v>238</v>
      </c>
      <c r="BA774" s="5" t="s">
        <v>251</v>
      </c>
      <c r="BB774" s="5" t="s">
        <v>238</v>
      </c>
      <c r="BC774" s="5" t="s">
        <v>253</v>
      </c>
      <c r="BD774" s="5" t="s">
        <v>238</v>
      </c>
      <c r="BF774" s="5" t="s">
        <v>238</v>
      </c>
      <c r="BH774" s="5" t="s">
        <v>254</v>
      </c>
      <c r="BI774" s="6" t="s">
        <v>246</v>
      </c>
      <c r="BJ774" s="5" t="s">
        <v>255</v>
      </c>
      <c r="BK774" s="5" t="s">
        <v>294</v>
      </c>
      <c r="BL774" s="5" t="s">
        <v>238</v>
      </c>
      <c r="BM774" s="7">
        <f>0</f>
        <v>0</v>
      </c>
      <c r="BN774" s="8">
        <f>0</f>
        <v>0</v>
      </c>
      <c r="BO774" s="5" t="s">
        <v>257</v>
      </c>
      <c r="BP774" s="5" t="s">
        <v>258</v>
      </c>
      <c r="CD774" s="5" t="s">
        <v>238</v>
      </c>
      <c r="CE774" s="5" t="s">
        <v>238</v>
      </c>
      <c r="CI774" s="5" t="s">
        <v>527</v>
      </c>
      <c r="CJ774" s="5" t="s">
        <v>260</v>
      </c>
      <c r="CK774" s="5" t="s">
        <v>238</v>
      </c>
      <c r="CM774" s="5" t="s">
        <v>970</v>
      </c>
      <c r="CN774" s="6" t="s">
        <v>262</v>
      </c>
      <c r="CO774" s="5" t="s">
        <v>263</v>
      </c>
      <c r="CP774" s="5" t="s">
        <v>264</v>
      </c>
      <c r="CQ774" s="5" t="s">
        <v>238</v>
      </c>
      <c r="CR774" s="5" t="s">
        <v>238</v>
      </c>
      <c r="CS774" s="5">
        <v>0</v>
      </c>
      <c r="CT774" s="5" t="s">
        <v>265</v>
      </c>
      <c r="CU774" s="5" t="s">
        <v>1360</v>
      </c>
      <c r="CV774" s="5" t="s">
        <v>2508</v>
      </c>
      <c r="CX774" s="8">
        <f>11648700</f>
        <v>11648700</v>
      </c>
      <c r="CY774" s="8">
        <f>0</f>
        <v>0</v>
      </c>
      <c r="DA774" s="5" t="s">
        <v>238</v>
      </c>
      <c r="DB774" s="5" t="s">
        <v>238</v>
      </c>
      <c r="DD774" s="5" t="s">
        <v>238</v>
      </c>
      <c r="DG774" s="5" t="s">
        <v>238</v>
      </c>
      <c r="DH774" s="5" t="s">
        <v>238</v>
      </c>
      <c r="DI774" s="5" t="s">
        <v>238</v>
      </c>
      <c r="DJ774" s="5" t="s">
        <v>238</v>
      </c>
      <c r="DK774" s="5" t="s">
        <v>274</v>
      </c>
      <c r="DL774" s="5" t="s">
        <v>272</v>
      </c>
      <c r="DM774" s="7">
        <f>110.94</f>
        <v>110.94</v>
      </c>
      <c r="DN774" s="5" t="s">
        <v>238</v>
      </c>
      <c r="DO774" s="5" t="s">
        <v>238</v>
      </c>
      <c r="DP774" s="5" t="s">
        <v>238</v>
      </c>
      <c r="DQ774" s="5" t="s">
        <v>238</v>
      </c>
      <c r="DT774" s="5" t="s">
        <v>2519</v>
      </c>
      <c r="DU774" s="5" t="s">
        <v>389</v>
      </c>
      <c r="HM774" s="5" t="s">
        <v>274</v>
      </c>
      <c r="HP774" s="5" t="s">
        <v>272</v>
      </c>
      <c r="HQ774" s="5" t="s">
        <v>272</v>
      </c>
    </row>
    <row r="775" spans="1:225" x14ac:dyDescent="0.4">
      <c r="A775" s="5">
        <v>867</v>
      </c>
      <c r="B775" s="5">
        <v>1</v>
      </c>
      <c r="C775" s="5">
        <v>1</v>
      </c>
      <c r="D775" s="5" t="s">
        <v>2517</v>
      </c>
      <c r="E775" s="5" t="s">
        <v>277</v>
      </c>
      <c r="F775" s="5" t="s">
        <v>282</v>
      </c>
      <c r="G775" s="5" t="s">
        <v>2491</v>
      </c>
      <c r="H775" s="6" t="s">
        <v>2518</v>
      </c>
      <c r="I775" s="5" t="s">
        <v>2482</v>
      </c>
      <c r="J775" s="7">
        <f>69.86</f>
        <v>69.86</v>
      </c>
      <c r="K775" s="5" t="s">
        <v>270</v>
      </c>
      <c r="L775" s="8">
        <f>1</f>
        <v>1</v>
      </c>
      <c r="M775" s="8">
        <f>6986000</f>
        <v>6986000</v>
      </c>
      <c r="N775" s="6" t="s">
        <v>1355</v>
      </c>
      <c r="O775" s="5" t="s">
        <v>286</v>
      </c>
      <c r="P775" s="5" t="s">
        <v>639</v>
      </c>
      <c r="R775" s="8">
        <f>6985999</f>
        <v>6985999</v>
      </c>
      <c r="S775" s="5" t="s">
        <v>240</v>
      </c>
      <c r="T775" s="5" t="s">
        <v>237</v>
      </c>
      <c r="U775" s="5" t="s">
        <v>238</v>
      </c>
      <c r="V775" s="5" t="s">
        <v>238</v>
      </c>
      <c r="W775" s="5" t="s">
        <v>241</v>
      </c>
      <c r="X775" s="5" t="s">
        <v>276</v>
      </c>
      <c r="Y775" s="5" t="s">
        <v>238</v>
      </c>
      <c r="AB775" s="5" t="s">
        <v>238</v>
      </c>
      <c r="AD775" s="6" t="s">
        <v>238</v>
      </c>
      <c r="AG775" s="6" t="s">
        <v>401</v>
      </c>
      <c r="AH775" s="5" t="s">
        <v>247</v>
      </c>
      <c r="AI775" s="5" t="s">
        <v>248</v>
      </c>
      <c r="AY775" s="5" t="s">
        <v>250</v>
      </c>
      <c r="AZ775" s="5" t="s">
        <v>238</v>
      </c>
      <c r="BA775" s="5" t="s">
        <v>251</v>
      </c>
      <c r="BB775" s="5" t="s">
        <v>238</v>
      </c>
      <c r="BC775" s="5" t="s">
        <v>253</v>
      </c>
      <c r="BD775" s="5" t="s">
        <v>238</v>
      </c>
      <c r="BF775" s="5" t="s">
        <v>238</v>
      </c>
      <c r="BH775" s="5" t="s">
        <v>798</v>
      </c>
      <c r="BI775" s="6" t="s">
        <v>401</v>
      </c>
      <c r="BJ775" s="5" t="s">
        <v>255</v>
      </c>
      <c r="BK775" s="5" t="s">
        <v>256</v>
      </c>
      <c r="BL775" s="5" t="s">
        <v>238</v>
      </c>
      <c r="BM775" s="7">
        <f>0</f>
        <v>0</v>
      </c>
      <c r="BN775" s="8">
        <f>0</f>
        <v>0</v>
      </c>
      <c r="BO775" s="5" t="s">
        <v>257</v>
      </c>
      <c r="BP775" s="5" t="s">
        <v>258</v>
      </c>
      <c r="CD775" s="5" t="s">
        <v>238</v>
      </c>
      <c r="CE775" s="5" t="s">
        <v>238</v>
      </c>
      <c r="CI775" s="5" t="s">
        <v>527</v>
      </c>
      <c r="CJ775" s="5" t="s">
        <v>260</v>
      </c>
      <c r="CK775" s="5" t="s">
        <v>238</v>
      </c>
      <c r="CM775" s="5" t="s">
        <v>1095</v>
      </c>
      <c r="CN775" s="6" t="s">
        <v>262</v>
      </c>
      <c r="CO775" s="5" t="s">
        <v>263</v>
      </c>
      <c r="CP775" s="5" t="s">
        <v>264</v>
      </c>
      <c r="CQ775" s="5" t="s">
        <v>238</v>
      </c>
      <c r="CR775" s="5" t="s">
        <v>238</v>
      </c>
      <c r="CS775" s="5">
        <v>0</v>
      </c>
      <c r="CT775" s="5" t="s">
        <v>265</v>
      </c>
      <c r="CU775" s="5" t="s">
        <v>1360</v>
      </c>
      <c r="CV775" s="5" t="s">
        <v>267</v>
      </c>
      <c r="CX775" s="8">
        <f>6986000</f>
        <v>6986000</v>
      </c>
      <c r="CY775" s="8">
        <f>0</f>
        <v>0</v>
      </c>
      <c r="DA775" s="5" t="s">
        <v>238</v>
      </c>
      <c r="DB775" s="5" t="s">
        <v>238</v>
      </c>
      <c r="DD775" s="5" t="s">
        <v>238</v>
      </c>
      <c r="DG775" s="5" t="s">
        <v>238</v>
      </c>
      <c r="DH775" s="5" t="s">
        <v>238</v>
      </c>
      <c r="DI775" s="5" t="s">
        <v>238</v>
      </c>
      <c r="DJ775" s="5" t="s">
        <v>238</v>
      </c>
      <c r="DK775" s="5" t="s">
        <v>271</v>
      </c>
      <c r="DL775" s="5" t="s">
        <v>272</v>
      </c>
      <c r="DM775" s="7">
        <f>69.86</f>
        <v>69.86</v>
      </c>
      <c r="DN775" s="5" t="s">
        <v>238</v>
      </c>
      <c r="DO775" s="5" t="s">
        <v>238</v>
      </c>
      <c r="DP775" s="5" t="s">
        <v>238</v>
      </c>
      <c r="DQ775" s="5" t="s">
        <v>238</v>
      </c>
      <c r="DT775" s="5" t="s">
        <v>2519</v>
      </c>
      <c r="DU775" s="5" t="s">
        <v>354</v>
      </c>
      <c r="HM775" s="5" t="s">
        <v>271</v>
      </c>
      <c r="HP775" s="5" t="s">
        <v>272</v>
      </c>
      <c r="HQ775" s="5" t="s">
        <v>272</v>
      </c>
    </row>
    <row r="776" spans="1:225" x14ac:dyDescent="0.4">
      <c r="A776" s="5">
        <v>868</v>
      </c>
      <c r="B776" s="5">
        <v>1</v>
      </c>
      <c r="C776" s="5">
        <v>1</v>
      </c>
      <c r="D776" s="5" t="s">
        <v>2756</v>
      </c>
      <c r="E776" s="5" t="s">
        <v>277</v>
      </c>
      <c r="F776" s="5" t="s">
        <v>282</v>
      </c>
      <c r="G776" s="5" t="s">
        <v>2491</v>
      </c>
      <c r="H776" s="6" t="s">
        <v>2757</v>
      </c>
      <c r="I776" s="5" t="s">
        <v>2495</v>
      </c>
      <c r="J776" s="7">
        <f>142.02</f>
        <v>142.02000000000001</v>
      </c>
      <c r="K776" s="5" t="s">
        <v>270</v>
      </c>
      <c r="L776" s="8">
        <f>1</f>
        <v>1</v>
      </c>
      <c r="M776" s="8">
        <f>22013100</f>
        <v>22013100</v>
      </c>
      <c r="N776" s="6" t="s">
        <v>1547</v>
      </c>
      <c r="O776" s="5" t="s">
        <v>286</v>
      </c>
      <c r="P776" s="5" t="s">
        <v>640</v>
      </c>
      <c r="R776" s="8">
        <f>22013099</f>
        <v>22013099</v>
      </c>
      <c r="S776" s="5" t="s">
        <v>240</v>
      </c>
      <c r="T776" s="5" t="s">
        <v>237</v>
      </c>
      <c r="U776" s="5" t="s">
        <v>238</v>
      </c>
      <c r="V776" s="5" t="s">
        <v>238</v>
      </c>
      <c r="W776" s="5" t="s">
        <v>241</v>
      </c>
      <c r="X776" s="5" t="s">
        <v>276</v>
      </c>
      <c r="Y776" s="5" t="s">
        <v>238</v>
      </c>
      <c r="AB776" s="5" t="s">
        <v>238</v>
      </c>
      <c r="AD776" s="6" t="s">
        <v>238</v>
      </c>
      <c r="AG776" s="6" t="s">
        <v>401</v>
      </c>
      <c r="AH776" s="5" t="s">
        <v>247</v>
      </c>
      <c r="AI776" s="5" t="s">
        <v>248</v>
      </c>
      <c r="AY776" s="5" t="s">
        <v>250</v>
      </c>
      <c r="AZ776" s="5" t="s">
        <v>238</v>
      </c>
      <c r="BA776" s="5" t="s">
        <v>251</v>
      </c>
      <c r="BB776" s="5" t="s">
        <v>238</v>
      </c>
      <c r="BC776" s="5" t="s">
        <v>253</v>
      </c>
      <c r="BD776" s="5" t="s">
        <v>238</v>
      </c>
      <c r="BF776" s="5" t="s">
        <v>2648</v>
      </c>
      <c r="BH776" s="5" t="s">
        <v>798</v>
      </c>
      <c r="BI776" s="6" t="s">
        <v>799</v>
      </c>
      <c r="BJ776" s="5" t="s">
        <v>255</v>
      </c>
      <c r="BK776" s="5" t="s">
        <v>256</v>
      </c>
      <c r="BL776" s="5" t="s">
        <v>238</v>
      </c>
      <c r="BM776" s="7">
        <f>0</f>
        <v>0</v>
      </c>
      <c r="BN776" s="8">
        <f>0</f>
        <v>0</v>
      </c>
      <c r="BO776" s="5" t="s">
        <v>257</v>
      </c>
      <c r="BP776" s="5" t="s">
        <v>258</v>
      </c>
      <c r="CD776" s="5" t="s">
        <v>238</v>
      </c>
      <c r="CE776" s="5" t="s">
        <v>238</v>
      </c>
      <c r="CI776" s="5" t="s">
        <v>259</v>
      </c>
      <c r="CJ776" s="5" t="s">
        <v>260</v>
      </c>
      <c r="CK776" s="5" t="s">
        <v>238</v>
      </c>
      <c r="CM776" s="5" t="s">
        <v>342</v>
      </c>
      <c r="CN776" s="6" t="s">
        <v>262</v>
      </c>
      <c r="CO776" s="5" t="s">
        <v>263</v>
      </c>
      <c r="CP776" s="5" t="s">
        <v>264</v>
      </c>
      <c r="CQ776" s="5" t="s">
        <v>238</v>
      </c>
      <c r="CR776" s="5" t="s">
        <v>238</v>
      </c>
      <c r="CS776" s="5">
        <v>0</v>
      </c>
      <c r="CT776" s="5" t="s">
        <v>265</v>
      </c>
      <c r="CU776" s="5" t="s">
        <v>1360</v>
      </c>
      <c r="CV776" s="5" t="s">
        <v>267</v>
      </c>
      <c r="CX776" s="8">
        <f>22013100</f>
        <v>22013100</v>
      </c>
      <c r="CY776" s="8">
        <f>0</f>
        <v>0</v>
      </c>
      <c r="DA776" s="5" t="s">
        <v>238</v>
      </c>
      <c r="DB776" s="5" t="s">
        <v>238</v>
      </c>
      <c r="DD776" s="5" t="s">
        <v>238</v>
      </c>
      <c r="DG776" s="5" t="s">
        <v>238</v>
      </c>
      <c r="DH776" s="5" t="s">
        <v>238</v>
      </c>
      <c r="DI776" s="5" t="s">
        <v>238</v>
      </c>
      <c r="DJ776" s="5" t="s">
        <v>238</v>
      </c>
      <c r="DK776" s="5" t="s">
        <v>274</v>
      </c>
      <c r="DL776" s="5" t="s">
        <v>272</v>
      </c>
      <c r="DM776" s="7">
        <f>142.02</f>
        <v>142.02000000000001</v>
      </c>
      <c r="DN776" s="5" t="s">
        <v>238</v>
      </c>
      <c r="DO776" s="5" t="s">
        <v>238</v>
      </c>
      <c r="DP776" s="5" t="s">
        <v>238</v>
      </c>
      <c r="DQ776" s="5" t="s">
        <v>238</v>
      </c>
      <c r="DT776" s="5" t="s">
        <v>2758</v>
      </c>
      <c r="DU776" s="5" t="s">
        <v>271</v>
      </c>
      <c r="HM776" s="5" t="s">
        <v>271</v>
      </c>
      <c r="HP776" s="5" t="s">
        <v>272</v>
      </c>
      <c r="HQ776" s="5" t="s">
        <v>272</v>
      </c>
    </row>
    <row r="777" spans="1:225" x14ac:dyDescent="0.4">
      <c r="A777" s="5">
        <v>869</v>
      </c>
      <c r="B777" s="5">
        <v>1</v>
      </c>
      <c r="C777" s="5">
        <v>1</v>
      </c>
      <c r="D777" s="5" t="s">
        <v>2756</v>
      </c>
      <c r="E777" s="5" t="s">
        <v>277</v>
      </c>
      <c r="F777" s="5" t="s">
        <v>282</v>
      </c>
      <c r="G777" s="5" t="s">
        <v>2491</v>
      </c>
      <c r="H777" s="6" t="s">
        <v>2757</v>
      </c>
      <c r="I777" s="5" t="s">
        <v>2505</v>
      </c>
      <c r="J777" s="7">
        <f>142.02</f>
        <v>142.02000000000001</v>
      </c>
      <c r="K777" s="5" t="s">
        <v>270</v>
      </c>
      <c r="L777" s="8">
        <f>1</f>
        <v>1</v>
      </c>
      <c r="M777" s="8">
        <f>22013100</f>
        <v>22013100</v>
      </c>
      <c r="N777" s="6" t="s">
        <v>1547</v>
      </c>
      <c r="O777" s="5" t="s">
        <v>286</v>
      </c>
      <c r="P777" s="5" t="s">
        <v>640</v>
      </c>
      <c r="R777" s="8">
        <f>22013099</f>
        <v>22013099</v>
      </c>
      <c r="S777" s="5" t="s">
        <v>240</v>
      </c>
      <c r="T777" s="5" t="s">
        <v>237</v>
      </c>
      <c r="U777" s="5" t="s">
        <v>238</v>
      </c>
      <c r="V777" s="5" t="s">
        <v>238</v>
      </c>
      <c r="W777" s="5" t="s">
        <v>241</v>
      </c>
      <c r="X777" s="5" t="s">
        <v>276</v>
      </c>
      <c r="Y777" s="5" t="s">
        <v>238</v>
      </c>
      <c r="AB777" s="5" t="s">
        <v>238</v>
      </c>
      <c r="AD777" s="6" t="s">
        <v>238</v>
      </c>
      <c r="AG777" s="6" t="s">
        <v>246</v>
      </c>
      <c r="AH777" s="5" t="s">
        <v>247</v>
      </c>
      <c r="AI777" s="5" t="s">
        <v>248</v>
      </c>
      <c r="AY777" s="5" t="s">
        <v>250</v>
      </c>
      <c r="AZ777" s="5" t="s">
        <v>238</v>
      </c>
      <c r="BA777" s="5" t="s">
        <v>251</v>
      </c>
      <c r="BB777" s="5" t="s">
        <v>238</v>
      </c>
      <c r="BC777" s="5" t="s">
        <v>253</v>
      </c>
      <c r="BD777" s="5" t="s">
        <v>238</v>
      </c>
      <c r="BF777" s="5" t="s">
        <v>238</v>
      </c>
      <c r="BH777" s="5" t="s">
        <v>254</v>
      </c>
      <c r="BI777" s="6" t="s">
        <v>246</v>
      </c>
      <c r="BJ777" s="5" t="s">
        <v>255</v>
      </c>
      <c r="BK777" s="5" t="s">
        <v>256</v>
      </c>
      <c r="BL777" s="5" t="s">
        <v>238</v>
      </c>
      <c r="BM777" s="7">
        <f>0</f>
        <v>0</v>
      </c>
      <c r="BN777" s="8">
        <f>0</f>
        <v>0</v>
      </c>
      <c r="BO777" s="5" t="s">
        <v>257</v>
      </c>
      <c r="BP777" s="5" t="s">
        <v>258</v>
      </c>
      <c r="CD777" s="5" t="s">
        <v>238</v>
      </c>
      <c r="CE777" s="5" t="s">
        <v>238</v>
      </c>
      <c r="CI777" s="5" t="s">
        <v>259</v>
      </c>
      <c r="CJ777" s="5" t="s">
        <v>260</v>
      </c>
      <c r="CK777" s="5" t="s">
        <v>238</v>
      </c>
      <c r="CM777" s="5" t="s">
        <v>342</v>
      </c>
      <c r="CN777" s="6" t="s">
        <v>262</v>
      </c>
      <c r="CO777" s="5" t="s">
        <v>263</v>
      </c>
      <c r="CP777" s="5" t="s">
        <v>264</v>
      </c>
      <c r="CQ777" s="5" t="s">
        <v>238</v>
      </c>
      <c r="CR777" s="5" t="s">
        <v>238</v>
      </c>
      <c r="CS777" s="5">
        <v>0</v>
      </c>
      <c r="CT777" s="5" t="s">
        <v>265</v>
      </c>
      <c r="CU777" s="5" t="s">
        <v>1360</v>
      </c>
      <c r="CV777" s="5" t="s">
        <v>267</v>
      </c>
      <c r="CX777" s="8">
        <f>22013100</f>
        <v>22013100</v>
      </c>
      <c r="CY777" s="8">
        <f>0</f>
        <v>0</v>
      </c>
      <c r="DA777" s="5" t="s">
        <v>238</v>
      </c>
      <c r="DB777" s="5" t="s">
        <v>238</v>
      </c>
      <c r="DD777" s="5" t="s">
        <v>238</v>
      </c>
      <c r="DG777" s="5" t="s">
        <v>238</v>
      </c>
      <c r="DH777" s="5" t="s">
        <v>238</v>
      </c>
      <c r="DI777" s="5" t="s">
        <v>238</v>
      </c>
      <c r="DJ777" s="5" t="s">
        <v>238</v>
      </c>
      <c r="DK777" s="5" t="s">
        <v>274</v>
      </c>
      <c r="DL777" s="5" t="s">
        <v>272</v>
      </c>
      <c r="DM777" s="7">
        <f>142.02</f>
        <v>142.02000000000001</v>
      </c>
      <c r="DN777" s="5" t="s">
        <v>238</v>
      </c>
      <c r="DO777" s="5" t="s">
        <v>238</v>
      </c>
      <c r="DP777" s="5" t="s">
        <v>238</v>
      </c>
      <c r="DQ777" s="5" t="s">
        <v>238</v>
      </c>
      <c r="DT777" s="5" t="s">
        <v>2758</v>
      </c>
      <c r="DU777" s="5" t="s">
        <v>274</v>
      </c>
      <c r="HM777" s="5" t="s">
        <v>271</v>
      </c>
      <c r="HP777" s="5" t="s">
        <v>272</v>
      </c>
      <c r="HQ777" s="5" t="s">
        <v>272</v>
      </c>
    </row>
    <row r="778" spans="1:225" x14ac:dyDescent="0.4">
      <c r="A778" s="5">
        <v>870</v>
      </c>
      <c r="B778" s="5">
        <v>1</v>
      </c>
      <c r="C778" s="5">
        <v>1</v>
      </c>
      <c r="D778" s="5" t="s">
        <v>2756</v>
      </c>
      <c r="E778" s="5" t="s">
        <v>277</v>
      </c>
      <c r="F778" s="5" t="s">
        <v>282</v>
      </c>
      <c r="G778" s="5" t="s">
        <v>2491</v>
      </c>
      <c r="H778" s="6" t="s">
        <v>2757</v>
      </c>
      <c r="I778" s="5" t="s">
        <v>2504</v>
      </c>
      <c r="J778" s="7">
        <f>142.02</f>
        <v>142.02000000000001</v>
      </c>
      <c r="K778" s="5" t="s">
        <v>270</v>
      </c>
      <c r="L778" s="8">
        <f>1</f>
        <v>1</v>
      </c>
      <c r="M778" s="8">
        <f>22013100</f>
        <v>22013100</v>
      </c>
      <c r="N778" s="6" t="s">
        <v>1547</v>
      </c>
      <c r="O778" s="5" t="s">
        <v>286</v>
      </c>
      <c r="P778" s="5" t="s">
        <v>640</v>
      </c>
      <c r="R778" s="8">
        <f>22013099</f>
        <v>22013099</v>
      </c>
      <c r="S778" s="5" t="s">
        <v>240</v>
      </c>
      <c r="T778" s="5" t="s">
        <v>237</v>
      </c>
      <c r="U778" s="5" t="s">
        <v>238</v>
      </c>
      <c r="V778" s="5" t="s">
        <v>238</v>
      </c>
      <c r="W778" s="5" t="s">
        <v>241</v>
      </c>
      <c r="X778" s="5" t="s">
        <v>276</v>
      </c>
      <c r="Y778" s="5" t="s">
        <v>238</v>
      </c>
      <c r="AB778" s="5" t="s">
        <v>238</v>
      </c>
      <c r="AD778" s="6" t="s">
        <v>238</v>
      </c>
      <c r="AG778" s="6" t="s">
        <v>246</v>
      </c>
      <c r="AH778" s="5" t="s">
        <v>247</v>
      </c>
      <c r="AI778" s="5" t="s">
        <v>248</v>
      </c>
      <c r="AY778" s="5" t="s">
        <v>250</v>
      </c>
      <c r="AZ778" s="5" t="s">
        <v>238</v>
      </c>
      <c r="BA778" s="5" t="s">
        <v>251</v>
      </c>
      <c r="BB778" s="5" t="s">
        <v>238</v>
      </c>
      <c r="BC778" s="5" t="s">
        <v>253</v>
      </c>
      <c r="BD778" s="5" t="s">
        <v>238</v>
      </c>
      <c r="BF778" s="5" t="s">
        <v>238</v>
      </c>
      <c r="BH778" s="5" t="s">
        <v>254</v>
      </c>
      <c r="BI778" s="6" t="s">
        <v>246</v>
      </c>
      <c r="BJ778" s="5" t="s">
        <v>255</v>
      </c>
      <c r="BK778" s="5" t="s">
        <v>256</v>
      </c>
      <c r="BL778" s="5" t="s">
        <v>238</v>
      </c>
      <c r="BM778" s="7">
        <f>0</f>
        <v>0</v>
      </c>
      <c r="BN778" s="8">
        <f>0</f>
        <v>0</v>
      </c>
      <c r="BO778" s="5" t="s">
        <v>257</v>
      </c>
      <c r="BP778" s="5" t="s">
        <v>258</v>
      </c>
      <c r="CD778" s="5" t="s">
        <v>238</v>
      </c>
      <c r="CE778" s="5" t="s">
        <v>238</v>
      </c>
      <c r="CI778" s="5" t="s">
        <v>259</v>
      </c>
      <c r="CJ778" s="5" t="s">
        <v>260</v>
      </c>
      <c r="CK778" s="5" t="s">
        <v>238</v>
      </c>
      <c r="CM778" s="5" t="s">
        <v>342</v>
      </c>
      <c r="CN778" s="6" t="s">
        <v>262</v>
      </c>
      <c r="CO778" s="5" t="s">
        <v>263</v>
      </c>
      <c r="CP778" s="5" t="s">
        <v>264</v>
      </c>
      <c r="CQ778" s="5" t="s">
        <v>238</v>
      </c>
      <c r="CR778" s="5" t="s">
        <v>238</v>
      </c>
      <c r="CS778" s="5">
        <v>0</v>
      </c>
      <c r="CT778" s="5" t="s">
        <v>265</v>
      </c>
      <c r="CU778" s="5" t="s">
        <v>1360</v>
      </c>
      <c r="CV778" s="5" t="s">
        <v>267</v>
      </c>
      <c r="CX778" s="8">
        <f>22013100</f>
        <v>22013100</v>
      </c>
      <c r="CY778" s="8">
        <f>0</f>
        <v>0</v>
      </c>
      <c r="DA778" s="5" t="s">
        <v>238</v>
      </c>
      <c r="DB778" s="5" t="s">
        <v>238</v>
      </c>
      <c r="DD778" s="5" t="s">
        <v>238</v>
      </c>
      <c r="DG778" s="5" t="s">
        <v>238</v>
      </c>
      <c r="DH778" s="5" t="s">
        <v>238</v>
      </c>
      <c r="DI778" s="5" t="s">
        <v>238</v>
      </c>
      <c r="DJ778" s="5" t="s">
        <v>238</v>
      </c>
      <c r="DK778" s="5" t="s">
        <v>274</v>
      </c>
      <c r="DL778" s="5" t="s">
        <v>272</v>
      </c>
      <c r="DM778" s="7">
        <f>142.02</f>
        <v>142.02000000000001</v>
      </c>
      <c r="DN778" s="5" t="s">
        <v>238</v>
      </c>
      <c r="DO778" s="5" t="s">
        <v>238</v>
      </c>
      <c r="DP778" s="5" t="s">
        <v>238</v>
      </c>
      <c r="DQ778" s="5" t="s">
        <v>238</v>
      </c>
      <c r="DT778" s="5" t="s">
        <v>2758</v>
      </c>
      <c r="DU778" s="5" t="s">
        <v>356</v>
      </c>
      <c r="HM778" s="5" t="s">
        <v>271</v>
      </c>
      <c r="HP778" s="5" t="s">
        <v>272</v>
      </c>
      <c r="HQ778" s="5" t="s">
        <v>272</v>
      </c>
    </row>
    <row r="779" spans="1:225" x14ac:dyDescent="0.4">
      <c r="A779" s="5">
        <v>871</v>
      </c>
      <c r="B779" s="5">
        <v>1</v>
      </c>
      <c r="C779" s="5">
        <v>1</v>
      </c>
      <c r="D779" s="5" t="s">
        <v>2756</v>
      </c>
      <c r="E779" s="5" t="s">
        <v>277</v>
      </c>
      <c r="F779" s="5" t="s">
        <v>282</v>
      </c>
      <c r="G779" s="5" t="s">
        <v>2491</v>
      </c>
      <c r="H779" s="6" t="s">
        <v>2757</v>
      </c>
      <c r="I779" s="5" t="s">
        <v>2494</v>
      </c>
      <c r="J779" s="7">
        <f>142.02</f>
        <v>142.02000000000001</v>
      </c>
      <c r="K779" s="5" t="s">
        <v>270</v>
      </c>
      <c r="L779" s="8">
        <f>1</f>
        <v>1</v>
      </c>
      <c r="M779" s="8">
        <f>22013100</f>
        <v>22013100</v>
      </c>
      <c r="N779" s="6" t="s">
        <v>1547</v>
      </c>
      <c r="O779" s="5" t="s">
        <v>286</v>
      </c>
      <c r="P779" s="5" t="s">
        <v>640</v>
      </c>
      <c r="R779" s="8">
        <f>22013099</f>
        <v>22013099</v>
      </c>
      <c r="S779" s="5" t="s">
        <v>240</v>
      </c>
      <c r="T779" s="5" t="s">
        <v>237</v>
      </c>
      <c r="U779" s="5" t="s">
        <v>238</v>
      </c>
      <c r="V779" s="5" t="s">
        <v>238</v>
      </c>
      <c r="W779" s="5" t="s">
        <v>241</v>
      </c>
      <c r="X779" s="5" t="s">
        <v>276</v>
      </c>
      <c r="Y779" s="5" t="s">
        <v>238</v>
      </c>
      <c r="AB779" s="5" t="s">
        <v>238</v>
      </c>
      <c r="AD779" s="6" t="s">
        <v>238</v>
      </c>
      <c r="AG779" s="6" t="s">
        <v>246</v>
      </c>
      <c r="AH779" s="5" t="s">
        <v>247</v>
      </c>
      <c r="AI779" s="5" t="s">
        <v>248</v>
      </c>
      <c r="AY779" s="5" t="s">
        <v>250</v>
      </c>
      <c r="AZ779" s="5" t="s">
        <v>238</v>
      </c>
      <c r="BA779" s="5" t="s">
        <v>251</v>
      </c>
      <c r="BB779" s="5" t="s">
        <v>238</v>
      </c>
      <c r="BC779" s="5" t="s">
        <v>253</v>
      </c>
      <c r="BD779" s="5" t="s">
        <v>238</v>
      </c>
      <c r="BF779" s="5" t="s">
        <v>238</v>
      </c>
      <c r="BH779" s="5" t="s">
        <v>859</v>
      </c>
      <c r="BI779" s="6" t="s">
        <v>368</v>
      </c>
      <c r="BJ779" s="5" t="s">
        <v>255</v>
      </c>
      <c r="BK779" s="5" t="s">
        <v>256</v>
      </c>
      <c r="BL779" s="5" t="s">
        <v>238</v>
      </c>
      <c r="BM779" s="7">
        <f>0</f>
        <v>0</v>
      </c>
      <c r="BN779" s="8">
        <f>0</f>
        <v>0</v>
      </c>
      <c r="BO779" s="5" t="s">
        <v>257</v>
      </c>
      <c r="BP779" s="5" t="s">
        <v>258</v>
      </c>
      <c r="CD779" s="5" t="s">
        <v>238</v>
      </c>
      <c r="CE779" s="5" t="s">
        <v>238</v>
      </c>
      <c r="CI779" s="5" t="s">
        <v>259</v>
      </c>
      <c r="CJ779" s="5" t="s">
        <v>260</v>
      </c>
      <c r="CK779" s="5" t="s">
        <v>238</v>
      </c>
      <c r="CM779" s="5" t="s">
        <v>342</v>
      </c>
      <c r="CN779" s="6" t="s">
        <v>262</v>
      </c>
      <c r="CO779" s="5" t="s">
        <v>263</v>
      </c>
      <c r="CP779" s="5" t="s">
        <v>264</v>
      </c>
      <c r="CQ779" s="5" t="s">
        <v>238</v>
      </c>
      <c r="CR779" s="5" t="s">
        <v>238</v>
      </c>
      <c r="CS779" s="5">
        <v>0</v>
      </c>
      <c r="CT779" s="5" t="s">
        <v>265</v>
      </c>
      <c r="CU779" s="5" t="s">
        <v>1360</v>
      </c>
      <c r="CV779" s="5" t="s">
        <v>267</v>
      </c>
      <c r="CX779" s="8">
        <f>22013100</f>
        <v>22013100</v>
      </c>
      <c r="CY779" s="8">
        <f>0</f>
        <v>0</v>
      </c>
      <c r="DA779" s="5" t="s">
        <v>238</v>
      </c>
      <c r="DB779" s="5" t="s">
        <v>238</v>
      </c>
      <c r="DD779" s="5" t="s">
        <v>238</v>
      </c>
      <c r="DG779" s="5" t="s">
        <v>238</v>
      </c>
      <c r="DH779" s="5" t="s">
        <v>238</v>
      </c>
      <c r="DI779" s="5" t="s">
        <v>238</v>
      </c>
      <c r="DJ779" s="5" t="s">
        <v>238</v>
      </c>
      <c r="DK779" s="5" t="s">
        <v>274</v>
      </c>
      <c r="DL779" s="5" t="s">
        <v>272</v>
      </c>
      <c r="DM779" s="7">
        <f>142.02</f>
        <v>142.02000000000001</v>
      </c>
      <c r="DN779" s="5" t="s">
        <v>238</v>
      </c>
      <c r="DO779" s="5" t="s">
        <v>238</v>
      </c>
      <c r="DP779" s="5" t="s">
        <v>238</v>
      </c>
      <c r="DQ779" s="5" t="s">
        <v>238</v>
      </c>
      <c r="DT779" s="5" t="s">
        <v>2758</v>
      </c>
      <c r="DU779" s="5" t="s">
        <v>310</v>
      </c>
      <c r="HM779" s="5" t="s">
        <v>271</v>
      </c>
      <c r="HP779" s="5" t="s">
        <v>272</v>
      </c>
      <c r="HQ779" s="5" t="s">
        <v>272</v>
      </c>
    </row>
    <row r="780" spans="1:225" x14ac:dyDescent="0.4">
      <c r="A780" s="5">
        <v>872</v>
      </c>
      <c r="B780" s="5">
        <v>1</v>
      </c>
      <c r="C780" s="5">
        <v>1</v>
      </c>
      <c r="D780" s="5" t="s">
        <v>2756</v>
      </c>
      <c r="E780" s="5" t="s">
        <v>277</v>
      </c>
      <c r="F780" s="5" t="s">
        <v>282</v>
      </c>
      <c r="G780" s="5" t="s">
        <v>2491</v>
      </c>
      <c r="H780" s="6" t="s">
        <v>2757</v>
      </c>
      <c r="I780" s="5" t="s">
        <v>2489</v>
      </c>
      <c r="J780" s="7">
        <f t="shared" ref="J780:J787" si="50">133.66</f>
        <v>133.66</v>
      </c>
      <c r="K780" s="5" t="s">
        <v>270</v>
      </c>
      <c r="L780" s="8">
        <f>1</f>
        <v>1</v>
      </c>
      <c r="M780" s="8">
        <f t="shared" ref="M780:M787" si="51">20717300</f>
        <v>20717300</v>
      </c>
      <c r="N780" s="6" t="s">
        <v>1547</v>
      </c>
      <c r="O780" s="5" t="s">
        <v>286</v>
      </c>
      <c r="P780" s="5" t="s">
        <v>640</v>
      </c>
      <c r="R780" s="8">
        <f t="shared" ref="R780:R787" si="52">20717299</f>
        <v>20717299</v>
      </c>
      <c r="S780" s="5" t="s">
        <v>240</v>
      </c>
      <c r="T780" s="5" t="s">
        <v>237</v>
      </c>
      <c r="U780" s="5" t="s">
        <v>238</v>
      </c>
      <c r="V780" s="5" t="s">
        <v>238</v>
      </c>
      <c r="W780" s="5" t="s">
        <v>241</v>
      </c>
      <c r="X780" s="5" t="s">
        <v>276</v>
      </c>
      <c r="Y780" s="5" t="s">
        <v>238</v>
      </c>
      <c r="AB780" s="5" t="s">
        <v>238</v>
      </c>
      <c r="AD780" s="6" t="s">
        <v>238</v>
      </c>
      <c r="AG780" s="6" t="s">
        <v>246</v>
      </c>
      <c r="AH780" s="5" t="s">
        <v>247</v>
      </c>
      <c r="AI780" s="5" t="s">
        <v>248</v>
      </c>
      <c r="AY780" s="5" t="s">
        <v>250</v>
      </c>
      <c r="AZ780" s="5" t="s">
        <v>238</v>
      </c>
      <c r="BA780" s="5" t="s">
        <v>251</v>
      </c>
      <c r="BB780" s="5" t="s">
        <v>238</v>
      </c>
      <c r="BC780" s="5" t="s">
        <v>253</v>
      </c>
      <c r="BD780" s="5" t="s">
        <v>238</v>
      </c>
      <c r="BF780" s="5" t="s">
        <v>238</v>
      </c>
      <c r="BH780" s="5" t="s">
        <v>697</v>
      </c>
      <c r="BI780" s="6" t="s">
        <v>698</v>
      </c>
      <c r="BJ780" s="5" t="s">
        <v>255</v>
      </c>
      <c r="BK780" s="5" t="s">
        <v>256</v>
      </c>
      <c r="BL780" s="5" t="s">
        <v>238</v>
      </c>
      <c r="BM780" s="7">
        <f>0</f>
        <v>0</v>
      </c>
      <c r="BN780" s="8">
        <f>0</f>
        <v>0</v>
      </c>
      <c r="BO780" s="5" t="s">
        <v>257</v>
      </c>
      <c r="BP780" s="5" t="s">
        <v>258</v>
      </c>
      <c r="CD780" s="5" t="s">
        <v>238</v>
      </c>
      <c r="CE780" s="5" t="s">
        <v>238</v>
      </c>
      <c r="CI780" s="5" t="s">
        <v>259</v>
      </c>
      <c r="CJ780" s="5" t="s">
        <v>260</v>
      </c>
      <c r="CK780" s="5" t="s">
        <v>238</v>
      </c>
      <c r="CM780" s="5" t="s">
        <v>342</v>
      </c>
      <c r="CN780" s="6" t="s">
        <v>262</v>
      </c>
      <c r="CO780" s="5" t="s">
        <v>263</v>
      </c>
      <c r="CP780" s="5" t="s">
        <v>264</v>
      </c>
      <c r="CQ780" s="5" t="s">
        <v>238</v>
      </c>
      <c r="CR780" s="5" t="s">
        <v>238</v>
      </c>
      <c r="CS780" s="5">
        <v>0</v>
      </c>
      <c r="CT780" s="5" t="s">
        <v>265</v>
      </c>
      <c r="CU780" s="5" t="s">
        <v>1360</v>
      </c>
      <c r="CV780" s="5" t="s">
        <v>267</v>
      </c>
      <c r="CX780" s="8">
        <f t="shared" ref="CX780:CX787" si="53">20717300</f>
        <v>20717300</v>
      </c>
      <c r="CY780" s="8">
        <f>0</f>
        <v>0</v>
      </c>
      <c r="DA780" s="5" t="s">
        <v>238</v>
      </c>
      <c r="DB780" s="5" t="s">
        <v>238</v>
      </c>
      <c r="DD780" s="5" t="s">
        <v>238</v>
      </c>
      <c r="DG780" s="5" t="s">
        <v>238</v>
      </c>
      <c r="DH780" s="5" t="s">
        <v>238</v>
      </c>
      <c r="DI780" s="5" t="s">
        <v>238</v>
      </c>
      <c r="DJ780" s="5" t="s">
        <v>238</v>
      </c>
      <c r="DK780" s="5" t="s">
        <v>274</v>
      </c>
      <c r="DL780" s="5" t="s">
        <v>272</v>
      </c>
      <c r="DM780" s="7">
        <f t="shared" ref="DM780:DM787" si="54">133.66</f>
        <v>133.66</v>
      </c>
      <c r="DN780" s="5" t="s">
        <v>238</v>
      </c>
      <c r="DO780" s="5" t="s">
        <v>238</v>
      </c>
      <c r="DP780" s="5" t="s">
        <v>238</v>
      </c>
      <c r="DQ780" s="5" t="s">
        <v>238</v>
      </c>
      <c r="DT780" s="5" t="s">
        <v>2758</v>
      </c>
      <c r="DU780" s="5" t="s">
        <v>379</v>
      </c>
      <c r="HM780" s="5" t="s">
        <v>271</v>
      </c>
      <c r="HP780" s="5" t="s">
        <v>272</v>
      </c>
      <c r="HQ780" s="5" t="s">
        <v>272</v>
      </c>
    </row>
    <row r="781" spans="1:225" x14ac:dyDescent="0.4">
      <c r="A781" s="5">
        <v>873</v>
      </c>
      <c r="B781" s="5">
        <v>1</v>
      </c>
      <c r="C781" s="5">
        <v>1</v>
      </c>
      <c r="D781" s="5" t="s">
        <v>2756</v>
      </c>
      <c r="E781" s="5" t="s">
        <v>277</v>
      </c>
      <c r="F781" s="5" t="s">
        <v>282</v>
      </c>
      <c r="G781" s="5" t="s">
        <v>2491</v>
      </c>
      <c r="H781" s="6" t="s">
        <v>2757</v>
      </c>
      <c r="I781" s="5" t="s">
        <v>2520</v>
      </c>
      <c r="J781" s="7">
        <f t="shared" si="50"/>
        <v>133.66</v>
      </c>
      <c r="K781" s="5" t="s">
        <v>270</v>
      </c>
      <c r="L781" s="8">
        <f>1</f>
        <v>1</v>
      </c>
      <c r="M781" s="8">
        <f t="shared" si="51"/>
        <v>20717300</v>
      </c>
      <c r="N781" s="6" t="s">
        <v>1547</v>
      </c>
      <c r="O781" s="5" t="s">
        <v>286</v>
      </c>
      <c r="P781" s="5" t="s">
        <v>640</v>
      </c>
      <c r="R781" s="8">
        <f t="shared" si="52"/>
        <v>20717299</v>
      </c>
      <c r="S781" s="5" t="s">
        <v>240</v>
      </c>
      <c r="T781" s="5" t="s">
        <v>237</v>
      </c>
      <c r="U781" s="5" t="s">
        <v>238</v>
      </c>
      <c r="V781" s="5" t="s">
        <v>238</v>
      </c>
      <c r="W781" s="5" t="s">
        <v>241</v>
      </c>
      <c r="X781" s="5" t="s">
        <v>276</v>
      </c>
      <c r="Y781" s="5" t="s">
        <v>238</v>
      </c>
      <c r="AB781" s="5" t="s">
        <v>238</v>
      </c>
      <c r="AD781" s="6" t="s">
        <v>238</v>
      </c>
      <c r="AG781" s="6" t="s">
        <v>246</v>
      </c>
      <c r="AH781" s="5" t="s">
        <v>247</v>
      </c>
      <c r="AI781" s="5" t="s">
        <v>248</v>
      </c>
      <c r="AY781" s="5" t="s">
        <v>250</v>
      </c>
      <c r="AZ781" s="5" t="s">
        <v>238</v>
      </c>
      <c r="BA781" s="5" t="s">
        <v>251</v>
      </c>
      <c r="BB781" s="5" t="s">
        <v>238</v>
      </c>
      <c r="BC781" s="5" t="s">
        <v>253</v>
      </c>
      <c r="BD781" s="5" t="s">
        <v>238</v>
      </c>
      <c r="BF781" s="5" t="s">
        <v>238</v>
      </c>
      <c r="BH781" s="5" t="s">
        <v>798</v>
      </c>
      <c r="BI781" s="6" t="s">
        <v>799</v>
      </c>
      <c r="BJ781" s="5" t="s">
        <v>255</v>
      </c>
      <c r="BK781" s="5" t="s">
        <v>256</v>
      </c>
      <c r="BL781" s="5" t="s">
        <v>238</v>
      </c>
      <c r="BM781" s="7">
        <f>0</f>
        <v>0</v>
      </c>
      <c r="BN781" s="8">
        <f>0</f>
        <v>0</v>
      </c>
      <c r="BO781" s="5" t="s">
        <v>257</v>
      </c>
      <c r="BP781" s="5" t="s">
        <v>258</v>
      </c>
      <c r="CD781" s="5" t="s">
        <v>238</v>
      </c>
      <c r="CE781" s="5" t="s">
        <v>238</v>
      </c>
      <c r="CI781" s="5" t="s">
        <v>259</v>
      </c>
      <c r="CJ781" s="5" t="s">
        <v>260</v>
      </c>
      <c r="CK781" s="5" t="s">
        <v>238</v>
      </c>
      <c r="CM781" s="5" t="s">
        <v>342</v>
      </c>
      <c r="CN781" s="6" t="s">
        <v>262</v>
      </c>
      <c r="CO781" s="5" t="s">
        <v>263</v>
      </c>
      <c r="CP781" s="5" t="s">
        <v>264</v>
      </c>
      <c r="CQ781" s="5" t="s">
        <v>238</v>
      </c>
      <c r="CR781" s="5" t="s">
        <v>238</v>
      </c>
      <c r="CS781" s="5">
        <v>0</v>
      </c>
      <c r="CT781" s="5" t="s">
        <v>265</v>
      </c>
      <c r="CU781" s="5" t="s">
        <v>1360</v>
      </c>
      <c r="CV781" s="5" t="s">
        <v>267</v>
      </c>
      <c r="CX781" s="8">
        <f t="shared" si="53"/>
        <v>20717300</v>
      </c>
      <c r="CY781" s="8">
        <f>0</f>
        <v>0</v>
      </c>
      <c r="DA781" s="5" t="s">
        <v>238</v>
      </c>
      <c r="DB781" s="5" t="s">
        <v>238</v>
      </c>
      <c r="DD781" s="5" t="s">
        <v>238</v>
      </c>
      <c r="DG781" s="5" t="s">
        <v>238</v>
      </c>
      <c r="DH781" s="5" t="s">
        <v>238</v>
      </c>
      <c r="DI781" s="5" t="s">
        <v>238</v>
      </c>
      <c r="DJ781" s="5" t="s">
        <v>238</v>
      </c>
      <c r="DK781" s="5" t="s">
        <v>274</v>
      </c>
      <c r="DL781" s="5" t="s">
        <v>272</v>
      </c>
      <c r="DM781" s="7">
        <f t="shared" si="54"/>
        <v>133.66</v>
      </c>
      <c r="DN781" s="5" t="s">
        <v>238</v>
      </c>
      <c r="DO781" s="5" t="s">
        <v>238</v>
      </c>
      <c r="DP781" s="5" t="s">
        <v>238</v>
      </c>
      <c r="DQ781" s="5" t="s">
        <v>238</v>
      </c>
      <c r="DT781" s="5" t="s">
        <v>2758</v>
      </c>
      <c r="DU781" s="5" t="s">
        <v>313</v>
      </c>
      <c r="HM781" s="5" t="s">
        <v>271</v>
      </c>
      <c r="HP781" s="5" t="s">
        <v>272</v>
      </c>
      <c r="HQ781" s="5" t="s">
        <v>272</v>
      </c>
    </row>
    <row r="782" spans="1:225" x14ac:dyDescent="0.4">
      <c r="A782" s="5">
        <v>874</v>
      </c>
      <c r="B782" s="5">
        <v>1</v>
      </c>
      <c r="C782" s="5">
        <v>1</v>
      </c>
      <c r="D782" s="5" t="s">
        <v>2756</v>
      </c>
      <c r="E782" s="5" t="s">
        <v>277</v>
      </c>
      <c r="F782" s="5" t="s">
        <v>282</v>
      </c>
      <c r="G782" s="5" t="s">
        <v>2491</v>
      </c>
      <c r="H782" s="6" t="s">
        <v>2757</v>
      </c>
      <c r="I782" s="5" t="s">
        <v>2516</v>
      </c>
      <c r="J782" s="7">
        <f t="shared" si="50"/>
        <v>133.66</v>
      </c>
      <c r="K782" s="5" t="s">
        <v>270</v>
      </c>
      <c r="L782" s="8">
        <f>1</f>
        <v>1</v>
      </c>
      <c r="M782" s="8">
        <f t="shared" si="51"/>
        <v>20717300</v>
      </c>
      <c r="N782" s="6" t="s">
        <v>1547</v>
      </c>
      <c r="O782" s="5" t="s">
        <v>286</v>
      </c>
      <c r="P782" s="5" t="s">
        <v>640</v>
      </c>
      <c r="R782" s="8">
        <f t="shared" si="52"/>
        <v>20717299</v>
      </c>
      <c r="S782" s="5" t="s">
        <v>240</v>
      </c>
      <c r="T782" s="5" t="s">
        <v>237</v>
      </c>
      <c r="U782" s="5" t="s">
        <v>238</v>
      </c>
      <c r="V782" s="5" t="s">
        <v>238</v>
      </c>
      <c r="W782" s="5" t="s">
        <v>241</v>
      </c>
      <c r="X782" s="5" t="s">
        <v>276</v>
      </c>
      <c r="Y782" s="5" t="s">
        <v>238</v>
      </c>
      <c r="AB782" s="5" t="s">
        <v>238</v>
      </c>
      <c r="AD782" s="6" t="s">
        <v>238</v>
      </c>
      <c r="AG782" s="6" t="s">
        <v>246</v>
      </c>
      <c r="AH782" s="5" t="s">
        <v>247</v>
      </c>
      <c r="AI782" s="5" t="s">
        <v>248</v>
      </c>
      <c r="AY782" s="5" t="s">
        <v>250</v>
      </c>
      <c r="AZ782" s="5" t="s">
        <v>238</v>
      </c>
      <c r="BA782" s="5" t="s">
        <v>251</v>
      </c>
      <c r="BB782" s="5" t="s">
        <v>238</v>
      </c>
      <c r="BC782" s="5" t="s">
        <v>253</v>
      </c>
      <c r="BD782" s="5" t="s">
        <v>238</v>
      </c>
      <c r="BF782" s="5" t="s">
        <v>238</v>
      </c>
      <c r="BH782" s="5" t="s">
        <v>254</v>
      </c>
      <c r="BI782" s="6" t="s">
        <v>246</v>
      </c>
      <c r="BJ782" s="5" t="s">
        <v>255</v>
      </c>
      <c r="BK782" s="5" t="s">
        <v>256</v>
      </c>
      <c r="BL782" s="5" t="s">
        <v>238</v>
      </c>
      <c r="BM782" s="7">
        <f>0</f>
        <v>0</v>
      </c>
      <c r="BN782" s="8">
        <f>0</f>
        <v>0</v>
      </c>
      <c r="BO782" s="5" t="s">
        <v>257</v>
      </c>
      <c r="BP782" s="5" t="s">
        <v>258</v>
      </c>
      <c r="CD782" s="5" t="s">
        <v>238</v>
      </c>
      <c r="CE782" s="5" t="s">
        <v>238</v>
      </c>
      <c r="CI782" s="5" t="s">
        <v>259</v>
      </c>
      <c r="CJ782" s="5" t="s">
        <v>260</v>
      </c>
      <c r="CK782" s="5" t="s">
        <v>238</v>
      </c>
      <c r="CM782" s="5" t="s">
        <v>342</v>
      </c>
      <c r="CN782" s="6" t="s">
        <v>262</v>
      </c>
      <c r="CO782" s="5" t="s">
        <v>263</v>
      </c>
      <c r="CP782" s="5" t="s">
        <v>264</v>
      </c>
      <c r="CQ782" s="5" t="s">
        <v>238</v>
      </c>
      <c r="CR782" s="5" t="s">
        <v>238</v>
      </c>
      <c r="CS782" s="5">
        <v>0</v>
      </c>
      <c r="CT782" s="5" t="s">
        <v>265</v>
      </c>
      <c r="CU782" s="5" t="s">
        <v>1360</v>
      </c>
      <c r="CV782" s="5" t="s">
        <v>267</v>
      </c>
      <c r="CX782" s="8">
        <f t="shared" si="53"/>
        <v>20717300</v>
      </c>
      <c r="CY782" s="8">
        <f>0</f>
        <v>0</v>
      </c>
      <c r="DA782" s="5" t="s">
        <v>238</v>
      </c>
      <c r="DB782" s="5" t="s">
        <v>238</v>
      </c>
      <c r="DD782" s="5" t="s">
        <v>238</v>
      </c>
      <c r="DG782" s="5" t="s">
        <v>238</v>
      </c>
      <c r="DH782" s="5" t="s">
        <v>238</v>
      </c>
      <c r="DI782" s="5" t="s">
        <v>238</v>
      </c>
      <c r="DJ782" s="5" t="s">
        <v>238</v>
      </c>
      <c r="DK782" s="5" t="s">
        <v>274</v>
      </c>
      <c r="DL782" s="5" t="s">
        <v>272</v>
      </c>
      <c r="DM782" s="7">
        <f t="shared" si="54"/>
        <v>133.66</v>
      </c>
      <c r="DN782" s="5" t="s">
        <v>238</v>
      </c>
      <c r="DO782" s="5" t="s">
        <v>238</v>
      </c>
      <c r="DP782" s="5" t="s">
        <v>238</v>
      </c>
      <c r="DQ782" s="5" t="s">
        <v>238</v>
      </c>
      <c r="DT782" s="5" t="s">
        <v>2758</v>
      </c>
      <c r="DU782" s="5" t="s">
        <v>389</v>
      </c>
      <c r="HM782" s="5" t="s">
        <v>271</v>
      </c>
      <c r="HP782" s="5" t="s">
        <v>272</v>
      </c>
      <c r="HQ782" s="5" t="s">
        <v>272</v>
      </c>
    </row>
    <row r="783" spans="1:225" x14ac:dyDescent="0.4">
      <c r="A783" s="5">
        <v>875</v>
      </c>
      <c r="B783" s="5">
        <v>1</v>
      </c>
      <c r="C783" s="5">
        <v>1</v>
      </c>
      <c r="D783" s="5" t="s">
        <v>2756</v>
      </c>
      <c r="E783" s="5" t="s">
        <v>277</v>
      </c>
      <c r="F783" s="5" t="s">
        <v>282</v>
      </c>
      <c r="G783" s="5" t="s">
        <v>2491</v>
      </c>
      <c r="H783" s="6" t="s">
        <v>2757</v>
      </c>
      <c r="I783" s="5" t="s">
        <v>2521</v>
      </c>
      <c r="J783" s="7">
        <f t="shared" si="50"/>
        <v>133.66</v>
      </c>
      <c r="K783" s="5" t="s">
        <v>270</v>
      </c>
      <c r="L783" s="8">
        <f>1</f>
        <v>1</v>
      </c>
      <c r="M783" s="8">
        <f t="shared" si="51"/>
        <v>20717300</v>
      </c>
      <c r="N783" s="6" t="s">
        <v>1547</v>
      </c>
      <c r="O783" s="5" t="s">
        <v>286</v>
      </c>
      <c r="P783" s="5" t="s">
        <v>640</v>
      </c>
      <c r="R783" s="8">
        <f t="shared" si="52"/>
        <v>20717299</v>
      </c>
      <c r="S783" s="5" t="s">
        <v>240</v>
      </c>
      <c r="T783" s="5" t="s">
        <v>237</v>
      </c>
      <c r="U783" s="5" t="s">
        <v>238</v>
      </c>
      <c r="V783" s="5" t="s">
        <v>238</v>
      </c>
      <c r="W783" s="5" t="s">
        <v>241</v>
      </c>
      <c r="X783" s="5" t="s">
        <v>276</v>
      </c>
      <c r="Y783" s="5" t="s">
        <v>238</v>
      </c>
      <c r="AB783" s="5" t="s">
        <v>238</v>
      </c>
      <c r="AD783" s="6" t="s">
        <v>238</v>
      </c>
      <c r="AG783" s="6" t="s">
        <v>246</v>
      </c>
      <c r="AH783" s="5" t="s">
        <v>247</v>
      </c>
      <c r="AI783" s="5" t="s">
        <v>248</v>
      </c>
      <c r="AY783" s="5" t="s">
        <v>250</v>
      </c>
      <c r="AZ783" s="5" t="s">
        <v>238</v>
      </c>
      <c r="BA783" s="5" t="s">
        <v>251</v>
      </c>
      <c r="BB783" s="5" t="s">
        <v>238</v>
      </c>
      <c r="BC783" s="5" t="s">
        <v>253</v>
      </c>
      <c r="BD783" s="5" t="s">
        <v>238</v>
      </c>
      <c r="BF783" s="5" t="s">
        <v>238</v>
      </c>
      <c r="BH783" s="5" t="s">
        <v>254</v>
      </c>
      <c r="BI783" s="6" t="s">
        <v>246</v>
      </c>
      <c r="BJ783" s="5" t="s">
        <v>255</v>
      </c>
      <c r="BK783" s="5" t="s">
        <v>256</v>
      </c>
      <c r="BL783" s="5" t="s">
        <v>238</v>
      </c>
      <c r="BM783" s="7">
        <f>0</f>
        <v>0</v>
      </c>
      <c r="BN783" s="8">
        <f>0</f>
        <v>0</v>
      </c>
      <c r="BO783" s="5" t="s">
        <v>257</v>
      </c>
      <c r="BP783" s="5" t="s">
        <v>258</v>
      </c>
      <c r="CD783" s="5" t="s">
        <v>238</v>
      </c>
      <c r="CE783" s="5" t="s">
        <v>238</v>
      </c>
      <c r="CI783" s="5" t="s">
        <v>259</v>
      </c>
      <c r="CJ783" s="5" t="s">
        <v>260</v>
      </c>
      <c r="CK783" s="5" t="s">
        <v>238</v>
      </c>
      <c r="CM783" s="5" t="s">
        <v>342</v>
      </c>
      <c r="CN783" s="6" t="s">
        <v>262</v>
      </c>
      <c r="CO783" s="5" t="s">
        <v>263</v>
      </c>
      <c r="CP783" s="5" t="s">
        <v>264</v>
      </c>
      <c r="CQ783" s="5" t="s">
        <v>238</v>
      </c>
      <c r="CR783" s="5" t="s">
        <v>238</v>
      </c>
      <c r="CS783" s="5">
        <v>0</v>
      </c>
      <c r="CT783" s="5" t="s">
        <v>265</v>
      </c>
      <c r="CU783" s="5" t="s">
        <v>1360</v>
      </c>
      <c r="CV783" s="5" t="s">
        <v>267</v>
      </c>
      <c r="CX783" s="8">
        <f t="shared" si="53"/>
        <v>20717300</v>
      </c>
      <c r="CY783" s="8">
        <f>0</f>
        <v>0</v>
      </c>
      <c r="DA783" s="5" t="s">
        <v>238</v>
      </c>
      <c r="DB783" s="5" t="s">
        <v>238</v>
      </c>
      <c r="DD783" s="5" t="s">
        <v>238</v>
      </c>
      <c r="DG783" s="5" t="s">
        <v>238</v>
      </c>
      <c r="DH783" s="5" t="s">
        <v>238</v>
      </c>
      <c r="DI783" s="5" t="s">
        <v>238</v>
      </c>
      <c r="DJ783" s="5" t="s">
        <v>238</v>
      </c>
      <c r="DK783" s="5" t="s">
        <v>274</v>
      </c>
      <c r="DL783" s="5" t="s">
        <v>272</v>
      </c>
      <c r="DM783" s="7">
        <f t="shared" si="54"/>
        <v>133.66</v>
      </c>
      <c r="DN783" s="5" t="s">
        <v>238</v>
      </c>
      <c r="DO783" s="5" t="s">
        <v>238</v>
      </c>
      <c r="DP783" s="5" t="s">
        <v>238</v>
      </c>
      <c r="DQ783" s="5" t="s">
        <v>238</v>
      </c>
      <c r="DT783" s="5" t="s">
        <v>2758</v>
      </c>
      <c r="DU783" s="5" t="s">
        <v>354</v>
      </c>
      <c r="HM783" s="5" t="s">
        <v>271</v>
      </c>
      <c r="HP783" s="5" t="s">
        <v>272</v>
      </c>
      <c r="HQ783" s="5" t="s">
        <v>272</v>
      </c>
    </row>
    <row r="784" spans="1:225" x14ac:dyDescent="0.4">
      <c r="A784" s="5">
        <v>876</v>
      </c>
      <c r="B784" s="5">
        <v>1</v>
      </c>
      <c r="C784" s="5">
        <v>1</v>
      </c>
      <c r="D784" s="5" t="s">
        <v>2756</v>
      </c>
      <c r="E784" s="5" t="s">
        <v>277</v>
      </c>
      <c r="F784" s="5" t="s">
        <v>282</v>
      </c>
      <c r="G784" s="5" t="s">
        <v>2491</v>
      </c>
      <c r="H784" s="6" t="s">
        <v>2757</v>
      </c>
      <c r="I784" s="5" t="s">
        <v>2500</v>
      </c>
      <c r="J784" s="7">
        <f t="shared" si="50"/>
        <v>133.66</v>
      </c>
      <c r="K784" s="5" t="s">
        <v>270</v>
      </c>
      <c r="L784" s="8">
        <f>1</f>
        <v>1</v>
      </c>
      <c r="M784" s="8">
        <f t="shared" si="51"/>
        <v>20717300</v>
      </c>
      <c r="N784" s="6" t="s">
        <v>1547</v>
      </c>
      <c r="O784" s="5" t="s">
        <v>286</v>
      </c>
      <c r="P784" s="5" t="s">
        <v>640</v>
      </c>
      <c r="R784" s="8">
        <f t="shared" si="52"/>
        <v>20717299</v>
      </c>
      <c r="S784" s="5" t="s">
        <v>240</v>
      </c>
      <c r="T784" s="5" t="s">
        <v>237</v>
      </c>
      <c r="U784" s="5" t="s">
        <v>238</v>
      </c>
      <c r="V784" s="5" t="s">
        <v>238</v>
      </c>
      <c r="W784" s="5" t="s">
        <v>241</v>
      </c>
      <c r="X784" s="5" t="s">
        <v>276</v>
      </c>
      <c r="Y784" s="5" t="s">
        <v>238</v>
      </c>
      <c r="AB784" s="5" t="s">
        <v>238</v>
      </c>
      <c r="AD784" s="6" t="s">
        <v>238</v>
      </c>
      <c r="AG784" s="6" t="s">
        <v>246</v>
      </c>
      <c r="AH784" s="5" t="s">
        <v>247</v>
      </c>
      <c r="AI784" s="5" t="s">
        <v>248</v>
      </c>
      <c r="AY784" s="5" t="s">
        <v>250</v>
      </c>
      <c r="AZ784" s="5" t="s">
        <v>238</v>
      </c>
      <c r="BA784" s="5" t="s">
        <v>251</v>
      </c>
      <c r="BB784" s="5" t="s">
        <v>238</v>
      </c>
      <c r="BC784" s="5" t="s">
        <v>253</v>
      </c>
      <c r="BD784" s="5" t="s">
        <v>238</v>
      </c>
      <c r="BF784" s="5" t="s">
        <v>238</v>
      </c>
      <c r="BH784" s="5" t="s">
        <v>254</v>
      </c>
      <c r="BI784" s="6" t="s">
        <v>246</v>
      </c>
      <c r="BJ784" s="5" t="s">
        <v>255</v>
      </c>
      <c r="BK784" s="5" t="s">
        <v>256</v>
      </c>
      <c r="BL784" s="5" t="s">
        <v>238</v>
      </c>
      <c r="BM784" s="7">
        <f>0</f>
        <v>0</v>
      </c>
      <c r="BN784" s="8">
        <f>0</f>
        <v>0</v>
      </c>
      <c r="BO784" s="5" t="s">
        <v>257</v>
      </c>
      <c r="BP784" s="5" t="s">
        <v>258</v>
      </c>
      <c r="CD784" s="5" t="s">
        <v>238</v>
      </c>
      <c r="CE784" s="5" t="s">
        <v>238</v>
      </c>
      <c r="CI784" s="5" t="s">
        <v>259</v>
      </c>
      <c r="CJ784" s="5" t="s">
        <v>260</v>
      </c>
      <c r="CK784" s="5" t="s">
        <v>238</v>
      </c>
      <c r="CM784" s="5" t="s">
        <v>342</v>
      </c>
      <c r="CN784" s="6" t="s">
        <v>262</v>
      </c>
      <c r="CO784" s="5" t="s">
        <v>263</v>
      </c>
      <c r="CP784" s="5" t="s">
        <v>264</v>
      </c>
      <c r="CQ784" s="5" t="s">
        <v>238</v>
      </c>
      <c r="CR784" s="5" t="s">
        <v>238</v>
      </c>
      <c r="CS784" s="5">
        <v>0</v>
      </c>
      <c r="CT784" s="5" t="s">
        <v>265</v>
      </c>
      <c r="CU784" s="5" t="s">
        <v>1360</v>
      </c>
      <c r="CV784" s="5" t="s">
        <v>267</v>
      </c>
      <c r="CX784" s="8">
        <f t="shared" si="53"/>
        <v>20717300</v>
      </c>
      <c r="CY784" s="8">
        <f>0</f>
        <v>0</v>
      </c>
      <c r="DA784" s="5" t="s">
        <v>238</v>
      </c>
      <c r="DB784" s="5" t="s">
        <v>238</v>
      </c>
      <c r="DD784" s="5" t="s">
        <v>238</v>
      </c>
      <c r="DG784" s="5" t="s">
        <v>238</v>
      </c>
      <c r="DH784" s="5" t="s">
        <v>238</v>
      </c>
      <c r="DI784" s="5" t="s">
        <v>238</v>
      </c>
      <c r="DJ784" s="5" t="s">
        <v>238</v>
      </c>
      <c r="DK784" s="5" t="s">
        <v>274</v>
      </c>
      <c r="DL784" s="5" t="s">
        <v>272</v>
      </c>
      <c r="DM784" s="7">
        <f t="shared" si="54"/>
        <v>133.66</v>
      </c>
      <c r="DN784" s="5" t="s">
        <v>238</v>
      </c>
      <c r="DO784" s="5" t="s">
        <v>238</v>
      </c>
      <c r="DP784" s="5" t="s">
        <v>238</v>
      </c>
      <c r="DQ784" s="5" t="s">
        <v>238</v>
      </c>
      <c r="DT784" s="5" t="s">
        <v>2758</v>
      </c>
      <c r="DU784" s="5" t="s">
        <v>361</v>
      </c>
      <c r="HM784" s="5" t="s">
        <v>271</v>
      </c>
      <c r="HP784" s="5" t="s">
        <v>272</v>
      </c>
      <c r="HQ784" s="5" t="s">
        <v>272</v>
      </c>
    </row>
    <row r="785" spans="1:238" x14ac:dyDescent="0.4">
      <c r="A785" s="5">
        <v>877</v>
      </c>
      <c r="B785" s="5">
        <v>1</v>
      </c>
      <c r="C785" s="5">
        <v>1</v>
      </c>
      <c r="D785" s="5" t="s">
        <v>2756</v>
      </c>
      <c r="E785" s="5" t="s">
        <v>277</v>
      </c>
      <c r="F785" s="5" t="s">
        <v>282</v>
      </c>
      <c r="G785" s="5" t="s">
        <v>2491</v>
      </c>
      <c r="H785" s="6" t="s">
        <v>2757</v>
      </c>
      <c r="I785" s="5" t="s">
        <v>2526</v>
      </c>
      <c r="J785" s="7">
        <f t="shared" si="50"/>
        <v>133.66</v>
      </c>
      <c r="K785" s="5" t="s">
        <v>270</v>
      </c>
      <c r="L785" s="8">
        <f>1</f>
        <v>1</v>
      </c>
      <c r="M785" s="8">
        <f t="shared" si="51"/>
        <v>20717300</v>
      </c>
      <c r="N785" s="6" t="s">
        <v>1547</v>
      </c>
      <c r="O785" s="5" t="s">
        <v>286</v>
      </c>
      <c r="P785" s="5" t="s">
        <v>640</v>
      </c>
      <c r="R785" s="8">
        <f t="shared" si="52"/>
        <v>20717299</v>
      </c>
      <c r="S785" s="5" t="s">
        <v>240</v>
      </c>
      <c r="T785" s="5" t="s">
        <v>237</v>
      </c>
      <c r="U785" s="5" t="s">
        <v>238</v>
      </c>
      <c r="V785" s="5" t="s">
        <v>238</v>
      </c>
      <c r="W785" s="5" t="s">
        <v>241</v>
      </c>
      <c r="X785" s="5" t="s">
        <v>276</v>
      </c>
      <c r="Y785" s="5" t="s">
        <v>238</v>
      </c>
      <c r="AB785" s="5" t="s">
        <v>238</v>
      </c>
      <c r="AD785" s="6" t="s">
        <v>238</v>
      </c>
      <c r="AG785" s="6" t="s">
        <v>246</v>
      </c>
      <c r="AH785" s="5" t="s">
        <v>247</v>
      </c>
      <c r="AI785" s="5" t="s">
        <v>248</v>
      </c>
      <c r="AY785" s="5" t="s">
        <v>250</v>
      </c>
      <c r="AZ785" s="5" t="s">
        <v>238</v>
      </c>
      <c r="BA785" s="5" t="s">
        <v>251</v>
      </c>
      <c r="BB785" s="5" t="s">
        <v>238</v>
      </c>
      <c r="BC785" s="5" t="s">
        <v>253</v>
      </c>
      <c r="BD785" s="5" t="s">
        <v>238</v>
      </c>
      <c r="BF785" s="5" t="s">
        <v>238</v>
      </c>
      <c r="BH785" s="5" t="s">
        <v>254</v>
      </c>
      <c r="BI785" s="6" t="s">
        <v>246</v>
      </c>
      <c r="BJ785" s="5" t="s">
        <v>255</v>
      </c>
      <c r="BK785" s="5" t="s">
        <v>256</v>
      </c>
      <c r="BL785" s="5" t="s">
        <v>238</v>
      </c>
      <c r="BM785" s="7">
        <f>0</f>
        <v>0</v>
      </c>
      <c r="BN785" s="8">
        <f>0</f>
        <v>0</v>
      </c>
      <c r="BO785" s="5" t="s">
        <v>257</v>
      </c>
      <c r="BP785" s="5" t="s">
        <v>258</v>
      </c>
      <c r="CD785" s="5" t="s">
        <v>238</v>
      </c>
      <c r="CE785" s="5" t="s">
        <v>238</v>
      </c>
      <c r="CI785" s="5" t="s">
        <v>259</v>
      </c>
      <c r="CJ785" s="5" t="s">
        <v>260</v>
      </c>
      <c r="CK785" s="5" t="s">
        <v>238</v>
      </c>
      <c r="CM785" s="5" t="s">
        <v>342</v>
      </c>
      <c r="CN785" s="6" t="s">
        <v>262</v>
      </c>
      <c r="CO785" s="5" t="s">
        <v>263</v>
      </c>
      <c r="CP785" s="5" t="s">
        <v>264</v>
      </c>
      <c r="CQ785" s="5" t="s">
        <v>238</v>
      </c>
      <c r="CR785" s="5" t="s">
        <v>238</v>
      </c>
      <c r="CS785" s="5">
        <v>0</v>
      </c>
      <c r="CT785" s="5" t="s">
        <v>265</v>
      </c>
      <c r="CU785" s="5" t="s">
        <v>1360</v>
      </c>
      <c r="CV785" s="5" t="s">
        <v>267</v>
      </c>
      <c r="CX785" s="8">
        <f t="shared" si="53"/>
        <v>20717300</v>
      </c>
      <c r="CY785" s="8">
        <f>0</f>
        <v>0</v>
      </c>
      <c r="DA785" s="5" t="s">
        <v>238</v>
      </c>
      <c r="DB785" s="5" t="s">
        <v>238</v>
      </c>
      <c r="DD785" s="5" t="s">
        <v>238</v>
      </c>
      <c r="DG785" s="5" t="s">
        <v>238</v>
      </c>
      <c r="DH785" s="5" t="s">
        <v>238</v>
      </c>
      <c r="DI785" s="5" t="s">
        <v>238</v>
      </c>
      <c r="DJ785" s="5" t="s">
        <v>238</v>
      </c>
      <c r="DK785" s="5" t="s">
        <v>274</v>
      </c>
      <c r="DL785" s="5" t="s">
        <v>272</v>
      </c>
      <c r="DM785" s="7">
        <f t="shared" si="54"/>
        <v>133.66</v>
      </c>
      <c r="DN785" s="5" t="s">
        <v>238</v>
      </c>
      <c r="DO785" s="5" t="s">
        <v>238</v>
      </c>
      <c r="DP785" s="5" t="s">
        <v>238</v>
      </c>
      <c r="DQ785" s="5" t="s">
        <v>238</v>
      </c>
      <c r="DT785" s="5" t="s">
        <v>2758</v>
      </c>
      <c r="DU785" s="5" t="s">
        <v>377</v>
      </c>
      <c r="HM785" s="5" t="s">
        <v>271</v>
      </c>
      <c r="HP785" s="5" t="s">
        <v>272</v>
      </c>
      <c r="HQ785" s="5" t="s">
        <v>272</v>
      </c>
    </row>
    <row r="786" spans="1:238" x14ac:dyDescent="0.4">
      <c r="A786" s="5">
        <v>878</v>
      </c>
      <c r="B786" s="5">
        <v>1</v>
      </c>
      <c r="C786" s="5">
        <v>1</v>
      </c>
      <c r="D786" s="5" t="s">
        <v>2756</v>
      </c>
      <c r="E786" s="5" t="s">
        <v>277</v>
      </c>
      <c r="F786" s="5" t="s">
        <v>282</v>
      </c>
      <c r="G786" s="5" t="s">
        <v>2491</v>
      </c>
      <c r="H786" s="6" t="s">
        <v>2757</v>
      </c>
      <c r="I786" s="5" t="s">
        <v>2525</v>
      </c>
      <c r="J786" s="7">
        <f t="shared" si="50"/>
        <v>133.66</v>
      </c>
      <c r="K786" s="5" t="s">
        <v>270</v>
      </c>
      <c r="L786" s="8">
        <f>1</f>
        <v>1</v>
      </c>
      <c r="M786" s="8">
        <f t="shared" si="51"/>
        <v>20717300</v>
      </c>
      <c r="N786" s="6" t="s">
        <v>1547</v>
      </c>
      <c r="O786" s="5" t="s">
        <v>286</v>
      </c>
      <c r="P786" s="5" t="s">
        <v>640</v>
      </c>
      <c r="R786" s="8">
        <f t="shared" si="52"/>
        <v>20717299</v>
      </c>
      <c r="S786" s="5" t="s">
        <v>240</v>
      </c>
      <c r="T786" s="5" t="s">
        <v>237</v>
      </c>
      <c r="U786" s="5" t="s">
        <v>238</v>
      </c>
      <c r="V786" s="5" t="s">
        <v>238</v>
      </c>
      <c r="W786" s="5" t="s">
        <v>241</v>
      </c>
      <c r="X786" s="5" t="s">
        <v>276</v>
      </c>
      <c r="Y786" s="5" t="s">
        <v>238</v>
      </c>
      <c r="AB786" s="5" t="s">
        <v>238</v>
      </c>
      <c r="AD786" s="6" t="s">
        <v>238</v>
      </c>
      <c r="AG786" s="6" t="s">
        <v>246</v>
      </c>
      <c r="AH786" s="5" t="s">
        <v>247</v>
      </c>
      <c r="AI786" s="5" t="s">
        <v>248</v>
      </c>
      <c r="AY786" s="5" t="s">
        <v>250</v>
      </c>
      <c r="AZ786" s="5" t="s">
        <v>238</v>
      </c>
      <c r="BA786" s="5" t="s">
        <v>251</v>
      </c>
      <c r="BB786" s="5" t="s">
        <v>238</v>
      </c>
      <c r="BC786" s="5" t="s">
        <v>253</v>
      </c>
      <c r="BD786" s="5" t="s">
        <v>238</v>
      </c>
      <c r="BF786" s="5" t="s">
        <v>238</v>
      </c>
      <c r="BH786" s="5" t="s">
        <v>254</v>
      </c>
      <c r="BI786" s="6" t="s">
        <v>246</v>
      </c>
      <c r="BJ786" s="5" t="s">
        <v>255</v>
      </c>
      <c r="BK786" s="5" t="s">
        <v>256</v>
      </c>
      <c r="BL786" s="5" t="s">
        <v>238</v>
      </c>
      <c r="BM786" s="7">
        <f>0</f>
        <v>0</v>
      </c>
      <c r="BN786" s="8">
        <f>0</f>
        <v>0</v>
      </c>
      <c r="BO786" s="5" t="s">
        <v>257</v>
      </c>
      <c r="BP786" s="5" t="s">
        <v>258</v>
      </c>
      <c r="CD786" s="5" t="s">
        <v>238</v>
      </c>
      <c r="CE786" s="5" t="s">
        <v>238</v>
      </c>
      <c r="CI786" s="5" t="s">
        <v>259</v>
      </c>
      <c r="CJ786" s="5" t="s">
        <v>260</v>
      </c>
      <c r="CK786" s="5" t="s">
        <v>238</v>
      </c>
      <c r="CM786" s="5" t="s">
        <v>342</v>
      </c>
      <c r="CN786" s="6" t="s">
        <v>262</v>
      </c>
      <c r="CO786" s="5" t="s">
        <v>263</v>
      </c>
      <c r="CP786" s="5" t="s">
        <v>264</v>
      </c>
      <c r="CQ786" s="5" t="s">
        <v>238</v>
      </c>
      <c r="CR786" s="5" t="s">
        <v>238</v>
      </c>
      <c r="CS786" s="5">
        <v>0</v>
      </c>
      <c r="CT786" s="5" t="s">
        <v>265</v>
      </c>
      <c r="CU786" s="5" t="s">
        <v>1360</v>
      </c>
      <c r="CV786" s="5" t="s">
        <v>267</v>
      </c>
      <c r="CX786" s="8">
        <f t="shared" si="53"/>
        <v>20717300</v>
      </c>
      <c r="CY786" s="8">
        <f>0</f>
        <v>0</v>
      </c>
      <c r="DA786" s="5" t="s">
        <v>238</v>
      </c>
      <c r="DB786" s="5" t="s">
        <v>238</v>
      </c>
      <c r="DD786" s="5" t="s">
        <v>238</v>
      </c>
      <c r="DG786" s="5" t="s">
        <v>238</v>
      </c>
      <c r="DH786" s="5" t="s">
        <v>238</v>
      </c>
      <c r="DI786" s="5" t="s">
        <v>238</v>
      </c>
      <c r="DJ786" s="5" t="s">
        <v>238</v>
      </c>
      <c r="DK786" s="5" t="s">
        <v>274</v>
      </c>
      <c r="DL786" s="5" t="s">
        <v>272</v>
      </c>
      <c r="DM786" s="7">
        <f t="shared" si="54"/>
        <v>133.66</v>
      </c>
      <c r="DN786" s="5" t="s">
        <v>238</v>
      </c>
      <c r="DO786" s="5" t="s">
        <v>238</v>
      </c>
      <c r="DP786" s="5" t="s">
        <v>238</v>
      </c>
      <c r="DQ786" s="5" t="s">
        <v>238</v>
      </c>
      <c r="DT786" s="5" t="s">
        <v>2758</v>
      </c>
      <c r="DU786" s="5" t="s">
        <v>371</v>
      </c>
      <c r="HM786" s="5" t="s">
        <v>271</v>
      </c>
      <c r="HP786" s="5" t="s">
        <v>272</v>
      </c>
      <c r="HQ786" s="5" t="s">
        <v>272</v>
      </c>
    </row>
    <row r="787" spans="1:238" x14ac:dyDescent="0.4">
      <c r="A787" s="5">
        <v>879</v>
      </c>
      <c r="B787" s="5">
        <v>1</v>
      </c>
      <c r="C787" s="5">
        <v>1</v>
      </c>
      <c r="D787" s="5" t="s">
        <v>2756</v>
      </c>
      <c r="E787" s="5" t="s">
        <v>277</v>
      </c>
      <c r="F787" s="5" t="s">
        <v>282</v>
      </c>
      <c r="G787" s="5" t="s">
        <v>2491</v>
      </c>
      <c r="H787" s="6" t="s">
        <v>2757</v>
      </c>
      <c r="I787" s="5" t="s">
        <v>2722</v>
      </c>
      <c r="J787" s="7">
        <f t="shared" si="50"/>
        <v>133.66</v>
      </c>
      <c r="K787" s="5" t="s">
        <v>270</v>
      </c>
      <c r="L787" s="8">
        <f>1</f>
        <v>1</v>
      </c>
      <c r="M787" s="8">
        <f t="shared" si="51"/>
        <v>20717300</v>
      </c>
      <c r="N787" s="6" t="s">
        <v>1547</v>
      </c>
      <c r="O787" s="5" t="s">
        <v>286</v>
      </c>
      <c r="P787" s="5" t="s">
        <v>640</v>
      </c>
      <c r="R787" s="8">
        <f t="shared" si="52"/>
        <v>20717299</v>
      </c>
      <c r="S787" s="5" t="s">
        <v>240</v>
      </c>
      <c r="T787" s="5" t="s">
        <v>237</v>
      </c>
      <c r="U787" s="5" t="s">
        <v>238</v>
      </c>
      <c r="V787" s="5" t="s">
        <v>238</v>
      </c>
      <c r="W787" s="5" t="s">
        <v>241</v>
      </c>
      <c r="X787" s="5" t="s">
        <v>276</v>
      </c>
      <c r="Y787" s="5" t="s">
        <v>238</v>
      </c>
      <c r="AB787" s="5" t="s">
        <v>238</v>
      </c>
      <c r="AD787" s="6" t="s">
        <v>238</v>
      </c>
      <c r="AG787" s="6" t="s">
        <v>246</v>
      </c>
      <c r="AH787" s="5" t="s">
        <v>247</v>
      </c>
      <c r="AI787" s="5" t="s">
        <v>248</v>
      </c>
      <c r="AY787" s="5" t="s">
        <v>250</v>
      </c>
      <c r="AZ787" s="5" t="s">
        <v>238</v>
      </c>
      <c r="BA787" s="5" t="s">
        <v>251</v>
      </c>
      <c r="BB787" s="5" t="s">
        <v>238</v>
      </c>
      <c r="BC787" s="5" t="s">
        <v>253</v>
      </c>
      <c r="BD787" s="5" t="s">
        <v>238</v>
      </c>
      <c r="BF787" s="5" t="s">
        <v>238</v>
      </c>
      <c r="BH787" s="5" t="s">
        <v>859</v>
      </c>
      <c r="BI787" s="6" t="s">
        <v>368</v>
      </c>
      <c r="BJ787" s="5" t="s">
        <v>255</v>
      </c>
      <c r="BK787" s="5" t="s">
        <v>256</v>
      </c>
      <c r="BL787" s="5" t="s">
        <v>238</v>
      </c>
      <c r="BM787" s="7">
        <f>0</f>
        <v>0</v>
      </c>
      <c r="BN787" s="8">
        <f>0</f>
        <v>0</v>
      </c>
      <c r="BO787" s="5" t="s">
        <v>257</v>
      </c>
      <c r="BP787" s="5" t="s">
        <v>258</v>
      </c>
      <c r="CD787" s="5" t="s">
        <v>238</v>
      </c>
      <c r="CE787" s="5" t="s">
        <v>238</v>
      </c>
      <c r="CI787" s="5" t="s">
        <v>259</v>
      </c>
      <c r="CJ787" s="5" t="s">
        <v>260</v>
      </c>
      <c r="CK787" s="5" t="s">
        <v>238</v>
      </c>
      <c r="CM787" s="5" t="s">
        <v>342</v>
      </c>
      <c r="CN787" s="6" t="s">
        <v>262</v>
      </c>
      <c r="CO787" s="5" t="s">
        <v>263</v>
      </c>
      <c r="CP787" s="5" t="s">
        <v>264</v>
      </c>
      <c r="CQ787" s="5" t="s">
        <v>238</v>
      </c>
      <c r="CR787" s="5" t="s">
        <v>238</v>
      </c>
      <c r="CS787" s="5">
        <v>0</v>
      </c>
      <c r="CT787" s="5" t="s">
        <v>265</v>
      </c>
      <c r="CU787" s="5" t="s">
        <v>1360</v>
      </c>
      <c r="CV787" s="5" t="s">
        <v>267</v>
      </c>
      <c r="CX787" s="8">
        <f t="shared" si="53"/>
        <v>20717300</v>
      </c>
      <c r="CY787" s="8">
        <f>0</f>
        <v>0</v>
      </c>
      <c r="DA787" s="5" t="s">
        <v>238</v>
      </c>
      <c r="DB787" s="5" t="s">
        <v>238</v>
      </c>
      <c r="DD787" s="5" t="s">
        <v>238</v>
      </c>
      <c r="DG787" s="5" t="s">
        <v>238</v>
      </c>
      <c r="DH787" s="5" t="s">
        <v>238</v>
      </c>
      <c r="DI787" s="5" t="s">
        <v>238</v>
      </c>
      <c r="DJ787" s="5" t="s">
        <v>238</v>
      </c>
      <c r="DK787" s="5" t="s">
        <v>274</v>
      </c>
      <c r="DL787" s="5" t="s">
        <v>272</v>
      </c>
      <c r="DM787" s="7">
        <f t="shared" si="54"/>
        <v>133.66</v>
      </c>
      <c r="DN787" s="5" t="s">
        <v>238</v>
      </c>
      <c r="DO787" s="5" t="s">
        <v>238</v>
      </c>
      <c r="DP787" s="5" t="s">
        <v>238</v>
      </c>
      <c r="DQ787" s="5" t="s">
        <v>238</v>
      </c>
      <c r="DT787" s="5" t="s">
        <v>2758</v>
      </c>
      <c r="DU787" s="5" t="s">
        <v>395</v>
      </c>
      <c r="HM787" s="5" t="s">
        <v>271</v>
      </c>
      <c r="HP787" s="5" t="s">
        <v>272</v>
      </c>
      <c r="HQ787" s="5" t="s">
        <v>272</v>
      </c>
    </row>
    <row r="788" spans="1:238" x14ac:dyDescent="0.4">
      <c r="A788" s="5">
        <v>880</v>
      </c>
      <c r="B788" s="5">
        <v>1</v>
      </c>
      <c r="C788" s="5">
        <v>4</v>
      </c>
      <c r="D788" s="5" t="s">
        <v>2702</v>
      </c>
      <c r="E788" s="5" t="s">
        <v>277</v>
      </c>
      <c r="F788" s="5" t="s">
        <v>282</v>
      </c>
      <c r="G788" s="5" t="s">
        <v>2485</v>
      </c>
      <c r="H788" s="6" t="s">
        <v>2704</v>
      </c>
      <c r="I788" s="5" t="s">
        <v>2482</v>
      </c>
      <c r="J788" s="7">
        <f>1273.5</f>
        <v>1273.5</v>
      </c>
      <c r="K788" s="5" t="s">
        <v>270</v>
      </c>
      <c r="L788" s="8">
        <f>28029735</f>
        <v>28029735</v>
      </c>
      <c r="M788" s="8">
        <f>197392500</f>
        <v>197392500</v>
      </c>
      <c r="N788" s="6" t="s">
        <v>2703</v>
      </c>
      <c r="O788" s="5" t="s">
        <v>898</v>
      </c>
      <c r="P788" s="5" t="s">
        <v>971</v>
      </c>
      <c r="Q788" s="8">
        <f>4342635</f>
        <v>4342635</v>
      </c>
      <c r="R788" s="8">
        <f>169362765</f>
        <v>169362765</v>
      </c>
      <c r="S788" s="5" t="s">
        <v>240</v>
      </c>
      <c r="T788" s="5" t="s">
        <v>237</v>
      </c>
      <c r="U788" s="5" t="s">
        <v>238</v>
      </c>
      <c r="V788" s="5" t="s">
        <v>238</v>
      </c>
      <c r="W788" s="5" t="s">
        <v>241</v>
      </c>
      <c r="X788" s="5" t="s">
        <v>276</v>
      </c>
      <c r="Y788" s="5" t="s">
        <v>238</v>
      </c>
      <c r="AB788" s="5" t="s">
        <v>238</v>
      </c>
      <c r="AC788" s="6" t="s">
        <v>238</v>
      </c>
      <c r="AD788" s="6" t="s">
        <v>238</v>
      </c>
      <c r="AF788" s="6" t="s">
        <v>238</v>
      </c>
      <c r="AG788" s="6" t="s">
        <v>246</v>
      </c>
      <c r="AH788" s="5" t="s">
        <v>247</v>
      </c>
      <c r="AI788" s="5" t="s">
        <v>248</v>
      </c>
      <c r="AO788" s="5" t="s">
        <v>238</v>
      </c>
      <c r="AP788" s="5" t="s">
        <v>238</v>
      </c>
      <c r="AQ788" s="5" t="s">
        <v>238</v>
      </c>
      <c r="AR788" s="6" t="s">
        <v>238</v>
      </c>
      <c r="AS788" s="6" t="s">
        <v>238</v>
      </c>
      <c r="AT788" s="6" t="s">
        <v>238</v>
      </c>
      <c r="AW788" s="5" t="s">
        <v>304</v>
      </c>
      <c r="AX788" s="5" t="s">
        <v>304</v>
      </c>
      <c r="AY788" s="5" t="s">
        <v>250</v>
      </c>
      <c r="AZ788" s="5" t="s">
        <v>305</v>
      </c>
      <c r="BA788" s="5" t="s">
        <v>251</v>
      </c>
      <c r="BB788" s="5" t="s">
        <v>238</v>
      </c>
      <c r="BC788" s="5" t="s">
        <v>253</v>
      </c>
      <c r="BD788" s="5" t="s">
        <v>238</v>
      </c>
      <c r="BF788" s="5" t="s">
        <v>238</v>
      </c>
      <c r="BH788" s="5" t="s">
        <v>283</v>
      </c>
      <c r="BI788" s="6" t="s">
        <v>293</v>
      </c>
      <c r="BJ788" s="5" t="s">
        <v>294</v>
      </c>
      <c r="BK788" s="5" t="s">
        <v>294</v>
      </c>
      <c r="BL788" s="5" t="s">
        <v>238</v>
      </c>
      <c r="BM788" s="7">
        <f>0</f>
        <v>0</v>
      </c>
      <c r="BN788" s="8">
        <f>-4342635</f>
        <v>-4342635</v>
      </c>
      <c r="BO788" s="5" t="s">
        <v>257</v>
      </c>
      <c r="BP788" s="5" t="s">
        <v>258</v>
      </c>
      <c r="BQ788" s="5" t="s">
        <v>238</v>
      </c>
      <c r="BR788" s="5" t="s">
        <v>238</v>
      </c>
      <c r="BS788" s="5" t="s">
        <v>238</v>
      </c>
      <c r="BT788" s="5" t="s">
        <v>238</v>
      </c>
      <c r="CC788" s="5" t="s">
        <v>258</v>
      </c>
      <c r="CD788" s="5" t="s">
        <v>238</v>
      </c>
      <c r="CE788" s="5" t="s">
        <v>238</v>
      </c>
      <c r="CI788" s="5" t="s">
        <v>527</v>
      </c>
      <c r="CJ788" s="5" t="s">
        <v>260</v>
      </c>
      <c r="CK788" s="5" t="s">
        <v>238</v>
      </c>
      <c r="CM788" s="5" t="s">
        <v>990</v>
      </c>
      <c r="CN788" s="6" t="s">
        <v>262</v>
      </c>
      <c r="CO788" s="5" t="s">
        <v>263</v>
      </c>
      <c r="CP788" s="5" t="s">
        <v>264</v>
      </c>
      <c r="CQ788" s="5" t="s">
        <v>285</v>
      </c>
      <c r="CR788" s="5" t="s">
        <v>238</v>
      </c>
      <c r="CS788" s="5">
        <v>2.1999999999999999E-2</v>
      </c>
      <c r="CT788" s="5" t="s">
        <v>265</v>
      </c>
      <c r="CU788" s="5" t="s">
        <v>1360</v>
      </c>
      <c r="CV788" s="5" t="s">
        <v>308</v>
      </c>
      <c r="CW788" s="7">
        <f>0</f>
        <v>0</v>
      </c>
      <c r="CX788" s="8">
        <f>197392500</f>
        <v>197392500</v>
      </c>
      <c r="CY788" s="8">
        <f>32372370</f>
        <v>32372370</v>
      </c>
      <c r="DA788" s="5" t="s">
        <v>238</v>
      </c>
      <c r="DB788" s="5" t="s">
        <v>238</v>
      </c>
      <c r="DD788" s="5" t="s">
        <v>238</v>
      </c>
      <c r="DE788" s="8">
        <f>0</f>
        <v>0</v>
      </c>
      <c r="DG788" s="5" t="s">
        <v>238</v>
      </c>
      <c r="DH788" s="5" t="s">
        <v>238</v>
      </c>
      <c r="DI788" s="5" t="s">
        <v>238</v>
      </c>
      <c r="DJ788" s="5" t="s">
        <v>238</v>
      </c>
      <c r="DK788" s="5" t="s">
        <v>356</v>
      </c>
      <c r="DL788" s="5" t="s">
        <v>272</v>
      </c>
      <c r="DM788" s="7">
        <f>1273.5</f>
        <v>1273.5</v>
      </c>
      <c r="DN788" s="5" t="s">
        <v>238</v>
      </c>
      <c r="DO788" s="5" t="s">
        <v>238</v>
      </c>
      <c r="DP788" s="5" t="s">
        <v>238</v>
      </c>
      <c r="DQ788" s="5" t="s">
        <v>238</v>
      </c>
      <c r="DT788" s="5" t="s">
        <v>2705</v>
      </c>
      <c r="DU788" s="5" t="s">
        <v>271</v>
      </c>
      <c r="GL788" s="5" t="s">
        <v>2707</v>
      </c>
      <c r="HM788" s="5" t="s">
        <v>313</v>
      </c>
      <c r="HP788" s="5" t="s">
        <v>272</v>
      </c>
      <c r="HQ788" s="5" t="s">
        <v>272</v>
      </c>
      <c r="HR788" s="5" t="s">
        <v>238</v>
      </c>
      <c r="HS788" s="5" t="s">
        <v>238</v>
      </c>
      <c r="HT788" s="5" t="s">
        <v>238</v>
      </c>
      <c r="HU788" s="5" t="s">
        <v>238</v>
      </c>
      <c r="HV788" s="5" t="s">
        <v>238</v>
      </c>
      <c r="HW788" s="5" t="s">
        <v>238</v>
      </c>
      <c r="HX788" s="5" t="s">
        <v>238</v>
      </c>
      <c r="HY788" s="5" t="s">
        <v>238</v>
      </c>
      <c r="HZ788" s="5" t="s">
        <v>238</v>
      </c>
      <c r="IA788" s="5" t="s">
        <v>238</v>
      </c>
      <c r="IB788" s="5" t="s">
        <v>238</v>
      </c>
      <c r="IC788" s="5" t="s">
        <v>238</v>
      </c>
      <c r="ID788" s="5" t="s">
        <v>238</v>
      </c>
    </row>
    <row r="789" spans="1:238" x14ac:dyDescent="0.4">
      <c r="A789" s="5">
        <v>881</v>
      </c>
      <c r="B789" s="5">
        <v>1</v>
      </c>
      <c r="C789" s="5">
        <v>4</v>
      </c>
      <c r="D789" s="5" t="s">
        <v>2702</v>
      </c>
      <c r="E789" s="5" t="s">
        <v>277</v>
      </c>
      <c r="F789" s="5" t="s">
        <v>282</v>
      </c>
      <c r="G789" s="5" t="s">
        <v>2485</v>
      </c>
      <c r="H789" s="6" t="s">
        <v>2704</v>
      </c>
      <c r="I789" s="5" t="s">
        <v>2482</v>
      </c>
      <c r="J789" s="7">
        <f>849</f>
        <v>849</v>
      </c>
      <c r="K789" s="5" t="s">
        <v>270</v>
      </c>
      <c r="L789" s="8">
        <f>18686490</f>
        <v>18686490</v>
      </c>
      <c r="M789" s="8">
        <f>131595000</f>
        <v>131595000</v>
      </c>
      <c r="N789" s="6" t="s">
        <v>2703</v>
      </c>
      <c r="O789" s="5" t="s">
        <v>898</v>
      </c>
      <c r="P789" s="5" t="s">
        <v>971</v>
      </c>
      <c r="Q789" s="8">
        <f>2895090</f>
        <v>2895090</v>
      </c>
      <c r="R789" s="8">
        <f>112908510</f>
        <v>112908510</v>
      </c>
      <c r="S789" s="5" t="s">
        <v>240</v>
      </c>
      <c r="T789" s="5" t="s">
        <v>237</v>
      </c>
      <c r="U789" s="5" t="s">
        <v>238</v>
      </c>
      <c r="V789" s="5" t="s">
        <v>238</v>
      </c>
      <c r="W789" s="5" t="s">
        <v>241</v>
      </c>
      <c r="X789" s="5" t="s">
        <v>276</v>
      </c>
      <c r="Y789" s="5" t="s">
        <v>238</v>
      </c>
      <c r="AB789" s="5" t="s">
        <v>238</v>
      </c>
      <c r="AC789" s="6" t="s">
        <v>238</v>
      </c>
      <c r="AD789" s="6" t="s">
        <v>238</v>
      </c>
      <c r="AF789" s="6" t="s">
        <v>238</v>
      </c>
      <c r="AG789" s="6" t="s">
        <v>246</v>
      </c>
      <c r="AH789" s="5" t="s">
        <v>247</v>
      </c>
      <c r="AI789" s="5" t="s">
        <v>248</v>
      </c>
      <c r="AO789" s="5" t="s">
        <v>238</v>
      </c>
      <c r="AP789" s="5" t="s">
        <v>238</v>
      </c>
      <c r="AQ789" s="5" t="s">
        <v>238</v>
      </c>
      <c r="AR789" s="6" t="s">
        <v>238</v>
      </c>
      <c r="AS789" s="6" t="s">
        <v>238</v>
      </c>
      <c r="AT789" s="6" t="s">
        <v>238</v>
      </c>
      <c r="AW789" s="5" t="s">
        <v>304</v>
      </c>
      <c r="AX789" s="5" t="s">
        <v>304</v>
      </c>
      <c r="AY789" s="5" t="s">
        <v>250</v>
      </c>
      <c r="AZ789" s="5" t="s">
        <v>305</v>
      </c>
      <c r="BA789" s="5" t="s">
        <v>251</v>
      </c>
      <c r="BB789" s="5" t="s">
        <v>238</v>
      </c>
      <c r="BC789" s="5" t="s">
        <v>253</v>
      </c>
      <c r="BD789" s="5" t="s">
        <v>238</v>
      </c>
      <c r="BF789" s="5" t="s">
        <v>238</v>
      </c>
      <c r="BH789" s="5" t="s">
        <v>283</v>
      </c>
      <c r="BI789" s="6" t="s">
        <v>293</v>
      </c>
      <c r="BJ789" s="5" t="s">
        <v>294</v>
      </c>
      <c r="BK789" s="5" t="s">
        <v>294</v>
      </c>
      <c r="BL789" s="5" t="s">
        <v>238</v>
      </c>
      <c r="BM789" s="7">
        <f>0</f>
        <v>0</v>
      </c>
      <c r="BN789" s="8">
        <f>-2895090</f>
        <v>-2895090</v>
      </c>
      <c r="BO789" s="5" t="s">
        <v>257</v>
      </c>
      <c r="BP789" s="5" t="s">
        <v>258</v>
      </c>
      <c r="BQ789" s="5" t="s">
        <v>238</v>
      </c>
      <c r="BR789" s="5" t="s">
        <v>238</v>
      </c>
      <c r="BS789" s="5" t="s">
        <v>238</v>
      </c>
      <c r="BT789" s="5" t="s">
        <v>238</v>
      </c>
      <c r="CC789" s="5" t="s">
        <v>258</v>
      </c>
      <c r="CD789" s="5" t="s">
        <v>238</v>
      </c>
      <c r="CE789" s="5" t="s">
        <v>238</v>
      </c>
      <c r="CI789" s="5" t="s">
        <v>527</v>
      </c>
      <c r="CJ789" s="5" t="s">
        <v>260</v>
      </c>
      <c r="CK789" s="5" t="s">
        <v>238</v>
      </c>
      <c r="CM789" s="5" t="s">
        <v>990</v>
      </c>
      <c r="CN789" s="6" t="s">
        <v>262</v>
      </c>
      <c r="CO789" s="5" t="s">
        <v>263</v>
      </c>
      <c r="CP789" s="5" t="s">
        <v>264</v>
      </c>
      <c r="CQ789" s="5" t="s">
        <v>285</v>
      </c>
      <c r="CR789" s="5" t="s">
        <v>238</v>
      </c>
      <c r="CS789" s="5">
        <v>2.1999999999999999E-2</v>
      </c>
      <c r="CT789" s="5" t="s">
        <v>265</v>
      </c>
      <c r="CU789" s="5" t="s">
        <v>1360</v>
      </c>
      <c r="CV789" s="5" t="s">
        <v>308</v>
      </c>
      <c r="CW789" s="7">
        <f>0</f>
        <v>0</v>
      </c>
      <c r="CX789" s="8">
        <f>131595000</f>
        <v>131595000</v>
      </c>
      <c r="CY789" s="8">
        <f>21581580</f>
        <v>21581580</v>
      </c>
      <c r="DA789" s="5" t="s">
        <v>238</v>
      </c>
      <c r="DB789" s="5" t="s">
        <v>238</v>
      </c>
      <c r="DD789" s="5" t="s">
        <v>238</v>
      </c>
      <c r="DE789" s="8">
        <f>0</f>
        <v>0</v>
      </c>
      <c r="DG789" s="5" t="s">
        <v>238</v>
      </c>
      <c r="DH789" s="5" t="s">
        <v>238</v>
      </c>
      <c r="DI789" s="5" t="s">
        <v>238</v>
      </c>
      <c r="DJ789" s="5" t="s">
        <v>238</v>
      </c>
      <c r="DK789" s="5" t="s">
        <v>356</v>
      </c>
      <c r="DL789" s="5" t="s">
        <v>272</v>
      </c>
      <c r="DM789" s="7">
        <f>849</f>
        <v>849</v>
      </c>
      <c r="DN789" s="5" t="s">
        <v>238</v>
      </c>
      <c r="DO789" s="5" t="s">
        <v>238</v>
      </c>
      <c r="DP789" s="5" t="s">
        <v>238</v>
      </c>
      <c r="DQ789" s="5" t="s">
        <v>238</v>
      </c>
      <c r="DT789" s="5" t="s">
        <v>2705</v>
      </c>
      <c r="DU789" s="5" t="s">
        <v>274</v>
      </c>
      <c r="GL789" s="5" t="s">
        <v>2706</v>
      </c>
      <c r="HM789" s="5" t="s">
        <v>313</v>
      </c>
      <c r="HP789" s="5" t="s">
        <v>272</v>
      </c>
      <c r="HQ789" s="5" t="s">
        <v>272</v>
      </c>
      <c r="HR789" s="5" t="s">
        <v>238</v>
      </c>
      <c r="HS789" s="5" t="s">
        <v>238</v>
      </c>
      <c r="HT789" s="5" t="s">
        <v>238</v>
      </c>
      <c r="HU789" s="5" t="s">
        <v>238</v>
      </c>
      <c r="HV789" s="5" t="s">
        <v>238</v>
      </c>
      <c r="HW789" s="5" t="s">
        <v>238</v>
      </c>
      <c r="HX789" s="5" t="s">
        <v>238</v>
      </c>
      <c r="HY789" s="5" t="s">
        <v>238</v>
      </c>
      <c r="HZ789" s="5" t="s">
        <v>238</v>
      </c>
      <c r="IA789" s="5" t="s">
        <v>238</v>
      </c>
      <c r="IB789" s="5" t="s">
        <v>238</v>
      </c>
      <c r="IC789" s="5" t="s">
        <v>238</v>
      </c>
      <c r="ID789" s="5" t="s">
        <v>238</v>
      </c>
    </row>
    <row r="790" spans="1:238" x14ac:dyDescent="0.4">
      <c r="A790" s="5">
        <v>882</v>
      </c>
      <c r="B790" s="5">
        <v>1</v>
      </c>
      <c r="C790" s="5">
        <v>4</v>
      </c>
      <c r="D790" s="5" t="s">
        <v>2692</v>
      </c>
      <c r="E790" s="5" t="s">
        <v>277</v>
      </c>
      <c r="F790" s="5" t="s">
        <v>282</v>
      </c>
      <c r="G790" s="5" t="s">
        <v>2485</v>
      </c>
      <c r="H790" s="6" t="s">
        <v>2693</v>
      </c>
      <c r="I790" s="5" t="s">
        <v>2700</v>
      </c>
      <c r="J790" s="7">
        <f>208.65</f>
        <v>208.65</v>
      </c>
      <c r="K790" s="5" t="s">
        <v>270</v>
      </c>
      <c r="L790" s="8">
        <f>4074944</f>
        <v>4074944</v>
      </c>
      <c r="M790" s="8">
        <f>32340750</f>
        <v>32340750</v>
      </c>
      <c r="N790" s="6" t="s">
        <v>804</v>
      </c>
      <c r="O790" s="5" t="s">
        <v>286</v>
      </c>
      <c r="P790" s="5" t="s">
        <v>631</v>
      </c>
      <c r="Q790" s="8">
        <f>1487674</f>
        <v>1487674</v>
      </c>
      <c r="R790" s="8">
        <f>28265806</f>
        <v>28265806</v>
      </c>
      <c r="S790" s="5" t="s">
        <v>240</v>
      </c>
      <c r="T790" s="5" t="s">
        <v>237</v>
      </c>
      <c r="U790" s="5" t="s">
        <v>238</v>
      </c>
      <c r="V790" s="5" t="s">
        <v>238</v>
      </c>
      <c r="W790" s="5" t="s">
        <v>241</v>
      </c>
      <c r="X790" s="5" t="s">
        <v>276</v>
      </c>
      <c r="Y790" s="5" t="s">
        <v>238</v>
      </c>
      <c r="AB790" s="5" t="s">
        <v>238</v>
      </c>
      <c r="AC790" s="6" t="s">
        <v>238</v>
      </c>
      <c r="AD790" s="6" t="s">
        <v>238</v>
      </c>
      <c r="AF790" s="6" t="s">
        <v>238</v>
      </c>
      <c r="AG790" s="6" t="s">
        <v>246</v>
      </c>
      <c r="AH790" s="5" t="s">
        <v>247</v>
      </c>
      <c r="AI790" s="5" t="s">
        <v>248</v>
      </c>
      <c r="AO790" s="5" t="s">
        <v>238</v>
      </c>
      <c r="AP790" s="5" t="s">
        <v>238</v>
      </c>
      <c r="AQ790" s="5" t="s">
        <v>238</v>
      </c>
      <c r="AR790" s="6" t="s">
        <v>238</v>
      </c>
      <c r="AS790" s="6" t="s">
        <v>238</v>
      </c>
      <c r="AT790" s="6" t="s">
        <v>238</v>
      </c>
      <c r="AW790" s="5" t="s">
        <v>304</v>
      </c>
      <c r="AX790" s="5" t="s">
        <v>304</v>
      </c>
      <c r="AY790" s="5" t="s">
        <v>250</v>
      </c>
      <c r="AZ790" s="5" t="s">
        <v>305</v>
      </c>
      <c r="BA790" s="5" t="s">
        <v>251</v>
      </c>
      <c r="BB790" s="5" t="s">
        <v>238</v>
      </c>
      <c r="BC790" s="5" t="s">
        <v>253</v>
      </c>
      <c r="BD790" s="5" t="s">
        <v>238</v>
      </c>
      <c r="BF790" s="5" t="s">
        <v>238</v>
      </c>
      <c r="BH790" s="5" t="s">
        <v>283</v>
      </c>
      <c r="BI790" s="6" t="s">
        <v>293</v>
      </c>
      <c r="BJ790" s="5" t="s">
        <v>294</v>
      </c>
      <c r="BK790" s="5" t="s">
        <v>294</v>
      </c>
      <c r="BL790" s="5" t="s">
        <v>238</v>
      </c>
      <c r="BM790" s="7">
        <f>0</f>
        <v>0</v>
      </c>
      <c r="BN790" s="8">
        <f>-1487674</f>
        <v>-1487674</v>
      </c>
      <c r="BO790" s="5" t="s">
        <v>257</v>
      </c>
      <c r="BP790" s="5" t="s">
        <v>258</v>
      </c>
      <c r="BQ790" s="5" t="s">
        <v>238</v>
      </c>
      <c r="BR790" s="5" t="s">
        <v>238</v>
      </c>
      <c r="BS790" s="5" t="s">
        <v>238</v>
      </c>
      <c r="BT790" s="5" t="s">
        <v>238</v>
      </c>
      <c r="CC790" s="5" t="s">
        <v>258</v>
      </c>
      <c r="CD790" s="5" t="s">
        <v>238</v>
      </c>
      <c r="CE790" s="5" t="s">
        <v>238</v>
      </c>
      <c r="CI790" s="5" t="s">
        <v>259</v>
      </c>
      <c r="CJ790" s="5" t="s">
        <v>260</v>
      </c>
      <c r="CK790" s="5" t="s">
        <v>238</v>
      </c>
      <c r="CM790" s="5" t="s">
        <v>807</v>
      </c>
      <c r="CN790" s="6" t="s">
        <v>262</v>
      </c>
      <c r="CO790" s="5" t="s">
        <v>263</v>
      </c>
      <c r="CP790" s="5" t="s">
        <v>264</v>
      </c>
      <c r="CQ790" s="5" t="s">
        <v>285</v>
      </c>
      <c r="CR790" s="5" t="s">
        <v>238</v>
      </c>
      <c r="CS790" s="5">
        <v>4.5999999999999999E-2</v>
      </c>
      <c r="CT790" s="5" t="s">
        <v>265</v>
      </c>
      <c r="CU790" s="5" t="s">
        <v>1360</v>
      </c>
      <c r="CV790" s="5" t="s">
        <v>267</v>
      </c>
      <c r="CW790" s="7">
        <f>0</f>
        <v>0</v>
      </c>
      <c r="CX790" s="8">
        <f>32340750</f>
        <v>32340750</v>
      </c>
      <c r="CY790" s="8">
        <f>5562618</f>
        <v>5562618</v>
      </c>
      <c r="DA790" s="5" t="s">
        <v>238</v>
      </c>
      <c r="DB790" s="5" t="s">
        <v>238</v>
      </c>
      <c r="DD790" s="5" t="s">
        <v>238</v>
      </c>
      <c r="DE790" s="8">
        <f>0</f>
        <v>0</v>
      </c>
      <c r="DG790" s="5" t="s">
        <v>238</v>
      </c>
      <c r="DH790" s="5" t="s">
        <v>238</v>
      </c>
      <c r="DI790" s="5" t="s">
        <v>238</v>
      </c>
      <c r="DJ790" s="5" t="s">
        <v>238</v>
      </c>
      <c r="DK790" s="5" t="s">
        <v>274</v>
      </c>
      <c r="DL790" s="5" t="s">
        <v>272</v>
      </c>
      <c r="DM790" s="7">
        <f>208.65</f>
        <v>208.65</v>
      </c>
      <c r="DN790" s="5" t="s">
        <v>238</v>
      </c>
      <c r="DO790" s="5" t="s">
        <v>238</v>
      </c>
      <c r="DP790" s="5" t="s">
        <v>238</v>
      </c>
      <c r="DQ790" s="5" t="s">
        <v>238</v>
      </c>
      <c r="DT790" s="5" t="s">
        <v>2694</v>
      </c>
      <c r="DU790" s="5" t="s">
        <v>271</v>
      </c>
      <c r="GL790" s="5" t="s">
        <v>2701</v>
      </c>
      <c r="HM790" s="5" t="s">
        <v>313</v>
      </c>
      <c r="HP790" s="5" t="s">
        <v>272</v>
      </c>
      <c r="HQ790" s="5" t="s">
        <v>272</v>
      </c>
      <c r="HR790" s="5" t="s">
        <v>238</v>
      </c>
      <c r="HS790" s="5" t="s">
        <v>238</v>
      </c>
      <c r="HT790" s="5" t="s">
        <v>238</v>
      </c>
      <c r="HU790" s="5" t="s">
        <v>238</v>
      </c>
      <c r="HV790" s="5" t="s">
        <v>238</v>
      </c>
      <c r="HW790" s="5" t="s">
        <v>238</v>
      </c>
      <c r="HX790" s="5" t="s">
        <v>238</v>
      </c>
      <c r="HY790" s="5" t="s">
        <v>238</v>
      </c>
      <c r="HZ790" s="5" t="s">
        <v>238</v>
      </c>
      <c r="IA790" s="5" t="s">
        <v>238</v>
      </c>
      <c r="IB790" s="5" t="s">
        <v>238</v>
      </c>
      <c r="IC790" s="5" t="s">
        <v>238</v>
      </c>
      <c r="ID790" s="5" t="s">
        <v>238</v>
      </c>
    </row>
    <row r="791" spans="1:238" x14ac:dyDescent="0.4">
      <c r="A791" s="5">
        <v>883</v>
      </c>
      <c r="B791" s="5">
        <v>1</v>
      </c>
      <c r="C791" s="5">
        <v>4</v>
      </c>
      <c r="D791" s="5" t="s">
        <v>2692</v>
      </c>
      <c r="E791" s="5" t="s">
        <v>277</v>
      </c>
      <c r="F791" s="5" t="s">
        <v>282</v>
      </c>
      <c r="G791" s="5" t="s">
        <v>2485</v>
      </c>
      <c r="H791" s="6" t="s">
        <v>2693</v>
      </c>
      <c r="I791" s="5" t="s">
        <v>2698</v>
      </c>
      <c r="J791" s="7">
        <f>208.65</f>
        <v>208.65</v>
      </c>
      <c r="K791" s="5" t="s">
        <v>270</v>
      </c>
      <c r="L791" s="8">
        <f>5562618</f>
        <v>5562618</v>
      </c>
      <c r="M791" s="8">
        <f>32340750</f>
        <v>32340750</v>
      </c>
      <c r="N791" s="6" t="s">
        <v>1254</v>
      </c>
      <c r="O791" s="5" t="s">
        <v>286</v>
      </c>
      <c r="P791" s="5" t="s">
        <v>269</v>
      </c>
      <c r="Q791" s="8">
        <f>1487674</f>
        <v>1487674</v>
      </c>
      <c r="R791" s="8">
        <f>26778132</f>
        <v>26778132</v>
      </c>
      <c r="S791" s="5" t="s">
        <v>240</v>
      </c>
      <c r="T791" s="5" t="s">
        <v>237</v>
      </c>
      <c r="U791" s="5" t="s">
        <v>238</v>
      </c>
      <c r="V791" s="5" t="s">
        <v>238</v>
      </c>
      <c r="W791" s="5" t="s">
        <v>241</v>
      </c>
      <c r="X791" s="5" t="s">
        <v>276</v>
      </c>
      <c r="Y791" s="5" t="s">
        <v>238</v>
      </c>
      <c r="AB791" s="5" t="s">
        <v>238</v>
      </c>
      <c r="AC791" s="6" t="s">
        <v>238</v>
      </c>
      <c r="AD791" s="6" t="s">
        <v>238</v>
      </c>
      <c r="AF791" s="6" t="s">
        <v>238</v>
      </c>
      <c r="AG791" s="6" t="s">
        <v>246</v>
      </c>
      <c r="AH791" s="5" t="s">
        <v>247</v>
      </c>
      <c r="AI791" s="5" t="s">
        <v>248</v>
      </c>
      <c r="AO791" s="5" t="s">
        <v>238</v>
      </c>
      <c r="AP791" s="5" t="s">
        <v>238</v>
      </c>
      <c r="AQ791" s="5" t="s">
        <v>238</v>
      </c>
      <c r="AR791" s="6" t="s">
        <v>238</v>
      </c>
      <c r="AS791" s="6" t="s">
        <v>238</v>
      </c>
      <c r="AT791" s="6" t="s">
        <v>238</v>
      </c>
      <c r="AW791" s="5" t="s">
        <v>304</v>
      </c>
      <c r="AX791" s="5" t="s">
        <v>304</v>
      </c>
      <c r="AY791" s="5" t="s">
        <v>250</v>
      </c>
      <c r="AZ791" s="5" t="s">
        <v>305</v>
      </c>
      <c r="BA791" s="5" t="s">
        <v>251</v>
      </c>
      <c r="BB791" s="5" t="s">
        <v>238</v>
      </c>
      <c r="BC791" s="5" t="s">
        <v>253</v>
      </c>
      <c r="BD791" s="5" t="s">
        <v>238</v>
      </c>
      <c r="BF791" s="5" t="s">
        <v>238</v>
      </c>
      <c r="BH791" s="5" t="s">
        <v>283</v>
      </c>
      <c r="BI791" s="6" t="s">
        <v>293</v>
      </c>
      <c r="BJ791" s="5" t="s">
        <v>294</v>
      </c>
      <c r="BK791" s="5" t="s">
        <v>294</v>
      </c>
      <c r="BL791" s="5" t="s">
        <v>238</v>
      </c>
      <c r="BM791" s="7">
        <f>0</f>
        <v>0</v>
      </c>
      <c r="BN791" s="8">
        <f>-1487674</f>
        <v>-1487674</v>
      </c>
      <c r="BO791" s="5" t="s">
        <v>257</v>
      </c>
      <c r="BP791" s="5" t="s">
        <v>258</v>
      </c>
      <c r="BQ791" s="5" t="s">
        <v>238</v>
      </c>
      <c r="BR791" s="5" t="s">
        <v>238</v>
      </c>
      <c r="BS791" s="5" t="s">
        <v>238</v>
      </c>
      <c r="BT791" s="5" t="s">
        <v>238</v>
      </c>
      <c r="CC791" s="5" t="s">
        <v>258</v>
      </c>
      <c r="CD791" s="5" t="s">
        <v>238</v>
      </c>
      <c r="CE791" s="5" t="s">
        <v>238</v>
      </c>
      <c r="CI791" s="5" t="s">
        <v>259</v>
      </c>
      <c r="CJ791" s="5" t="s">
        <v>260</v>
      </c>
      <c r="CK791" s="5" t="s">
        <v>238</v>
      </c>
      <c r="CM791" s="5" t="s">
        <v>682</v>
      </c>
      <c r="CN791" s="6" t="s">
        <v>262</v>
      </c>
      <c r="CO791" s="5" t="s">
        <v>263</v>
      </c>
      <c r="CP791" s="5" t="s">
        <v>264</v>
      </c>
      <c r="CQ791" s="5" t="s">
        <v>285</v>
      </c>
      <c r="CR791" s="5" t="s">
        <v>238</v>
      </c>
      <c r="CS791" s="5">
        <v>4.5999999999999999E-2</v>
      </c>
      <c r="CT791" s="5" t="s">
        <v>265</v>
      </c>
      <c r="CU791" s="5" t="s">
        <v>1360</v>
      </c>
      <c r="CV791" s="5" t="s">
        <v>267</v>
      </c>
      <c r="CW791" s="7">
        <f>0</f>
        <v>0</v>
      </c>
      <c r="CX791" s="8">
        <f>32340750</f>
        <v>32340750</v>
      </c>
      <c r="CY791" s="8">
        <f>7050292</f>
        <v>7050292</v>
      </c>
      <c r="DA791" s="5" t="s">
        <v>238</v>
      </c>
      <c r="DB791" s="5" t="s">
        <v>238</v>
      </c>
      <c r="DD791" s="5" t="s">
        <v>238</v>
      </c>
      <c r="DE791" s="8">
        <f>0</f>
        <v>0</v>
      </c>
      <c r="DG791" s="5" t="s">
        <v>238</v>
      </c>
      <c r="DH791" s="5" t="s">
        <v>238</v>
      </c>
      <c r="DI791" s="5" t="s">
        <v>238</v>
      </c>
      <c r="DJ791" s="5" t="s">
        <v>238</v>
      </c>
      <c r="DK791" s="5" t="s">
        <v>274</v>
      </c>
      <c r="DL791" s="5" t="s">
        <v>272</v>
      </c>
      <c r="DM791" s="7">
        <f>208.65</f>
        <v>208.65</v>
      </c>
      <c r="DN791" s="5" t="s">
        <v>238</v>
      </c>
      <c r="DO791" s="5" t="s">
        <v>238</v>
      </c>
      <c r="DP791" s="5" t="s">
        <v>238</v>
      </c>
      <c r="DQ791" s="5" t="s">
        <v>238</v>
      </c>
      <c r="DT791" s="5" t="s">
        <v>2694</v>
      </c>
      <c r="DU791" s="5" t="s">
        <v>274</v>
      </c>
      <c r="GL791" s="5" t="s">
        <v>2699</v>
      </c>
      <c r="HM791" s="5" t="s">
        <v>313</v>
      </c>
      <c r="HP791" s="5" t="s">
        <v>272</v>
      </c>
      <c r="HQ791" s="5" t="s">
        <v>272</v>
      </c>
      <c r="HR791" s="5" t="s">
        <v>238</v>
      </c>
      <c r="HS791" s="5" t="s">
        <v>238</v>
      </c>
      <c r="HT791" s="5" t="s">
        <v>238</v>
      </c>
      <c r="HU791" s="5" t="s">
        <v>238</v>
      </c>
      <c r="HV791" s="5" t="s">
        <v>238</v>
      </c>
      <c r="HW791" s="5" t="s">
        <v>238</v>
      </c>
      <c r="HX791" s="5" t="s">
        <v>238</v>
      </c>
      <c r="HY791" s="5" t="s">
        <v>238</v>
      </c>
      <c r="HZ791" s="5" t="s">
        <v>238</v>
      </c>
      <c r="IA791" s="5" t="s">
        <v>238</v>
      </c>
      <c r="IB791" s="5" t="s">
        <v>238</v>
      </c>
      <c r="IC791" s="5" t="s">
        <v>238</v>
      </c>
      <c r="ID791" s="5" t="s">
        <v>238</v>
      </c>
    </row>
    <row r="792" spans="1:238" x14ac:dyDescent="0.4">
      <c r="A792" s="5">
        <v>884</v>
      </c>
      <c r="B792" s="5">
        <v>1</v>
      </c>
      <c r="C792" s="5">
        <v>4</v>
      </c>
      <c r="D792" s="5" t="s">
        <v>2692</v>
      </c>
      <c r="E792" s="5" t="s">
        <v>277</v>
      </c>
      <c r="F792" s="5" t="s">
        <v>282</v>
      </c>
      <c r="G792" s="5" t="s">
        <v>2485</v>
      </c>
      <c r="H792" s="6" t="s">
        <v>2693</v>
      </c>
      <c r="I792" s="5" t="s">
        <v>2696</v>
      </c>
      <c r="J792" s="7">
        <f>208.65</f>
        <v>208.65</v>
      </c>
      <c r="K792" s="5" t="s">
        <v>270</v>
      </c>
      <c r="L792" s="8">
        <f>5562618</f>
        <v>5562618</v>
      </c>
      <c r="M792" s="8">
        <f>32340750</f>
        <v>32340750</v>
      </c>
      <c r="N792" s="6" t="s">
        <v>1254</v>
      </c>
      <c r="O792" s="5" t="s">
        <v>286</v>
      </c>
      <c r="P792" s="5" t="s">
        <v>269</v>
      </c>
      <c r="Q792" s="8">
        <f>1487674</f>
        <v>1487674</v>
      </c>
      <c r="R792" s="8">
        <f>26778132</f>
        <v>26778132</v>
      </c>
      <c r="S792" s="5" t="s">
        <v>240</v>
      </c>
      <c r="T792" s="5" t="s">
        <v>237</v>
      </c>
      <c r="U792" s="5" t="s">
        <v>238</v>
      </c>
      <c r="V792" s="5" t="s">
        <v>238</v>
      </c>
      <c r="W792" s="5" t="s">
        <v>241</v>
      </c>
      <c r="X792" s="5" t="s">
        <v>276</v>
      </c>
      <c r="Y792" s="5" t="s">
        <v>238</v>
      </c>
      <c r="AB792" s="5" t="s">
        <v>238</v>
      </c>
      <c r="AC792" s="6" t="s">
        <v>238</v>
      </c>
      <c r="AD792" s="6" t="s">
        <v>238</v>
      </c>
      <c r="AF792" s="6" t="s">
        <v>238</v>
      </c>
      <c r="AG792" s="6" t="s">
        <v>1538</v>
      </c>
      <c r="AH792" s="5" t="s">
        <v>247</v>
      </c>
      <c r="AI792" s="5" t="s">
        <v>248</v>
      </c>
      <c r="AO792" s="5" t="s">
        <v>238</v>
      </c>
      <c r="AP792" s="5" t="s">
        <v>238</v>
      </c>
      <c r="AQ792" s="5" t="s">
        <v>238</v>
      </c>
      <c r="AR792" s="6" t="s">
        <v>238</v>
      </c>
      <c r="AS792" s="6" t="s">
        <v>238</v>
      </c>
      <c r="AT792" s="6" t="s">
        <v>238</v>
      </c>
      <c r="AW792" s="5" t="s">
        <v>304</v>
      </c>
      <c r="AX792" s="5" t="s">
        <v>304</v>
      </c>
      <c r="AY792" s="5" t="s">
        <v>250</v>
      </c>
      <c r="AZ792" s="5" t="s">
        <v>305</v>
      </c>
      <c r="BA792" s="5" t="s">
        <v>251</v>
      </c>
      <c r="BB792" s="5" t="s">
        <v>238</v>
      </c>
      <c r="BC792" s="5" t="s">
        <v>253</v>
      </c>
      <c r="BD792" s="5" t="s">
        <v>238</v>
      </c>
      <c r="BF792" s="5" t="s">
        <v>238</v>
      </c>
      <c r="BH792" s="5" t="s">
        <v>283</v>
      </c>
      <c r="BI792" s="6" t="s">
        <v>293</v>
      </c>
      <c r="BJ792" s="5" t="s">
        <v>294</v>
      </c>
      <c r="BK792" s="5" t="s">
        <v>294</v>
      </c>
      <c r="BL792" s="5" t="s">
        <v>238</v>
      </c>
      <c r="BM792" s="7">
        <f>0</f>
        <v>0</v>
      </c>
      <c r="BN792" s="8">
        <f>-1487674</f>
        <v>-1487674</v>
      </c>
      <c r="BO792" s="5" t="s">
        <v>257</v>
      </c>
      <c r="BP792" s="5" t="s">
        <v>258</v>
      </c>
      <c r="BQ792" s="5" t="s">
        <v>238</v>
      </c>
      <c r="BR792" s="5" t="s">
        <v>238</v>
      </c>
      <c r="BS792" s="5" t="s">
        <v>238</v>
      </c>
      <c r="BT792" s="5" t="s">
        <v>238</v>
      </c>
      <c r="CC792" s="5" t="s">
        <v>258</v>
      </c>
      <c r="CD792" s="5" t="s">
        <v>238</v>
      </c>
      <c r="CE792" s="5" t="s">
        <v>238</v>
      </c>
      <c r="CI792" s="5" t="s">
        <v>259</v>
      </c>
      <c r="CJ792" s="5" t="s">
        <v>260</v>
      </c>
      <c r="CK792" s="5" t="s">
        <v>238</v>
      </c>
      <c r="CM792" s="5" t="s">
        <v>682</v>
      </c>
      <c r="CN792" s="6" t="s">
        <v>262</v>
      </c>
      <c r="CO792" s="5" t="s">
        <v>263</v>
      </c>
      <c r="CP792" s="5" t="s">
        <v>264</v>
      </c>
      <c r="CQ792" s="5" t="s">
        <v>285</v>
      </c>
      <c r="CR792" s="5" t="s">
        <v>238</v>
      </c>
      <c r="CS792" s="5">
        <v>4.5999999999999999E-2</v>
      </c>
      <c r="CT792" s="5" t="s">
        <v>265</v>
      </c>
      <c r="CU792" s="5" t="s">
        <v>1360</v>
      </c>
      <c r="CV792" s="5" t="s">
        <v>267</v>
      </c>
      <c r="CW792" s="7">
        <f>0</f>
        <v>0</v>
      </c>
      <c r="CX792" s="8">
        <f>32340750</f>
        <v>32340750</v>
      </c>
      <c r="CY792" s="8">
        <f>7050292</f>
        <v>7050292</v>
      </c>
      <c r="DA792" s="5" t="s">
        <v>238</v>
      </c>
      <c r="DB792" s="5" t="s">
        <v>238</v>
      </c>
      <c r="DD792" s="5" t="s">
        <v>238</v>
      </c>
      <c r="DE792" s="8">
        <f>0</f>
        <v>0</v>
      </c>
      <c r="DG792" s="5" t="s">
        <v>238</v>
      </c>
      <c r="DH792" s="5" t="s">
        <v>238</v>
      </c>
      <c r="DI792" s="5" t="s">
        <v>238</v>
      </c>
      <c r="DJ792" s="5" t="s">
        <v>238</v>
      </c>
      <c r="DK792" s="5" t="s">
        <v>274</v>
      </c>
      <c r="DL792" s="5" t="s">
        <v>272</v>
      </c>
      <c r="DM792" s="7">
        <f>208.65</f>
        <v>208.65</v>
      </c>
      <c r="DN792" s="5" t="s">
        <v>238</v>
      </c>
      <c r="DO792" s="5" t="s">
        <v>238</v>
      </c>
      <c r="DP792" s="5" t="s">
        <v>238</v>
      </c>
      <c r="DQ792" s="5" t="s">
        <v>238</v>
      </c>
      <c r="DT792" s="5" t="s">
        <v>2694</v>
      </c>
      <c r="DU792" s="5" t="s">
        <v>356</v>
      </c>
      <c r="GL792" s="5" t="s">
        <v>2697</v>
      </c>
      <c r="HM792" s="5" t="s">
        <v>313</v>
      </c>
      <c r="HP792" s="5" t="s">
        <v>272</v>
      </c>
      <c r="HQ792" s="5" t="s">
        <v>272</v>
      </c>
      <c r="HR792" s="5" t="s">
        <v>238</v>
      </c>
      <c r="HS792" s="5" t="s">
        <v>238</v>
      </c>
      <c r="HT792" s="5" t="s">
        <v>238</v>
      </c>
      <c r="HU792" s="5" t="s">
        <v>238</v>
      </c>
      <c r="HV792" s="5" t="s">
        <v>238</v>
      </c>
      <c r="HW792" s="5" t="s">
        <v>238</v>
      </c>
      <c r="HX792" s="5" t="s">
        <v>238</v>
      </c>
      <c r="HY792" s="5" t="s">
        <v>238</v>
      </c>
      <c r="HZ792" s="5" t="s">
        <v>238</v>
      </c>
      <c r="IA792" s="5" t="s">
        <v>238</v>
      </c>
      <c r="IB792" s="5" t="s">
        <v>238</v>
      </c>
      <c r="IC792" s="5" t="s">
        <v>238</v>
      </c>
      <c r="ID792" s="5" t="s">
        <v>238</v>
      </c>
    </row>
    <row r="793" spans="1:238" x14ac:dyDescent="0.4">
      <c r="A793" s="5">
        <v>885</v>
      </c>
      <c r="B793" s="5">
        <v>1</v>
      </c>
      <c r="C793" s="5">
        <v>4</v>
      </c>
      <c r="D793" s="5" t="s">
        <v>2692</v>
      </c>
      <c r="E793" s="5" t="s">
        <v>277</v>
      </c>
      <c r="F793" s="5" t="s">
        <v>282</v>
      </c>
      <c r="G793" s="5" t="s">
        <v>2485</v>
      </c>
      <c r="H793" s="6" t="s">
        <v>2693</v>
      </c>
      <c r="I793" s="5" t="s">
        <v>2691</v>
      </c>
      <c r="J793" s="7">
        <f>279.21</f>
        <v>279.20999999999998</v>
      </c>
      <c r="K793" s="5" t="s">
        <v>270</v>
      </c>
      <c r="L793" s="8">
        <f>17311020</f>
        <v>17311020</v>
      </c>
      <c r="M793" s="8">
        <f>55842000</f>
        <v>55842000</v>
      </c>
      <c r="N793" s="6" t="s">
        <v>316</v>
      </c>
      <c r="O793" s="5" t="s">
        <v>286</v>
      </c>
      <c r="P793" s="5" t="s">
        <v>319</v>
      </c>
      <c r="Q793" s="8">
        <f>2568732</f>
        <v>2568732</v>
      </c>
      <c r="R793" s="8">
        <f>38530980</f>
        <v>38530980</v>
      </c>
      <c r="S793" s="5" t="s">
        <v>240</v>
      </c>
      <c r="T793" s="5" t="s">
        <v>237</v>
      </c>
      <c r="U793" s="5" t="s">
        <v>238</v>
      </c>
      <c r="V793" s="5" t="s">
        <v>238</v>
      </c>
      <c r="W793" s="5" t="s">
        <v>241</v>
      </c>
      <c r="X793" s="5" t="s">
        <v>276</v>
      </c>
      <c r="Y793" s="5" t="s">
        <v>238</v>
      </c>
      <c r="AB793" s="5" t="s">
        <v>238</v>
      </c>
      <c r="AC793" s="6" t="s">
        <v>238</v>
      </c>
      <c r="AD793" s="6" t="s">
        <v>238</v>
      </c>
      <c r="AF793" s="6" t="s">
        <v>238</v>
      </c>
      <c r="AG793" s="6" t="s">
        <v>1538</v>
      </c>
      <c r="AH793" s="5" t="s">
        <v>247</v>
      </c>
      <c r="AI793" s="5" t="s">
        <v>248</v>
      </c>
      <c r="AO793" s="5" t="s">
        <v>238</v>
      </c>
      <c r="AP793" s="5" t="s">
        <v>238</v>
      </c>
      <c r="AQ793" s="5" t="s">
        <v>238</v>
      </c>
      <c r="AR793" s="6" t="s">
        <v>238</v>
      </c>
      <c r="AS793" s="6" t="s">
        <v>238</v>
      </c>
      <c r="AT793" s="6" t="s">
        <v>238</v>
      </c>
      <c r="AW793" s="5" t="s">
        <v>304</v>
      </c>
      <c r="AX793" s="5" t="s">
        <v>304</v>
      </c>
      <c r="AY793" s="5" t="s">
        <v>250</v>
      </c>
      <c r="AZ793" s="5" t="s">
        <v>305</v>
      </c>
      <c r="BA793" s="5" t="s">
        <v>251</v>
      </c>
      <c r="BB793" s="5" t="s">
        <v>238</v>
      </c>
      <c r="BC793" s="5" t="s">
        <v>253</v>
      </c>
      <c r="BD793" s="5" t="s">
        <v>238</v>
      </c>
      <c r="BF793" s="5" t="s">
        <v>238</v>
      </c>
      <c r="BH793" s="5" t="s">
        <v>283</v>
      </c>
      <c r="BI793" s="6" t="s">
        <v>293</v>
      </c>
      <c r="BJ793" s="5" t="s">
        <v>294</v>
      </c>
      <c r="BK793" s="5" t="s">
        <v>294</v>
      </c>
      <c r="BL793" s="5" t="s">
        <v>238</v>
      </c>
      <c r="BM793" s="7">
        <f>0</f>
        <v>0</v>
      </c>
      <c r="BN793" s="8">
        <f>-2568732</f>
        <v>-2568732</v>
      </c>
      <c r="BO793" s="5" t="s">
        <v>257</v>
      </c>
      <c r="BP793" s="5" t="s">
        <v>258</v>
      </c>
      <c r="BQ793" s="5" t="s">
        <v>238</v>
      </c>
      <c r="BR793" s="5" t="s">
        <v>238</v>
      </c>
      <c r="BS793" s="5" t="s">
        <v>238</v>
      </c>
      <c r="BT793" s="5" t="s">
        <v>238</v>
      </c>
      <c r="CC793" s="5" t="s">
        <v>258</v>
      </c>
      <c r="CD793" s="5" t="s">
        <v>238</v>
      </c>
      <c r="CE793" s="5" t="s">
        <v>238</v>
      </c>
      <c r="CI793" s="5" t="s">
        <v>259</v>
      </c>
      <c r="CJ793" s="5" t="s">
        <v>260</v>
      </c>
      <c r="CK793" s="5" t="s">
        <v>238</v>
      </c>
      <c r="CM793" s="5" t="s">
        <v>318</v>
      </c>
      <c r="CN793" s="6" t="s">
        <v>262</v>
      </c>
      <c r="CO793" s="5" t="s">
        <v>263</v>
      </c>
      <c r="CP793" s="5" t="s">
        <v>264</v>
      </c>
      <c r="CQ793" s="5" t="s">
        <v>285</v>
      </c>
      <c r="CR793" s="5" t="s">
        <v>238</v>
      </c>
      <c r="CS793" s="5">
        <v>4.5999999999999999E-2</v>
      </c>
      <c r="CT793" s="5" t="s">
        <v>265</v>
      </c>
      <c r="CU793" s="5" t="s">
        <v>1360</v>
      </c>
      <c r="CV793" s="5" t="s">
        <v>267</v>
      </c>
      <c r="CW793" s="7">
        <f>0</f>
        <v>0</v>
      </c>
      <c r="CX793" s="8">
        <f>55842000</f>
        <v>55842000</v>
      </c>
      <c r="CY793" s="8">
        <f>19879752</f>
        <v>19879752</v>
      </c>
      <c r="DA793" s="5" t="s">
        <v>238</v>
      </c>
      <c r="DB793" s="5" t="s">
        <v>238</v>
      </c>
      <c r="DD793" s="5" t="s">
        <v>238</v>
      </c>
      <c r="DE793" s="8">
        <f>0</f>
        <v>0</v>
      </c>
      <c r="DG793" s="5" t="s">
        <v>238</v>
      </c>
      <c r="DH793" s="5" t="s">
        <v>238</v>
      </c>
      <c r="DI793" s="5" t="s">
        <v>238</v>
      </c>
      <c r="DJ793" s="5" t="s">
        <v>238</v>
      </c>
      <c r="DK793" s="5" t="s">
        <v>274</v>
      </c>
      <c r="DL793" s="5" t="s">
        <v>272</v>
      </c>
      <c r="DM793" s="7">
        <f>279.21</f>
        <v>279.20999999999998</v>
      </c>
      <c r="DN793" s="5" t="s">
        <v>238</v>
      </c>
      <c r="DO793" s="5" t="s">
        <v>238</v>
      </c>
      <c r="DP793" s="5" t="s">
        <v>238</v>
      </c>
      <c r="DQ793" s="5" t="s">
        <v>238</v>
      </c>
      <c r="DT793" s="5" t="s">
        <v>2694</v>
      </c>
      <c r="DU793" s="5" t="s">
        <v>310</v>
      </c>
      <c r="GL793" s="5" t="s">
        <v>2695</v>
      </c>
      <c r="HM793" s="5" t="s">
        <v>313</v>
      </c>
      <c r="HP793" s="5" t="s">
        <v>272</v>
      </c>
      <c r="HQ793" s="5" t="s">
        <v>272</v>
      </c>
      <c r="HR793" s="5" t="s">
        <v>238</v>
      </c>
      <c r="HS793" s="5" t="s">
        <v>238</v>
      </c>
      <c r="HT793" s="5" t="s">
        <v>238</v>
      </c>
      <c r="HU793" s="5" t="s">
        <v>238</v>
      </c>
      <c r="HV793" s="5" t="s">
        <v>238</v>
      </c>
      <c r="HW793" s="5" t="s">
        <v>238</v>
      </c>
      <c r="HX793" s="5" t="s">
        <v>238</v>
      </c>
      <c r="HY793" s="5" t="s">
        <v>238</v>
      </c>
      <c r="HZ793" s="5" t="s">
        <v>238</v>
      </c>
      <c r="IA793" s="5" t="s">
        <v>238</v>
      </c>
      <c r="IB793" s="5" t="s">
        <v>238</v>
      </c>
      <c r="IC793" s="5" t="s">
        <v>238</v>
      </c>
      <c r="ID793" s="5" t="s">
        <v>238</v>
      </c>
    </row>
    <row r="794" spans="1:238" x14ac:dyDescent="0.4">
      <c r="A794" s="5">
        <v>886</v>
      </c>
      <c r="B794" s="5">
        <v>1</v>
      </c>
      <c r="C794" s="5">
        <v>1</v>
      </c>
      <c r="D794" s="5" t="s">
        <v>2817</v>
      </c>
      <c r="E794" s="5" t="s">
        <v>277</v>
      </c>
      <c r="F794" s="5" t="s">
        <v>282</v>
      </c>
      <c r="G794" s="5" t="s">
        <v>2491</v>
      </c>
      <c r="H794" s="6" t="s">
        <v>2818</v>
      </c>
      <c r="I794" s="5" t="s">
        <v>2495</v>
      </c>
      <c r="J794" s="7">
        <f>146.08</f>
        <v>146.08000000000001</v>
      </c>
      <c r="K794" s="5" t="s">
        <v>270</v>
      </c>
      <c r="L794" s="8">
        <f>1</f>
        <v>1</v>
      </c>
      <c r="M794" s="8">
        <f>15338400</f>
        <v>15338400</v>
      </c>
      <c r="N794" s="6" t="s">
        <v>1494</v>
      </c>
      <c r="O794" s="5" t="s">
        <v>639</v>
      </c>
      <c r="P794" s="5" t="s">
        <v>1017</v>
      </c>
      <c r="R794" s="8">
        <f>15338399</f>
        <v>15338399</v>
      </c>
      <c r="S794" s="5" t="s">
        <v>240</v>
      </c>
      <c r="T794" s="5" t="s">
        <v>237</v>
      </c>
      <c r="U794" s="5" t="s">
        <v>238</v>
      </c>
      <c r="V794" s="5" t="s">
        <v>238</v>
      </c>
      <c r="W794" s="5" t="s">
        <v>241</v>
      </c>
      <c r="X794" s="5" t="s">
        <v>276</v>
      </c>
      <c r="Y794" s="5" t="s">
        <v>238</v>
      </c>
      <c r="AB794" s="5" t="s">
        <v>238</v>
      </c>
      <c r="AD794" s="6" t="s">
        <v>238</v>
      </c>
      <c r="AG794" s="6" t="s">
        <v>246</v>
      </c>
      <c r="AH794" s="5" t="s">
        <v>247</v>
      </c>
      <c r="AI794" s="5" t="s">
        <v>248</v>
      </c>
      <c r="AY794" s="5" t="s">
        <v>250</v>
      </c>
      <c r="AZ794" s="5" t="s">
        <v>238</v>
      </c>
      <c r="BA794" s="5" t="s">
        <v>251</v>
      </c>
      <c r="BB794" s="5" t="s">
        <v>238</v>
      </c>
      <c r="BC794" s="5" t="s">
        <v>253</v>
      </c>
      <c r="BD794" s="5" t="s">
        <v>238</v>
      </c>
      <c r="BF794" s="5" t="s">
        <v>238</v>
      </c>
      <c r="BH794" s="5" t="s">
        <v>254</v>
      </c>
      <c r="BI794" s="6" t="s">
        <v>246</v>
      </c>
      <c r="BJ794" s="5" t="s">
        <v>255</v>
      </c>
      <c r="BK794" s="5" t="s">
        <v>256</v>
      </c>
      <c r="BL794" s="5" t="s">
        <v>238</v>
      </c>
      <c r="BM794" s="7">
        <f>0</f>
        <v>0</v>
      </c>
      <c r="BN794" s="8">
        <f>0</f>
        <v>0</v>
      </c>
      <c r="BO794" s="5" t="s">
        <v>257</v>
      </c>
      <c r="BP794" s="5" t="s">
        <v>258</v>
      </c>
      <c r="CD794" s="5" t="s">
        <v>238</v>
      </c>
      <c r="CE794" s="5" t="s">
        <v>238</v>
      </c>
      <c r="CI794" s="5" t="s">
        <v>527</v>
      </c>
      <c r="CJ794" s="5" t="s">
        <v>260</v>
      </c>
      <c r="CK794" s="5" t="s">
        <v>238</v>
      </c>
      <c r="CM794" s="5" t="s">
        <v>1016</v>
      </c>
      <c r="CN794" s="6" t="s">
        <v>262</v>
      </c>
      <c r="CO794" s="5" t="s">
        <v>263</v>
      </c>
      <c r="CP794" s="5" t="s">
        <v>264</v>
      </c>
      <c r="CQ794" s="5" t="s">
        <v>238</v>
      </c>
      <c r="CR794" s="5" t="s">
        <v>238</v>
      </c>
      <c r="CS794" s="5">
        <v>0</v>
      </c>
      <c r="CT794" s="5" t="s">
        <v>265</v>
      </c>
      <c r="CU794" s="5" t="s">
        <v>1360</v>
      </c>
      <c r="CV794" s="5" t="s">
        <v>2508</v>
      </c>
      <c r="CX794" s="8">
        <f>15338400</f>
        <v>15338400</v>
      </c>
      <c r="CY794" s="8">
        <f>0</f>
        <v>0</v>
      </c>
      <c r="DA794" s="5" t="s">
        <v>238</v>
      </c>
      <c r="DB794" s="5" t="s">
        <v>238</v>
      </c>
      <c r="DD794" s="5" t="s">
        <v>238</v>
      </c>
      <c r="DG794" s="5" t="s">
        <v>238</v>
      </c>
      <c r="DH794" s="5" t="s">
        <v>238</v>
      </c>
      <c r="DI794" s="5" t="s">
        <v>238</v>
      </c>
      <c r="DJ794" s="5" t="s">
        <v>238</v>
      </c>
      <c r="DK794" s="5" t="s">
        <v>271</v>
      </c>
      <c r="DL794" s="5" t="s">
        <v>272</v>
      </c>
      <c r="DM794" s="7">
        <f>146.08</f>
        <v>146.08000000000001</v>
      </c>
      <c r="DN794" s="5" t="s">
        <v>238</v>
      </c>
      <c r="DO794" s="5" t="s">
        <v>238</v>
      </c>
      <c r="DP794" s="5" t="s">
        <v>238</v>
      </c>
      <c r="DQ794" s="5" t="s">
        <v>238</v>
      </c>
      <c r="DT794" s="5" t="s">
        <v>2819</v>
      </c>
      <c r="DU794" s="5" t="s">
        <v>271</v>
      </c>
      <c r="HM794" s="5" t="s">
        <v>271</v>
      </c>
      <c r="HP794" s="5" t="s">
        <v>272</v>
      </c>
      <c r="HQ794" s="5" t="s">
        <v>272</v>
      </c>
    </row>
    <row r="795" spans="1:238" x14ac:dyDescent="0.4">
      <c r="A795" s="5">
        <v>887</v>
      </c>
      <c r="B795" s="5">
        <v>1</v>
      </c>
      <c r="C795" s="5">
        <v>1</v>
      </c>
      <c r="D795" s="5" t="s">
        <v>2817</v>
      </c>
      <c r="E795" s="5" t="s">
        <v>277</v>
      </c>
      <c r="F795" s="5" t="s">
        <v>282</v>
      </c>
      <c r="G795" s="5" t="s">
        <v>2491</v>
      </c>
      <c r="H795" s="6" t="s">
        <v>2818</v>
      </c>
      <c r="I795" s="5" t="s">
        <v>2505</v>
      </c>
      <c r="J795" s="7">
        <f>146.08</f>
        <v>146.08000000000001</v>
      </c>
      <c r="K795" s="5" t="s">
        <v>270</v>
      </c>
      <c r="L795" s="8">
        <f>1</f>
        <v>1</v>
      </c>
      <c r="M795" s="8">
        <f>15338400</f>
        <v>15338400</v>
      </c>
      <c r="N795" s="6" t="s">
        <v>1494</v>
      </c>
      <c r="O795" s="5" t="s">
        <v>639</v>
      </c>
      <c r="P795" s="5" t="s">
        <v>1017</v>
      </c>
      <c r="R795" s="8">
        <f>15338399</f>
        <v>15338399</v>
      </c>
      <c r="S795" s="5" t="s">
        <v>240</v>
      </c>
      <c r="T795" s="5" t="s">
        <v>237</v>
      </c>
      <c r="U795" s="5" t="s">
        <v>238</v>
      </c>
      <c r="V795" s="5" t="s">
        <v>238</v>
      </c>
      <c r="W795" s="5" t="s">
        <v>241</v>
      </c>
      <c r="X795" s="5" t="s">
        <v>276</v>
      </c>
      <c r="Y795" s="5" t="s">
        <v>238</v>
      </c>
      <c r="AB795" s="5" t="s">
        <v>238</v>
      </c>
      <c r="AD795" s="6" t="s">
        <v>238</v>
      </c>
      <c r="AG795" s="6" t="s">
        <v>246</v>
      </c>
      <c r="AH795" s="5" t="s">
        <v>247</v>
      </c>
      <c r="AI795" s="5" t="s">
        <v>248</v>
      </c>
      <c r="AY795" s="5" t="s">
        <v>250</v>
      </c>
      <c r="AZ795" s="5" t="s">
        <v>238</v>
      </c>
      <c r="BA795" s="5" t="s">
        <v>251</v>
      </c>
      <c r="BB795" s="5" t="s">
        <v>238</v>
      </c>
      <c r="BC795" s="5" t="s">
        <v>253</v>
      </c>
      <c r="BD795" s="5" t="s">
        <v>238</v>
      </c>
      <c r="BF795" s="5" t="s">
        <v>238</v>
      </c>
      <c r="BH795" s="5" t="s">
        <v>859</v>
      </c>
      <c r="BI795" s="6" t="s">
        <v>368</v>
      </c>
      <c r="BJ795" s="5" t="s">
        <v>255</v>
      </c>
      <c r="BK795" s="5" t="s">
        <v>256</v>
      </c>
      <c r="BL795" s="5" t="s">
        <v>238</v>
      </c>
      <c r="BM795" s="7">
        <f>0</f>
        <v>0</v>
      </c>
      <c r="BN795" s="8">
        <f>0</f>
        <v>0</v>
      </c>
      <c r="BO795" s="5" t="s">
        <v>257</v>
      </c>
      <c r="BP795" s="5" t="s">
        <v>258</v>
      </c>
      <c r="CD795" s="5" t="s">
        <v>238</v>
      </c>
      <c r="CE795" s="5" t="s">
        <v>238</v>
      </c>
      <c r="CI795" s="5" t="s">
        <v>527</v>
      </c>
      <c r="CJ795" s="5" t="s">
        <v>260</v>
      </c>
      <c r="CK795" s="5" t="s">
        <v>238</v>
      </c>
      <c r="CM795" s="5" t="s">
        <v>1016</v>
      </c>
      <c r="CN795" s="6" t="s">
        <v>262</v>
      </c>
      <c r="CO795" s="5" t="s">
        <v>263</v>
      </c>
      <c r="CP795" s="5" t="s">
        <v>264</v>
      </c>
      <c r="CQ795" s="5" t="s">
        <v>238</v>
      </c>
      <c r="CR795" s="5" t="s">
        <v>238</v>
      </c>
      <c r="CS795" s="5">
        <v>0</v>
      </c>
      <c r="CT795" s="5" t="s">
        <v>265</v>
      </c>
      <c r="CU795" s="5" t="s">
        <v>1360</v>
      </c>
      <c r="CV795" s="5" t="s">
        <v>2508</v>
      </c>
      <c r="CX795" s="8">
        <f>15338400</f>
        <v>15338400</v>
      </c>
      <c r="CY795" s="8">
        <f>0</f>
        <v>0</v>
      </c>
      <c r="DA795" s="5" t="s">
        <v>238</v>
      </c>
      <c r="DB795" s="5" t="s">
        <v>238</v>
      </c>
      <c r="DD795" s="5" t="s">
        <v>238</v>
      </c>
      <c r="DG795" s="5" t="s">
        <v>238</v>
      </c>
      <c r="DH795" s="5" t="s">
        <v>238</v>
      </c>
      <c r="DI795" s="5" t="s">
        <v>238</v>
      </c>
      <c r="DJ795" s="5" t="s">
        <v>238</v>
      </c>
      <c r="DK795" s="5" t="s">
        <v>271</v>
      </c>
      <c r="DL795" s="5" t="s">
        <v>272</v>
      </c>
      <c r="DM795" s="7">
        <f>146.08</f>
        <v>146.08000000000001</v>
      </c>
      <c r="DN795" s="5" t="s">
        <v>238</v>
      </c>
      <c r="DO795" s="5" t="s">
        <v>238</v>
      </c>
      <c r="DP795" s="5" t="s">
        <v>238</v>
      </c>
      <c r="DQ795" s="5" t="s">
        <v>238</v>
      </c>
      <c r="DT795" s="5" t="s">
        <v>2819</v>
      </c>
      <c r="DU795" s="5" t="s">
        <v>274</v>
      </c>
      <c r="HM795" s="5" t="s">
        <v>271</v>
      </c>
      <c r="HP795" s="5" t="s">
        <v>272</v>
      </c>
      <c r="HQ795" s="5" t="s">
        <v>272</v>
      </c>
    </row>
    <row r="796" spans="1:238" x14ac:dyDescent="0.4">
      <c r="A796" s="5">
        <v>888</v>
      </c>
      <c r="B796" s="5">
        <v>1</v>
      </c>
      <c r="C796" s="5">
        <v>1</v>
      </c>
      <c r="D796" s="5" t="s">
        <v>2817</v>
      </c>
      <c r="E796" s="5" t="s">
        <v>277</v>
      </c>
      <c r="F796" s="5" t="s">
        <v>282</v>
      </c>
      <c r="G796" s="5" t="s">
        <v>2491</v>
      </c>
      <c r="H796" s="6" t="s">
        <v>2818</v>
      </c>
      <c r="I796" s="5" t="s">
        <v>2504</v>
      </c>
      <c r="J796" s="7">
        <f>136</f>
        <v>136</v>
      </c>
      <c r="K796" s="5" t="s">
        <v>270</v>
      </c>
      <c r="L796" s="8">
        <f>1</f>
        <v>1</v>
      </c>
      <c r="M796" s="8">
        <f>14280000</f>
        <v>14280000</v>
      </c>
      <c r="N796" s="6" t="s">
        <v>1494</v>
      </c>
      <c r="O796" s="5" t="s">
        <v>639</v>
      </c>
      <c r="P796" s="5" t="s">
        <v>1017</v>
      </c>
      <c r="R796" s="8">
        <f>14279999</f>
        <v>14279999</v>
      </c>
      <c r="S796" s="5" t="s">
        <v>240</v>
      </c>
      <c r="T796" s="5" t="s">
        <v>237</v>
      </c>
      <c r="U796" s="5" t="s">
        <v>238</v>
      </c>
      <c r="V796" s="5" t="s">
        <v>238</v>
      </c>
      <c r="W796" s="5" t="s">
        <v>241</v>
      </c>
      <c r="X796" s="5" t="s">
        <v>276</v>
      </c>
      <c r="Y796" s="5" t="s">
        <v>238</v>
      </c>
      <c r="AB796" s="5" t="s">
        <v>238</v>
      </c>
      <c r="AD796" s="6" t="s">
        <v>238</v>
      </c>
      <c r="AG796" s="6" t="s">
        <v>246</v>
      </c>
      <c r="AH796" s="5" t="s">
        <v>247</v>
      </c>
      <c r="AI796" s="5" t="s">
        <v>248</v>
      </c>
      <c r="AY796" s="5" t="s">
        <v>250</v>
      </c>
      <c r="AZ796" s="5" t="s">
        <v>238</v>
      </c>
      <c r="BA796" s="5" t="s">
        <v>251</v>
      </c>
      <c r="BB796" s="5" t="s">
        <v>238</v>
      </c>
      <c r="BC796" s="5" t="s">
        <v>253</v>
      </c>
      <c r="BD796" s="5" t="s">
        <v>238</v>
      </c>
      <c r="BF796" s="5" t="s">
        <v>238</v>
      </c>
      <c r="BH796" s="5" t="s">
        <v>697</v>
      </c>
      <c r="BI796" s="6" t="s">
        <v>698</v>
      </c>
      <c r="BJ796" s="5" t="s">
        <v>255</v>
      </c>
      <c r="BK796" s="5" t="s">
        <v>256</v>
      </c>
      <c r="BL796" s="5" t="s">
        <v>238</v>
      </c>
      <c r="BM796" s="7">
        <f>0</f>
        <v>0</v>
      </c>
      <c r="BN796" s="8">
        <f>0</f>
        <v>0</v>
      </c>
      <c r="BO796" s="5" t="s">
        <v>257</v>
      </c>
      <c r="BP796" s="5" t="s">
        <v>258</v>
      </c>
      <c r="CD796" s="5" t="s">
        <v>238</v>
      </c>
      <c r="CE796" s="5" t="s">
        <v>238</v>
      </c>
      <c r="CI796" s="5" t="s">
        <v>527</v>
      </c>
      <c r="CJ796" s="5" t="s">
        <v>260</v>
      </c>
      <c r="CK796" s="5" t="s">
        <v>238</v>
      </c>
      <c r="CM796" s="5" t="s">
        <v>1016</v>
      </c>
      <c r="CN796" s="6" t="s">
        <v>262</v>
      </c>
      <c r="CO796" s="5" t="s">
        <v>263</v>
      </c>
      <c r="CP796" s="5" t="s">
        <v>264</v>
      </c>
      <c r="CQ796" s="5" t="s">
        <v>238</v>
      </c>
      <c r="CR796" s="5" t="s">
        <v>238</v>
      </c>
      <c r="CS796" s="5">
        <v>0</v>
      </c>
      <c r="CT796" s="5" t="s">
        <v>265</v>
      </c>
      <c r="CU796" s="5" t="s">
        <v>1360</v>
      </c>
      <c r="CV796" s="5" t="s">
        <v>2508</v>
      </c>
      <c r="CX796" s="8">
        <f>14280000</f>
        <v>14280000</v>
      </c>
      <c r="CY796" s="8">
        <f>0</f>
        <v>0</v>
      </c>
      <c r="DA796" s="5" t="s">
        <v>238</v>
      </c>
      <c r="DB796" s="5" t="s">
        <v>238</v>
      </c>
      <c r="DD796" s="5" t="s">
        <v>238</v>
      </c>
      <c r="DG796" s="5" t="s">
        <v>238</v>
      </c>
      <c r="DH796" s="5" t="s">
        <v>238</v>
      </c>
      <c r="DI796" s="5" t="s">
        <v>238</v>
      </c>
      <c r="DJ796" s="5" t="s">
        <v>238</v>
      </c>
      <c r="DK796" s="5" t="s">
        <v>271</v>
      </c>
      <c r="DL796" s="5" t="s">
        <v>272</v>
      </c>
      <c r="DM796" s="7">
        <f>136</f>
        <v>136</v>
      </c>
      <c r="DN796" s="5" t="s">
        <v>238</v>
      </c>
      <c r="DO796" s="5" t="s">
        <v>238</v>
      </c>
      <c r="DP796" s="5" t="s">
        <v>238</v>
      </c>
      <c r="DQ796" s="5" t="s">
        <v>238</v>
      </c>
      <c r="DT796" s="5" t="s">
        <v>2819</v>
      </c>
      <c r="DU796" s="5" t="s">
        <v>356</v>
      </c>
      <c r="HM796" s="5" t="s">
        <v>271</v>
      </c>
      <c r="HP796" s="5" t="s">
        <v>272</v>
      </c>
      <c r="HQ796" s="5" t="s">
        <v>272</v>
      </c>
    </row>
    <row r="797" spans="1:238" x14ac:dyDescent="0.4">
      <c r="A797" s="5">
        <v>889</v>
      </c>
      <c r="B797" s="5">
        <v>1</v>
      </c>
      <c r="C797" s="5">
        <v>1</v>
      </c>
      <c r="D797" s="5" t="s">
        <v>2817</v>
      </c>
      <c r="E797" s="5" t="s">
        <v>277</v>
      </c>
      <c r="F797" s="5" t="s">
        <v>282</v>
      </c>
      <c r="G797" s="5" t="s">
        <v>2491</v>
      </c>
      <c r="H797" s="6" t="s">
        <v>2818</v>
      </c>
      <c r="I797" s="5" t="s">
        <v>2494</v>
      </c>
      <c r="J797" s="7">
        <f>146.08</f>
        <v>146.08000000000001</v>
      </c>
      <c r="K797" s="5" t="s">
        <v>270</v>
      </c>
      <c r="L797" s="8">
        <f>1</f>
        <v>1</v>
      </c>
      <c r="M797" s="8">
        <f>15338400</f>
        <v>15338400</v>
      </c>
      <c r="N797" s="6" t="s">
        <v>1494</v>
      </c>
      <c r="O797" s="5" t="s">
        <v>639</v>
      </c>
      <c r="P797" s="5" t="s">
        <v>1017</v>
      </c>
      <c r="R797" s="8">
        <f>15338399</f>
        <v>15338399</v>
      </c>
      <c r="S797" s="5" t="s">
        <v>240</v>
      </c>
      <c r="T797" s="5" t="s">
        <v>237</v>
      </c>
      <c r="U797" s="5" t="s">
        <v>238</v>
      </c>
      <c r="V797" s="5" t="s">
        <v>238</v>
      </c>
      <c r="W797" s="5" t="s">
        <v>241</v>
      </c>
      <c r="X797" s="5" t="s">
        <v>276</v>
      </c>
      <c r="Y797" s="5" t="s">
        <v>238</v>
      </c>
      <c r="AB797" s="5" t="s">
        <v>238</v>
      </c>
      <c r="AD797" s="6" t="s">
        <v>238</v>
      </c>
      <c r="AG797" s="6" t="s">
        <v>246</v>
      </c>
      <c r="AH797" s="5" t="s">
        <v>247</v>
      </c>
      <c r="AI797" s="5" t="s">
        <v>248</v>
      </c>
      <c r="AY797" s="5" t="s">
        <v>250</v>
      </c>
      <c r="AZ797" s="5" t="s">
        <v>238</v>
      </c>
      <c r="BA797" s="5" t="s">
        <v>251</v>
      </c>
      <c r="BB797" s="5" t="s">
        <v>238</v>
      </c>
      <c r="BC797" s="5" t="s">
        <v>253</v>
      </c>
      <c r="BD797" s="5" t="s">
        <v>238</v>
      </c>
      <c r="BF797" s="5" t="s">
        <v>238</v>
      </c>
      <c r="BH797" s="5" t="s">
        <v>798</v>
      </c>
      <c r="BI797" s="6" t="s">
        <v>799</v>
      </c>
      <c r="BJ797" s="5" t="s">
        <v>255</v>
      </c>
      <c r="BK797" s="5" t="s">
        <v>256</v>
      </c>
      <c r="BL797" s="5" t="s">
        <v>238</v>
      </c>
      <c r="BM797" s="7">
        <f>0</f>
        <v>0</v>
      </c>
      <c r="BN797" s="8">
        <f>0</f>
        <v>0</v>
      </c>
      <c r="BO797" s="5" t="s">
        <v>257</v>
      </c>
      <c r="BP797" s="5" t="s">
        <v>258</v>
      </c>
      <c r="CD797" s="5" t="s">
        <v>238</v>
      </c>
      <c r="CE797" s="5" t="s">
        <v>238</v>
      </c>
      <c r="CI797" s="5" t="s">
        <v>527</v>
      </c>
      <c r="CJ797" s="5" t="s">
        <v>260</v>
      </c>
      <c r="CK797" s="5" t="s">
        <v>238</v>
      </c>
      <c r="CM797" s="5" t="s">
        <v>1016</v>
      </c>
      <c r="CN797" s="6" t="s">
        <v>262</v>
      </c>
      <c r="CO797" s="5" t="s">
        <v>263</v>
      </c>
      <c r="CP797" s="5" t="s">
        <v>264</v>
      </c>
      <c r="CQ797" s="5" t="s">
        <v>238</v>
      </c>
      <c r="CR797" s="5" t="s">
        <v>238</v>
      </c>
      <c r="CS797" s="5">
        <v>0</v>
      </c>
      <c r="CT797" s="5" t="s">
        <v>265</v>
      </c>
      <c r="CU797" s="5" t="s">
        <v>1360</v>
      </c>
      <c r="CV797" s="5" t="s">
        <v>2508</v>
      </c>
      <c r="CX797" s="8">
        <f>15338400</f>
        <v>15338400</v>
      </c>
      <c r="CY797" s="8">
        <f>0</f>
        <v>0</v>
      </c>
      <c r="DA797" s="5" t="s">
        <v>238</v>
      </c>
      <c r="DB797" s="5" t="s">
        <v>238</v>
      </c>
      <c r="DD797" s="5" t="s">
        <v>238</v>
      </c>
      <c r="DG797" s="5" t="s">
        <v>238</v>
      </c>
      <c r="DH797" s="5" t="s">
        <v>238</v>
      </c>
      <c r="DI797" s="5" t="s">
        <v>238</v>
      </c>
      <c r="DJ797" s="5" t="s">
        <v>238</v>
      </c>
      <c r="DK797" s="5" t="s">
        <v>271</v>
      </c>
      <c r="DL797" s="5" t="s">
        <v>272</v>
      </c>
      <c r="DM797" s="7">
        <f>146.08</f>
        <v>146.08000000000001</v>
      </c>
      <c r="DN797" s="5" t="s">
        <v>238</v>
      </c>
      <c r="DO797" s="5" t="s">
        <v>238</v>
      </c>
      <c r="DP797" s="5" t="s">
        <v>238</v>
      </c>
      <c r="DQ797" s="5" t="s">
        <v>238</v>
      </c>
      <c r="DT797" s="5" t="s">
        <v>2819</v>
      </c>
      <c r="DU797" s="5" t="s">
        <v>310</v>
      </c>
      <c r="HM797" s="5" t="s">
        <v>271</v>
      </c>
      <c r="HP797" s="5" t="s">
        <v>272</v>
      </c>
      <c r="HQ797" s="5" t="s">
        <v>272</v>
      </c>
    </row>
    <row r="798" spans="1:238" x14ac:dyDescent="0.4">
      <c r="A798" s="5">
        <v>890</v>
      </c>
      <c r="B798" s="5">
        <v>1</v>
      </c>
      <c r="C798" s="5">
        <v>1</v>
      </c>
      <c r="D798" s="5" t="s">
        <v>2814</v>
      </c>
      <c r="E798" s="5" t="s">
        <v>277</v>
      </c>
      <c r="F798" s="5" t="s">
        <v>282</v>
      </c>
      <c r="G798" s="5" t="s">
        <v>2491</v>
      </c>
      <c r="H798" s="6" t="s">
        <v>2815</v>
      </c>
      <c r="I798" s="5" t="s">
        <v>2495</v>
      </c>
      <c r="J798" s="7">
        <f>157.8</f>
        <v>157.80000000000001</v>
      </c>
      <c r="K798" s="5" t="s">
        <v>270</v>
      </c>
      <c r="L798" s="8">
        <f>1</f>
        <v>1</v>
      </c>
      <c r="M798" s="8">
        <f>16569000</f>
        <v>16569000</v>
      </c>
      <c r="N798" s="6" t="s">
        <v>857</v>
      </c>
      <c r="O798" s="5" t="s">
        <v>639</v>
      </c>
      <c r="P798" s="5" t="s">
        <v>861</v>
      </c>
      <c r="R798" s="8">
        <f>16568999</f>
        <v>16568999</v>
      </c>
      <c r="S798" s="5" t="s">
        <v>240</v>
      </c>
      <c r="T798" s="5" t="s">
        <v>237</v>
      </c>
      <c r="U798" s="5" t="s">
        <v>238</v>
      </c>
      <c r="V798" s="5" t="s">
        <v>238</v>
      </c>
      <c r="W798" s="5" t="s">
        <v>241</v>
      </c>
      <c r="X798" s="5" t="s">
        <v>276</v>
      </c>
      <c r="Y798" s="5" t="s">
        <v>238</v>
      </c>
      <c r="AB798" s="5" t="s">
        <v>238</v>
      </c>
      <c r="AD798" s="6" t="s">
        <v>238</v>
      </c>
      <c r="AG798" s="6" t="s">
        <v>246</v>
      </c>
      <c r="AH798" s="5" t="s">
        <v>247</v>
      </c>
      <c r="AI798" s="5" t="s">
        <v>248</v>
      </c>
      <c r="AY798" s="5" t="s">
        <v>250</v>
      </c>
      <c r="AZ798" s="5" t="s">
        <v>238</v>
      </c>
      <c r="BA798" s="5" t="s">
        <v>251</v>
      </c>
      <c r="BB798" s="5" t="s">
        <v>238</v>
      </c>
      <c r="BC798" s="5" t="s">
        <v>253</v>
      </c>
      <c r="BD798" s="5" t="s">
        <v>238</v>
      </c>
      <c r="BF798" s="5" t="s">
        <v>238</v>
      </c>
      <c r="BH798" s="5" t="s">
        <v>254</v>
      </c>
      <c r="BI798" s="6" t="s">
        <v>246</v>
      </c>
      <c r="BJ798" s="5" t="s">
        <v>255</v>
      </c>
      <c r="BK798" s="5" t="s">
        <v>256</v>
      </c>
      <c r="BL798" s="5" t="s">
        <v>238</v>
      </c>
      <c r="BM798" s="7">
        <f>0</f>
        <v>0</v>
      </c>
      <c r="BN798" s="8">
        <f>0</f>
        <v>0</v>
      </c>
      <c r="BO798" s="5" t="s">
        <v>257</v>
      </c>
      <c r="BP798" s="5" t="s">
        <v>258</v>
      </c>
      <c r="CD798" s="5" t="s">
        <v>238</v>
      </c>
      <c r="CE798" s="5" t="s">
        <v>238</v>
      </c>
      <c r="CI798" s="5" t="s">
        <v>527</v>
      </c>
      <c r="CJ798" s="5" t="s">
        <v>260</v>
      </c>
      <c r="CK798" s="5" t="s">
        <v>238</v>
      </c>
      <c r="CM798" s="5" t="s">
        <v>860</v>
      </c>
      <c r="CN798" s="6" t="s">
        <v>262</v>
      </c>
      <c r="CO798" s="5" t="s">
        <v>263</v>
      </c>
      <c r="CP798" s="5" t="s">
        <v>264</v>
      </c>
      <c r="CQ798" s="5" t="s">
        <v>238</v>
      </c>
      <c r="CR798" s="5" t="s">
        <v>238</v>
      </c>
      <c r="CS798" s="5">
        <v>0</v>
      </c>
      <c r="CT798" s="5" t="s">
        <v>265</v>
      </c>
      <c r="CU798" s="5" t="s">
        <v>1360</v>
      </c>
      <c r="CV798" s="5" t="s">
        <v>2508</v>
      </c>
      <c r="CX798" s="8">
        <f>16569000</f>
        <v>16569000</v>
      </c>
      <c r="CY798" s="8">
        <f>0</f>
        <v>0</v>
      </c>
      <c r="DA798" s="5" t="s">
        <v>238</v>
      </c>
      <c r="DB798" s="5" t="s">
        <v>238</v>
      </c>
      <c r="DD798" s="5" t="s">
        <v>238</v>
      </c>
      <c r="DG798" s="5" t="s">
        <v>238</v>
      </c>
      <c r="DH798" s="5" t="s">
        <v>238</v>
      </c>
      <c r="DI798" s="5" t="s">
        <v>238</v>
      </c>
      <c r="DJ798" s="5" t="s">
        <v>238</v>
      </c>
      <c r="DK798" s="5" t="s">
        <v>271</v>
      </c>
      <c r="DL798" s="5" t="s">
        <v>272</v>
      </c>
      <c r="DM798" s="7">
        <f>157.8</f>
        <v>157.80000000000001</v>
      </c>
      <c r="DN798" s="5" t="s">
        <v>238</v>
      </c>
      <c r="DO798" s="5" t="s">
        <v>238</v>
      </c>
      <c r="DP798" s="5" t="s">
        <v>238</v>
      </c>
      <c r="DQ798" s="5" t="s">
        <v>238</v>
      </c>
      <c r="DT798" s="5" t="s">
        <v>2816</v>
      </c>
      <c r="DU798" s="5" t="s">
        <v>271</v>
      </c>
      <c r="HM798" s="5" t="s">
        <v>271</v>
      </c>
      <c r="HP798" s="5" t="s">
        <v>272</v>
      </c>
      <c r="HQ798" s="5" t="s">
        <v>272</v>
      </c>
    </row>
    <row r="799" spans="1:238" x14ac:dyDescent="0.4">
      <c r="A799" s="5">
        <v>891</v>
      </c>
      <c r="B799" s="5">
        <v>1</v>
      </c>
      <c r="C799" s="5">
        <v>1</v>
      </c>
      <c r="D799" s="5" t="s">
        <v>2814</v>
      </c>
      <c r="E799" s="5" t="s">
        <v>277</v>
      </c>
      <c r="F799" s="5" t="s">
        <v>282</v>
      </c>
      <c r="G799" s="5" t="s">
        <v>2491</v>
      </c>
      <c r="H799" s="6" t="s">
        <v>2815</v>
      </c>
      <c r="I799" s="5" t="s">
        <v>2505</v>
      </c>
      <c r="J799" s="7">
        <f>146.08</f>
        <v>146.08000000000001</v>
      </c>
      <c r="K799" s="5" t="s">
        <v>270</v>
      </c>
      <c r="L799" s="8">
        <f>1</f>
        <v>1</v>
      </c>
      <c r="M799" s="8">
        <f>15338400</f>
        <v>15338400</v>
      </c>
      <c r="N799" s="6" t="s">
        <v>857</v>
      </c>
      <c r="O799" s="5" t="s">
        <v>639</v>
      </c>
      <c r="P799" s="5" t="s">
        <v>861</v>
      </c>
      <c r="R799" s="8">
        <f>15338399</f>
        <v>15338399</v>
      </c>
      <c r="S799" s="5" t="s">
        <v>240</v>
      </c>
      <c r="T799" s="5" t="s">
        <v>237</v>
      </c>
      <c r="U799" s="5" t="s">
        <v>238</v>
      </c>
      <c r="V799" s="5" t="s">
        <v>238</v>
      </c>
      <c r="W799" s="5" t="s">
        <v>241</v>
      </c>
      <c r="X799" s="5" t="s">
        <v>276</v>
      </c>
      <c r="Y799" s="5" t="s">
        <v>238</v>
      </c>
      <c r="AB799" s="5" t="s">
        <v>238</v>
      </c>
      <c r="AD799" s="6" t="s">
        <v>238</v>
      </c>
      <c r="AG799" s="6" t="s">
        <v>246</v>
      </c>
      <c r="AH799" s="5" t="s">
        <v>247</v>
      </c>
      <c r="AI799" s="5" t="s">
        <v>248</v>
      </c>
      <c r="AY799" s="5" t="s">
        <v>250</v>
      </c>
      <c r="AZ799" s="5" t="s">
        <v>238</v>
      </c>
      <c r="BA799" s="5" t="s">
        <v>251</v>
      </c>
      <c r="BB799" s="5" t="s">
        <v>238</v>
      </c>
      <c r="BC799" s="5" t="s">
        <v>253</v>
      </c>
      <c r="BD799" s="5" t="s">
        <v>238</v>
      </c>
      <c r="BF799" s="5" t="s">
        <v>238</v>
      </c>
      <c r="BH799" s="5" t="s">
        <v>859</v>
      </c>
      <c r="BI799" s="6" t="s">
        <v>368</v>
      </c>
      <c r="BJ799" s="5" t="s">
        <v>255</v>
      </c>
      <c r="BK799" s="5" t="s">
        <v>256</v>
      </c>
      <c r="BL799" s="5" t="s">
        <v>238</v>
      </c>
      <c r="BM799" s="7">
        <f>0</f>
        <v>0</v>
      </c>
      <c r="BN799" s="8">
        <f>0</f>
        <v>0</v>
      </c>
      <c r="BO799" s="5" t="s">
        <v>257</v>
      </c>
      <c r="BP799" s="5" t="s">
        <v>258</v>
      </c>
      <c r="CD799" s="5" t="s">
        <v>238</v>
      </c>
      <c r="CE799" s="5" t="s">
        <v>238</v>
      </c>
      <c r="CI799" s="5" t="s">
        <v>527</v>
      </c>
      <c r="CJ799" s="5" t="s">
        <v>260</v>
      </c>
      <c r="CK799" s="5" t="s">
        <v>238</v>
      </c>
      <c r="CM799" s="5" t="s">
        <v>860</v>
      </c>
      <c r="CN799" s="6" t="s">
        <v>262</v>
      </c>
      <c r="CO799" s="5" t="s">
        <v>263</v>
      </c>
      <c r="CP799" s="5" t="s">
        <v>264</v>
      </c>
      <c r="CQ799" s="5" t="s">
        <v>238</v>
      </c>
      <c r="CR799" s="5" t="s">
        <v>238</v>
      </c>
      <c r="CS799" s="5">
        <v>0</v>
      </c>
      <c r="CT799" s="5" t="s">
        <v>265</v>
      </c>
      <c r="CU799" s="5" t="s">
        <v>1360</v>
      </c>
      <c r="CV799" s="5" t="s">
        <v>2508</v>
      </c>
      <c r="CX799" s="8">
        <f>15338400</f>
        <v>15338400</v>
      </c>
      <c r="CY799" s="8">
        <f>0</f>
        <v>0</v>
      </c>
      <c r="DA799" s="5" t="s">
        <v>238</v>
      </c>
      <c r="DB799" s="5" t="s">
        <v>238</v>
      </c>
      <c r="DD799" s="5" t="s">
        <v>238</v>
      </c>
      <c r="DG799" s="5" t="s">
        <v>238</v>
      </c>
      <c r="DH799" s="5" t="s">
        <v>238</v>
      </c>
      <c r="DI799" s="5" t="s">
        <v>238</v>
      </c>
      <c r="DJ799" s="5" t="s">
        <v>238</v>
      </c>
      <c r="DK799" s="5" t="s">
        <v>271</v>
      </c>
      <c r="DL799" s="5" t="s">
        <v>272</v>
      </c>
      <c r="DM799" s="7">
        <f>146.08</f>
        <v>146.08000000000001</v>
      </c>
      <c r="DN799" s="5" t="s">
        <v>238</v>
      </c>
      <c r="DO799" s="5" t="s">
        <v>238</v>
      </c>
      <c r="DP799" s="5" t="s">
        <v>238</v>
      </c>
      <c r="DQ799" s="5" t="s">
        <v>238</v>
      </c>
      <c r="DT799" s="5" t="s">
        <v>2816</v>
      </c>
      <c r="DU799" s="5" t="s">
        <v>274</v>
      </c>
      <c r="HM799" s="5" t="s">
        <v>271</v>
      </c>
      <c r="HP799" s="5" t="s">
        <v>272</v>
      </c>
      <c r="HQ799" s="5" t="s">
        <v>272</v>
      </c>
    </row>
    <row r="800" spans="1:238" x14ac:dyDescent="0.4">
      <c r="A800" s="5">
        <v>892</v>
      </c>
      <c r="B800" s="5">
        <v>1</v>
      </c>
      <c r="C800" s="5">
        <v>1</v>
      </c>
      <c r="D800" s="5" t="s">
        <v>2814</v>
      </c>
      <c r="E800" s="5" t="s">
        <v>277</v>
      </c>
      <c r="F800" s="5" t="s">
        <v>282</v>
      </c>
      <c r="G800" s="5" t="s">
        <v>2491</v>
      </c>
      <c r="H800" s="6" t="s">
        <v>2815</v>
      </c>
      <c r="I800" s="5" t="s">
        <v>2504</v>
      </c>
      <c r="J800" s="7">
        <f>146.08</f>
        <v>146.08000000000001</v>
      </c>
      <c r="K800" s="5" t="s">
        <v>270</v>
      </c>
      <c r="L800" s="8">
        <f>1</f>
        <v>1</v>
      </c>
      <c r="M800" s="8">
        <f>15338400</f>
        <v>15338400</v>
      </c>
      <c r="N800" s="6" t="s">
        <v>857</v>
      </c>
      <c r="O800" s="5" t="s">
        <v>639</v>
      </c>
      <c r="P800" s="5" t="s">
        <v>861</v>
      </c>
      <c r="R800" s="8">
        <f>15338399</f>
        <v>15338399</v>
      </c>
      <c r="S800" s="5" t="s">
        <v>240</v>
      </c>
      <c r="T800" s="5" t="s">
        <v>237</v>
      </c>
      <c r="U800" s="5" t="s">
        <v>238</v>
      </c>
      <c r="V800" s="5" t="s">
        <v>238</v>
      </c>
      <c r="W800" s="5" t="s">
        <v>241</v>
      </c>
      <c r="X800" s="5" t="s">
        <v>276</v>
      </c>
      <c r="Y800" s="5" t="s">
        <v>238</v>
      </c>
      <c r="AB800" s="5" t="s">
        <v>238</v>
      </c>
      <c r="AD800" s="6" t="s">
        <v>238</v>
      </c>
      <c r="AG800" s="6" t="s">
        <v>246</v>
      </c>
      <c r="AH800" s="5" t="s">
        <v>247</v>
      </c>
      <c r="AI800" s="5" t="s">
        <v>248</v>
      </c>
      <c r="AY800" s="5" t="s">
        <v>250</v>
      </c>
      <c r="AZ800" s="5" t="s">
        <v>238</v>
      </c>
      <c r="BA800" s="5" t="s">
        <v>251</v>
      </c>
      <c r="BB800" s="5" t="s">
        <v>238</v>
      </c>
      <c r="BC800" s="5" t="s">
        <v>253</v>
      </c>
      <c r="BD800" s="5" t="s">
        <v>238</v>
      </c>
      <c r="BF800" s="5" t="s">
        <v>238</v>
      </c>
      <c r="BH800" s="5" t="s">
        <v>697</v>
      </c>
      <c r="BI800" s="6" t="s">
        <v>698</v>
      </c>
      <c r="BJ800" s="5" t="s">
        <v>255</v>
      </c>
      <c r="BK800" s="5" t="s">
        <v>256</v>
      </c>
      <c r="BL800" s="5" t="s">
        <v>238</v>
      </c>
      <c r="BM800" s="7">
        <f>0</f>
        <v>0</v>
      </c>
      <c r="BN800" s="8">
        <f>0</f>
        <v>0</v>
      </c>
      <c r="BO800" s="5" t="s">
        <v>257</v>
      </c>
      <c r="BP800" s="5" t="s">
        <v>258</v>
      </c>
      <c r="CD800" s="5" t="s">
        <v>238</v>
      </c>
      <c r="CE800" s="5" t="s">
        <v>238</v>
      </c>
      <c r="CI800" s="5" t="s">
        <v>527</v>
      </c>
      <c r="CJ800" s="5" t="s">
        <v>260</v>
      </c>
      <c r="CK800" s="5" t="s">
        <v>238</v>
      </c>
      <c r="CM800" s="5" t="s">
        <v>860</v>
      </c>
      <c r="CN800" s="6" t="s">
        <v>262</v>
      </c>
      <c r="CO800" s="5" t="s">
        <v>263</v>
      </c>
      <c r="CP800" s="5" t="s">
        <v>264</v>
      </c>
      <c r="CQ800" s="5" t="s">
        <v>238</v>
      </c>
      <c r="CR800" s="5" t="s">
        <v>238</v>
      </c>
      <c r="CS800" s="5">
        <v>0</v>
      </c>
      <c r="CT800" s="5" t="s">
        <v>265</v>
      </c>
      <c r="CU800" s="5" t="s">
        <v>1360</v>
      </c>
      <c r="CV800" s="5" t="s">
        <v>2508</v>
      </c>
      <c r="CX800" s="8">
        <f>15338400</f>
        <v>15338400</v>
      </c>
      <c r="CY800" s="8">
        <f>0</f>
        <v>0</v>
      </c>
      <c r="DA800" s="5" t="s">
        <v>238</v>
      </c>
      <c r="DB800" s="5" t="s">
        <v>238</v>
      </c>
      <c r="DD800" s="5" t="s">
        <v>238</v>
      </c>
      <c r="DG800" s="5" t="s">
        <v>238</v>
      </c>
      <c r="DH800" s="5" t="s">
        <v>238</v>
      </c>
      <c r="DI800" s="5" t="s">
        <v>238</v>
      </c>
      <c r="DJ800" s="5" t="s">
        <v>238</v>
      </c>
      <c r="DK800" s="5" t="s">
        <v>271</v>
      </c>
      <c r="DL800" s="5" t="s">
        <v>272</v>
      </c>
      <c r="DM800" s="7">
        <f>146.08</f>
        <v>146.08000000000001</v>
      </c>
      <c r="DN800" s="5" t="s">
        <v>238</v>
      </c>
      <c r="DO800" s="5" t="s">
        <v>238</v>
      </c>
      <c r="DP800" s="5" t="s">
        <v>238</v>
      </c>
      <c r="DQ800" s="5" t="s">
        <v>238</v>
      </c>
      <c r="DT800" s="5" t="s">
        <v>2816</v>
      </c>
      <c r="DU800" s="5" t="s">
        <v>356</v>
      </c>
      <c r="HM800" s="5" t="s">
        <v>271</v>
      </c>
      <c r="HP800" s="5" t="s">
        <v>272</v>
      </c>
      <c r="HQ800" s="5" t="s">
        <v>272</v>
      </c>
    </row>
    <row r="801" spans="1:238" x14ac:dyDescent="0.4">
      <c r="A801" s="5">
        <v>893</v>
      </c>
      <c r="B801" s="5">
        <v>1</v>
      </c>
      <c r="C801" s="5">
        <v>1</v>
      </c>
      <c r="D801" s="5" t="s">
        <v>2814</v>
      </c>
      <c r="E801" s="5" t="s">
        <v>277</v>
      </c>
      <c r="F801" s="5" t="s">
        <v>282</v>
      </c>
      <c r="G801" s="5" t="s">
        <v>2491</v>
      </c>
      <c r="H801" s="6" t="s">
        <v>2815</v>
      </c>
      <c r="I801" s="5" t="s">
        <v>2494</v>
      </c>
      <c r="J801" s="7">
        <f>83.14</f>
        <v>83.14</v>
      </c>
      <c r="K801" s="5" t="s">
        <v>270</v>
      </c>
      <c r="L801" s="8">
        <f>1</f>
        <v>1</v>
      </c>
      <c r="M801" s="8">
        <f>8729700</f>
        <v>8729700</v>
      </c>
      <c r="N801" s="6" t="s">
        <v>1353</v>
      </c>
      <c r="O801" s="5" t="s">
        <v>639</v>
      </c>
      <c r="P801" s="5" t="s">
        <v>965</v>
      </c>
      <c r="R801" s="8">
        <f>8729699</f>
        <v>8729699</v>
      </c>
      <c r="S801" s="5" t="s">
        <v>240</v>
      </c>
      <c r="T801" s="5" t="s">
        <v>237</v>
      </c>
      <c r="U801" s="5" t="s">
        <v>238</v>
      </c>
      <c r="V801" s="5" t="s">
        <v>238</v>
      </c>
      <c r="W801" s="5" t="s">
        <v>241</v>
      </c>
      <c r="X801" s="5" t="s">
        <v>276</v>
      </c>
      <c r="Y801" s="5" t="s">
        <v>238</v>
      </c>
      <c r="AB801" s="5" t="s">
        <v>238</v>
      </c>
      <c r="AD801" s="6" t="s">
        <v>238</v>
      </c>
      <c r="AG801" s="6" t="s">
        <v>246</v>
      </c>
      <c r="AH801" s="5" t="s">
        <v>247</v>
      </c>
      <c r="AI801" s="5" t="s">
        <v>248</v>
      </c>
      <c r="AY801" s="5" t="s">
        <v>250</v>
      </c>
      <c r="AZ801" s="5" t="s">
        <v>238</v>
      </c>
      <c r="BA801" s="5" t="s">
        <v>251</v>
      </c>
      <c r="BB801" s="5" t="s">
        <v>238</v>
      </c>
      <c r="BC801" s="5" t="s">
        <v>253</v>
      </c>
      <c r="BD801" s="5" t="s">
        <v>238</v>
      </c>
      <c r="BF801" s="5" t="s">
        <v>238</v>
      </c>
      <c r="BH801" s="5" t="s">
        <v>798</v>
      </c>
      <c r="BI801" s="6" t="s">
        <v>799</v>
      </c>
      <c r="BJ801" s="5" t="s">
        <v>255</v>
      </c>
      <c r="BK801" s="5" t="s">
        <v>256</v>
      </c>
      <c r="BL801" s="5" t="s">
        <v>238</v>
      </c>
      <c r="BM801" s="7">
        <f>0</f>
        <v>0</v>
      </c>
      <c r="BN801" s="8">
        <f>0</f>
        <v>0</v>
      </c>
      <c r="BO801" s="5" t="s">
        <v>257</v>
      </c>
      <c r="BP801" s="5" t="s">
        <v>258</v>
      </c>
      <c r="CD801" s="5" t="s">
        <v>238</v>
      </c>
      <c r="CE801" s="5" t="s">
        <v>238</v>
      </c>
      <c r="CI801" s="5" t="s">
        <v>527</v>
      </c>
      <c r="CJ801" s="5" t="s">
        <v>260</v>
      </c>
      <c r="CK801" s="5" t="s">
        <v>238</v>
      </c>
      <c r="CM801" s="5" t="s">
        <v>964</v>
      </c>
      <c r="CN801" s="6" t="s">
        <v>262</v>
      </c>
      <c r="CO801" s="5" t="s">
        <v>263</v>
      </c>
      <c r="CP801" s="5" t="s">
        <v>264</v>
      </c>
      <c r="CQ801" s="5" t="s">
        <v>238</v>
      </c>
      <c r="CR801" s="5" t="s">
        <v>238</v>
      </c>
      <c r="CS801" s="5">
        <v>0</v>
      </c>
      <c r="CT801" s="5" t="s">
        <v>265</v>
      </c>
      <c r="CU801" s="5" t="s">
        <v>1360</v>
      </c>
      <c r="CV801" s="5" t="s">
        <v>2508</v>
      </c>
      <c r="CX801" s="8">
        <f>8729700</f>
        <v>8729700</v>
      </c>
      <c r="CY801" s="8">
        <f>0</f>
        <v>0</v>
      </c>
      <c r="DA801" s="5" t="s">
        <v>238</v>
      </c>
      <c r="DB801" s="5" t="s">
        <v>238</v>
      </c>
      <c r="DD801" s="5" t="s">
        <v>238</v>
      </c>
      <c r="DG801" s="5" t="s">
        <v>238</v>
      </c>
      <c r="DH801" s="5" t="s">
        <v>238</v>
      </c>
      <c r="DI801" s="5" t="s">
        <v>238</v>
      </c>
      <c r="DJ801" s="5" t="s">
        <v>238</v>
      </c>
      <c r="DK801" s="5" t="s">
        <v>271</v>
      </c>
      <c r="DL801" s="5" t="s">
        <v>272</v>
      </c>
      <c r="DM801" s="7">
        <f>83.14</f>
        <v>83.14</v>
      </c>
      <c r="DN801" s="5" t="s">
        <v>238</v>
      </c>
      <c r="DO801" s="5" t="s">
        <v>238</v>
      </c>
      <c r="DP801" s="5" t="s">
        <v>238</v>
      </c>
      <c r="DQ801" s="5" t="s">
        <v>238</v>
      </c>
      <c r="DT801" s="5" t="s">
        <v>2816</v>
      </c>
      <c r="DU801" s="5" t="s">
        <v>310</v>
      </c>
      <c r="HM801" s="5" t="s">
        <v>271</v>
      </c>
      <c r="HP801" s="5" t="s">
        <v>272</v>
      </c>
      <c r="HQ801" s="5" t="s">
        <v>272</v>
      </c>
    </row>
    <row r="802" spans="1:238" x14ac:dyDescent="0.4">
      <c r="A802" s="5">
        <v>894</v>
      </c>
      <c r="B802" s="5">
        <v>1</v>
      </c>
      <c r="C802" s="5">
        <v>1</v>
      </c>
      <c r="D802" s="5" t="s">
        <v>2814</v>
      </c>
      <c r="E802" s="5" t="s">
        <v>277</v>
      </c>
      <c r="F802" s="5" t="s">
        <v>282</v>
      </c>
      <c r="G802" s="5" t="s">
        <v>2491</v>
      </c>
      <c r="H802" s="6" t="s">
        <v>2815</v>
      </c>
      <c r="I802" s="5" t="s">
        <v>2489</v>
      </c>
      <c r="J802" s="7">
        <f>83.14</f>
        <v>83.14</v>
      </c>
      <c r="K802" s="5" t="s">
        <v>270</v>
      </c>
      <c r="L802" s="8">
        <f>1</f>
        <v>1</v>
      </c>
      <c r="M802" s="8">
        <f>8729700</f>
        <v>8729700</v>
      </c>
      <c r="N802" s="6" t="s">
        <v>1353</v>
      </c>
      <c r="O802" s="5" t="s">
        <v>639</v>
      </c>
      <c r="P802" s="5" t="s">
        <v>965</v>
      </c>
      <c r="R802" s="8">
        <f>8729699</f>
        <v>8729699</v>
      </c>
      <c r="S802" s="5" t="s">
        <v>240</v>
      </c>
      <c r="T802" s="5" t="s">
        <v>237</v>
      </c>
      <c r="U802" s="5" t="s">
        <v>238</v>
      </c>
      <c r="V802" s="5" t="s">
        <v>238</v>
      </c>
      <c r="W802" s="5" t="s">
        <v>241</v>
      </c>
      <c r="X802" s="5" t="s">
        <v>276</v>
      </c>
      <c r="Y802" s="5" t="s">
        <v>238</v>
      </c>
      <c r="AB802" s="5" t="s">
        <v>238</v>
      </c>
      <c r="AD802" s="6" t="s">
        <v>238</v>
      </c>
      <c r="AG802" s="6" t="s">
        <v>246</v>
      </c>
      <c r="AH802" s="5" t="s">
        <v>247</v>
      </c>
      <c r="AI802" s="5" t="s">
        <v>248</v>
      </c>
      <c r="AY802" s="5" t="s">
        <v>250</v>
      </c>
      <c r="AZ802" s="5" t="s">
        <v>238</v>
      </c>
      <c r="BA802" s="5" t="s">
        <v>251</v>
      </c>
      <c r="BB802" s="5" t="s">
        <v>238</v>
      </c>
      <c r="BC802" s="5" t="s">
        <v>253</v>
      </c>
      <c r="BD802" s="5" t="s">
        <v>238</v>
      </c>
      <c r="BF802" s="5" t="s">
        <v>238</v>
      </c>
      <c r="BH802" s="5" t="s">
        <v>254</v>
      </c>
      <c r="BI802" s="6" t="s">
        <v>246</v>
      </c>
      <c r="BJ802" s="5" t="s">
        <v>255</v>
      </c>
      <c r="BK802" s="5" t="s">
        <v>256</v>
      </c>
      <c r="BL802" s="5" t="s">
        <v>238</v>
      </c>
      <c r="BM802" s="7">
        <f>0</f>
        <v>0</v>
      </c>
      <c r="BN802" s="8">
        <f>0</f>
        <v>0</v>
      </c>
      <c r="BO802" s="5" t="s">
        <v>257</v>
      </c>
      <c r="BP802" s="5" t="s">
        <v>258</v>
      </c>
      <c r="CD802" s="5" t="s">
        <v>238</v>
      </c>
      <c r="CE802" s="5" t="s">
        <v>238</v>
      </c>
      <c r="CI802" s="5" t="s">
        <v>527</v>
      </c>
      <c r="CJ802" s="5" t="s">
        <v>260</v>
      </c>
      <c r="CK802" s="5" t="s">
        <v>238</v>
      </c>
      <c r="CM802" s="5" t="s">
        <v>964</v>
      </c>
      <c r="CN802" s="6" t="s">
        <v>262</v>
      </c>
      <c r="CO802" s="5" t="s">
        <v>263</v>
      </c>
      <c r="CP802" s="5" t="s">
        <v>264</v>
      </c>
      <c r="CQ802" s="5" t="s">
        <v>238</v>
      </c>
      <c r="CR802" s="5" t="s">
        <v>238</v>
      </c>
      <c r="CS802" s="5">
        <v>0</v>
      </c>
      <c r="CT802" s="5" t="s">
        <v>265</v>
      </c>
      <c r="CU802" s="5" t="s">
        <v>1360</v>
      </c>
      <c r="CV802" s="5" t="s">
        <v>2508</v>
      </c>
      <c r="CX802" s="8">
        <f>8729700</f>
        <v>8729700</v>
      </c>
      <c r="CY802" s="8">
        <f>0</f>
        <v>0</v>
      </c>
      <c r="DA802" s="5" t="s">
        <v>238</v>
      </c>
      <c r="DB802" s="5" t="s">
        <v>238</v>
      </c>
      <c r="DD802" s="5" t="s">
        <v>238</v>
      </c>
      <c r="DG802" s="5" t="s">
        <v>238</v>
      </c>
      <c r="DH802" s="5" t="s">
        <v>238</v>
      </c>
      <c r="DI802" s="5" t="s">
        <v>238</v>
      </c>
      <c r="DJ802" s="5" t="s">
        <v>238</v>
      </c>
      <c r="DK802" s="5" t="s">
        <v>271</v>
      </c>
      <c r="DL802" s="5" t="s">
        <v>272</v>
      </c>
      <c r="DM802" s="7">
        <f>83.14</f>
        <v>83.14</v>
      </c>
      <c r="DN802" s="5" t="s">
        <v>238</v>
      </c>
      <c r="DO802" s="5" t="s">
        <v>238</v>
      </c>
      <c r="DP802" s="5" t="s">
        <v>238</v>
      </c>
      <c r="DQ802" s="5" t="s">
        <v>238</v>
      </c>
      <c r="DT802" s="5" t="s">
        <v>2816</v>
      </c>
      <c r="DU802" s="5" t="s">
        <v>379</v>
      </c>
      <c r="HM802" s="5" t="s">
        <v>271</v>
      </c>
      <c r="HP802" s="5" t="s">
        <v>272</v>
      </c>
      <c r="HQ802" s="5" t="s">
        <v>272</v>
      </c>
    </row>
    <row r="803" spans="1:238" x14ac:dyDescent="0.4">
      <c r="A803" s="5">
        <v>895</v>
      </c>
      <c r="B803" s="5">
        <v>1</v>
      </c>
      <c r="C803" s="5">
        <v>1</v>
      </c>
      <c r="D803" s="5" t="s">
        <v>2814</v>
      </c>
      <c r="E803" s="5" t="s">
        <v>277</v>
      </c>
      <c r="F803" s="5" t="s">
        <v>282</v>
      </c>
      <c r="G803" s="5" t="s">
        <v>2491</v>
      </c>
      <c r="H803" s="6" t="s">
        <v>2815</v>
      </c>
      <c r="I803" s="5" t="s">
        <v>2520</v>
      </c>
      <c r="J803" s="7">
        <f>83.14</f>
        <v>83.14</v>
      </c>
      <c r="K803" s="5" t="s">
        <v>270</v>
      </c>
      <c r="L803" s="8">
        <f>1</f>
        <v>1</v>
      </c>
      <c r="M803" s="8">
        <f>8729700</f>
        <v>8729700</v>
      </c>
      <c r="N803" s="6" t="s">
        <v>1353</v>
      </c>
      <c r="O803" s="5" t="s">
        <v>639</v>
      </c>
      <c r="P803" s="5" t="s">
        <v>965</v>
      </c>
      <c r="R803" s="8">
        <f>8729699</f>
        <v>8729699</v>
      </c>
      <c r="S803" s="5" t="s">
        <v>240</v>
      </c>
      <c r="T803" s="5" t="s">
        <v>237</v>
      </c>
      <c r="U803" s="5" t="s">
        <v>238</v>
      </c>
      <c r="V803" s="5" t="s">
        <v>238</v>
      </c>
      <c r="W803" s="5" t="s">
        <v>241</v>
      </c>
      <c r="X803" s="5" t="s">
        <v>276</v>
      </c>
      <c r="Y803" s="5" t="s">
        <v>238</v>
      </c>
      <c r="AB803" s="5" t="s">
        <v>238</v>
      </c>
      <c r="AD803" s="6" t="s">
        <v>238</v>
      </c>
      <c r="AG803" s="6" t="s">
        <v>374</v>
      </c>
      <c r="AH803" s="5" t="s">
        <v>247</v>
      </c>
      <c r="AI803" s="5" t="s">
        <v>248</v>
      </c>
      <c r="AY803" s="5" t="s">
        <v>250</v>
      </c>
      <c r="AZ803" s="5" t="s">
        <v>238</v>
      </c>
      <c r="BA803" s="5" t="s">
        <v>251</v>
      </c>
      <c r="BB803" s="5" t="s">
        <v>238</v>
      </c>
      <c r="BC803" s="5" t="s">
        <v>253</v>
      </c>
      <c r="BD803" s="5" t="s">
        <v>238</v>
      </c>
      <c r="BF803" s="5" t="s">
        <v>238</v>
      </c>
      <c r="BH803" s="5" t="s">
        <v>697</v>
      </c>
      <c r="BI803" s="6" t="s">
        <v>374</v>
      </c>
      <c r="BJ803" s="5" t="s">
        <v>255</v>
      </c>
      <c r="BK803" s="5" t="s">
        <v>256</v>
      </c>
      <c r="BL803" s="5" t="s">
        <v>238</v>
      </c>
      <c r="BM803" s="7">
        <f>0</f>
        <v>0</v>
      </c>
      <c r="BN803" s="8">
        <f>0</f>
        <v>0</v>
      </c>
      <c r="BO803" s="5" t="s">
        <v>257</v>
      </c>
      <c r="BP803" s="5" t="s">
        <v>258</v>
      </c>
      <c r="CD803" s="5" t="s">
        <v>238</v>
      </c>
      <c r="CE803" s="5" t="s">
        <v>238</v>
      </c>
      <c r="CI803" s="5" t="s">
        <v>527</v>
      </c>
      <c r="CJ803" s="5" t="s">
        <v>260</v>
      </c>
      <c r="CK803" s="5" t="s">
        <v>238</v>
      </c>
      <c r="CM803" s="5" t="s">
        <v>964</v>
      </c>
      <c r="CN803" s="6" t="s">
        <v>262</v>
      </c>
      <c r="CO803" s="5" t="s">
        <v>263</v>
      </c>
      <c r="CP803" s="5" t="s">
        <v>264</v>
      </c>
      <c r="CQ803" s="5" t="s">
        <v>238</v>
      </c>
      <c r="CR803" s="5" t="s">
        <v>238</v>
      </c>
      <c r="CS803" s="5">
        <v>0</v>
      </c>
      <c r="CT803" s="5" t="s">
        <v>265</v>
      </c>
      <c r="CU803" s="5" t="s">
        <v>1360</v>
      </c>
      <c r="CV803" s="5" t="s">
        <v>2508</v>
      </c>
      <c r="CX803" s="8">
        <f>8729700</f>
        <v>8729700</v>
      </c>
      <c r="CY803" s="8">
        <f>0</f>
        <v>0</v>
      </c>
      <c r="DA803" s="5" t="s">
        <v>238</v>
      </c>
      <c r="DB803" s="5" t="s">
        <v>238</v>
      </c>
      <c r="DD803" s="5" t="s">
        <v>238</v>
      </c>
      <c r="DG803" s="5" t="s">
        <v>238</v>
      </c>
      <c r="DH803" s="5" t="s">
        <v>238</v>
      </c>
      <c r="DI803" s="5" t="s">
        <v>238</v>
      </c>
      <c r="DJ803" s="5" t="s">
        <v>238</v>
      </c>
      <c r="DK803" s="5" t="s">
        <v>271</v>
      </c>
      <c r="DL803" s="5" t="s">
        <v>272</v>
      </c>
      <c r="DM803" s="7">
        <f>83.14</f>
        <v>83.14</v>
      </c>
      <c r="DN803" s="5" t="s">
        <v>238</v>
      </c>
      <c r="DO803" s="5" t="s">
        <v>238</v>
      </c>
      <c r="DP803" s="5" t="s">
        <v>238</v>
      </c>
      <c r="DQ803" s="5" t="s">
        <v>238</v>
      </c>
      <c r="DT803" s="5" t="s">
        <v>2816</v>
      </c>
      <c r="DU803" s="5" t="s">
        <v>313</v>
      </c>
      <c r="HM803" s="5" t="s">
        <v>271</v>
      </c>
      <c r="HP803" s="5" t="s">
        <v>272</v>
      </c>
      <c r="HQ803" s="5" t="s">
        <v>272</v>
      </c>
    </row>
    <row r="804" spans="1:238" x14ac:dyDescent="0.4">
      <c r="A804" s="5">
        <v>896</v>
      </c>
      <c r="B804" s="5">
        <v>1</v>
      </c>
      <c r="C804" s="5">
        <v>1</v>
      </c>
      <c r="D804" s="5" t="s">
        <v>2814</v>
      </c>
      <c r="E804" s="5" t="s">
        <v>277</v>
      </c>
      <c r="F804" s="5" t="s">
        <v>282</v>
      </c>
      <c r="G804" s="5" t="s">
        <v>2491</v>
      </c>
      <c r="H804" s="6" t="s">
        <v>2815</v>
      </c>
      <c r="I804" s="5" t="s">
        <v>2516</v>
      </c>
      <c r="J804" s="7">
        <f>89.8</f>
        <v>89.8</v>
      </c>
      <c r="K804" s="5" t="s">
        <v>270</v>
      </c>
      <c r="L804" s="8">
        <f>1</f>
        <v>1</v>
      </c>
      <c r="M804" s="8">
        <f>9429000</f>
        <v>9429000</v>
      </c>
      <c r="N804" s="6" t="s">
        <v>1353</v>
      </c>
      <c r="O804" s="5" t="s">
        <v>639</v>
      </c>
      <c r="P804" s="5" t="s">
        <v>965</v>
      </c>
      <c r="R804" s="8">
        <f>9428999</f>
        <v>9428999</v>
      </c>
      <c r="S804" s="5" t="s">
        <v>240</v>
      </c>
      <c r="T804" s="5" t="s">
        <v>237</v>
      </c>
      <c r="U804" s="5" t="s">
        <v>238</v>
      </c>
      <c r="V804" s="5" t="s">
        <v>238</v>
      </c>
      <c r="W804" s="5" t="s">
        <v>241</v>
      </c>
      <c r="X804" s="5" t="s">
        <v>276</v>
      </c>
      <c r="Y804" s="5" t="s">
        <v>238</v>
      </c>
      <c r="AB804" s="5" t="s">
        <v>238</v>
      </c>
      <c r="AD804" s="6" t="s">
        <v>238</v>
      </c>
      <c r="AG804" s="6" t="s">
        <v>374</v>
      </c>
      <c r="AH804" s="5" t="s">
        <v>247</v>
      </c>
      <c r="AI804" s="5" t="s">
        <v>248</v>
      </c>
      <c r="AY804" s="5" t="s">
        <v>250</v>
      </c>
      <c r="AZ804" s="5" t="s">
        <v>238</v>
      </c>
      <c r="BA804" s="5" t="s">
        <v>251</v>
      </c>
      <c r="BB804" s="5" t="s">
        <v>238</v>
      </c>
      <c r="BC804" s="5" t="s">
        <v>253</v>
      </c>
      <c r="BD804" s="5" t="s">
        <v>238</v>
      </c>
      <c r="BF804" s="5" t="s">
        <v>238</v>
      </c>
      <c r="BH804" s="5" t="s">
        <v>697</v>
      </c>
      <c r="BI804" s="6" t="s">
        <v>698</v>
      </c>
      <c r="BJ804" s="5" t="s">
        <v>255</v>
      </c>
      <c r="BK804" s="5" t="s">
        <v>256</v>
      </c>
      <c r="BL804" s="5" t="s">
        <v>238</v>
      </c>
      <c r="BM804" s="7">
        <f>0</f>
        <v>0</v>
      </c>
      <c r="BN804" s="8">
        <f>0</f>
        <v>0</v>
      </c>
      <c r="BO804" s="5" t="s">
        <v>257</v>
      </c>
      <c r="BP804" s="5" t="s">
        <v>258</v>
      </c>
      <c r="CD804" s="5" t="s">
        <v>238</v>
      </c>
      <c r="CE804" s="5" t="s">
        <v>238</v>
      </c>
      <c r="CI804" s="5" t="s">
        <v>527</v>
      </c>
      <c r="CJ804" s="5" t="s">
        <v>260</v>
      </c>
      <c r="CK804" s="5" t="s">
        <v>238</v>
      </c>
      <c r="CM804" s="5" t="s">
        <v>964</v>
      </c>
      <c r="CN804" s="6" t="s">
        <v>262</v>
      </c>
      <c r="CO804" s="5" t="s">
        <v>263</v>
      </c>
      <c r="CP804" s="5" t="s">
        <v>264</v>
      </c>
      <c r="CQ804" s="5" t="s">
        <v>238</v>
      </c>
      <c r="CR804" s="5" t="s">
        <v>238</v>
      </c>
      <c r="CS804" s="5">
        <v>0</v>
      </c>
      <c r="CT804" s="5" t="s">
        <v>265</v>
      </c>
      <c r="CU804" s="5" t="s">
        <v>1360</v>
      </c>
      <c r="CV804" s="5" t="s">
        <v>2508</v>
      </c>
      <c r="CX804" s="8">
        <f>9429000</f>
        <v>9429000</v>
      </c>
      <c r="CY804" s="8">
        <f>0</f>
        <v>0</v>
      </c>
      <c r="DA804" s="5" t="s">
        <v>238</v>
      </c>
      <c r="DB804" s="5" t="s">
        <v>238</v>
      </c>
      <c r="DD804" s="5" t="s">
        <v>238</v>
      </c>
      <c r="DG804" s="5" t="s">
        <v>238</v>
      </c>
      <c r="DH804" s="5" t="s">
        <v>238</v>
      </c>
      <c r="DI804" s="5" t="s">
        <v>238</v>
      </c>
      <c r="DJ804" s="5" t="s">
        <v>238</v>
      </c>
      <c r="DK804" s="5" t="s">
        <v>271</v>
      </c>
      <c r="DL804" s="5" t="s">
        <v>272</v>
      </c>
      <c r="DM804" s="7">
        <f>89.8</f>
        <v>89.8</v>
      </c>
      <c r="DN804" s="5" t="s">
        <v>238</v>
      </c>
      <c r="DO804" s="5" t="s">
        <v>238</v>
      </c>
      <c r="DP804" s="5" t="s">
        <v>238</v>
      </c>
      <c r="DQ804" s="5" t="s">
        <v>238</v>
      </c>
      <c r="DT804" s="5" t="s">
        <v>2816</v>
      </c>
      <c r="DU804" s="5" t="s">
        <v>389</v>
      </c>
      <c r="HM804" s="5" t="s">
        <v>271</v>
      </c>
      <c r="HP804" s="5" t="s">
        <v>272</v>
      </c>
      <c r="HQ804" s="5" t="s">
        <v>272</v>
      </c>
    </row>
    <row r="805" spans="1:238" x14ac:dyDescent="0.4">
      <c r="A805" s="5">
        <v>897</v>
      </c>
      <c r="B805" s="5">
        <v>1</v>
      </c>
      <c r="C805" s="5">
        <v>1</v>
      </c>
      <c r="D805" s="5" t="s">
        <v>2513</v>
      </c>
      <c r="E805" s="5" t="s">
        <v>277</v>
      </c>
      <c r="F805" s="5" t="s">
        <v>282</v>
      </c>
      <c r="G805" s="5" t="s">
        <v>2491</v>
      </c>
      <c r="H805" s="6" t="s">
        <v>2514</v>
      </c>
      <c r="I805" s="5" t="s">
        <v>2495</v>
      </c>
      <c r="J805" s="7">
        <f>332.82</f>
        <v>332.82</v>
      </c>
      <c r="K805" s="5" t="s">
        <v>270</v>
      </c>
      <c r="L805" s="8">
        <f>1</f>
        <v>1</v>
      </c>
      <c r="M805" s="8">
        <f>34946100</f>
        <v>34946100</v>
      </c>
      <c r="N805" s="6" t="s">
        <v>1117</v>
      </c>
      <c r="O805" s="5" t="s">
        <v>639</v>
      </c>
      <c r="P805" s="5" t="s">
        <v>639</v>
      </c>
      <c r="R805" s="8">
        <f>34946099</f>
        <v>34946099</v>
      </c>
      <c r="S805" s="5" t="s">
        <v>240</v>
      </c>
      <c r="T805" s="5" t="s">
        <v>237</v>
      </c>
      <c r="U805" s="5" t="s">
        <v>238</v>
      </c>
      <c r="V805" s="5" t="s">
        <v>238</v>
      </c>
      <c r="W805" s="5" t="s">
        <v>241</v>
      </c>
      <c r="X805" s="5" t="s">
        <v>276</v>
      </c>
      <c r="Y805" s="5" t="s">
        <v>238</v>
      </c>
      <c r="AB805" s="5" t="s">
        <v>238</v>
      </c>
      <c r="AD805" s="6" t="s">
        <v>238</v>
      </c>
      <c r="AG805" s="6" t="s">
        <v>374</v>
      </c>
      <c r="AH805" s="5" t="s">
        <v>247</v>
      </c>
      <c r="AI805" s="5" t="s">
        <v>248</v>
      </c>
      <c r="AY805" s="5" t="s">
        <v>250</v>
      </c>
      <c r="AZ805" s="5" t="s">
        <v>238</v>
      </c>
      <c r="BA805" s="5" t="s">
        <v>251</v>
      </c>
      <c r="BB805" s="5" t="s">
        <v>238</v>
      </c>
      <c r="BC805" s="5" t="s">
        <v>253</v>
      </c>
      <c r="BD805" s="5" t="s">
        <v>238</v>
      </c>
      <c r="BF805" s="5" t="s">
        <v>238</v>
      </c>
      <c r="BH805" s="5" t="s">
        <v>798</v>
      </c>
      <c r="BI805" s="6" t="s">
        <v>799</v>
      </c>
      <c r="BJ805" s="5" t="s">
        <v>255</v>
      </c>
      <c r="BK805" s="5" t="s">
        <v>294</v>
      </c>
      <c r="BL805" s="5" t="s">
        <v>238</v>
      </c>
      <c r="BM805" s="7">
        <f>0</f>
        <v>0</v>
      </c>
      <c r="BN805" s="8">
        <f>0</f>
        <v>0</v>
      </c>
      <c r="BO805" s="5" t="s">
        <v>257</v>
      </c>
      <c r="BP805" s="5" t="s">
        <v>258</v>
      </c>
      <c r="CD805" s="5" t="s">
        <v>238</v>
      </c>
      <c r="CE805" s="5" t="s">
        <v>238</v>
      </c>
      <c r="CI805" s="5" t="s">
        <v>527</v>
      </c>
      <c r="CJ805" s="5" t="s">
        <v>260</v>
      </c>
      <c r="CK805" s="5" t="s">
        <v>238</v>
      </c>
      <c r="CM805" s="5" t="s">
        <v>970</v>
      </c>
      <c r="CN805" s="6" t="s">
        <v>262</v>
      </c>
      <c r="CO805" s="5" t="s">
        <v>263</v>
      </c>
      <c r="CP805" s="5" t="s">
        <v>264</v>
      </c>
      <c r="CQ805" s="5" t="s">
        <v>238</v>
      </c>
      <c r="CR805" s="5" t="s">
        <v>238</v>
      </c>
      <c r="CS805" s="5">
        <v>0</v>
      </c>
      <c r="CT805" s="5" t="s">
        <v>265</v>
      </c>
      <c r="CU805" s="5" t="s">
        <v>1360</v>
      </c>
      <c r="CV805" s="5" t="s">
        <v>2508</v>
      </c>
      <c r="CX805" s="8">
        <f>34946100</f>
        <v>34946100</v>
      </c>
      <c r="CY805" s="8">
        <f>0</f>
        <v>0</v>
      </c>
      <c r="DA805" s="5" t="s">
        <v>238</v>
      </c>
      <c r="DB805" s="5" t="s">
        <v>238</v>
      </c>
      <c r="DD805" s="5" t="s">
        <v>238</v>
      </c>
      <c r="DG805" s="5" t="s">
        <v>238</v>
      </c>
      <c r="DH805" s="5" t="s">
        <v>238</v>
      </c>
      <c r="DI805" s="5" t="s">
        <v>238</v>
      </c>
      <c r="DJ805" s="5" t="s">
        <v>238</v>
      </c>
      <c r="DK805" s="5" t="s">
        <v>274</v>
      </c>
      <c r="DL805" s="5" t="s">
        <v>272</v>
      </c>
      <c r="DM805" s="7">
        <f>332.82</f>
        <v>332.82</v>
      </c>
      <c r="DN805" s="5" t="s">
        <v>238</v>
      </c>
      <c r="DO805" s="5" t="s">
        <v>238</v>
      </c>
      <c r="DP805" s="5" t="s">
        <v>238</v>
      </c>
      <c r="DQ805" s="5" t="s">
        <v>238</v>
      </c>
      <c r="DT805" s="5" t="s">
        <v>2515</v>
      </c>
      <c r="DU805" s="5" t="s">
        <v>271</v>
      </c>
      <c r="HM805" s="5" t="s">
        <v>274</v>
      </c>
      <c r="HP805" s="5" t="s">
        <v>272</v>
      </c>
      <c r="HQ805" s="5" t="s">
        <v>272</v>
      </c>
    </row>
    <row r="806" spans="1:238" x14ac:dyDescent="0.4">
      <c r="A806" s="5">
        <v>898</v>
      </c>
      <c r="B806" s="5">
        <v>1</v>
      </c>
      <c r="C806" s="5">
        <v>1</v>
      </c>
      <c r="D806" s="5" t="s">
        <v>2513</v>
      </c>
      <c r="E806" s="5" t="s">
        <v>277</v>
      </c>
      <c r="F806" s="5" t="s">
        <v>282</v>
      </c>
      <c r="G806" s="5" t="s">
        <v>2491</v>
      </c>
      <c r="H806" s="6" t="s">
        <v>2514</v>
      </c>
      <c r="I806" s="5" t="s">
        <v>2505</v>
      </c>
      <c r="J806" s="7">
        <f>221.88</f>
        <v>221.88</v>
      </c>
      <c r="K806" s="5" t="s">
        <v>270</v>
      </c>
      <c r="L806" s="8">
        <f>1</f>
        <v>1</v>
      </c>
      <c r="M806" s="8">
        <f>23297400</f>
        <v>23297400</v>
      </c>
      <c r="N806" s="6" t="s">
        <v>1117</v>
      </c>
      <c r="O806" s="5" t="s">
        <v>639</v>
      </c>
      <c r="P806" s="5" t="s">
        <v>639</v>
      </c>
      <c r="R806" s="8">
        <f>23297399</f>
        <v>23297399</v>
      </c>
      <c r="S806" s="5" t="s">
        <v>240</v>
      </c>
      <c r="T806" s="5" t="s">
        <v>237</v>
      </c>
      <c r="U806" s="5" t="s">
        <v>238</v>
      </c>
      <c r="V806" s="5" t="s">
        <v>238</v>
      </c>
      <c r="W806" s="5" t="s">
        <v>241</v>
      </c>
      <c r="X806" s="5" t="s">
        <v>276</v>
      </c>
      <c r="Y806" s="5" t="s">
        <v>238</v>
      </c>
      <c r="AB806" s="5" t="s">
        <v>238</v>
      </c>
      <c r="AD806" s="6" t="s">
        <v>238</v>
      </c>
      <c r="AG806" s="6" t="s">
        <v>246</v>
      </c>
      <c r="AH806" s="5" t="s">
        <v>247</v>
      </c>
      <c r="AI806" s="5" t="s">
        <v>248</v>
      </c>
      <c r="AY806" s="5" t="s">
        <v>250</v>
      </c>
      <c r="AZ806" s="5" t="s">
        <v>238</v>
      </c>
      <c r="BA806" s="5" t="s">
        <v>251</v>
      </c>
      <c r="BB806" s="5" t="s">
        <v>238</v>
      </c>
      <c r="BC806" s="5" t="s">
        <v>253</v>
      </c>
      <c r="BD806" s="5" t="s">
        <v>238</v>
      </c>
      <c r="BF806" s="5" t="s">
        <v>238</v>
      </c>
      <c r="BH806" s="5" t="s">
        <v>254</v>
      </c>
      <c r="BI806" s="6" t="s">
        <v>246</v>
      </c>
      <c r="BJ806" s="5" t="s">
        <v>255</v>
      </c>
      <c r="BK806" s="5" t="s">
        <v>294</v>
      </c>
      <c r="BL806" s="5" t="s">
        <v>238</v>
      </c>
      <c r="BM806" s="7">
        <f>0</f>
        <v>0</v>
      </c>
      <c r="BN806" s="8">
        <f>0</f>
        <v>0</v>
      </c>
      <c r="BO806" s="5" t="s">
        <v>257</v>
      </c>
      <c r="BP806" s="5" t="s">
        <v>258</v>
      </c>
      <c r="CD806" s="5" t="s">
        <v>238</v>
      </c>
      <c r="CE806" s="5" t="s">
        <v>238</v>
      </c>
      <c r="CI806" s="5" t="s">
        <v>527</v>
      </c>
      <c r="CJ806" s="5" t="s">
        <v>260</v>
      </c>
      <c r="CK806" s="5" t="s">
        <v>238</v>
      </c>
      <c r="CM806" s="5" t="s">
        <v>970</v>
      </c>
      <c r="CN806" s="6" t="s">
        <v>262</v>
      </c>
      <c r="CO806" s="5" t="s">
        <v>263</v>
      </c>
      <c r="CP806" s="5" t="s">
        <v>264</v>
      </c>
      <c r="CQ806" s="5" t="s">
        <v>238</v>
      </c>
      <c r="CR806" s="5" t="s">
        <v>238</v>
      </c>
      <c r="CS806" s="5">
        <v>0</v>
      </c>
      <c r="CT806" s="5" t="s">
        <v>265</v>
      </c>
      <c r="CU806" s="5" t="s">
        <v>1360</v>
      </c>
      <c r="CV806" s="5" t="s">
        <v>2508</v>
      </c>
      <c r="CX806" s="8">
        <f>23297400</f>
        <v>23297400</v>
      </c>
      <c r="CY806" s="8">
        <f>0</f>
        <v>0</v>
      </c>
      <c r="DA806" s="5" t="s">
        <v>238</v>
      </c>
      <c r="DB806" s="5" t="s">
        <v>238</v>
      </c>
      <c r="DD806" s="5" t="s">
        <v>238</v>
      </c>
      <c r="DG806" s="5" t="s">
        <v>238</v>
      </c>
      <c r="DH806" s="5" t="s">
        <v>238</v>
      </c>
      <c r="DI806" s="5" t="s">
        <v>238</v>
      </c>
      <c r="DJ806" s="5" t="s">
        <v>238</v>
      </c>
      <c r="DK806" s="5" t="s">
        <v>274</v>
      </c>
      <c r="DL806" s="5" t="s">
        <v>272</v>
      </c>
      <c r="DM806" s="7">
        <f>221.88</f>
        <v>221.88</v>
      </c>
      <c r="DN806" s="5" t="s">
        <v>238</v>
      </c>
      <c r="DO806" s="5" t="s">
        <v>238</v>
      </c>
      <c r="DP806" s="5" t="s">
        <v>238</v>
      </c>
      <c r="DQ806" s="5" t="s">
        <v>238</v>
      </c>
      <c r="DT806" s="5" t="s">
        <v>2515</v>
      </c>
      <c r="DU806" s="5" t="s">
        <v>274</v>
      </c>
      <c r="HM806" s="5" t="s">
        <v>274</v>
      </c>
      <c r="HP806" s="5" t="s">
        <v>272</v>
      </c>
      <c r="HQ806" s="5" t="s">
        <v>272</v>
      </c>
    </row>
    <row r="807" spans="1:238" x14ac:dyDescent="0.4">
      <c r="A807" s="5">
        <v>899</v>
      </c>
      <c r="B807" s="5">
        <v>1</v>
      </c>
      <c r="C807" s="5">
        <v>1</v>
      </c>
      <c r="D807" s="5" t="s">
        <v>2513</v>
      </c>
      <c r="E807" s="5" t="s">
        <v>277</v>
      </c>
      <c r="F807" s="5" t="s">
        <v>282</v>
      </c>
      <c r="G807" s="5" t="s">
        <v>2491</v>
      </c>
      <c r="H807" s="6" t="s">
        <v>2514</v>
      </c>
      <c r="I807" s="5" t="s">
        <v>2504</v>
      </c>
      <c r="J807" s="7">
        <f>183.96</f>
        <v>183.96</v>
      </c>
      <c r="K807" s="5" t="s">
        <v>270</v>
      </c>
      <c r="L807" s="8">
        <f>1</f>
        <v>1</v>
      </c>
      <c r="M807" s="8">
        <f>19315800</f>
        <v>19315800</v>
      </c>
      <c r="N807" s="6" t="s">
        <v>1117</v>
      </c>
      <c r="O807" s="5" t="s">
        <v>639</v>
      </c>
      <c r="P807" s="5" t="s">
        <v>639</v>
      </c>
      <c r="R807" s="8">
        <f>19315799</f>
        <v>19315799</v>
      </c>
      <c r="S807" s="5" t="s">
        <v>240</v>
      </c>
      <c r="T807" s="5" t="s">
        <v>237</v>
      </c>
      <c r="U807" s="5" t="s">
        <v>238</v>
      </c>
      <c r="V807" s="5" t="s">
        <v>238</v>
      </c>
      <c r="W807" s="5" t="s">
        <v>241</v>
      </c>
      <c r="X807" s="5" t="s">
        <v>276</v>
      </c>
      <c r="Y807" s="5" t="s">
        <v>238</v>
      </c>
      <c r="AB807" s="5" t="s">
        <v>238</v>
      </c>
      <c r="AD807" s="6" t="s">
        <v>238</v>
      </c>
      <c r="AG807" s="6" t="s">
        <v>246</v>
      </c>
      <c r="AH807" s="5" t="s">
        <v>247</v>
      </c>
      <c r="AI807" s="5" t="s">
        <v>248</v>
      </c>
      <c r="AY807" s="5" t="s">
        <v>250</v>
      </c>
      <c r="AZ807" s="5" t="s">
        <v>238</v>
      </c>
      <c r="BA807" s="5" t="s">
        <v>251</v>
      </c>
      <c r="BB807" s="5" t="s">
        <v>238</v>
      </c>
      <c r="BC807" s="5" t="s">
        <v>253</v>
      </c>
      <c r="BD807" s="5" t="s">
        <v>238</v>
      </c>
      <c r="BF807" s="5" t="s">
        <v>238</v>
      </c>
      <c r="BH807" s="5" t="s">
        <v>859</v>
      </c>
      <c r="BI807" s="6" t="s">
        <v>368</v>
      </c>
      <c r="BJ807" s="5" t="s">
        <v>255</v>
      </c>
      <c r="BK807" s="5" t="s">
        <v>294</v>
      </c>
      <c r="BL807" s="5" t="s">
        <v>238</v>
      </c>
      <c r="BM807" s="7">
        <f>0</f>
        <v>0</v>
      </c>
      <c r="BN807" s="8">
        <f>0</f>
        <v>0</v>
      </c>
      <c r="BO807" s="5" t="s">
        <v>257</v>
      </c>
      <c r="BP807" s="5" t="s">
        <v>258</v>
      </c>
      <c r="CD807" s="5" t="s">
        <v>238</v>
      </c>
      <c r="CE807" s="5" t="s">
        <v>238</v>
      </c>
      <c r="CI807" s="5" t="s">
        <v>527</v>
      </c>
      <c r="CJ807" s="5" t="s">
        <v>260</v>
      </c>
      <c r="CK807" s="5" t="s">
        <v>238</v>
      </c>
      <c r="CM807" s="5" t="s">
        <v>970</v>
      </c>
      <c r="CN807" s="6" t="s">
        <v>262</v>
      </c>
      <c r="CO807" s="5" t="s">
        <v>263</v>
      </c>
      <c r="CP807" s="5" t="s">
        <v>264</v>
      </c>
      <c r="CQ807" s="5" t="s">
        <v>238</v>
      </c>
      <c r="CR807" s="5" t="s">
        <v>238</v>
      </c>
      <c r="CS807" s="5">
        <v>0</v>
      </c>
      <c r="CT807" s="5" t="s">
        <v>265</v>
      </c>
      <c r="CU807" s="5" t="s">
        <v>1360</v>
      </c>
      <c r="CV807" s="5" t="s">
        <v>2508</v>
      </c>
      <c r="CX807" s="8">
        <f>19315800</f>
        <v>19315800</v>
      </c>
      <c r="CY807" s="8">
        <f>0</f>
        <v>0</v>
      </c>
      <c r="DA807" s="5" t="s">
        <v>238</v>
      </c>
      <c r="DB807" s="5" t="s">
        <v>238</v>
      </c>
      <c r="DD807" s="5" t="s">
        <v>238</v>
      </c>
      <c r="DG807" s="5" t="s">
        <v>238</v>
      </c>
      <c r="DH807" s="5" t="s">
        <v>238</v>
      </c>
      <c r="DI807" s="5" t="s">
        <v>238</v>
      </c>
      <c r="DJ807" s="5" t="s">
        <v>238</v>
      </c>
      <c r="DK807" s="5" t="s">
        <v>274</v>
      </c>
      <c r="DL807" s="5" t="s">
        <v>272</v>
      </c>
      <c r="DM807" s="7">
        <f>183.96</f>
        <v>183.96</v>
      </c>
      <c r="DN807" s="5" t="s">
        <v>238</v>
      </c>
      <c r="DO807" s="5" t="s">
        <v>238</v>
      </c>
      <c r="DP807" s="5" t="s">
        <v>238</v>
      </c>
      <c r="DQ807" s="5" t="s">
        <v>238</v>
      </c>
      <c r="DT807" s="5" t="s">
        <v>2515</v>
      </c>
      <c r="DU807" s="5" t="s">
        <v>356</v>
      </c>
      <c r="HM807" s="5" t="s">
        <v>274</v>
      </c>
      <c r="HP807" s="5" t="s">
        <v>272</v>
      </c>
      <c r="HQ807" s="5" t="s">
        <v>272</v>
      </c>
    </row>
    <row r="808" spans="1:238" x14ac:dyDescent="0.4">
      <c r="A808" s="5">
        <v>900</v>
      </c>
      <c r="B808" s="5">
        <v>1</v>
      </c>
      <c r="C808" s="5">
        <v>1</v>
      </c>
      <c r="D808" s="5" t="s">
        <v>2513</v>
      </c>
      <c r="E808" s="5" t="s">
        <v>277</v>
      </c>
      <c r="F808" s="5" t="s">
        <v>282</v>
      </c>
      <c r="G808" s="5" t="s">
        <v>2491</v>
      </c>
      <c r="H808" s="6" t="s">
        <v>2514</v>
      </c>
      <c r="I808" s="5" t="s">
        <v>2494</v>
      </c>
      <c r="J808" s="7">
        <f>429.24</f>
        <v>429.24</v>
      </c>
      <c r="K808" s="5" t="s">
        <v>270</v>
      </c>
      <c r="L808" s="8">
        <f>1</f>
        <v>1</v>
      </c>
      <c r="M808" s="8">
        <f>45070200</f>
        <v>45070200</v>
      </c>
      <c r="N808" s="6" t="s">
        <v>1117</v>
      </c>
      <c r="O808" s="5" t="s">
        <v>639</v>
      </c>
      <c r="P808" s="5" t="s">
        <v>639</v>
      </c>
      <c r="R808" s="8">
        <f>45070199</f>
        <v>45070199</v>
      </c>
      <c r="S808" s="5" t="s">
        <v>240</v>
      </c>
      <c r="T808" s="5" t="s">
        <v>237</v>
      </c>
      <c r="U808" s="5" t="s">
        <v>238</v>
      </c>
      <c r="V808" s="5" t="s">
        <v>238</v>
      </c>
      <c r="W808" s="5" t="s">
        <v>241</v>
      </c>
      <c r="X808" s="5" t="s">
        <v>276</v>
      </c>
      <c r="Y808" s="5" t="s">
        <v>238</v>
      </c>
      <c r="AB808" s="5" t="s">
        <v>238</v>
      </c>
      <c r="AD808" s="6" t="s">
        <v>238</v>
      </c>
      <c r="AG808" s="6" t="s">
        <v>246</v>
      </c>
      <c r="AH808" s="5" t="s">
        <v>247</v>
      </c>
      <c r="AI808" s="5" t="s">
        <v>248</v>
      </c>
      <c r="AY808" s="5" t="s">
        <v>250</v>
      </c>
      <c r="AZ808" s="5" t="s">
        <v>238</v>
      </c>
      <c r="BA808" s="5" t="s">
        <v>251</v>
      </c>
      <c r="BB808" s="5" t="s">
        <v>238</v>
      </c>
      <c r="BC808" s="5" t="s">
        <v>253</v>
      </c>
      <c r="BD808" s="5" t="s">
        <v>238</v>
      </c>
      <c r="BF808" s="5" t="s">
        <v>238</v>
      </c>
      <c r="BH808" s="5" t="s">
        <v>697</v>
      </c>
      <c r="BI808" s="6" t="s">
        <v>698</v>
      </c>
      <c r="BJ808" s="5" t="s">
        <v>255</v>
      </c>
      <c r="BK808" s="5" t="s">
        <v>294</v>
      </c>
      <c r="BL808" s="5" t="s">
        <v>238</v>
      </c>
      <c r="BM808" s="7">
        <f>0</f>
        <v>0</v>
      </c>
      <c r="BN808" s="8">
        <f>0</f>
        <v>0</v>
      </c>
      <c r="BO808" s="5" t="s">
        <v>257</v>
      </c>
      <c r="BP808" s="5" t="s">
        <v>258</v>
      </c>
      <c r="CD808" s="5" t="s">
        <v>238</v>
      </c>
      <c r="CE808" s="5" t="s">
        <v>238</v>
      </c>
      <c r="CI808" s="5" t="s">
        <v>527</v>
      </c>
      <c r="CJ808" s="5" t="s">
        <v>260</v>
      </c>
      <c r="CK808" s="5" t="s">
        <v>238</v>
      </c>
      <c r="CM808" s="5" t="s">
        <v>970</v>
      </c>
      <c r="CN808" s="6" t="s">
        <v>262</v>
      </c>
      <c r="CO808" s="5" t="s">
        <v>263</v>
      </c>
      <c r="CP808" s="5" t="s">
        <v>264</v>
      </c>
      <c r="CQ808" s="5" t="s">
        <v>238</v>
      </c>
      <c r="CR808" s="5" t="s">
        <v>238</v>
      </c>
      <c r="CS808" s="5">
        <v>0</v>
      </c>
      <c r="CT808" s="5" t="s">
        <v>265</v>
      </c>
      <c r="CU808" s="5" t="s">
        <v>1360</v>
      </c>
      <c r="CV808" s="5" t="s">
        <v>2508</v>
      </c>
      <c r="CX808" s="8">
        <f>45070200</f>
        <v>45070200</v>
      </c>
      <c r="CY808" s="8">
        <f>0</f>
        <v>0</v>
      </c>
      <c r="DA808" s="5" t="s">
        <v>238</v>
      </c>
      <c r="DB808" s="5" t="s">
        <v>238</v>
      </c>
      <c r="DD808" s="5" t="s">
        <v>238</v>
      </c>
      <c r="DG808" s="5" t="s">
        <v>238</v>
      </c>
      <c r="DH808" s="5" t="s">
        <v>238</v>
      </c>
      <c r="DI808" s="5" t="s">
        <v>238</v>
      </c>
      <c r="DJ808" s="5" t="s">
        <v>238</v>
      </c>
      <c r="DK808" s="5" t="s">
        <v>274</v>
      </c>
      <c r="DL808" s="5" t="s">
        <v>272</v>
      </c>
      <c r="DM808" s="7">
        <f>429.24</f>
        <v>429.24</v>
      </c>
      <c r="DN808" s="5" t="s">
        <v>238</v>
      </c>
      <c r="DO808" s="5" t="s">
        <v>238</v>
      </c>
      <c r="DP808" s="5" t="s">
        <v>238</v>
      </c>
      <c r="DQ808" s="5" t="s">
        <v>238</v>
      </c>
      <c r="DT808" s="5" t="s">
        <v>2515</v>
      </c>
      <c r="DU808" s="5" t="s">
        <v>310</v>
      </c>
      <c r="HM808" s="5" t="s">
        <v>274</v>
      </c>
      <c r="HP808" s="5" t="s">
        <v>272</v>
      </c>
      <c r="HQ808" s="5" t="s">
        <v>272</v>
      </c>
    </row>
    <row r="809" spans="1:238" x14ac:dyDescent="0.4">
      <c r="A809" s="5">
        <v>901</v>
      </c>
      <c r="B809" s="5">
        <v>1</v>
      </c>
      <c r="C809" s="5">
        <v>1</v>
      </c>
      <c r="D809" s="5" t="s">
        <v>2513</v>
      </c>
      <c r="E809" s="5" t="s">
        <v>277</v>
      </c>
      <c r="F809" s="5" t="s">
        <v>282</v>
      </c>
      <c r="G809" s="5" t="s">
        <v>2491</v>
      </c>
      <c r="H809" s="6" t="s">
        <v>2514</v>
      </c>
      <c r="I809" s="5" t="s">
        <v>2489</v>
      </c>
      <c r="J809" s="7">
        <f>263.96</f>
        <v>263.95999999999998</v>
      </c>
      <c r="K809" s="5" t="s">
        <v>270</v>
      </c>
      <c r="L809" s="8">
        <f>1</f>
        <v>1</v>
      </c>
      <c r="M809" s="8">
        <f>27715800</f>
        <v>27715800</v>
      </c>
      <c r="N809" s="6" t="s">
        <v>953</v>
      </c>
      <c r="O809" s="5" t="s">
        <v>639</v>
      </c>
      <c r="P809" s="5" t="s">
        <v>639</v>
      </c>
      <c r="R809" s="8">
        <f>27715799</f>
        <v>27715799</v>
      </c>
      <c r="S809" s="5" t="s">
        <v>240</v>
      </c>
      <c r="T809" s="5" t="s">
        <v>237</v>
      </c>
      <c r="U809" s="5" t="s">
        <v>238</v>
      </c>
      <c r="V809" s="5" t="s">
        <v>238</v>
      </c>
      <c r="W809" s="5" t="s">
        <v>241</v>
      </c>
      <c r="X809" s="5" t="s">
        <v>276</v>
      </c>
      <c r="Y809" s="5" t="s">
        <v>238</v>
      </c>
      <c r="AB809" s="5" t="s">
        <v>238</v>
      </c>
      <c r="AD809" s="6" t="s">
        <v>238</v>
      </c>
      <c r="AG809" s="6" t="s">
        <v>246</v>
      </c>
      <c r="AH809" s="5" t="s">
        <v>247</v>
      </c>
      <c r="AI809" s="5" t="s">
        <v>248</v>
      </c>
      <c r="AY809" s="5" t="s">
        <v>250</v>
      </c>
      <c r="AZ809" s="5" t="s">
        <v>238</v>
      </c>
      <c r="BA809" s="5" t="s">
        <v>251</v>
      </c>
      <c r="BB809" s="5" t="s">
        <v>238</v>
      </c>
      <c r="BC809" s="5" t="s">
        <v>253</v>
      </c>
      <c r="BD809" s="5" t="s">
        <v>238</v>
      </c>
      <c r="BF809" s="5" t="s">
        <v>238</v>
      </c>
      <c r="BH809" s="5" t="s">
        <v>798</v>
      </c>
      <c r="BI809" s="6" t="s">
        <v>799</v>
      </c>
      <c r="BJ809" s="5" t="s">
        <v>255</v>
      </c>
      <c r="BK809" s="5" t="s">
        <v>294</v>
      </c>
      <c r="BL809" s="5" t="s">
        <v>238</v>
      </c>
      <c r="BM809" s="7">
        <f>0</f>
        <v>0</v>
      </c>
      <c r="BN809" s="8">
        <f>0</f>
        <v>0</v>
      </c>
      <c r="BO809" s="5" t="s">
        <v>257</v>
      </c>
      <c r="BP809" s="5" t="s">
        <v>258</v>
      </c>
      <c r="CD809" s="5" t="s">
        <v>238</v>
      </c>
      <c r="CE809" s="5" t="s">
        <v>238</v>
      </c>
      <c r="CI809" s="5" t="s">
        <v>527</v>
      </c>
      <c r="CJ809" s="5" t="s">
        <v>260</v>
      </c>
      <c r="CK809" s="5" t="s">
        <v>238</v>
      </c>
      <c r="CM809" s="5" t="s">
        <v>865</v>
      </c>
      <c r="CN809" s="6" t="s">
        <v>262</v>
      </c>
      <c r="CO809" s="5" t="s">
        <v>263</v>
      </c>
      <c r="CP809" s="5" t="s">
        <v>264</v>
      </c>
      <c r="CQ809" s="5" t="s">
        <v>238</v>
      </c>
      <c r="CR809" s="5" t="s">
        <v>238</v>
      </c>
      <c r="CS809" s="5">
        <v>0</v>
      </c>
      <c r="CT809" s="5" t="s">
        <v>265</v>
      </c>
      <c r="CU809" s="5" t="s">
        <v>1360</v>
      </c>
      <c r="CV809" s="5" t="s">
        <v>2508</v>
      </c>
      <c r="CX809" s="8">
        <f>27715800</f>
        <v>27715800</v>
      </c>
      <c r="CY809" s="8">
        <f>0</f>
        <v>0</v>
      </c>
      <c r="DA809" s="5" t="s">
        <v>238</v>
      </c>
      <c r="DB809" s="5" t="s">
        <v>238</v>
      </c>
      <c r="DD809" s="5" t="s">
        <v>238</v>
      </c>
      <c r="DG809" s="5" t="s">
        <v>238</v>
      </c>
      <c r="DH809" s="5" t="s">
        <v>238</v>
      </c>
      <c r="DI809" s="5" t="s">
        <v>238</v>
      </c>
      <c r="DJ809" s="5" t="s">
        <v>238</v>
      </c>
      <c r="DK809" s="5" t="s">
        <v>274</v>
      </c>
      <c r="DL809" s="5" t="s">
        <v>272</v>
      </c>
      <c r="DM809" s="7">
        <f>263.96</f>
        <v>263.95999999999998</v>
      </c>
      <c r="DN809" s="5" t="s">
        <v>238</v>
      </c>
      <c r="DO809" s="5" t="s">
        <v>238</v>
      </c>
      <c r="DP809" s="5" t="s">
        <v>238</v>
      </c>
      <c r="DQ809" s="5" t="s">
        <v>238</v>
      </c>
      <c r="DT809" s="5" t="s">
        <v>2515</v>
      </c>
      <c r="DU809" s="5" t="s">
        <v>379</v>
      </c>
      <c r="HM809" s="5" t="s">
        <v>356</v>
      </c>
      <c r="HP809" s="5" t="s">
        <v>272</v>
      </c>
      <c r="HQ809" s="5" t="s">
        <v>272</v>
      </c>
    </row>
    <row r="810" spans="1:238" x14ac:dyDescent="0.4">
      <c r="A810" s="5">
        <v>902</v>
      </c>
      <c r="B810" s="5">
        <v>1</v>
      </c>
      <c r="C810" s="5">
        <v>1</v>
      </c>
      <c r="D810" s="5" t="s">
        <v>2510</v>
      </c>
      <c r="E810" s="5" t="s">
        <v>277</v>
      </c>
      <c r="F810" s="5" t="s">
        <v>282</v>
      </c>
      <c r="G810" s="5" t="s">
        <v>2491</v>
      </c>
      <c r="H810" s="6" t="s">
        <v>2511</v>
      </c>
      <c r="I810" s="5" t="s">
        <v>2495</v>
      </c>
      <c r="J810" s="7">
        <f>131.98</f>
        <v>131.97999999999999</v>
      </c>
      <c r="K810" s="5" t="s">
        <v>270</v>
      </c>
      <c r="L810" s="8">
        <f>1</f>
        <v>1</v>
      </c>
      <c r="M810" s="8">
        <f>13857900</f>
        <v>13857900</v>
      </c>
      <c r="N810" s="6" t="s">
        <v>953</v>
      </c>
      <c r="O810" s="5" t="s">
        <v>639</v>
      </c>
      <c r="P810" s="5" t="s">
        <v>639</v>
      </c>
      <c r="R810" s="8">
        <f>13857899</f>
        <v>13857899</v>
      </c>
      <c r="S810" s="5" t="s">
        <v>240</v>
      </c>
      <c r="T810" s="5" t="s">
        <v>237</v>
      </c>
      <c r="U810" s="5" t="s">
        <v>238</v>
      </c>
      <c r="V810" s="5" t="s">
        <v>238</v>
      </c>
      <c r="W810" s="5" t="s">
        <v>241</v>
      </c>
      <c r="X810" s="5" t="s">
        <v>276</v>
      </c>
      <c r="Y810" s="5" t="s">
        <v>238</v>
      </c>
      <c r="AB810" s="5" t="s">
        <v>238</v>
      </c>
      <c r="AD810" s="6" t="s">
        <v>238</v>
      </c>
      <c r="AG810" s="6" t="s">
        <v>246</v>
      </c>
      <c r="AH810" s="5" t="s">
        <v>247</v>
      </c>
      <c r="AI810" s="5" t="s">
        <v>248</v>
      </c>
      <c r="AY810" s="5" t="s">
        <v>250</v>
      </c>
      <c r="AZ810" s="5" t="s">
        <v>238</v>
      </c>
      <c r="BA810" s="5" t="s">
        <v>251</v>
      </c>
      <c r="BB810" s="5" t="s">
        <v>238</v>
      </c>
      <c r="BC810" s="5" t="s">
        <v>253</v>
      </c>
      <c r="BD810" s="5" t="s">
        <v>238</v>
      </c>
      <c r="BF810" s="5" t="s">
        <v>238</v>
      </c>
      <c r="BH810" s="5" t="s">
        <v>254</v>
      </c>
      <c r="BI810" s="6" t="s">
        <v>246</v>
      </c>
      <c r="BJ810" s="5" t="s">
        <v>255</v>
      </c>
      <c r="BK810" s="5" t="s">
        <v>294</v>
      </c>
      <c r="BL810" s="5" t="s">
        <v>238</v>
      </c>
      <c r="BM810" s="7">
        <f>0</f>
        <v>0</v>
      </c>
      <c r="BN810" s="8">
        <f>0</f>
        <v>0</v>
      </c>
      <c r="BO810" s="5" t="s">
        <v>257</v>
      </c>
      <c r="BP810" s="5" t="s">
        <v>258</v>
      </c>
      <c r="CD810" s="5" t="s">
        <v>238</v>
      </c>
      <c r="CE810" s="5" t="s">
        <v>238</v>
      </c>
      <c r="CI810" s="5" t="s">
        <v>527</v>
      </c>
      <c r="CJ810" s="5" t="s">
        <v>260</v>
      </c>
      <c r="CK810" s="5" t="s">
        <v>238</v>
      </c>
      <c r="CM810" s="5" t="s">
        <v>865</v>
      </c>
      <c r="CN810" s="6" t="s">
        <v>262</v>
      </c>
      <c r="CO810" s="5" t="s">
        <v>263</v>
      </c>
      <c r="CP810" s="5" t="s">
        <v>264</v>
      </c>
      <c r="CQ810" s="5" t="s">
        <v>238</v>
      </c>
      <c r="CR810" s="5" t="s">
        <v>238</v>
      </c>
      <c r="CS810" s="5">
        <v>0</v>
      </c>
      <c r="CT810" s="5" t="s">
        <v>265</v>
      </c>
      <c r="CU810" s="5" t="s">
        <v>1360</v>
      </c>
      <c r="CV810" s="5" t="s">
        <v>2508</v>
      </c>
      <c r="CX810" s="8">
        <f>13857900</f>
        <v>13857900</v>
      </c>
      <c r="CY810" s="8">
        <f>0</f>
        <v>0</v>
      </c>
      <c r="DA810" s="5" t="s">
        <v>238</v>
      </c>
      <c r="DB810" s="5" t="s">
        <v>238</v>
      </c>
      <c r="DD810" s="5" t="s">
        <v>238</v>
      </c>
      <c r="DG810" s="5" t="s">
        <v>238</v>
      </c>
      <c r="DH810" s="5" t="s">
        <v>238</v>
      </c>
      <c r="DI810" s="5" t="s">
        <v>238</v>
      </c>
      <c r="DJ810" s="5" t="s">
        <v>238</v>
      </c>
      <c r="DK810" s="5" t="s">
        <v>274</v>
      </c>
      <c r="DL810" s="5" t="s">
        <v>272</v>
      </c>
      <c r="DM810" s="7">
        <f>131.98</f>
        <v>131.97999999999999</v>
      </c>
      <c r="DN810" s="5" t="s">
        <v>238</v>
      </c>
      <c r="DO810" s="5" t="s">
        <v>238</v>
      </c>
      <c r="DP810" s="5" t="s">
        <v>238</v>
      </c>
      <c r="DQ810" s="5" t="s">
        <v>238</v>
      </c>
      <c r="DT810" s="5" t="s">
        <v>2512</v>
      </c>
      <c r="DU810" s="5" t="s">
        <v>271</v>
      </c>
      <c r="HM810" s="5" t="s">
        <v>356</v>
      </c>
      <c r="HP810" s="5" t="s">
        <v>272</v>
      </c>
      <c r="HQ810" s="5" t="s">
        <v>272</v>
      </c>
    </row>
    <row r="811" spans="1:238" x14ac:dyDescent="0.4">
      <c r="A811" s="5">
        <v>903</v>
      </c>
      <c r="B811" s="5">
        <v>1</v>
      </c>
      <c r="C811" s="5">
        <v>1</v>
      </c>
      <c r="D811" s="5" t="s">
        <v>2510</v>
      </c>
      <c r="E811" s="5" t="s">
        <v>277</v>
      </c>
      <c r="F811" s="5" t="s">
        <v>282</v>
      </c>
      <c r="G811" s="5" t="s">
        <v>2491</v>
      </c>
      <c r="H811" s="6" t="s">
        <v>2511</v>
      </c>
      <c r="I811" s="5" t="s">
        <v>2504</v>
      </c>
      <c r="J811" s="7">
        <f>221.88</f>
        <v>221.88</v>
      </c>
      <c r="K811" s="5" t="s">
        <v>270</v>
      </c>
      <c r="L811" s="8">
        <f>1</f>
        <v>1</v>
      </c>
      <c r="M811" s="8">
        <f>23297400</f>
        <v>23297400</v>
      </c>
      <c r="N811" s="6" t="s">
        <v>953</v>
      </c>
      <c r="O811" s="5" t="s">
        <v>639</v>
      </c>
      <c r="P811" s="5" t="s">
        <v>639</v>
      </c>
      <c r="R811" s="8">
        <f>23297399</f>
        <v>23297399</v>
      </c>
      <c r="S811" s="5" t="s">
        <v>240</v>
      </c>
      <c r="T811" s="5" t="s">
        <v>237</v>
      </c>
      <c r="U811" s="5" t="s">
        <v>238</v>
      </c>
      <c r="V811" s="5" t="s">
        <v>238</v>
      </c>
      <c r="W811" s="5" t="s">
        <v>241</v>
      </c>
      <c r="X811" s="5" t="s">
        <v>276</v>
      </c>
      <c r="Y811" s="5" t="s">
        <v>238</v>
      </c>
      <c r="AB811" s="5" t="s">
        <v>238</v>
      </c>
      <c r="AD811" s="6" t="s">
        <v>238</v>
      </c>
      <c r="AG811" s="6" t="s">
        <v>246</v>
      </c>
      <c r="AH811" s="5" t="s">
        <v>247</v>
      </c>
      <c r="AI811" s="5" t="s">
        <v>248</v>
      </c>
      <c r="AY811" s="5" t="s">
        <v>250</v>
      </c>
      <c r="AZ811" s="5" t="s">
        <v>238</v>
      </c>
      <c r="BA811" s="5" t="s">
        <v>251</v>
      </c>
      <c r="BB811" s="5" t="s">
        <v>238</v>
      </c>
      <c r="BC811" s="5" t="s">
        <v>253</v>
      </c>
      <c r="BD811" s="5" t="s">
        <v>238</v>
      </c>
      <c r="BF811" s="5" t="s">
        <v>238</v>
      </c>
      <c r="BH811" s="5" t="s">
        <v>859</v>
      </c>
      <c r="BI811" s="6" t="s">
        <v>368</v>
      </c>
      <c r="BJ811" s="5" t="s">
        <v>255</v>
      </c>
      <c r="BK811" s="5" t="s">
        <v>294</v>
      </c>
      <c r="BL811" s="5" t="s">
        <v>238</v>
      </c>
      <c r="BM811" s="7">
        <f>0</f>
        <v>0</v>
      </c>
      <c r="BN811" s="8">
        <f>0</f>
        <v>0</v>
      </c>
      <c r="BO811" s="5" t="s">
        <v>257</v>
      </c>
      <c r="BP811" s="5" t="s">
        <v>258</v>
      </c>
      <c r="CD811" s="5" t="s">
        <v>238</v>
      </c>
      <c r="CE811" s="5" t="s">
        <v>238</v>
      </c>
      <c r="CI811" s="5" t="s">
        <v>527</v>
      </c>
      <c r="CJ811" s="5" t="s">
        <v>260</v>
      </c>
      <c r="CK811" s="5" t="s">
        <v>238</v>
      </c>
      <c r="CM811" s="5" t="s">
        <v>865</v>
      </c>
      <c r="CN811" s="6" t="s">
        <v>262</v>
      </c>
      <c r="CO811" s="5" t="s">
        <v>263</v>
      </c>
      <c r="CP811" s="5" t="s">
        <v>264</v>
      </c>
      <c r="CQ811" s="5" t="s">
        <v>238</v>
      </c>
      <c r="CR811" s="5" t="s">
        <v>238</v>
      </c>
      <c r="CS811" s="5">
        <v>0</v>
      </c>
      <c r="CT811" s="5" t="s">
        <v>265</v>
      </c>
      <c r="CU811" s="5" t="s">
        <v>1360</v>
      </c>
      <c r="CV811" s="5" t="s">
        <v>2508</v>
      </c>
      <c r="CX811" s="8">
        <f>23297400</f>
        <v>23297400</v>
      </c>
      <c r="CY811" s="8">
        <f>0</f>
        <v>0</v>
      </c>
      <c r="DA811" s="5" t="s">
        <v>238</v>
      </c>
      <c r="DB811" s="5" t="s">
        <v>238</v>
      </c>
      <c r="DD811" s="5" t="s">
        <v>238</v>
      </c>
      <c r="DG811" s="5" t="s">
        <v>238</v>
      </c>
      <c r="DH811" s="5" t="s">
        <v>238</v>
      </c>
      <c r="DI811" s="5" t="s">
        <v>238</v>
      </c>
      <c r="DJ811" s="5" t="s">
        <v>238</v>
      </c>
      <c r="DK811" s="5" t="s">
        <v>274</v>
      </c>
      <c r="DL811" s="5" t="s">
        <v>272</v>
      </c>
      <c r="DM811" s="7">
        <f>221.88</f>
        <v>221.88</v>
      </c>
      <c r="DN811" s="5" t="s">
        <v>238</v>
      </c>
      <c r="DO811" s="5" t="s">
        <v>238</v>
      </c>
      <c r="DP811" s="5" t="s">
        <v>238</v>
      </c>
      <c r="DQ811" s="5" t="s">
        <v>238</v>
      </c>
      <c r="DT811" s="5" t="s">
        <v>2512</v>
      </c>
      <c r="DU811" s="5" t="s">
        <v>274</v>
      </c>
      <c r="HM811" s="5" t="s">
        <v>356</v>
      </c>
      <c r="HP811" s="5" t="s">
        <v>272</v>
      </c>
      <c r="HQ811" s="5" t="s">
        <v>272</v>
      </c>
    </row>
    <row r="812" spans="1:238" x14ac:dyDescent="0.4">
      <c r="A812" s="5">
        <v>904</v>
      </c>
      <c r="B812" s="5">
        <v>1</v>
      </c>
      <c r="C812" s="5">
        <v>1</v>
      </c>
      <c r="D812" s="5" t="s">
        <v>2510</v>
      </c>
      <c r="E812" s="5" t="s">
        <v>277</v>
      </c>
      <c r="F812" s="5" t="s">
        <v>282</v>
      </c>
      <c r="G812" s="5" t="s">
        <v>2491</v>
      </c>
      <c r="H812" s="6" t="s">
        <v>2511</v>
      </c>
      <c r="I812" s="5" t="s">
        <v>2505</v>
      </c>
      <c r="J812" s="7">
        <f>166.41</f>
        <v>166.41</v>
      </c>
      <c r="K812" s="5" t="s">
        <v>270</v>
      </c>
      <c r="L812" s="8">
        <f>1</f>
        <v>1</v>
      </c>
      <c r="M812" s="8">
        <f>17473050</f>
        <v>17473050</v>
      </c>
      <c r="N812" s="6" t="s">
        <v>953</v>
      </c>
      <c r="O812" s="5" t="s">
        <v>639</v>
      </c>
      <c r="P812" s="5" t="s">
        <v>639</v>
      </c>
      <c r="R812" s="8">
        <f>17473049</f>
        <v>17473049</v>
      </c>
      <c r="S812" s="5" t="s">
        <v>240</v>
      </c>
      <c r="T812" s="5" t="s">
        <v>237</v>
      </c>
      <c r="U812" s="5" t="s">
        <v>238</v>
      </c>
      <c r="V812" s="5" t="s">
        <v>238</v>
      </c>
      <c r="W812" s="5" t="s">
        <v>241</v>
      </c>
      <c r="X812" s="5" t="s">
        <v>276</v>
      </c>
      <c r="Y812" s="5" t="s">
        <v>238</v>
      </c>
      <c r="AB812" s="5" t="s">
        <v>238</v>
      </c>
      <c r="AD812" s="6" t="s">
        <v>238</v>
      </c>
      <c r="AG812" s="6" t="s">
        <v>246</v>
      </c>
      <c r="AH812" s="5" t="s">
        <v>247</v>
      </c>
      <c r="AI812" s="5" t="s">
        <v>248</v>
      </c>
      <c r="AY812" s="5" t="s">
        <v>250</v>
      </c>
      <c r="AZ812" s="5" t="s">
        <v>238</v>
      </c>
      <c r="BA812" s="5" t="s">
        <v>251</v>
      </c>
      <c r="BB812" s="5" t="s">
        <v>238</v>
      </c>
      <c r="BC812" s="5" t="s">
        <v>253</v>
      </c>
      <c r="BD812" s="5" t="s">
        <v>238</v>
      </c>
      <c r="BF812" s="5" t="s">
        <v>238</v>
      </c>
      <c r="BH812" s="5" t="s">
        <v>697</v>
      </c>
      <c r="BI812" s="6" t="s">
        <v>698</v>
      </c>
      <c r="BJ812" s="5" t="s">
        <v>255</v>
      </c>
      <c r="BK812" s="5" t="s">
        <v>294</v>
      </c>
      <c r="BL812" s="5" t="s">
        <v>238</v>
      </c>
      <c r="BM812" s="7">
        <f>0</f>
        <v>0</v>
      </c>
      <c r="BN812" s="8">
        <f>0</f>
        <v>0</v>
      </c>
      <c r="BO812" s="5" t="s">
        <v>257</v>
      </c>
      <c r="BP812" s="5" t="s">
        <v>258</v>
      </c>
      <c r="CD812" s="5" t="s">
        <v>238</v>
      </c>
      <c r="CE812" s="5" t="s">
        <v>238</v>
      </c>
      <c r="CI812" s="5" t="s">
        <v>527</v>
      </c>
      <c r="CJ812" s="5" t="s">
        <v>260</v>
      </c>
      <c r="CK812" s="5" t="s">
        <v>238</v>
      </c>
      <c r="CM812" s="5" t="s">
        <v>865</v>
      </c>
      <c r="CN812" s="6" t="s">
        <v>262</v>
      </c>
      <c r="CO812" s="5" t="s">
        <v>263</v>
      </c>
      <c r="CP812" s="5" t="s">
        <v>264</v>
      </c>
      <c r="CQ812" s="5" t="s">
        <v>238</v>
      </c>
      <c r="CR812" s="5" t="s">
        <v>238</v>
      </c>
      <c r="CS812" s="5">
        <v>0</v>
      </c>
      <c r="CT812" s="5" t="s">
        <v>265</v>
      </c>
      <c r="CU812" s="5" t="s">
        <v>1360</v>
      </c>
      <c r="CV812" s="5" t="s">
        <v>2508</v>
      </c>
      <c r="CX812" s="8">
        <f>17473050</f>
        <v>17473050</v>
      </c>
      <c r="CY812" s="8">
        <f>0</f>
        <v>0</v>
      </c>
      <c r="DA812" s="5" t="s">
        <v>238</v>
      </c>
      <c r="DB812" s="5" t="s">
        <v>238</v>
      </c>
      <c r="DD812" s="5" t="s">
        <v>238</v>
      </c>
      <c r="DG812" s="5" t="s">
        <v>238</v>
      </c>
      <c r="DH812" s="5" t="s">
        <v>238</v>
      </c>
      <c r="DI812" s="5" t="s">
        <v>238</v>
      </c>
      <c r="DJ812" s="5" t="s">
        <v>238</v>
      </c>
      <c r="DK812" s="5" t="s">
        <v>274</v>
      </c>
      <c r="DL812" s="5" t="s">
        <v>272</v>
      </c>
      <c r="DM812" s="7">
        <f>166.41</f>
        <v>166.41</v>
      </c>
      <c r="DN812" s="5" t="s">
        <v>238</v>
      </c>
      <c r="DO812" s="5" t="s">
        <v>238</v>
      </c>
      <c r="DP812" s="5" t="s">
        <v>238</v>
      </c>
      <c r="DQ812" s="5" t="s">
        <v>238</v>
      </c>
      <c r="DT812" s="5" t="s">
        <v>2512</v>
      </c>
      <c r="DU812" s="5" t="s">
        <v>356</v>
      </c>
      <c r="HM812" s="5" t="s">
        <v>356</v>
      </c>
      <c r="HP812" s="5" t="s">
        <v>272</v>
      </c>
      <c r="HQ812" s="5" t="s">
        <v>272</v>
      </c>
    </row>
    <row r="813" spans="1:238" x14ac:dyDescent="0.4">
      <c r="A813" s="5">
        <v>905</v>
      </c>
      <c r="B813" s="5">
        <v>1</v>
      </c>
      <c r="C813" s="5">
        <v>1</v>
      </c>
      <c r="D813" s="5" t="s">
        <v>2510</v>
      </c>
      <c r="E813" s="5" t="s">
        <v>277</v>
      </c>
      <c r="F813" s="5" t="s">
        <v>282</v>
      </c>
      <c r="G813" s="5" t="s">
        <v>2491</v>
      </c>
      <c r="H813" s="6" t="s">
        <v>2511</v>
      </c>
      <c r="I813" s="5" t="s">
        <v>2494</v>
      </c>
      <c r="J813" s="7">
        <f>221.88</f>
        <v>221.88</v>
      </c>
      <c r="K813" s="5" t="s">
        <v>270</v>
      </c>
      <c r="L813" s="8">
        <f>1</f>
        <v>1</v>
      </c>
      <c r="M813" s="8">
        <f>23297400</f>
        <v>23297400</v>
      </c>
      <c r="N813" s="6" t="s">
        <v>953</v>
      </c>
      <c r="O813" s="5" t="s">
        <v>639</v>
      </c>
      <c r="P813" s="5" t="s">
        <v>639</v>
      </c>
      <c r="R813" s="8">
        <f>23297399</f>
        <v>23297399</v>
      </c>
      <c r="S813" s="5" t="s">
        <v>240</v>
      </c>
      <c r="T813" s="5" t="s">
        <v>237</v>
      </c>
      <c r="U813" s="5" t="s">
        <v>238</v>
      </c>
      <c r="V813" s="5" t="s">
        <v>238</v>
      </c>
      <c r="W813" s="5" t="s">
        <v>241</v>
      </c>
      <c r="X813" s="5" t="s">
        <v>276</v>
      </c>
      <c r="Y813" s="5" t="s">
        <v>238</v>
      </c>
      <c r="AB813" s="5" t="s">
        <v>238</v>
      </c>
      <c r="AD813" s="6" t="s">
        <v>238</v>
      </c>
      <c r="AG813" s="6" t="s">
        <v>246</v>
      </c>
      <c r="AH813" s="5" t="s">
        <v>247</v>
      </c>
      <c r="AI813" s="5" t="s">
        <v>248</v>
      </c>
      <c r="AY813" s="5" t="s">
        <v>250</v>
      </c>
      <c r="AZ813" s="5" t="s">
        <v>238</v>
      </c>
      <c r="BA813" s="5" t="s">
        <v>251</v>
      </c>
      <c r="BB813" s="5" t="s">
        <v>238</v>
      </c>
      <c r="BC813" s="5" t="s">
        <v>253</v>
      </c>
      <c r="BD813" s="5" t="s">
        <v>238</v>
      </c>
      <c r="BF813" s="5" t="s">
        <v>238</v>
      </c>
      <c r="BH813" s="5" t="s">
        <v>798</v>
      </c>
      <c r="BI813" s="6" t="s">
        <v>799</v>
      </c>
      <c r="BJ813" s="5" t="s">
        <v>255</v>
      </c>
      <c r="BK813" s="5" t="s">
        <v>294</v>
      </c>
      <c r="BL813" s="5" t="s">
        <v>238</v>
      </c>
      <c r="BM813" s="7">
        <f>0</f>
        <v>0</v>
      </c>
      <c r="BN813" s="8">
        <f>0</f>
        <v>0</v>
      </c>
      <c r="BO813" s="5" t="s">
        <v>257</v>
      </c>
      <c r="BP813" s="5" t="s">
        <v>258</v>
      </c>
      <c r="CD813" s="5" t="s">
        <v>238</v>
      </c>
      <c r="CE813" s="5" t="s">
        <v>238</v>
      </c>
      <c r="CI813" s="5" t="s">
        <v>527</v>
      </c>
      <c r="CJ813" s="5" t="s">
        <v>260</v>
      </c>
      <c r="CK813" s="5" t="s">
        <v>238</v>
      </c>
      <c r="CM813" s="5" t="s">
        <v>865</v>
      </c>
      <c r="CN813" s="6" t="s">
        <v>262</v>
      </c>
      <c r="CO813" s="5" t="s">
        <v>263</v>
      </c>
      <c r="CP813" s="5" t="s">
        <v>264</v>
      </c>
      <c r="CQ813" s="5" t="s">
        <v>238</v>
      </c>
      <c r="CR813" s="5" t="s">
        <v>238</v>
      </c>
      <c r="CS813" s="5">
        <v>0</v>
      </c>
      <c r="CT813" s="5" t="s">
        <v>265</v>
      </c>
      <c r="CU813" s="5" t="s">
        <v>1360</v>
      </c>
      <c r="CV813" s="5" t="s">
        <v>2508</v>
      </c>
      <c r="CX813" s="8">
        <f>23297400</f>
        <v>23297400</v>
      </c>
      <c r="CY813" s="8">
        <f>0</f>
        <v>0</v>
      </c>
      <c r="DA813" s="5" t="s">
        <v>238</v>
      </c>
      <c r="DB813" s="5" t="s">
        <v>238</v>
      </c>
      <c r="DD813" s="5" t="s">
        <v>238</v>
      </c>
      <c r="DG813" s="5" t="s">
        <v>238</v>
      </c>
      <c r="DH813" s="5" t="s">
        <v>238</v>
      </c>
      <c r="DI813" s="5" t="s">
        <v>238</v>
      </c>
      <c r="DJ813" s="5" t="s">
        <v>238</v>
      </c>
      <c r="DK813" s="5" t="s">
        <v>274</v>
      </c>
      <c r="DL813" s="5" t="s">
        <v>272</v>
      </c>
      <c r="DM813" s="7">
        <f>221.88</f>
        <v>221.88</v>
      </c>
      <c r="DN813" s="5" t="s">
        <v>238</v>
      </c>
      <c r="DO813" s="5" t="s">
        <v>238</v>
      </c>
      <c r="DP813" s="5" t="s">
        <v>238</v>
      </c>
      <c r="DQ813" s="5" t="s">
        <v>238</v>
      </c>
      <c r="DT813" s="5" t="s">
        <v>2512</v>
      </c>
      <c r="DU813" s="5" t="s">
        <v>310</v>
      </c>
      <c r="HM813" s="5" t="s">
        <v>356</v>
      </c>
      <c r="HP813" s="5" t="s">
        <v>272</v>
      </c>
      <c r="HQ813" s="5" t="s">
        <v>272</v>
      </c>
    </row>
    <row r="814" spans="1:238" x14ac:dyDescent="0.4">
      <c r="A814" s="5">
        <v>906</v>
      </c>
      <c r="B814" s="5">
        <v>1</v>
      </c>
      <c r="C814" s="5">
        <v>4</v>
      </c>
      <c r="D814" s="5" t="s">
        <v>2685</v>
      </c>
      <c r="E814" s="5" t="s">
        <v>277</v>
      </c>
      <c r="F814" s="5" t="s">
        <v>282</v>
      </c>
      <c r="G814" s="5" t="s">
        <v>2485</v>
      </c>
      <c r="H814" s="6" t="s">
        <v>2686</v>
      </c>
      <c r="I814" s="5" t="s">
        <v>2495</v>
      </c>
      <c r="J814" s="7">
        <f>193.77</f>
        <v>193.77</v>
      </c>
      <c r="K814" s="5" t="s">
        <v>270</v>
      </c>
      <c r="L814" s="8">
        <f>1021170</f>
        <v>1021170</v>
      </c>
      <c r="M814" s="8">
        <f>30034350</f>
        <v>30034350</v>
      </c>
      <c r="N814" s="6" t="s">
        <v>655</v>
      </c>
      <c r="O814" s="5" t="s">
        <v>286</v>
      </c>
      <c r="P814" s="5" t="s">
        <v>658</v>
      </c>
      <c r="Q814" s="8">
        <f>1381580</f>
        <v>1381580</v>
      </c>
      <c r="R814" s="8">
        <f>29013180</f>
        <v>29013180</v>
      </c>
      <c r="S814" s="5" t="s">
        <v>240</v>
      </c>
      <c r="T814" s="5" t="s">
        <v>237</v>
      </c>
      <c r="U814" s="5" t="s">
        <v>238</v>
      </c>
      <c r="V814" s="5" t="s">
        <v>238</v>
      </c>
      <c r="W814" s="5" t="s">
        <v>241</v>
      </c>
      <c r="X814" s="5" t="s">
        <v>276</v>
      </c>
      <c r="Y814" s="5" t="s">
        <v>238</v>
      </c>
      <c r="AB814" s="5" t="s">
        <v>238</v>
      </c>
      <c r="AC814" s="6" t="s">
        <v>238</v>
      </c>
      <c r="AD814" s="6" t="s">
        <v>238</v>
      </c>
      <c r="AF814" s="6" t="s">
        <v>238</v>
      </c>
      <c r="AG814" s="6" t="s">
        <v>246</v>
      </c>
      <c r="AH814" s="5" t="s">
        <v>247</v>
      </c>
      <c r="AI814" s="5" t="s">
        <v>248</v>
      </c>
      <c r="AO814" s="5" t="s">
        <v>238</v>
      </c>
      <c r="AP814" s="5" t="s">
        <v>238</v>
      </c>
      <c r="AQ814" s="5" t="s">
        <v>238</v>
      </c>
      <c r="AR814" s="6" t="s">
        <v>238</v>
      </c>
      <c r="AS814" s="6" t="s">
        <v>238</v>
      </c>
      <c r="AT814" s="6" t="s">
        <v>238</v>
      </c>
      <c r="AW814" s="5" t="s">
        <v>304</v>
      </c>
      <c r="AX814" s="5" t="s">
        <v>304</v>
      </c>
      <c r="AY814" s="5" t="s">
        <v>250</v>
      </c>
      <c r="AZ814" s="5" t="s">
        <v>305</v>
      </c>
      <c r="BA814" s="5" t="s">
        <v>251</v>
      </c>
      <c r="BB814" s="5" t="s">
        <v>238</v>
      </c>
      <c r="BC814" s="5" t="s">
        <v>253</v>
      </c>
      <c r="BD814" s="5" t="s">
        <v>238</v>
      </c>
      <c r="BF814" s="5" t="s">
        <v>238</v>
      </c>
      <c r="BH814" s="5" t="s">
        <v>283</v>
      </c>
      <c r="BI814" s="6" t="s">
        <v>293</v>
      </c>
      <c r="BJ814" s="5" t="s">
        <v>294</v>
      </c>
      <c r="BK814" s="5" t="s">
        <v>294</v>
      </c>
      <c r="BL814" s="5" t="s">
        <v>238</v>
      </c>
      <c r="BM814" s="7">
        <f>0</f>
        <v>0</v>
      </c>
      <c r="BN814" s="8">
        <f>-1381580</f>
        <v>-1381580</v>
      </c>
      <c r="BO814" s="5" t="s">
        <v>257</v>
      </c>
      <c r="BP814" s="5" t="s">
        <v>258</v>
      </c>
      <c r="BQ814" s="5" t="s">
        <v>238</v>
      </c>
      <c r="BR814" s="5" t="s">
        <v>238</v>
      </c>
      <c r="BS814" s="5" t="s">
        <v>238</v>
      </c>
      <c r="BT814" s="5" t="s">
        <v>238</v>
      </c>
      <c r="CC814" s="5" t="s">
        <v>258</v>
      </c>
      <c r="CD814" s="5" t="s">
        <v>238</v>
      </c>
      <c r="CE814" s="5" t="s">
        <v>238</v>
      </c>
      <c r="CI814" s="5" t="s">
        <v>259</v>
      </c>
      <c r="CJ814" s="5" t="s">
        <v>260</v>
      </c>
      <c r="CK814" s="5" t="s">
        <v>238</v>
      </c>
      <c r="CM814" s="5" t="s">
        <v>657</v>
      </c>
      <c r="CN814" s="6" t="s">
        <v>262</v>
      </c>
      <c r="CO814" s="5" t="s">
        <v>263</v>
      </c>
      <c r="CP814" s="5" t="s">
        <v>264</v>
      </c>
      <c r="CQ814" s="5" t="s">
        <v>285</v>
      </c>
      <c r="CR814" s="5" t="s">
        <v>238</v>
      </c>
      <c r="CS814" s="5">
        <v>4.5999999999999999E-2</v>
      </c>
      <c r="CT814" s="5" t="s">
        <v>265</v>
      </c>
      <c r="CU814" s="5" t="s">
        <v>1360</v>
      </c>
      <c r="CV814" s="5" t="s">
        <v>267</v>
      </c>
      <c r="CW814" s="7">
        <f>0</f>
        <v>0</v>
      </c>
      <c r="CX814" s="8">
        <f>30034350</f>
        <v>30034350</v>
      </c>
      <c r="CY814" s="8">
        <f>2402750</f>
        <v>2402750</v>
      </c>
      <c r="DA814" s="5" t="s">
        <v>238</v>
      </c>
      <c r="DB814" s="5" t="s">
        <v>238</v>
      </c>
      <c r="DD814" s="5" t="s">
        <v>238</v>
      </c>
      <c r="DE814" s="8">
        <f>0</f>
        <v>0</v>
      </c>
      <c r="DG814" s="5" t="s">
        <v>238</v>
      </c>
      <c r="DH814" s="5" t="s">
        <v>238</v>
      </c>
      <c r="DI814" s="5" t="s">
        <v>238</v>
      </c>
      <c r="DJ814" s="5" t="s">
        <v>238</v>
      </c>
      <c r="DK814" s="5" t="s">
        <v>274</v>
      </c>
      <c r="DL814" s="5" t="s">
        <v>272</v>
      </c>
      <c r="DM814" s="7">
        <f>193.77</f>
        <v>193.77</v>
      </c>
      <c r="DN814" s="5" t="s">
        <v>238</v>
      </c>
      <c r="DO814" s="5" t="s">
        <v>238</v>
      </c>
      <c r="DP814" s="5" t="s">
        <v>238</v>
      </c>
      <c r="DQ814" s="5" t="s">
        <v>238</v>
      </c>
      <c r="DT814" s="5" t="s">
        <v>2687</v>
      </c>
      <c r="DU814" s="5" t="s">
        <v>271</v>
      </c>
      <c r="GL814" s="5" t="s">
        <v>2690</v>
      </c>
      <c r="HM814" s="5" t="s">
        <v>313</v>
      </c>
      <c r="HP814" s="5" t="s">
        <v>272</v>
      </c>
      <c r="HQ814" s="5" t="s">
        <v>272</v>
      </c>
      <c r="HR814" s="5" t="s">
        <v>238</v>
      </c>
      <c r="HS814" s="5" t="s">
        <v>238</v>
      </c>
      <c r="HT814" s="5" t="s">
        <v>238</v>
      </c>
      <c r="HU814" s="5" t="s">
        <v>238</v>
      </c>
      <c r="HV814" s="5" t="s">
        <v>238</v>
      </c>
      <c r="HW814" s="5" t="s">
        <v>238</v>
      </c>
      <c r="HX814" s="5" t="s">
        <v>238</v>
      </c>
      <c r="HY814" s="5" t="s">
        <v>238</v>
      </c>
      <c r="HZ814" s="5" t="s">
        <v>238</v>
      </c>
      <c r="IA814" s="5" t="s">
        <v>238</v>
      </c>
      <c r="IB814" s="5" t="s">
        <v>238</v>
      </c>
      <c r="IC814" s="5" t="s">
        <v>238</v>
      </c>
      <c r="ID814" s="5" t="s">
        <v>238</v>
      </c>
    </row>
    <row r="815" spans="1:238" x14ac:dyDescent="0.4">
      <c r="A815" s="5">
        <v>907</v>
      </c>
      <c r="B815" s="5">
        <v>1</v>
      </c>
      <c r="C815" s="5">
        <v>4</v>
      </c>
      <c r="D815" s="5" t="s">
        <v>2685</v>
      </c>
      <c r="E815" s="5" t="s">
        <v>277</v>
      </c>
      <c r="F815" s="5" t="s">
        <v>282</v>
      </c>
      <c r="G815" s="5" t="s">
        <v>2485</v>
      </c>
      <c r="H815" s="6" t="s">
        <v>2686</v>
      </c>
      <c r="I815" s="5" t="s">
        <v>2505</v>
      </c>
      <c r="J815" s="7">
        <f>162.3</f>
        <v>162.30000000000001</v>
      </c>
      <c r="K815" s="5" t="s">
        <v>270</v>
      </c>
      <c r="L815" s="8">
        <f>855321</f>
        <v>855321</v>
      </c>
      <c r="M815" s="8">
        <f>25156500</f>
        <v>25156500</v>
      </c>
      <c r="N815" s="6" t="s">
        <v>655</v>
      </c>
      <c r="O815" s="5" t="s">
        <v>286</v>
      </c>
      <c r="P815" s="5" t="s">
        <v>658</v>
      </c>
      <c r="Q815" s="8">
        <f>1157199</f>
        <v>1157199</v>
      </c>
      <c r="R815" s="8">
        <f>24301179</f>
        <v>24301179</v>
      </c>
      <c r="S815" s="5" t="s">
        <v>240</v>
      </c>
      <c r="T815" s="5" t="s">
        <v>237</v>
      </c>
      <c r="U815" s="5" t="s">
        <v>238</v>
      </c>
      <c r="V815" s="5" t="s">
        <v>238</v>
      </c>
      <c r="W815" s="5" t="s">
        <v>241</v>
      </c>
      <c r="X815" s="5" t="s">
        <v>276</v>
      </c>
      <c r="Y815" s="5" t="s">
        <v>238</v>
      </c>
      <c r="AB815" s="5" t="s">
        <v>238</v>
      </c>
      <c r="AC815" s="6" t="s">
        <v>238</v>
      </c>
      <c r="AD815" s="6" t="s">
        <v>238</v>
      </c>
      <c r="AF815" s="6" t="s">
        <v>238</v>
      </c>
      <c r="AG815" s="6" t="s">
        <v>246</v>
      </c>
      <c r="AH815" s="5" t="s">
        <v>247</v>
      </c>
      <c r="AI815" s="5" t="s">
        <v>248</v>
      </c>
      <c r="AO815" s="5" t="s">
        <v>238</v>
      </c>
      <c r="AP815" s="5" t="s">
        <v>238</v>
      </c>
      <c r="AQ815" s="5" t="s">
        <v>238</v>
      </c>
      <c r="AR815" s="6" t="s">
        <v>238</v>
      </c>
      <c r="AS815" s="6" t="s">
        <v>238</v>
      </c>
      <c r="AT815" s="6" t="s">
        <v>238</v>
      </c>
      <c r="AW815" s="5" t="s">
        <v>304</v>
      </c>
      <c r="AX815" s="5" t="s">
        <v>304</v>
      </c>
      <c r="AY815" s="5" t="s">
        <v>250</v>
      </c>
      <c r="AZ815" s="5" t="s">
        <v>305</v>
      </c>
      <c r="BA815" s="5" t="s">
        <v>251</v>
      </c>
      <c r="BB815" s="5" t="s">
        <v>238</v>
      </c>
      <c r="BC815" s="5" t="s">
        <v>253</v>
      </c>
      <c r="BD815" s="5" t="s">
        <v>238</v>
      </c>
      <c r="BF815" s="5" t="s">
        <v>238</v>
      </c>
      <c r="BH815" s="5" t="s">
        <v>283</v>
      </c>
      <c r="BI815" s="6" t="s">
        <v>293</v>
      </c>
      <c r="BJ815" s="5" t="s">
        <v>294</v>
      </c>
      <c r="BK815" s="5" t="s">
        <v>294</v>
      </c>
      <c r="BL815" s="5" t="s">
        <v>238</v>
      </c>
      <c r="BM815" s="7">
        <f>0</f>
        <v>0</v>
      </c>
      <c r="BN815" s="8">
        <f>-1157199</f>
        <v>-1157199</v>
      </c>
      <c r="BO815" s="5" t="s">
        <v>257</v>
      </c>
      <c r="BP815" s="5" t="s">
        <v>258</v>
      </c>
      <c r="BQ815" s="5" t="s">
        <v>238</v>
      </c>
      <c r="BR815" s="5" t="s">
        <v>238</v>
      </c>
      <c r="BS815" s="5" t="s">
        <v>238</v>
      </c>
      <c r="BT815" s="5" t="s">
        <v>238</v>
      </c>
      <c r="CC815" s="5" t="s">
        <v>258</v>
      </c>
      <c r="CD815" s="5" t="s">
        <v>238</v>
      </c>
      <c r="CE815" s="5" t="s">
        <v>238</v>
      </c>
      <c r="CI815" s="5" t="s">
        <v>259</v>
      </c>
      <c r="CJ815" s="5" t="s">
        <v>260</v>
      </c>
      <c r="CK815" s="5" t="s">
        <v>238</v>
      </c>
      <c r="CM815" s="5" t="s">
        <v>657</v>
      </c>
      <c r="CN815" s="6" t="s">
        <v>262</v>
      </c>
      <c r="CO815" s="5" t="s">
        <v>263</v>
      </c>
      <c r="CP815" s="5" t="s">
        <v>264</v>
      </c>
      <c r="CQ815" s="5" t="s">
        <v>285</v>
      </c>
      <c r="CR815" s="5" t="s">
        <v>238</v>
      </c>
      <c r="CS815" s="5">
        <v>4.5999999999999999E-2</v>
      </c>
      <c r="CT815" s="5" t="s">
        <v>265</v>
      </c>
      <c r="CU815" s="5" t="s">
        <v>1360</v>
      </c>
      <c r="CV815" s="5" t="s">
        <v>267</v>
      </c>
      <c r="CW815" s="7">
        <f>0</f>
        <v>0</v>
      </c>
      <c r="CX815" s="8">
        <f>25156500</f>
        <v>25156500</v>
      </c>
      <c r="CY815" s="8">
        <f>2012520</f>
        <v>2012520</v>
      </c>
      <c r="DA815" s="5" t="s">
        <v>238</v>
      </c>
      <c r="DB815" s="5" t="s">
        <v>238</v>
      </c>
      <c r="DD815" s="5" t="s">
        <v>238</v>
      </c>
      <c r="DE815" s="8">
        <f>0</f>
        <v>0</v>
      </c>
      <c r="DG815" s="5" t="s">
        <v>238</v>
      </c>
      <c r="DH815" s="5" t="s">
        <v>238</v>
      </c>
      <c r="DI815" s="5" t="s">
        <v>238</v>
      </c>
      <c r="DJ815" s="5" t="s">
        <v>238</v>
      </c>
      <c r="DK815" s="5" t="s">
        <v>274</v>
      </c>
      <c r="DL815" s="5" t="s">
        <v>272</v>
      </c>
      <c r="DM815" s="7">
        <f>162.3</f>
        <v>162.30000000000001</v>
      </c>
      <c r="DN815" s="5" t="s">
        <v>238</v>
      </c>
      <c r="DO815" s="5" t="s">
        <v>238</v>
      </c>
      <c r="DP815" s="5" t="s">
        <v>238</v>
      </c>
      <c r="DQ815" s="5" t="s">
        <v>238</v>
      </c>
      <c r="DT815" s="5" t="s">
        <v>2687</v>
      </c>
      <c r="DU815" s="5" t="s">
        <v>274</v>
      </c>
      <c r="GL815" s="5" t="s">
        <v>2689</v>
      </c>
      <c r="HM815" s="5" t="s">
        <v>313</v>
      </c>
      <c r="HP815" s="5" t="s">
        <v>272</v>
      </c>
      <c r="HQ815" s="5" t="s">
        <v>272</v>
      </c>
      <c r="HR815" s="5" t="s">
        <v>238</v>
      </c>
      <c r="HS815" s="5" t="s">
        <v>238</v>
      </c>
      <c r="HT815" s="5" t="s">
        <v>238</v>
      </c>
      <c r="HU815" s="5" t="s">
        <v>238</v>
      </c>
      <c r="HV815" s="5" t="s">
        <v>238</v>
      </c>
      <c r="HW815" s="5" t="s">
        <v>238</v>
      </c>
      <c r="HX815" s="5" t="s">
        <v>238</v>
      </c>
      <c r="HY815" s="5" t="s">
        <v>238</v>
      </c>
      <c r="HZ815" s="5" t="s">
        <v>238</v>
      </c>
      <c r="IA815" s="5" t="s">
        <v>238</v>
      </c>
      <c r="IB815" s="5" t="s">
        <v>238</v>
      </c>
      <c r="IC815" s="5" t="s">
        <v>238</v>
      </c>
      <c r="ID815" s="5" t="s">
        <v>238</v>
      </c>
    </row>
    <row r="816" spans="1:238" x14ac:dyDescent="0.4">
      <c r="A816" s="5">
        <v>908</v>
      </c>
      <c r="B816" s="5">
        <v>1</v>
      </c>
      <c r="C816" s="5">
        <v>4</v>
      </c>
      <c r="D816" s="5" t="s">
        <v>2685</v>
      </c>
      <c r="E816" s="5" t="s">
        <v>277</v>
      </c>
      <c r="F816" s="5" t="s">
        <v>282</v>
      </c>
      <c r="G816" s="5" t="s">
        <v>2485</v>
      </c>
      <c r="H816" s="6" t="s">
        <v>2686</v>
      </c>
      <c r="I816" s="5" t="s">
        <v>2504</v>
      </c>
      <c r="J816" s="7">
        <f>226.89</f>
        <v>226.89</v>
      </c>
      <c r="K816" s="5" t="s">
        <v>270</v>
      </c>
      <c r="L816" s="8">
        <f>1195725</f>
        <v>1195725</v>
      </c>
      <c r="M816" s="8">
        <f>35167950</f>
        <v>35167950</v>
      </c>
      <c r="N816" s="6" t="s">
        <v>655</v>
      </c>
      <c r="O816" s="5" t="s">
        <v>286</v>
      </c>
      <c r="P816" s="5" t="s">
        <v>658</v>
      </c>
      <c r="Q816" s="8">
        <f>1617725</f>
        <v>1617725</v>
      </c>
      <c r="R816" s="8">
        <f>33972225</f>
        <v>33972225</v>
      </c>
      <c r="S816" s="5" t="s">
        <v>240</v>
      </c>
      <c r="T816" s="5" t="s">
        <v>237</v>
      </c>
      <c r="U816" s="5" t="s">
        <v>238</v>
      </c>
      <c r="V816" s="5" t="s">
        <v>238</v>
      </c>
      <c r="W816" s="5" t="s">
        <v>241</v>
      </c>
      <c r="X816" s="5" t="s">
        <v>276</v>
      </c>
      <c r="Y816" s="5" t="s">
        <v>238</v>
      </c>
      <c r="AB816" s="5" t="s">
        <v>238</v>
      </c>
      <c r="AC816" s="6" t="s">
        <v>238</v>
      </c>
      <c r="AD816" s="6" t="s">
        <v>238</v>
      </c>
      <c r="AF816" s="6" t="s">
        <v>238</v>
      </c>
      <c r="AG816" s="6" t="s">
        <v>246</v>
      </c>
      <c r="AH816" s="5" t="s">
        <v>247</v>
      </c>
      <c r="AI816" s="5" t="s">
        <v>248</v>
      </c>
      <c r="AO816" s="5" t="s">
        <v>238</v>
      </c>
      <c r="AP816" s="5" t="s">
        <v>238</v>
      </c>
      <c r="AQ816" s="5" t="s">
        <v>238</v>
      </c>
      <c r="AR816" s="6" t="s">
        <v>238</v>
      </c>
      <c r="AS816" s="6" t="s">
        <v>238</v>
      </c>
      <c r="AT816" s="6" t="s">
        <v>238</v>
      </c>
      <c r="AW816" s="5" t="s">
        <v>304</v>
      </c>
      <c r="AX816" s="5" t="s">
        <v>304</v>
      </c>
      <c r="AY816" s="5" t="s">
        <v>250</v>
      </c>
      <c r="AZ816" s="5" t="s">
        <v>305</v>
      </c>
      <c r="BA816" s="5" t="s">
        <v>251</v>
      </c>
      <c r="BB816" s="5" t="s">
        <v>238</v>
      </c>
      <c r="BC816" s="5" t="s">
        <v>253</v>
      </c>
      <c r="BD816" s="5" t="s">
        <v>238</v>
      </c>
      <c r="BF816" s="5" t="s">
        <v>238</v>
      </c>
      <c r="BH816" s="5" t="s">
        <v>283</v>
      </c>
      <c r="BI816" s="6" t="s">
        <v>293</v>
      </c>
      <c r="BJ816" s="5" t="s">
        <v>294</v>
      </c>
      <c r="BK816" s="5" t="s">
        <v>294</v>
      </c>
      <c r="BL816" s="5" t="s">
        <v>238</v>
      </c>
      <c r="BM816" s="7">
        <f>0</f>
        <v>0</v>
      </c>
      <c r="BN816" s="8">
        <f>-1617725</f>
        <v>-1617725</v>
      </c>
      <c r="BO816" s="5" t="s">
        <v>257</v>
      </c>
      <c r="BP816" s="5" t="s">
        <v>258</v>
      </c>
      <c r="BQ816" s="5" t="s">
        <v>238</v>
      </c>
      <c r="BR816" s="5" t="s">
        <v>238</v>
      </c>
      <c r="BS816" s="5" t="s">
        <v>238</v>
      </c>
      <c r="BT816" s="5" t="s">
        <v>238</v>
      </c>
      <c r="CC816" s="5" t="s">
        <v>258</v>
      </c>
      <c r="CD816" s="5" t="s">
        <v>238</v>
      </c>
      <c r="CE816" s="5" t="s">
        <v>238</v>
      </c>
      <c r="CI816" s="5" t="s">
        <v>259</v>
      </c>
      <c r="CJ816" s="5" t="s">
        <v>260</v>
      </c>
      <c r="CK816" s="5" t="s">
        <v>238</v>
      </c>
      <c r="CM816" s="5" t="s">
        <v>657</v>
      </c>
      <c r="CN816" s="6" t="s">
        <v>262</v>
      </c>
      <c r="CO816" s="5" t="s">
        <v>263</v>
      </c>
      <c r="CP816" s="5" t="s">
        <v>264</v>
      </c>
      <c r="CQ816" s="5" t="s">
        <v>285</v>
      </c>
      <c r="CR816" s="5" t="s">
        <v>238</v>
      </c>
      <c r="CS816" s="5">
        <v>4.5999999999999999E-2</v>
      </c>
      <c r="CT816" s="5" t="s">
        <v>265</v>
      </c>
      <c r="CU816" s="5" t="s">
        <v>1360</v>
      </c>
      <c r="CV816" s="5" t="s">
        <v>267</v>
      </c>
      <c r="CW816" s="7">
        <f>0</f>
        <v>0</v>
      </c>
      <c r="CX816" s="8">
        <f>35167950</f>
        <v>35167950</v>
      </c>
      <c r="CY816" s="8">
        <f>2813450</f>
        <v>2813450</v>
      </c>
      <c r="DA816" s="5" t="s">
        <v>238</v>
      </c>
      <c r="DB816" s="5" t="s">
        <v>238</v>
      </c>
      <c r="DD816" s="5" t="s">
        <v>238</v>
      </c>
      <c r="DE816" s="8">
        <f>0</f>
        <v>0</v>
      </c>
      <c r="DG816" s="5" t="s">
        <v>238</v>
      </c>
      <c r="DH816" s="5" t="s">
        <v>238</v>
      </c>
      <c r="DI816" s="5" t="s">
        <v>238</v>
      </c>
      <c r="DJ816" s="5" t="s">
        <v>238</v>
      </c>
      <c r="DK816" s="5" t="s">
        <v>274</v>
      </c>
      <c r="DL816" s="5" t="s">
        <v>272</v>
      </c>
      <c r="DM816" s="7">
        <f>226.89</f>
        <v>226.89</v>
      </c>
      <c r="DN816" s="5" t="s">
        <v>238</v>
      </c>
      <c r="DO816" s="5" t="s">
        <v>238</v>
      </c>
      <c r="DP816" s="5" t="s">
        <v>238</v>
      </c>
      <c r="DQ816" s="5" t="s">
        <v>238</v>
      </c>
      <c r="DT816" s="5" t="s">
        <v>2687</v>
      </c>
      <c r="DU816" s="5" t="s">
        <v>356</v>
      </c>
      <c r="GL816" s="5" t="s">
        <v>2688</v>
      </c>
      <c r="HM816" s="5" t="s">
        <v>313</v>
      </c>
      <c r="HP816" s="5" t="s">
        <v>272</v>
      </c>
      <c r="HQ816" s="5" t="s">
        <v>272</v>
      </c>
      <c r="HR816" s="5" t="s">
        <v>238</v>
      </c>
      <c r="HS816" s="5" t="s">
        <v>238</v>
      </c>
      <c r="HT816" s="5" t="s">
        <v>238</v>
      </c>
      <c r="HU816" s="5" t="s">
        <v>238</v>
      </c>
      <c r="HV816" s="5" t="s">
        <v>238</v>
      </c>
      <c r="HW816" s="5" t="s">
        <v>238</v>
      </c>
      <c r="HX816" s="5" t="s">
        <v>238</v>
      </c>
      <c r="HY816" s="5" t="s">
        <v>238</v>
      </c>
      <c r="HZ816" s="5" t="s">
        <v>238</v>
      </c>
      <c r="IA816" s="5" t="s">
        <v>238</v>
      </c>
      <c r="IB816" s="5" t="s">
        <v>238</v>
      </c>
      <c r="IC816" s="5" t="s">
        <v>238</v>
      </c>
      <c r="ID816" s="5" t="s">
        <v>238</v>
      </c>
    </row>
    <row r="817" spans="1:225" x14ac:dyDescent="0.4">
      <c r="A817" s="5">
        <v>909</v>
      </c>
      <c r="B817" s="5">
        <v>1</v>
      </c>
      <c r="C817" s="5">
        <v>1</v>
      </c>
      <c r="D817" s="5" t="s">
        <v>2759</v>
      </c>
      <c r="E817" s="5" t="s">
        <v>277</v>
      </c>
      <c r="F817" s="5" t="s">
        <v>282</v>
      </c>
      <c r="G817" s="5" t="s">
        <v>2491</v>
      </c>
      <c r="H817" s="6" t="s">
        <v>2760</v>
      </c>
      <c r="I817" s="5" t="s">
        <v>2482</v>
      </c>
      <c r="J817" s="7">
        <f t="shared" ref="J817:J826" si="55">61.28</f>
        <v>61.28</v>
      </c>
      <c r="K817" s="5" t="s">
        <v>270</v>
      </c>
      <c r="L817" s="8">
        <f>1</f>
        <v>1</v>
      </c>
      <c r="M817" s="8">
        <f t="shared" ref="M817:M826" si="56">6128000</f>
        <v>6128000</v>
      </c>
      <c r="N817" s="6" t="s">
        <v>1571</v>
      </c>
      <c r="O817" s="5" t="s">
        <v>286</v>
      </c>
      <c r="P817" s="5" t="s">
        <v>1042</v>
      </c>
      <c r="R817" s="8">
        <f t="shared" ref="R817:R826" si="57">6127999</f>
        <v>6127999</v>
      </c>
      <c r="S817" s="5" t="s">
        <v>240</v>
      </c>
      <c r="T817" s="5" t="s">
        <v>237</v>
      </c>
      <c r="U817" s="5" t="s">
        <v>238</v>
      </c>
      <c r="V817" s="5" t="s">
        <v>238</v>
      </c>
      <c r="W817" s="5" t="s">
        <v>241</v>
      </c>
      <c r="X817" s="5" t="s">
        <v>276</v>
      </c>
      <c r="Y817" s="5" t="s">
        <v>238</v>
      </c>
      <c r="AB817" s="5" t="s">
        <v>238</v>
      </c>
      <c r="AD817" s="6" t="s">
        <v>238</v>
      </c>
      <c r="AG817" s="6" t="s">
        <v>246</v>
      </c>
      <c r="AH817" s="5" t="s">
        <v>247</v>
      </c>
      <c r="AI817" s="5" t="s">
        <v>248</v>
      </c>
      <c r="AY817" s="5" t="s">
        <v>250</v>
      </c>
      <c r="AZ817" s="5" t="s">
        <v>238</v>
      </c>
      <c r="BA817" s="5" t="s">
        <v>251</v>
      </c>
      <c r="BB817" s="5" t="s">
        <v>238</v>
      </c>
      <c r="BC817" s="5" t="s">
        <v>253</v>
      </c>
      <c r="BD817" s="5" t="s">
        <v>238</v>
      </c>
      <c r="BF817" s="5" t="s">
        <v>238</v>
      </c>
      <c r="BH817" s="5" t="s">
        <v>254</v>
      </c>
      <c r="BI817" s="6" t="s">
        <v>246</v>
      </c>
      <c r="BJ817" s="5" t="s">
        <v>255</v>
      </c>
      <c r="BK817" s="5" t="s">
        <v>256</v>
      </c>
      <c r="BL817" s="5" t="s">
        <v>238</v>
      </c>
      <c r="BM817" s="7">
        <f>0</f>
        <v>0</v>
      </c>
      <c r="BN817" s="8">
        <f>0</f>
        <v>0</v>
      </c>
      <c r="BO817" s="5" t="s">
        <v>257</v>
      </c>
      <c r="BP817" s="5" t="s">
        <v>258</v>
      </c>
      <c r="CD817" s="5" t="s">
        <v>238</v>
      </c>
      <c r="CE817" s="5" t="s">
        <v>238</v>
      </c>
      <c r="CI817" s="5" t="s">
        <v>527</v>
      </c>
      <c r="CJ817" s="5" t="s">
        <v>260</v>
      </c>
      <c r="CK817" s="5" t="s">
        <v>238</v>
      </c>
      <c r="CM817" s="5" t="s">
        <v>699</v>
      </c>
      <c r="CN817" s="6" t="s">
        <v>262</v>
      </c>
      <c r="CO817" s="5" t="s">
        <v>263</v>
      </c>
      <c r="CP817" s="5" t="s">
        <v>264</v>
      </c>
      <c r="CQ817" s="5" t="s">
        <v>238</v>
      </c>
      <c r="CR817" s="5" t="s">
        <v>238</v>
      </c>
      <c r="CS817" s="5">
        <v>0</v>
      </c>
      <c r="CT817" s="5" t="s">
        <v>265</v>
      </c>
      <c r="CU817" s="5" t="s">
        <v>1360</v>
      </c>
      <c r="CV817" s="5" t="s">
        <v>267</v>
      </c>
      <c r="CX817" s="8">
        <f t="shared" ref="CX817:CX826" si="58">6128000</f>
        <v>6128000</v>
      </c>
      <c r="CY817" s="8">
        <f>0</f>
        <v>0</v>
      </c>
      <c r="DA817" s="5" t="s">
        <v>238</v>
      </c>
      <c r="DB817" s="5" t="s">
        <v>238</v>
      </c>
      <c r="DD817" s="5" t="s">
        <v>238</v>
      </c>
      <c r="DG817" s="5" t="s">
        <v>238</v>
      </c>
      <c r="DH817" s="5" t="s">
        <v>238</v>
      </c>
      <c r="DI817" s="5" t="s">
        <v>238</v>
      </c>
      <c r="DJ817" s="5" t="s">
        <v>238</v>
      </c>
      <c r="DK817" s="5" t="s">
        <v>271</v>
      </c>
      <c r="DL817" s="5" t="s">
        <v>272</v>
      </c>
      <c r="DM817" s="7">
        <f t="shared" ref="DM817:DM826" si="59">61.28</f>
        <v>61.28</v>
      </c>
      <c r="DN817" s="5" t="s">
        <v>238</v>
      </c>
      <c r="DO817" s="5" t="s">
        <v>238</v>
      </c>
      <c r="DP817" s="5" t="s">
        <v>238</v>
      </c>
      <c r="DQ817" s="5" t="s">
        <v>238</v>
      </c>
      <c r="DT817" s="5" t="s">
        <v>2761</v>
      </c>
      <c r="DU817" s="5" t="s">
        <v>271</v>
      </c>
      <c r="HM817" s="5" t="s">
        <v>271</v>
      </c>
      <c r="HP817" s="5" t="s">
        <v>272</v>
      </c>
      <c r="HQ817" s="5" t="s">
        <v>272</v>
      </c>
    </row>
    <row r="818" spans="1:225" x14ac:dyDescent="0.4">
      <c r="A818" s="5">
        <v>910</v>
      </c>
      <c r="B818" s="5">
        <v>1</v>
      </c>
      <c r="C818" s="5">
        <v>1</v>
      </c>
      <c r="D818" s="5" t="s">
        <v>2759</v>
      </c>
      <c r="E818" s="5" t="s">
        <v>277</v>
      </c>
      <c r="F818" s="5" t="s">
        <v>282</v>
      </c>
      <c r="G818" s="5" t="s">
        <v>2491</v>
      </c>
      <c r="H818" s="6" t="s">
        <v>2760</v>
      </c>
      <c r="I818" s="5" t="s">
        <v>2482</v>
      </c>
      <c r="J818" s="7">
        <f t="shared" si="55"/>
        <v>61.28</v>
      </c>
      <c r="K818" s="5" t="s">
        <v>270</v>
      </c>
      <c r="L818" s="8">
        <f>1</f>
        <v>1</v>
      </c>
      <c r="M818" s="8">
        <f t="shared" si="56"/>
        <v>6128000</v>
      </c>
      <c r="N818" s="6" t="s">
        <v>1571</v>
      </c>
      <c r="O818" s="5" t="s">
        <v>286</v>
      </c>
      <c r="P818" s="5" t="s">
        <v>1042</v>
      </c>
      <c r="R818" s="8">
        <f t="shared" si="57"/>
        <v>6127999</v>
      </c>
      <c r="S818" s="5" t="s">
        <v>240</v>
      </c>
      <c r="T818" s="5" t="s">
        <v>237</v>
      </c>
      <c r="U818" s="5" t="s">
        <v>238</v>
      </c>
      <c r="V818" s="5" t="s">
        <v>238</v>
      </c>
      <c r="W818" s="5" t="s">
        <v>241</v>
      </c>
      <c r="X818" s="5" t="s">
        <v>276</v>
      </c>
      <c r="Y818" s="5" t="s">
        <v>238</v>
      </c>
      <c r="AB818" s="5" t="s">
        <v>238</v>
      </c>
      <c r="AD818" s="6" t="s">
        <v>238</v>
      </c>
      <c r="AG818" s="6" t="s">
        <v>246</v>
      </c>
      <c r="AH818" s="5" t="s">
        <v>247</v>
      </c>
      <c r="AI818" s="5" t="s">
        <v>248</v>
      </c>
      <c r="AY818" s="5" t="s">
        <v>250</v>
      </c>
      <c r="AZ818" s="5" t="s">
        <v>238</v>
      </c>
      <c r="BA818" s="5" t="s">
        <v>251</v>
      </c>
      <c r="BB818" s="5" t="s">
        <v>238</v>
      </c>
      <c r="BC818" s="5" t="s">
        <v>253</v>
      </c>
      <c r="BD818" s="5" t="s">
        <v>238</v>
      </c>
      <c r="BF818" s="5" t="s">
        <v>238</v>
      </c>
      <c r="BH818" s="5" t="s">
        <v>859</v>
      </c>
      <c r="BI818" s="6" t="s">
        <v>368</v>
      </c>
      <c r="BJ818" s="5" t="s">
        <v>255</v>
      </c>
      <c r="BK818" s="5" t="s">
        <v>256</v>
      </c>
      <c r="BL818" s="5" t="s">
        <v>238</v>
      </c>
      <c r="BM818" s="7">
        <f>0</f>
        <v>0</v>
      </c>
      <c r="BN818" s="8">
        <f>0</f>
        <v>0</v>
      </c>
      <c r="BO818" s="5" t="s">
        <v>257</v>
      </c>
      <c r="BP818" s="5" t="s">
        <v>258</v>
      </c>
      <c r="CD818" s="5" t="s">
        <v>238</v>
      </c>
      <c r="CE818" s="5" t="s">
        <v>238</v>
      </c>
      <c r="CI818" s="5" t="s">
        <v>527</v>
      </c>
      <c r="CJ818" s="5" t="s">
        <v>260</v>
      </c>
      <c r="CK818" s="5" t="s">
        <v>238</v>
      </c>
      <c r="CM818" s="5" t="s">
        <v>699</v>
      </c>
      <c r="CN818" s="6" t="s">
        <v>262</v>
      </c>
      <c r="CO818" s="5" t="s">
        <v>263</v>
      </c>
      <c r="CP818" s="5" t="s">
        <v>264</v>
      </c>
      <c r="CQ818" s="5" t="s">
        <v>238</v>
      </c>
      <c r="CR818" s="5" t="s">
        <v>238</v>
      </c>
      <c r="CS818" s="5">
        <v>0</v>
      </c>
      <c r="CT818" s="5" t="s">
        <v>265</v>
      </c>
      <c r="CU818" s="5" t="s">
        <v>1360</v>
      </c>
      <c r="CV818" s="5" t="s">
        <v>267</v>
      </c>
      <c r="CX818" s="8">
        <f t="shared" si="58"/>
        <v>6128000</v>
      </c>
      <c r="CY818" s="8">
        <f>0</f>
        <v>0</v>
      </c>
      <c r="DA818" s="5" t="s">
        <v>238</v>
      </c>
      <c r="DB818" s="5" t="s">
        <v>238</v>
      </c>
      <c r="DD818" s="5" t="s">
        <v>238</v>
      </c>
      <c r="DG818" s="5" t="s">
        <v>238</v>
      </c>
      <c r="DH818" s="5" t="s">
        <v>238</v>
      </c>
      <c r="DI818" s="5" t="s">
        <v>238</v>
      </c>
      <c r="DJ818" s="5" t="s">
        <v>238</v>
      </c>
      <c r="DK818" s="5" t="s">
        <v>271</v>
      </c>
      <c r="DL818" s="5" t="s">
        <v>272</v>
      </c>
      <c r="DM818" s="7">
        <f t="shared" si="59"/>
        <v>61.28</v>
      </c>
      <c r="DN818" s="5" t="s">
        <v>238</v>
      </c>
      <c r="DO818" s="5" t="s">
        <v>238</v>
      </c>
      <c r="DP818" s="5" t="s">
        <v>238</v>
      </c>
      <c r="DQ818" s="5" t="s">
        <v>238</v>
      </c>
      <c r="DT818" s="5" t="s">
        <v>2761</v>
      </c>
      <c r="DU818" s="5" t="s">
        <v>274</v>
      </c>
      <c r="HM818" s="5" t="s">
        <v>271</v>
      </c>
      <c r="HP818" s="5" t="s">
        <v>272</v>
      </c>
      <c r="HQ818" s="5" t="s">
        <v>272</v>
      </c>
    </row>
    <row r="819" spans="1:225" x14ac:dyDescent="0.4">
      <c r="A819" s="5">
        <v>911</v>
      </c>
      <c r="B819" s="5">
        <v>1</v>
      </c>
      <c r="C819" s="5">
        <v>1</v>
      </c>
      <c r="D819" s="5" t="s">
        <v>2759</v>
      </c>
      <c r="E819" s="5" t="s">
        <v>277</v>
      </c>
      <c r="F819" s="5" t="s">
        <v>282</v>
      </c>
      <c r="G819" s="5" t="s">
        <v>2491</v>
      </c>
      <c r="H819" s="6" t="s">
        <v>2760</v>
      </c>
      <c r="I819" s="5" t="s">
        <v>2482</v>
      </c>
      <c r="J819" s="7">
        <f t="shared" si="55"/>
        <v>61.28</v>
      </c>
      <c r="K819" s="5" t="s">
        <v>270</v>
      </c>
      <c r="L819" s="8">
        <f>1</f>
        <v>1</v>
      </c>
      <c r="M819" s="8">
        <f t="shared" si="56"/>
        <v>6128000</v>
      </c>
      <c r="N819" s="6" t="s">
        <v>1571</v>
      </c>
      <c r="O819" s="5" t="s">
        <v>286</v>
      </c>
      <c r="P819" s="5" t="s">
        <v>1042</v>
      </c>
      <c r="R819" s="8">
        <f t="shared" si="57"/>
        <v>6127999</v>
      </c>
      <c r="S819" s="5" t="s">
        <v>240</v>
      </c>
      <c r="T819" s="5" t="s">
        <v>237</v>
      </c>
      <c r="U819" s="5" t="s">
        <v>238</v>
      </c>
      <c r="V819" s="5" t="s">
        <v>238</v>
      </c>
      <c r="W819" s="5" t="s">
        <v>241</v>
      </c>
      <c r="X819" s="5" t="s">
        <v>276</v>
      </c>
      <c r="Y819" s="5" t="s">
        <v>238</v>
      </c>
      <c r="AB819" s="5" t="s">
        <v>238</v>
      </c>
      <c r="AD819" s="6" t="s">
        <v>238</v>
      </c>
      <c r="AG819" s="6" t="s">
        <v>246</v>
      </c>
      <c r="AH819" s="5" t="s">
        <v>247</v>
      </c>
      <c r="AI819" s="5" t="s">
        <v>248</v>
      </c>
      <c r="AY819" s="5" t="s">
        <v>250</v>
      </c>
      <c r="AZ819" s="5" t="s">
        <v>238</v>
      </c>
      <c r="BA819" s="5" t="s">
        <v>251</v>
      </c>
      <c r="BB819" s="5" t="s">
        <v>238</v>
      </c>
      <c r="BC819" s="5" t="s">
        <v>253</v>
      </c>
      <c r="BD819" s="5" t="s">
        <v>238</v>
      </c>
      <c r="BF819" s="5" t="s">
        <v>238</v>
      </c>
      <c r="BH819" s="5" t="s">
        <v>697</v>
      </c>
      <c r="BI819" s="6" t="s">
        <v>698</v>
      </c>
      <c r="BJ819" s="5" t="s">
        <v>255</v>
      </c>
      <c r="BK819" s="5" t="s">
        <v>256</v>
      </c>
      <c r="BL819" s="5" t="s">
        <v>238</v>
      </c>
      <c r="BM819" s="7">
        <f>0</f>
        <v>0</v>
      </c>
      <c r="BN819" s="8">
        <f>0</f>
        <v>0</v>
      </c>
      <c r="BO819" s="5" t="s">
        <v>257</v>
      </c>
      <c r="BP819" s="5" t="s">
        <v>258</v>
      </c>
      <c r="CD819" s="5" t="s">
        <v>238</v>
      </c>
      <c r="CE819" s="5" t="s">
        <v>238</v>
      </c>
      <c r="CI819" s="5" t="s">
        <v>527</v>
      </c>
      <c r="CJ819" s="5" t="s">
        <v>260</v>
      </c>
      <c r="CK819" s="5" t="s">
        <v>238</v>
      </c>
      <c r="CM819" s="5" t="s">
        <v>699</v>
      </c>
      <c r="CN819" s="6" t="s">
        <v>262</v>
      </c>
      <c r="CO819" s="5" t="s">
        <v>263</v>
      </c>
      <c r="CP819" s="5" t="s">
        <v>264</v>
      </c>
      <c r="CQ819" s="5" t="s">
        <v>238</v>
      </c>
      <c r="CR819" s="5" t="s">
        <v>238</v>
      </c>
      <c r="CS819" s="5">
        <v>0</v>
      </c>
      <c r="CT819" s="5" t="s">
        <v>265</v>
      </c>
      <c r="CU819" s="5" t="s">
        <v>1360</v>
      </c>
      <c r="CV819" s="5" t="s">
        <v>267</v>
      </c>
      <c r="CX819" s="8">
        <f t="shared" si="58"/>
        <v>6128000</v>
      </c>
      <c r="CY819" s="8">
        <f>0</f>
        <v>0</v>
      </c>
      <c r="DA819" s="5" t="s">
        <v>238</v>
      </c>
      <c r="DB819" s="5" t="s">
        <v>238</v>
      </c>
      <c r="DD819" s="5" t="s">
        <v>238</v>
      </c>
      <c r="DG819" s="5" t="s">
        <v>238</v>
      </c>
      <c r="DH819" s="5" t="s">
        <v>238</v>
      </c>
      <c r="DI819" s="5" t="s">
        <v>238</v>
      </c>
      <c r="DJ819" s="5" t="s">
        <v>238</v>
      </c>
      <c r="DK819" s="5" t="s">
        <v>271</v>
      </c>
      <c r="DL819" s="5" t="s">
        <v>272</v>
      </c>
      <c r="DM819" s="7">
        <f t="shared" si="59"/>
        <v>61.28</v>
      </c>
      <c r="DN819" s="5" t="s">
        <v>238</v>
      </c>
      <c r="DO819" s="5" t="s">
        <v>238</v>
      </c>
      <c r="DP819" s="5" t="s">
        <v>238</v>
      </c>
      <c r="DQ819" s="5" t="s">
        <v>238</v>
      </c>
      <c r="DT819" s="5" t="s">
        <v>2761</v>
      </c>
      <c r="DU819" s="5" t="s">
        <v>356</v>
      </c>
      <c r="HM819" s="5" t="s">
        <v>271</v>
      </c>
      <c r="HP819" s="5" t="s">
        <v>272</v>
      </c>
      <c r="HQ819" s="5" t="s">
        <v>272</v>
      </c>
    </row>
    <row r="820" spans="1:225" x14ac:dyDescent="0.4">
      <c r="A820" s="5">
        <v>912</v>
      </c>
      <c r="B820" s="5">
        <v>1</v>
      </c>
      <c r="C820" s="5">
        <v>1</v>
      </c>
      <c r="D820" s="5" t="s">
        <v>2759</v>
      </c>
      <c r="E820" s="5" t="s">
        <v>277</v>
      </c>
      <c r="F820" s="5" t="s">
        <v>282</v>
      </c>
      <c r="G820" s="5" t="s">
        <v>2491</v>
      </c>
      <c r="H820" s="6" t="s">
        <v>2760</v>
      </c>
      <c r="I820" s="5" t="s">
        <v>2482</v>
      </c>
      <c r="J820" s="7">
        <f t="shared" si="55"/>
        <v>61.28</v>
      </c>
      <c r="K820" s="5" t="s">
        <v>270</v>
      </c>
      <c r="L820" s="8">
        <f>1</f>
        <v>1</v>
      </c>
      <c r="M820" s="8">
        <f t="shared" si="56"/>
        <v>6128000</v>
      </c>
      <c r="N820" s="6" t="s">
        <v>1571</v>
      </c>
      <c r="O820" s="5" t="s">
        <v>286</v>
      </c>
      <c r="P820" s="5" t="s">
        <v>1042</v>
      </c>
      <c r="R820" s="8">
        <f t="shared" si="57"/>
        <v>6127999</v>
      </c>
      <c r="S820" s="5" t="s">
        <v>240</v>
      </c>
      <c r="T820" s="5" t="s">
        <v>237</v>
      </c>
      <c r="U820" s="5" t="s">
        <v>238</v>
      </c>
      <c r="V820" s="5" t="s">
        <v>238</v>
      </c>
      <c r="W820" s="5" t="s">
        <v>241</v>
      </c>
      <c r="X820" s="5" t="s">
        <v>276</v>
      </c>
      <c r="Y820" s="5" t="s">
        <v>238</v>
      </c>
      <c r="AB820" s="5" t="s">
        <v>238</v>
      </c>
      <c r="AD820" s="6" t="s">
        <v>238</v>
      </c>
      <c r="AG820" s="6" t="s">
        <v>246</v>
      </c>
      <c r="AH820" s="5" t="s">
        <v>247</v>
      </c>
      <c r="AI820" s="5" t="s">
        <v>248</v>
      </c>
      <c r="AY820" s="5" t="s">
        <v>250</v>
      </c>
      <c r="AZ820" s="5" t="s">
        <v>238</v>
      </c>
      <c r="BA820" s="5" t="s">
        <v>251</v>
      </c>
      <c r="BB820" s="5" t="s">
        <v>238</v>
      </c>
      <c r="BC820" s="5" t="s">
        <v>253</v>
      </c>
      <c r="BD820" s="5" t="s">
        <v>238</v>
      </c>
      <c r="BF820" s="5" t="s">
        <v>238</v>
      </c>
      <c r="BH820" s="5" t="s">
        <v>798</v>
      </c>
      <c r="BI820" s="6" t="s">
        <v>799</v>
      </c>
      <c r="BJ820" s="5" t="s">
        <v>255</v>
      </c>
      <c r="BK820" s="5" t="s">
        <v>256</v>
      </c>
      <c r="BL820" s="5" t="s">
        <v>238</v>
      </c>
      <c r="BM820" s="7">
        <f>0</f>
        <v>0</v>
      </c>
      <c r="BN820" s="8">
        <f>0</f>
        <v>0</v>
      </c>
      <c r="BO820" s="5" t="s">
        <v>257</v>
      </c>
      <c r="BP820" s="5" t="s">
        <v>258</v>
      </c>
      <c r="CD820" s="5" t="s">
        <v>238</v>
      </c>
      <c r="CE820" s="5" t="s">
        <v>238</v>
      </c>
      <c r="CI820" s="5" t="s">
        <v>527</v>
      </c>
      <c r="CJ820" s="5" t="s">
        <v>260</v>
      </c>
      <c r="CK820" s="5" t="s">
        <v>238</v>
      </c>
      <c r="CM820" s="5" t="s">
        <v>699</v>
      </c>
      <c r="CN820" s="6" t="s">
        <v>262</v>
      </c>
      <c r="CO820" s="5" t="s">
        <v>263</v>
      </c>
      <c r="CP820" s="5" t="s">
        <v>264</v>
      </c>
      <c r="CQ820" s="5" t="s">
        <v>238</v>
      </c>
      <c r="CR820" s="5" t="s">
        <v>238</v>
      </c>
      <c r="CS820" s="5">
        <v>0</v>
      </c>
      <c r="CT820" s="5" t="s">
        <v>265</v>
      </c>
      <c r="CU820" s="5" t="s">
        <v>1360</v>
      </c>
      <c r="CV820" s="5" t="s">
        <v>267</v>
      </c>
      <c r="CX820" s="8">
        <f t="shared" si="58"/>
        <v>6128000</v>
      </c>
      <c r="CY820" s="8">
        <f>0</f>
        <v>0</v>
      </c>
      <c r="DA820" s="5" t="s">
        <v>238</v>
      </c>
      <c r="DB820" s="5" t="s">
        <v>238</v>
      </c>
      <c r="DD820" s="5" t="s">
        <v>238</v>
      </c>
      <c r="DG820" s="5" t="s">
        <v>238</v>
      </c>
      <c r="DH820" s="5" t="s">
        <v>238</v>
      </c>
      <c r="DI820" s="5" t="s">
        <v>238</v>
      </c>
      <c r="DJ820" s="5" t="s">
        <v>238</v>
      </c>
      <c r="DK820" s="5" t="s">
        <v>271</v>
      </c>
      <c r="DL820" s="5" t="s">
        <v>272</v>
      </c>
      <c r="DM820" s="7">
        <f t="shared" si="59"/>
        <v>61.28</v>
      </c>
      <c r="DN820" s="5" t="s">
        <v>238</v>
      </c>
      <c r="DO820" s="5" t="s">
        <v>238</v>
      </c>
      <c r="DP820" s="5" t="s">
        <v>238</v>
      </c>
      <c r="DQ820" s="5" t="s">
        <v>238</v>
      </c>
      <c r="DT820" s="5" t="s">
        <v>2761</v>
      </c>
      <c r="DU820" s="5" t="s">
        <v>310</v>
      </c>
      <c r="HM820" s="5" t="s">
        <v>271</v>
      </c>
      <c r="HP820" s="5" t="s">
        <v>272</v>
      </c>
      <c r="HQ820" s="5" t="s">
        <v>272</v>
      </c>
    </row>
    <row r="821" spans="1:225" x14ac:dyDescent="0.4">
      <c r="A821" s="5">
        <v>913</v>
      </c>
      <c r="B821" s="5">
        <v>1</v>
      </c>
      <c r="C821" s="5">
        <v>1</v>
      </c>
      <c r="D821" s="5" t="s">
        <v>2759</v>
      </c>
      <c r="E821" s="5" t="s">
        <v>277</v>
      </c>
      <c r="F821" s="5" t="s">
        <v>282</v>
      </c>
      <c r="G821" s="5" t="s">
        <v>2491</v>
      </c>
      <c r="H821" s="6" t="s">
        <v>2760</v>
      </c>
      <c r="I821" s="5" t="s">
        <v>2482</v>
      </c>
      <c r="J821" s="7">
        <f t="shared" si="55"/>
        <v>61.28</v>
      </c>
      <c r="K821" s="5" t="s">
        <v>270</v>
      </c>
      <c r="L821" s="8">
        <f>1</f>
        <v>1</v>
      </c>
      <c r="M821" s="8">
        <f t="shared" si="56"/>
        <v>6128000</v>
      </c>
      <c r="N821" s="6" t="s">
        <v>1571</v>
      </c>
      <c r="O821" s="5" t="s">
        <v>286</v>
      </c>
      <c r="P821" s="5" t="s">
        <v>1042</v>
      </c>
      <c r="R821" s="8">
        <f t="shared" si="57"/>
        <v>6127999</v>
      </c>
      <c r="S821" s="5" t="s">
        <v>240</v>
      </c>
      <c r="T821" s="5" t="s">
        <v>237</v>
      </c>
      <c r="U821" s="5" t="s">
        <v>238</v>
      </c>
      <c r="V821" s="5" t="s">
        <v>238</v>
      </c>
      <c r="W821" s="5" t="s">
        <v>241</v>
      </c>
      <c r="X821" s="5" t="s">
        <v>276</v>
      </c>
      <c r="Y821" s="5" t="s">
        <v>238</v>
      </c>
      <c r="AB821" s="5" t="s">
        <v>238</v>
      </c>
      <c r="AD821" s="6" t="s">
        <v>238</v>
      </c>
      <c r="AG821" s="6" t="s">
        <v>246</v>
      </c>
      <c r="AH821" s="5" t="s">
        <v>247</v>
      </c>
      <c r="AI821" s="5" t="s">
        <v>248</v>
      </c>
      <c r="AY821" s="5" t="s">
        <v>250</v>
      </c>
      <c r="AZ821" s="5" t="s">
        <v>238</v>
      </c>
      <c r="BA821" s="5" t="s">
        <v>251</v>
      </c>
      <c r="BB821" s="5" t="s">
        <v>238</v>
      </c>
      <c r="BC821" s="5" t="s">
        <v>253</v>
      </c>
      <c r="BD821" s="5" t="s">
        <v>238</v>
      </c>
      <c r="BF821" s="5" t="s">
        <v>238</v>
      </c>
      <c r="BH821" s="5" t="s">
        <v>254</v>
      </c>
      <c r="BI821" s="6" t="s">
        <v>246</v>
      </c>
      <c r="BJ821" s="5" t="s">
        <v>255</v>
      </c>
      <c r="BK821" s="5" t="s">
        <v>256</v>
      </c>
      <c r="BL821" s="5" t="s">
        <v>238</v>
      </c>
      <c r="BM821" s="7">
        <f>0</f>
        <v>0</v>
      </c>
      <c r="BN821" s="8">
        <f>0</f>
        <v>0</v>
      </c>
      <c r="BO821" s="5" t="s">
        <v>257</v>
      </c>
      <c r="BP821" s="5" t="s">
        <v>258</v>
      </c>
      <c r="CD821" s="5" t="s">
        <v>238</v>
      </c>
      <c r="CE821" s="5" t="s">
        <v>238</v>
      </c>
      <c r="CI821" s="5" t="s">
        <v>527</v>
      </c>
      <c r="CJ821" s="5" t="s">
        <v>260</v>
      </c>
      <c r="CK821" s="5" t="s">
        <v>238</v>
      </c>
      <c r="CM821" s="5" t="s">
        <v>699</v>
      </c>
      <c r="CN821" s="6" t="s">
        <v>262</v>
      </c>
      <c r="CO821" s="5" t="s">
        <v>263</v>
      </c>
      <c r="CP821" s="5" t="s">
        <v>264</v>
      </c>
      <c r="CQ821" s="5" t="s">
        <v>238</v>
      </c>
      <c r="CR821" s="5" t="s">
        <v>238</v>
      </c>
      <c r="CS821" s="5">
        <v>0</v>
      </c>
      <c r="CT821" s="5" t="s">
        <v>265</v>
      </c>
      <c r="CU821" s="5" t="s">
        <v>1360</v>
      </c>
      <c r="CV821" s="5" t="s">
        <v>267</v>
      </c>
      <c r="CX821" s="8">
        <f t="shared" si="58"/>
        <v>6128000</v>
      </c>
      <c r="CY821" s="8">
        <f>0</f>
        <v>0</v>
      </c>
      <c r="DA821" s="5" t="s">
        <v>238</v>
      </c>
      <c r="DB821" s="5" t="s">
        <v>238</v>
      </c>
      <c r="DD821" s="5" t="s">
        <v>238</v>
      </c>
      <c r="DG821" s="5" t="s">
        <v>238</v>
      </c>
      <c r="DH821" s="5" t="s">
        <v>238</v>
      </c>
      <c r="DI821" s="5" t="s">
        <v>238</v>
      </c>
      <c r="DJ821" s="5" t="s">
        <v>238</v>
      </c>
      <c r="DK821" s="5" t="s">
        <v>271</v>
      </c>
      <c r="DL821" s="5" t="s">
        <v>272</v>
      </c>
      <c r="DM821" s="7">
        <f t="shared" si="59"/>
        <v>61.28</v>
      </c>
      <c r="DN821" s="5" t="s">
        <v>238</v>
      </c>
      <c r="DO821" s="5" t="s">
        <v>238</v>
      </c>
      <c r="DP821" s="5" t="s">
        <v>238</v>
      </c>
      <c r="DQ821" s="5" t="s">
        <v>238</v>
      </c>
      <c r="DT821" s="5" t="s">
        <v>2761</v>
      </c>
      <c r="DU821" s="5" t="s">
        <v>379</v>
      </c>
      <c r="HM821" s="5" t="s">
        <v>271</v>
      </c>
      <c r="HP821" s="5" t="s">
        <v>272</v>
      </c>
      <c r="HQ821" s="5" t="s">
        <v>272</v>
      </c>
    </row>
    <row r="822" spans="1:225" x14ac:dyDescent="0.4">
      <c r="A822" s="5">
        <v>914</v>
      </c>
      <c r="B822" s="5">
        <v>1</v>
      </c>
      <c r="C822" s="5">
        <v>1</v>
      </c>
      <c r="D822" s="5" t="s">
        <v>2759</v>
      </c>
      <c r="E822" s="5" t="s">
        <v>277</v>
      </c>
      <c r="F822" s="5" t="s">
        <v>282</v>
      </c>
      <c r="G822" s="5" t="s">
        <v>2491</v>
      </c>
      <c r="H822" s="6" t="s">
        <v>2760</v>
      </c>
      <c r="I822" s="5" t="s">
        <v>2482</v>
      </c>
      <c r="J822" s="7">
        <f t="shared" si="55"/>
        <v>61.28</v>
      </c>
      <c r="K822" s="5" t="s">
        <v>270</v>
      </c>
      <c r="L822" s="8">
        <f>1</f>
        <v>1</v>
      </c>
      <c r="M822" s="8">
        <f t="shared" si="56"/>
        <v>6128000</v>
      </c>
      <c r="N822" s="6" t="s">
        <v>1571</v>
      </c>
      <c r="O822" s="5" t="s">
        <v>286</v>
      </c>
      <c r="P822" s="5" t="s">
        <v>1042</v>
      </c>
      <c r="R822" s="8">
        <f t="shared" si="57"/>
        <v>6127999</v>
      </c>
      <c r="S822" s="5" t="s">
        <v>240</v>
      </c>
      <c r="T822" s="5" t="s">
        <v>237</v>
      </c>
      <c r="U822" s="5" t="s">
        <v>238</v>
      </c>
      <c r="V822" s="5" t="s">
        <v>238</v>
      </c>
      <c r="W822" s="5" t="s">
        <v>241</v>
      </c>
      <c r="X822" s="5" t="s">
        <v>276</v>
      </c>
      <c r="Y822" s="5" t="s">
        <v>238</v>
      </c>
      <c r="AB822" s="5" t="s">
        <v>238</v>
      </c>
      <c r="AD822" s="6" t="s">
        <v>238</v>
      </c>
      <c r="AG822" s="6" t="s">
        <v>246</v>
      </c>
      <c r="AH822" s="5" t="s">
        <v>247</v>
      </c>
      <c r="AI822" s="5" t="s">
        <v>248</v>
      </c>
      <c r="AY822" s="5" t="s">
        <v>250</v>
      </c>
      <c r="AZ822" s="5" t="s">
        <v>238</v>
      </c>
      <c r="BA822" s="5" t="s">
        <v>251</v>
      </c>
      <c r="BB822" s="5" t="s">
        <v>238</v>
      </c>
      <c r="BC822" s="5" t="s">
        <v>253</v>
      </c>
      <c r="BD822" s="5" t="s">
        <v>238</v>
      </c>
      <c r="BF822" s="5" t="s">
        <v>238</v>
      </c>
      <c r="BH822" s="5" t="s">
        <v>859</v>
      </c>
      <c r="BI822" s="6" t="s">
        <v>368</v>
      </c>
      <c r="BJ822" s="5" t="s">
        <v>255</v>
      </c>
      <c r="BK822" s="5" t="s">
        <v>256</v>
      </c>
      <c r="BL822" s="5" t="s">
        <v>238</v>
      </c>
      <c r="BM822" s="7">
        <f>0</f>
        <v>0</v>
      </c>
      <c r="BN822" s="8">
        <f>0</f>
        <v>0</v>
      </c>
      <c r="BO822" s="5" t="s">
        <v>257</v>
      </c>
      <c r="BP822" s="5" t="s">
        <v>258</v>
      </c>
      <c r="CD822" s="5" t="s">
        <v>238</v>
      </c>
      <c r="CE822" s="5" t="s">
        <v>238</v>
      </c>
      <c r="CI822" s="5" t="s">
        <v>527</v>
      </c>
      <c r="CJ822" s="5" t="s">
        <v>260</v>
      </c>
      <c r="CK822" s="5" t="s">
        <v>238</v>
      </c>
      <c r="CM822" s="5" t="s">
        <v>699</v>
      </c>
      <c r="CN822" s="6" t="s">
        <v>262</v>
      </c>
      <c r="CO822" s="5" t="s">
        <v>263</v>
      </c>
      <c r="CP822" s="5" t="s">
        <v>264</v>
      </c>
      <c r="CQ822" s="5" t="s">
        <v>238</v>
      </c>
      <c r="CR822" s="5" t="s">
        <v>238</v>
      </c>
      <c r="CS822" s="5">
        <v>0</v>
      </c>
      <c r="CT822" s="5" t="s">
        <v>265</v>
      </c>
      <c r="CU822" s="5" t="s">
        <v>1360</v>
      </c>
      <c r="CV822" s="5" t="s">
        <v>267</v>
      </c>
      <c r="CX822" s="8">
        <f t="shared" si="58"/>
        <v>6128000</v>
      </c>
      <c r="CY822" s="8">
        <f>0</f>
        <v>0</v>
      </c>
      <c r="DA822" s="5" t="s">
        <v>238</v>
      </c>
      <c r="DB822" s="5" t="s">
        <v>238</v>
      </c>
      <c r="DD822" s="5" t="s">
        <v>238</v>
      </c>
      <c r="DG822" s="5" t="s">
        <v>238</v>
      </c>
      <c r="DH822" s="5" t="s">
        <v>238</v>
      </c>
      <c r="DI822" s="5" t="s">
        <v>238</v>
      </c>
      <c r="DJ822" s="5" t="s">
        <v>238</v>
      </c>
      <c r="DK822" s="5" t="s">
        <v>271</v>
      </c>
      <c r="DL822" s="5" t="s">
        <v>272</v>
      </c>
      <c r="DM822" s="7">
        <f t="shared" si="59"/>
        <v>61.28</v>
      </c>
      <c r="DN822" s="5" t="s">
        <v>238</v>
      </c>
      <c r="DO822" s="5" t="s">
        <v>238</v>
      </c>
      <c r="DP822" s="5" t="s">
        <v>238</v>
      </c>
      <c r="DQ822" s="5" t="s">
        <v>238</v>
      </c>
      <c r="DT822" s="5" t="s">
        <v>2761</v>
      </c>
      <c r="DU822" s="5" t="s">
        <v>313</v>
      </c>
      <c r="HM822" s="5" t="s">
        <v>271</v>
      </c>
      <c r="HP822" s="5" t="s">
        <v>272</v>
      </c>
      <c r="HQ822" s="5" t="s">
        <v>272</v>
      </c>
    </row>
    <row r="823" spans="1:225" x14ac:dyDescent="0.4">
      <c r="A823" s="5">
        <v>915</v>
      </c>
      <c r="B823" s="5">
        <v>1</v>
      </c>
      <c r="C823" s="5">
        <v>1</v>
      </c>
      <c r="D823" s="5" t="s">
        <v>2759</v>
      </c>
      <c r="E823" s="5" t="s">
        <v>277</v>
      </c>
      <c r="F823" s="5" t="s">
        <v>282</v>
      </c>
      <c r="G823" s="5" t="s">
        <v>2491</v>
      </c>
      <c r="H823" s="6" t="s">
        <v>2760</v>
      </c>
      <c r="I823" s="5" t="s">
        <v>2482</v>
      </c>
      <c r="J823" s="7">
        <f t="shared" si="55"/>
        <v>61.28</v>
      </c>
      <c r="K823" s="5" t="s">
        <v>270</v>
      </c>
      <c r="L823" s="8">
        <f>1</f>
        <v>1</v>
      </c>
      <c r="M823" s="8">
        <f t="shared" si="56"/>
        <v>6128000</v>
      </c>
      <c r="N823" s="6" t="s">
        <v>1571</v>
      </c>
      <c r="O823" s="5" t="s">
        <v>286</v>
      </c>
      <c r="P823" s="5" t="s">
        <v>1042</v>
      </c>
      <c r="R823" s="8">
        <f t="shared" si="57"/>
        <v>6127999</v>
      </c>
      <c r="S823" s="5" t="s">
        <v>240</v>
      </c>
      <c r="T823" s="5" t="s">
        <v>237</v>
      </c>
      <c r="U823" s="5" t="s">
        <v>238</v>
      </c>
      <c r="V823" s="5" t="s">
        <v>238</v>
      </c>
      <c r="W823" s="5" t="s">
        <v>241</v>
      </c>
      <c r="X823" s="5" t="s">
        <v>276</v>
      </c>
      <c r="Y823" s="5" t="s">
        <v>238</v>
      </c>
      <c r="AB823" s="5" t="s">
        <v>238</v>
      </c>
      <c r="AD823" s="6" t="s">
        <v>238</v>
      </c>
      <c r="AG823" s="6" t="s">
        <v>246</v>
      </c>
      <c r="AH823" s="5" t="s">
        <v>247</v>
      </c>
      <c r="AI823" s="5" t="s">
        <v>248</v>
      </c>
      <c r="AY823" s="5" t="s">
        <v>250</v>
      </c>
      <c r="AZ823" s="5" t="s">
        <v>238</v>
      </c>
      <c r="BA823" s="5" t="s">
        <v>251</v>
      </c>
      <c r="BB823" s="5" t="s">
        <v>238</v>
      </c>
      <c r="BC823" s="5" t="s">
        <v>253</v>
      </c>
      <c r="BD823" s="5" t="s">
        <v>238</v>
      </c>
      <c r="BF823" s="5" t="s">
        <v>238</v>
      </c>
      <c r="BH823" s="5" t="s">
        <v>697</v>
      </c>
      <c r="BI823" s="6" t="s">
        <v>698</v>
      </c>
      <c r="BJ823" s="5" t="s">
        <v>255</v>
      </c>
      <c r="BK823" s="5" t="s">
        <v>256</v>
      </c>
      <c r="BL823" s="5" t="s">
        <v>238</v>
      </c>
      <c r="BM823" s="7">
        <f>0</f>
        <v>0</v>
      </c>
      <c r="BN823" s="8">
        <f>0</f>
        <v>0</v>
      </c>
      <c r="BO823" s="5" t="s">
        <v>257</v>
      </c>
      <c r="BP823" s="5" t="s">
        <v>258</v>
      </c>
      <c r="CD823" s="5" t="s">
        <v>238</v>
      </c>
      <c r="CE823" s="5" t="s">
        <v>238</v>
      </c>
      <c r="CI823" s="5" t="s">
        <v>527</v>
      </c>
      <c r="CJ823" s="5" t="s">
        <v>260</v>
      </c>
      <c r="CK823" s="5" t="s">
        <v>238</v>
      </c>
      <c r="CM823" s="5" t="s">
        <v>699</v>
      </c>
      <c r="CN823" s="6" t="s">
        <v>262</v>
      </c>
      <c r="CO823" s="5" t="s">
        <v>263</v>
      </c>
      <c r="CP823" s="5" t="s">
        <v>264</v>
      </c>
      <c r="CQ823" s="5" t="s">
        <v>238</v>
      </c>
      <c r="CR823" s="5" t="s">
        <v>238</v>
      </c>
      <c r="CS823" s="5">
        <v>0</v>
      </c>
      <c r="CT823" s="5" t="s">
        <v>265</v>
      </c>
      <c r="CU823" s="5" t="s">
        <v>1360</v>
      </c>
      <c r="CV823" s="5" t="s">
        <v>267</v>
      </c>
      <c r="CX823" s="8">
        <f t="shared" si="58"/>
        <v>6128000</v>
      </c>
      <c r="CY823" s="8">
        <f>0</f>
        <v>0</v>
      </c>
      <c r="DA823" s="5" t="s">
        <v>238</v>
      </c>
      <c r="DB823" s="5" t="s">
        <v>238</v>
      </c>
      <c r="DD823" s="5" t="s">
        <v>238</v>
      </c>
      <c r="DG823" s="5" t="s">
        <v>238</v>
      </c>
      <c r="DH823" s="5" t="s">
        <v>238</v>
      </c>
      <c r="DI823" s="5" t="s">
        <v>238</v>
      </c>
      <c r="DJ823" s="5" t="s">
        <v>238</v>
      </c>
      <c r="DK823" s="5" t="s">
        <v>271</v>
      </c>
      <c r="DL823" s="5" t="s">
        <v>272</v>
      </c>
      <c r="DM823" s="7">
        <f t="shared" si="59"/>
        <v>61.28</v>
      </c>
      <c r="DN823" s="5" t="s">
        <v>238</v>
      </c>
      <c r="DO823" s="5" t="s">
        <v>238</v>
      </c>
      <c r="DP823" s="5" t="s">
        <v>238</v>
      </c>
      <c r="DQ823" s="5" t="s">
        <v>238</v>
      </c>
      <c r="DT823" s="5" t="s">
        <v>2761</v>
      </c>
      <c r="DU823" s="5" t="s">
        <v>389</v>
      </c>
      <c r="HM823" s="5" t="s">
        <v>271</v>
      </c>
      <c r="HP823" s="5" t="s">
        <v>272</v>
      </c>
      <c r="HQ823" s="5" t="s">
        <v>272</v>
      </c>
    </row>
    <row r="824" spans="1:225" x14ac:dyDescent="0.4">
      <c r="A824" s="5">
        <v>916</v>
      </c>
      <c r="B824" s="5">
        <v>1</v>
      </c>
      <c r="C824" s="5">
        <v>1</v>
      </c>
      <c r="D824" s="5" t="s">
        <v>2759</v>
      </c>
      <c r="E824" s="5" t="s">
        <v>277</v>
      </c>
      <c r="F824" s="5" t="s">
        <v>282</v>
      </c>
      <c r="G824" s="5" t="s">
        <v>2491</v>
      </c>
      <c r="H824" s="6" t="s">
        <v>2760</v>
      </c>
      <c r="I824" s="5" t="s">
        <v>2482</v>
      </c>
      <c r="J824" s="7">
        <f t="shared" si="55"/>
        <v>61.28</v>
      </c>
      <c r="K824" s="5" t="s">
        <v>270</v>
      </c>
      <c r="L824" s="8">
        <f>1</f>
        <v>1</v>
      </c>
      <c r="M824" s="8">
        <f t="shared" si="56"/>
        <v>6128000</v>
      </c>
      <c r="N824" s="6" t="s">
        <v>1571</v>
      </c>
      <c r="O824" s="5" t="s">
        <v>286</v>
      </c>
      <c r="P824" s="5" t="s">
        <v>1042</v>
      </c>
      <c r="R824" s="8">
        <f t="shared" si="57"/>
        <v>6127999</v>
      </c>
      <c r="S824" s="5" t="s">
        <v>240</v>
      </c>
      <c r="T824" s="5" t="s">
        <v>237</v>
      </c>
      <c r="U824" s="5" t="s">
        <v>238</v>
      </c>
      <c r="V824" s="5" t="s">
        <v>238</v>
      </c>
      <c r="W824" s="5" t="s">
        <v>241</v>
      </c>
      <c r="X824" s="5" t="s">
        <v>276</v>
      </c>
      <c r="Y824" s="5" t="s">
        <v>238</v>
      </c>
      <c r="AB824" s="5" t="s">
        <v>238</v>
      </c>
      <c r="AD824" s="6" t="s">
        <v>238</v>
      </c>
      <c r="AG824" s="6" t="s">
        <v>246</v>
      </c>
      <c r="AH824" s="5" t="s">
        <v>247</v>
      </c>
      <c r="AI824" s="5" t="s">
        <v>248</v>
      </c>
      <c r="AY824" s="5" t="s">
        <v>250</v>
      </c>
      <c r="AZ824" s="5" t="s">
        <v>238</v>
      </c>
      <c r="BA824" s="5" t="s">
        <v>251</v>
      </c>
      <c r="BB824" s="5" t="s">
        <v>238</v>
      </c>
      <c r="BC824" s="5" t="s">
        <v>253</v>
      </c>
      <c r="BD824" s="5" t="s">
        <v>238</v>
      </c>
      <c r="BF824" s="5" t="s">
        <v>238</v>
      </c>
      <c r="BH824" s="5" t="s">
        <v>798</v>
      </c>
      <c r="BI824" s="6" t="s">
        <v>799</v>
      </c>
      <c r="BJ824" s="5" t="s">
        <v>255</v>
      </c>
      <c r="BK824" s="5" t="s">
        <v>256</v>
      </c>
      <c r="BL824" s="5" t="s">
        <v>238</v>
      </c>
      <c r="BM824" s="7">
        <f>0</f>
        <v>0</v>
      </c>
      <c r="BN824" s="8">
        <f>0</f>
        <v>0</v>
      </c>
      <c r="BO824" s="5" t="s">
        <v>257</v>
      </c>
      <c r="BP824" s="5" t="s">
        <v>258</v>
      </c>
      <c r="CD824" s="5" t="s">
        <v>238</v>
      </c>
      <c r="CE824" s="5" t="s">
        <v>238</v>
      </c>
      <c r="CI824" s="5" t="s">
        <v>527</v>
      </c>
      <c r="CJ824" s="5" t="s">
        <v>260</v>
      </c>
      <c r="CK824" s="5" t="s">
        <v>238</v>
      </c>
      <c r="CM824" s="5" t="s">
        <v>699</v>
      </c>
      <c r="CN824" s="6" t="s">
        <v>262</v>
      </c>
      <c r="CO824" s="5" t="s">
        <v>263</v>
      </c>
      <c r="CP824" s="5" t="s">
        <v>264</v>
      </c>
      <c r="CQ824" s="5" t="s">
        <v>238</v>
      </c>
      <c r="CR824" s="5" t="s">
        <v>238</v>
      </c>
      <c r="CS824" s="5">
        <v>0</v>
      </c>
      <c r="CT824" s="5" t="s">
        <v>265</v>
      </c>
      <c r="CU824" s="5" t="s">
        <v>1360</v>
      </c>
      <c r="CV824" s="5" t="s">
        <v>267</v>
      </c>
      <c r="CX824" s="8">
        <f t="shared" si="58"/>
        <v>6128000</v>
      </c>
      <c r="CY824" s="8">
        <f>0</f>
        <v>0</v>
      </c>
      <c r="DA824" s="5" t="s">
        <v>238</v>
      </c>
      <c r="DB824" s="5" t="s">
        <v>238</v>
      </c>
      <c r="DD824" s="5" t="s">
        <v>238</v>
      </c>
      <c r="DG824" s="5" t="s">
        <v>238</v>
      </c>
      <c r="DH824" s="5" t="s">
        <v>238</v>
      </c>
      <c r="DI824" s="5" t="s">
        <v>238</v>
      </c>
      <c r="DJ824" s="5" t="s">
        <v>238</v>
      </c>
      <c r="DK824" s="5" t="s">
        <v>271</v>
      </c>
      <c r="DL824" s="5" t="s">
        <v>272</v>
      </c>
      <c r="DM824" s="7">
        <f t="shared" si="59"/>
        <v>61.28</v>
      </c>
      <c r="DN824" s="5" t="s">
        <v>238</v>
      </c>
      <c r="DO824" s="5" t="s">
        <v>238</v>
      </c>
      <c r="DP824" s="5" t="s">
        <v>238</v>
      </c>
      <c r="DQ824" s="5" t="s">
        <v>238</v>
      </c>
      <c r="DT824" s="5" t="s">
        <v>2761</v>
      </c>
      <c r="DU824" s="5" t="s">
        <v>354</v>
      </c>
      <c r="HM824" s="5" t="s">
        <v>271</v>
      </c>
      <c r="HP824" s="5" t="s">
        <v>272</v>
      </c>
      <c r="HQ824" s="5" t="s">
        <v>272</v>
      </c>
    </row>
    <row r="825" spans="1:225" x14ac:dyDescent="0.4">
      <c r="A825" s="5">
        <v>917</v>
      </c>
      <c r="B825" s="5">
        <v>1</v>
      </c>
      <c r="C825" s="5">
        <v>1</v>
      </c>
      <c r="D825" s="5" t="s">
        <v>2759</v>
      </c>
      <c r="E825" s="5" t="s">
        <v>277</v>
      </c>
      <c r="F825" s="5" t="s">
        <v>282</v>
      </c>
      <c r="G825" s="5" t="s">
        <v>2491</v>
      </c>
      <c r="H825" s="6" t="s">
        <v>2760</v>
      </c>
      <c r="I825" s="5" t="s">
        <v>2482</v>
      </c>
      <c r="J825" s="7">
        <f t="shared" si="55"/>
        <v>61.28</v>
      </c>
      <c r="K825" s="5" t="s">
        <v>270</v>
      </c>
      <c r="L825" s="8">
        <f>1</f>
        <v>1</v>
      </c>
      <c r="M825" s="8">
        <f t="shared" si="56"/>
        <v>6128000</v>
      </c>
      <c r="N825" s="6" t="s">
        <v>1571</v>
      </c>
      <c r="O825" s="5" t="s">
        <v>286</v>
      </c>
      <c r="P825" s="5" t="s">
        <v>1042</v>
      </c>
      <c r="R825" s="8">
        <f t="shared" si="57"/>
        <v>6127999</v>
      </c>
      <c r="S825" s="5" t="s">
        <v>240</v>
      </c>
      <c r="T825" s="5" t="s">
        <v>237</v>
      </c>
      <c r="U825" s="5" t="s">
        <v>238</v>
      </c>
      <c r="V825" s="5" t="s">
        <v>238</v>
      </c>
      <c r="W825" s="5" t="s">
        <v>241</v>
      </c>
      <c r="X825" s="5" t="s">
        <v>276</v>
      </c>
      <c r="Y825" s="5" t="s">
        <v>238</v>
      </c>
      <c r="AB825" s="5" t="s">
        <v>238</v>
      </c>
      <c r="AD825" s="6" t="s">
        <v>238</v>
      </c>
      <c r="AG825" s="6" t="s">
        <v>246</v>
      </c>
      <c r="AH825" s="5" t="s">
        <v>247</v>
      </c>
      <c r="AI825" s="5" t="s">
        <v>248</v>
      </c>
      <c r="AY825" s="5" t="s">
        <v>250</v>
      </c>
      <c r="AZ825" s="5" t="s">
        <v>238</v>
      </c>
      <c r="BA825" s="5" t="s">
        <v>251</v>
      </c>
      <c r="BB825" s="5" t="s">
        <v>238</v>
      </c>
      <c r="BC825" s="5" t="s">
        <v>253</v>
      </c>
      <c r="BD825" s="5" t="s">
        <v>238</v>
      </c>
      <c r="BF825" s="5" t="s">
        <v>238</v>
      </c>
      <c r="BH825" s="5" t="s">
        <v>254</v>
      </c>
      <c r="BI825" s="6" t="s">
        <v>246</v>
      </c>
      <c r="BJ825" s="5" t="s">
        <v>255</v>
      </c>
      <c r="BK825" s="5" t="s">
        <v>256</v>
      </c>
      <c r="BL825" s="5" t="s">
        <v>238</v>
      </c>
      <c r="BM825" s="7">
        <f>0</f>
        <v>0</v>
      </c>
      <c r="BN825" s="8">
        <f>0</f>
        <v>0</v>
      </c>
      <c r="BO825" s="5" t="s">
        <v>257</v>
      </c>
      <c r="BP825" s="5" t="s">
        <v>258</v>
      </c>
      <c r="CD825" s="5" t="s">
        <v>238</v>
      </c>
      <c r="CE825" s="5" t="s">
        <v>238</v>
      </c>
      <c r="CI825" s="5" t="s">
        <v>527</v>
      </c>
      <c r="CJ825" s="5" t="s">
        <v>260</v>
      </c>
      <c r="CK825" s="5" t="s">
        <v>238</v>
      </c>
      <c r="CM825" s="5" t="s">
        <v>699</v>
      </c>
      <c r="CN825" s="6" t="s">
        <v>262</v>
      </c>
      <c r="CO825" s="5" t="s">
        <v>263</v>
      </c>
      <c r="CP825" s="5" t="s">
        <v>264</v>
      </c>
      <c r="CQ825" s="5" t="s">
        <v>238</v>
      </c>
      <c r="CR825" s="5" t="s">
        <v>238</v>
      </c>
      <c r="CS825" s="5">
        <v>0</v>
      </c>
      <c r="CT825" s="5" t="s">
        <v>265</v>
      </c>
      <c r="CU825" s="5" t="s">
        <v>1360</v>
      </c>
      <c r="CV825" s="5" t="s">
        <v>267</v>
      </c>
      <c r="CX825" s="8">
        <f t="shared" si="58"/>
        <v>6128000</v>
      </c>
      <c r="CY825" s="8">
        <f>0</f>
        <v>0</v>
      </c>
      <c r="DA825" s="5" t="s">
        <v>238</v>
      </c>
      <c r="DB825" s="5" t="s">
        <v>238</v>
      </c>
      <c r="DD825" s="5" t="s">
        <v>238</v>
      </c>
      <c r="DG825" s="5" t="s">
        <v>238</v>
      </c>
      <c r="DH825" s="5" t="s">
        <v>238</v>
      </c>
      <c r="DI825" s="5" t="s">
        <v>238</v>
      </c>
      <c r="DJ825" s="5" t="s">
        <v>238</v>
      </c>
      <c r="DK825" s="5" t="s">
        <v>271</v>
      </c>
      <c r="DL825" s="5" t="s">
        <v>272</v>
      </c>
      <c r="DM825" s="7">
        <f t="shared" si="59"/>
        <v>61.28</v>
      </c>
      <c r="DN825" s="5" t="s">
        <v>238</v>
      </c>
      <c r="DO825" s="5" t="s">
        <v>238</v>
      </c>
      <c r="DP825" s="5" t="s">
        <v>238</v>
      </c>
      <c r="DQ825" s="5" t="s">
        <v>238</v>
      </c>
      <c r="DT825" s="5" t="s">
        <v>2761</v>
      </c>
      <c r="DU825" s="5" t="s">
        <v>361</v>
      </c>
      <c r="HM825" s="5" t="s">
        <v>271</v>
      </c>
      <c r="HP825" s="5" t="s">
        <v>272</v>
      </c>
      <c r="HQ825" s="5" t="s">
        <v>272</v>
      </c>
    </row>
    <row r="826" spans="1:225" x14ac:dyDescent="0.4">
      <c r="A826" s="5">
        <v>918</v>
      </c>
      <c r="B826" s="5">
        <v>1</v>
      </c>
      <c r="C826" s="5">
        <v>1</v>
      </c>
      <c r="D826" s="5" t="s">
        <v>2759</v>
      </c>
      <c r="E826" s="5" t="s">
        <v>277</v>
      </c>
      <c r="F826" s="5" t="s">
        <v>282</v>
      </c>
      <c r="G826" s="5" t="s">
        <v>2491</v>
      </c>
      <c r="H826" s="6" t="s">
        <v>2760</v>
      </c>
      <c r="I826" s="5" t="s">
        <v>2482</v>
      </c>
      <c r="J826" s="7">
        <f t="shared" si="55"/>
        <v>61.28</v>
      </c>
      <c r="K826" s="5" t="s">
        <v>270</v>
      </c>
      <c r="L826" s="8">
        <f>1</f>
        <v>1</v>
      </c>
      <c r="M826" s="8">
        <f t="shared" si="56"/>
        <v>6128000</v>
      </c>
      <c r="N826" s="6" t="s">
        <v>1571</v>
      </c>
      <c r="O826" s="5" t="s">
        <v>286</v>
      </c>
      <c r="P826" s="5" t="s">
        <v>1042</v>
      </c>
      <c r="R826" s="8">
        <f t="shared" si="57"/>
        <v>6127999</v>
      </c>
      <c r="S826" s="5" t="s">
        <v>240</v>
      </c>
      <c r="T826" s="5" t="s">
        <v>237</v>
      </c>
      <c r="U826" s="5" t="s">
        <v>238</v>
      </c>
      <c r="V826" s="5" t="s">
        <v>238</v>
      </c>
      <c r="W826" s="5" t="s">
        <v>241</v>
      </c>
      <c r="X826" s="5" t="s">
        <v>276</v>
      </c>
      <c r="Y826" s="5" t="s">
        <v>238</v>
      </c>
      <c r="AB826" s="5" t="s">
        <v>238</v>
      </c>
      <c r="AD826" s="6" t="s">
        <v>238</v>
      </c>
      <c r="AG826" s="6" t="s">
        <v>246</v>
      </c>
      <c r="AH826" s="5" t="s">
        <v>247</v>
      </c>
      <c r="AI826" s="5" t="s">
        <v>248</v>
      </c>
      <c r="AY826" s="5" t="s">
        <v>250</v>
      </c>
      <c r="AZ826" s="5" t="s">
        <v>238</v>
      </c>
      <c r="BA826" s="5" t="s">
        <v>251</v>
      </c>
      <c r="BB826" s="5" t="s">
        <v>238</v>
      </c>
      <c r="BC826" s="5" t="s">
        <v>253</v>
      </c>
      <c r="BD826" s="5" t="s">
        <v>238</v>
      </c>
      <c r="BF826" s="5" t="s">
        <v>238</v>
      </c>
      <c r="BH826" s="5" t="s">
        <v>859</v>
      </c>
      <c r="BI826" s="6" t="s">
        <v>368</v>
      </c>
      <c r="BJ826" s="5" t="s">
        <v>255</v>
      </c>
      <c r="BK826" s="5" t="s">
        <v>256</v>
      </c>
      <c r="BL826" s="5" t="s">
        <v>238</v>
      </c>
      <c r="BM826" s="7">
        <f>0</f>
        <v>0</v>
      </c>
      <c r="BN826" s="8">
        <f>0</f>
        <v>0</v>
      </c>
      <c r="BO826" s="5" t="s">
        <v>257</v>
      </c>
      <c r="BP826" s="5" t="s">
        <v>258</v>
      </c>
      <c r="CD826" s="5" t="s">
        <v>238</v>
      </c>
      <c r="CE826" s="5" t="s">
        <v>238</v>
      </c>
      <c r="CI826" s="5" t="s">
        <v>527</v>
      </c>
      <c r="CJ826" s="5" t="s">
        <v>260</v>
      </c>
      <c r="CK826" s="5" t="s">
        <v>238</v>
      </c>
      <c r="CM826" s="5" t="s">
        <v>699</v>
      </c>
      <c r="CN826" s="6" t="s">
        <v>262</v>
      </c>
      <c r="CO826" s="5" t="s">
        <v>263</v>
      </c>
      <c r="CP826" s="5" t="s">
        <v>264</v>
      </c>
      <c r="CQ826" s="5" t="s">
        <v>238</v>
      </c>
      <c r="CR826" s="5" t="s">
        <v>238</v>
      </c>
      <c r="CS826" s="5">
        <v>0</v>
      </c>
      <c r="CT826" s="5" t="s">
        <v>265</v>
      </c>
      <c r="CU826" s="5" t="s">
        <v>1360</v>
      </c>
      <c r="CV826" s="5" t="s">
        <v>267</v>
      </c>
      <c r="CX826" s="8">
        <f t="shared" si="58"/>
        <v>6128000</v>
      </c>
      <c r="CY826" s="8">
        <f>0</f>
        <v>0</v>
      </c>
      <c r="DA826" s="5" t="s">
        <v>238</v>
      </c>
      <c r="DB826" s="5" t="s">
        <v>238</v>
      </c>
      <c r="DD826" s="5" t="s">
        <v>238</v>
      </c>
      <c r="DG826" s="5" t="s">
        <v>238</v>
      </c>
      <c r="DH826" s="5" t="s">
        <v>238</v>
      </c>
      <c r="DI826" s="5" t="s">
        <v>238</v>
      </c>
      <c r="DJ826" s="5" t="s">
        <v>238</v>
      </c>
      <c r="DK826" s="5" t="s">
        <v>271</v>
      </c>
      <c r="DL826" s="5" t="s">
        <v>272</v>
      </c>
      <c r="DM826" s="7">
        <f t="shared" si="59"/>
        <v>61.28</v>
      </c>
      <c r="DN826" s="5" t="s">
        <v>238</v>
      </c>
      <c r="DO826" s="5" t="s">
        <v>238</v>
      </c>
      <c r="DP826" s="5" t="s">
        <v>238</v>
      </c>
      <c r="DQ826" s="5" t="s">
        <v>238</v>
      </c>
      <c r="DT826" s="5" t="s">
        <v>2761</v>
      </c>
      <c r="DU826" s="5" t="s">
        <v>377</v>
      </c>
      <c r="HM826" s="5" t="s">
        <v>271</v>
      </c>
      <c r="HP826" s="5" t="s">
        <v>272</v>
      </c>
      <c r="HQ826" s="5" t="s">
        <v>272</v>
      </c>
    </row>
    <row r="827" spans="1:225" x14ac:dyDescent="0.4">
      <c r="A827" s="5">
        <v>919</v>
      </c>
      <c r="B827" s="5">
        <v>1</v>
      </c>
      <c r="C827" s="5">
        <v>1</v>
      </c>
      <c r="D827" s="5" t="s">
        <v>2810</v>
      </c>
      <c r="E827" s="5" t="s">
        <v>277</v>
      </c>
      <c r="F827" s="5" t="s">
        <v>282</v>
      </c>
      <c r="G827" s="5" t="s">
        <v>2491</v>
      </c>
      <c r="H827" s="6" t="s">
        <v>2812</v>
      </c>
      <c r="I827" s="5" t="s">
        <v>2482</v>
      </c>
      <c r="J827" s="7">
        <f>72.9</f>
        <v>72.900000000000006</v>
      </c>
      <c r="K827" s="5" t="s">
        <v>270</v>
      </c>
      <c r="L827" s="8">
        <f>1</f>
        <v>1</v>
      </c>
      <c r="M827" s="8">
        <f>7290000</f>
        <v>7290000</v>
      </c>
      <c r="N827" s="6" t="s">
        <v>2811</v>
      </c>
      <c r="O827" s="5" t="s">
        <v>286</v>
      </c>
      <c r="P827" s="5" t="s">
        <v>1271</v>
      </c>
      <c r="R827" s="8">
        <f>7289999</f>
        <v>7289999</v>
      </c>
      <c r="S827" s="5" t="s">
        <v>240</v>
      </c>
      <c r="T827" s="5" t="s">
        <v>237</v>
      </c>
      <c r="U827" s="5" t="s">
        <v>238</v>
      </c>
      <c r="V827" s="5" t="s">
        <v>238</v>
      </c>
      <c r="W827" s="5" t="s">
        <v>241</v>
      </c>
      <c r="X827" s="5" t="s">
        <v>276</v>
      </c>
      <c r="Y827" s="5" t="s">
        <v>238</v>
      </c>
      <c r="AB827" s="5" t="s">
        <v>238</v>
      </c>
      <c r="AD827" s="6" t="s">
        <v>238</v>
      </c>
      <c r="AG827" s="6" t="s">
        <v>246</v>
      </c>
      <c r="AH827" s="5" t="s">
        <v>247</v>
      </c>
      <c r="AI827" s="5" t="s">
        <v>248</v>
      </c>
      <c r="AY827" s="5" t="s">
        <v>250</v>
      </c>
      <c r="AZ827" s="5" t="s">
        <v>238</v>
      </c>
      <c r="BA827" s="5" t="s">
        <v>251</v>
      </c>
      <c r="BB827" s="5" t="s">
        <v>238</v>
      </c>
      <c r="BC827" s="5" t="s">
        <v>253</v>
      </c>
      <c r="BD827" s="5" t="s">
        <v>238</v>
      </c>
      <c r="BF827" s="5" t="s">
        <v>238</v>
      </c>
      <c r="BH827" s="5" t="s">
        <v>697</v>
      </c>
      <c r="BI827" s="6" t="s">
        <v>698</v>
      </c>
      <c r="BJ827" s="5" t="s">
        <v>255</v>
      </c>
      <c r="BK827" s="5" t="s">
        <v>256</v>
      </c>
      <c r="BL827" s="5" t="s">
        <v>238</v>
      </c>
      <c r="BM827" s="7">
        <f>0</f>
        <v>0</v>
      </c>
      <c r="BN827" s="8">
        <f>0</f>
        <v>0</v>
      </c>
      <c r="BO827" s="5" t="s">
        <v>257</v>
      </c>
      <c r="BP827" s="5" t="s">
        <v>258</v>
      </c>
      <c r="CD827" s="5" t="s">
        <v>238</v>
      </c>
      <c r="CE827" s="5" t="s">
        <v>238</v>
      </c>
      <c r="CI827" s="5" t="s">
        <v>527</v>
      </c>
      <c r="CJ827" s="5" t="s">
        <v>260</v>
      </c>
      <c r="CK827" s="5" t="s">
        <v>238</v>
      </c>
      <c r="CM827" s="5" t="s">
        <v>871</v>
      </c>
      <c r="CN827" s="6" t="s">
        <v>262</v>
      </c>
      <c r="CO827" s="5" t="s">
        <v>263</v>
      </c>
      <c r="CP827" s="5" t="s">
        <v>264</v>
      </c>
      <c r="CQ827" s="5" t="s">
        <v>238</v>
      </c>
      <c r="CR827" s="5" t="s">
        <v>238</v>
      </c>
      <c r="CS827" s="5">
        <v>0</v>
      </c>
      <c r="CT827" s="5" t="s">
        <v>265</v>
      </c>
      <c r="CU827" s="5" t="s">
        <v>1360</v>
      </c>
      <c r="CV827" s="5" t="s">
        <v>267</v>
      </c>
      <c r="CX827" s="8">
        <f>7290000</f>
        <v>7290000</v>
      </c>
      <c r="CY827" s="8">
        <f>0</f>
        <v>0</v>
      </c>
      <c r="DA827" s="5" t="s">
        <v>238</v>
      </c>
      <c r="DB827" s="5" t="s">
        <v>238</v>
      </c>
      <c r="DD827" s="5" t="s">
        <v>238</v>
      </c>
      <c r="DG827" s="5" t="s">
        <v>238</v>
      </c>
      <c r="DH827" s="5" t="s">
        <v>238</v>
      </c>
      <c r="DI827" s="5" t="s">
        <v>238</v>
      </c>
      <c r="DJ827" s="5" t="s">
        <v>238</v>
      </c>
      <c r="DK827" s="5" t="s">
        <v>271</v>
      </c>
      <c r="DL827" s="5" t="s">
        <v>272</v>
      </c>
      <c r="DM827" s="7">
        <f>72.9</f>
        <v>72.900000000000006</v>
      </c>
      <c r="DN827" s="5" t="s">
        <v>238</v>
      </c>
      <c r="DO827" s="5" t="s">
        <v>238</v>
      </c>
      <c r="DP827" s="5" t="s">
        <v>238</v>
      </c>
      <c r="DQ827" s="5" t="s">
        <v>238</v>
      </c>
      <c r="DT827" s="5" t="s">
        <v>2813</v>
      </c>
      <c r="DU827" s="5" t="s">
        <v>271</v>
      </c>
      <c r="HM827" s="5" t="s">
        <v>271</v>
      </c>
      <c r="HP827" s="5" t="s">
        <v>272</v>
      </c>
      <c r="HQ827" s="5" t="s">
        <v>272</v>
      </c>
    </row>
    <row r="828" spans="1:225" x14ac:dyDescent="0.4">
      <c r="A828" s="5">
        <v>920</v>
      </c>
      <c r="B828" s="5">
        <v>1</v>
      </c>
      <c r="C828" s="5">
        <v>1</v>
      </c>
      <c r="D828" s="5" t="s">
        <v>2807</v>
      </c>
      <c r="E828" s="5" t="s">
        <v>277</v>
      </c>
      <c r="F828" s="5" t="s">
        <v>282</v>
      </c>
      <c r="G828" s="5" t="s">
        <v>2491</v>
      </c>
      <c r="H828" s="6" t="s">
        <v>2808</v>
      </c>
      <c r="I828" s="5" t="s">
        <v>2482</v>
      </c>
      <c r="J828" s="7">
        <f>125.88</f>
        <v>125.88</v>
      </c>
      <c r="K828" s="5" t="s">
        <v>270</v>
      </c>
      <c r="L828" s="8">
        <f>1</f>
        <v>1</v>
      </c>
      <c r="M828" s="8">
        <f>12588000</f>
        <v>12588000</v>
      </c>
      <c r="N828" s="6" t="s">
        <v>1131</v>
      </c>
      <c r="O828" s="5" t="s">
        <v>286</v>
      </c>
      <c r="P828" s="5" t="s">
        <v>991</v>
      </c>
      <c r="R828" s="8">
        <f>12587999</f>
        <v>12587999</v>
      </c>
      <c r="S828" s="5" t="s">
        <v>240</v>
      </c>
      <c r="T828" s="5" t="s">
        <v>237</v>
      </c>
      <c r="U828" s="5" t="s">
        <v>238</v>
      </c>
      <c r="V828" s="5" t="s">
        <v>238</v>
      </c>
      <c r="W828" s="5" t="s">
        <v>241</v>
      </c>
      <c r="X828" s="5" t="s">
        <v>276</v>
      </c>
      <c r="Y828" s="5" t="s">
        <v>238</v>
      </c>
      <c r="AB828" s="5" t="s">
        <v>238</v>
      </c>
      <c r="AD828" s="6" t="s">
        <v>238</v>
      </c>
      <c r="AG828" s="6" t="s">
        <v>246</v>
      </c>
      <c r="AH828" s="5" t="s">
        <v>247</v>
      </c>
      <c r="AI828" s="5" t="s">
        <v>248</v>
      </c>
      <c r="AY828" s="5" t="s">
        <v>250</v>
      </c>
      <c r="AZ828" s="5" t="s">
        <v>238</v>
      </c>
      <c r="BA828" s="5" t="s">
        <v>251</v>
      </c>
      <c r="BB828" s="5" t="s">
        <v>238</v>
      </c>
      <c r="BC828" s="5" t="s">
        <v>253</v>
      </c>
      <c r="BD828" s="5" t="s">
        <v>238</v>
      </c>
      <c r="BF828" s="5" t="s">
        <v>2648</v>
      </c>
      <c r="BH828" s="5" t="s">
        <v>798</v>
      </c>
      <c r="BI828" s="6" t="s">
        <v>799</v>
      </c>
      <c r="BJ828" s="5" t="s">
        <v>255</v>
      </c>
      <c r="BK828" s="5" t="s">
        <v>256</v>
      </c>
      <c r="BL828" s="5" t="s">
        <v>238</v>
      </c>
      <c r="BM828" s="7">
        <f>0</f>
        <v>0</v>
      </c>
      <c r="BN828" s="8">
        <f>0</f>
        <v>0</v>
      </c>
      <c r="BO828" s="5" t="s">
        <v>257</v>
      </c>
      <c r="BP828" s="5" t="s">
        <v>258</v>
      </c>
      <c r="CD828" s="5" t="s">
        <v>238</v>
      </c>
      <c r="CE828" s="5" t="s">
        <v>238</v>
      </c>
      <c r="CI828" s="5" t="s">
        <v>527</v>
      </c>
      <c r="CJ828" s="5" t="s">
        <v>260</v>
      </c>
      <c r="CK828" s="5" t="s">
        <v>238</v>
      </c>
      <c r="CM828" s="5" t="s">
        <v>990</v>
      </c>
      <c r="CN828" s="6" t="s">
        <v>262</v>
      </c>
      <c r="CO828" s="5" t="s">
        <v>263</v>
      </c>
      <c r="CP828" s="5" t="s">
        <v>264</v>
      </c>
      <c r="CQ828" s="5" t="s">
        <v>238</v>
      </c>
      <c r="CR828" s="5" t="s">
        <v>238</v>
      </c>
      <c r="CS828" s="5">
        <v>0</v>
      </c>
      <c r="CT828" s="5" t="s">
        <v>265</v>
      </c>
      <c r="CU828" s="5" t="s">
        <v>1360</v>
      </c>
      <c r="CV828" s="5" t="s">
        <v>267</v>
      </c>
      <c r="CX828" s="8">
        <f>12588000</f>
        <v>12588000</v>
      </c>
      <c r="CY828" s="8">
        <f>0</f>
        <v>0</v>
      </c>
      <c r="DA828" s="5" t="s">
        <v>238</v>
      </c>
      <c r="DB828" s="5" t="s">
        <v>238</v>
      </c>
      <c r="DD828" s="5" t="s">
        <v>238</v>
      </c>
      <c r="DG828" s="5" t="s">
        <v>238</v>
      </c>
      <c r="DH828" s="5" t="s">
        <v>238</v>
      </c>
      <c r="DI828" s="5" t="s">
        <v>238</v>
      </c>
      <c r="DJ828" s="5" t="s">
        <v>238</v>
      </c>
      <c r="DK828" s="5" t="s">
        <v>271</v>
      </c>
      <c r="DL828" s="5" t="s">
        <v>272</v>
      </c>
      <c r="DM828" s="7">
        <f>125.88</f>
        <v>125.88</v>
      </c>
      <c r="DN828" s="5" t="s">
        <v>238</v>
      </c>
      <c r="DO828" s="5" t="s">
        <v>238</v>
      </c>
      <c r="DP828" s="5" t="s">
        <v>238</v>
      </c>
      <c r="DQ828" s="5" t="s">
        <v>238</v>
      </c>
      <c r="DT828" s="5" t="s">
        <v>2809</v>
      </c>
      <c r="DU828" s="5" t="s">
        <v>271</v>
      </c>
      <c r="HM828" s="5" t="s">
        <v>271</v>
      </c>
      <c r="HP828" s="5" t="s">
        <v>272</v>
      </c>
      <c r="HQ828" s="5" t="s">
        <v>272</v>
      </c>
    </row>
    <row r="829" spans="1:225" x14ac:dyDescent="0.4">
      <c r="A829" s="5">
        <v>921</v>
      </c>
      <c r="B829" s="5">
        <v>1</v>
      </c>
      <c r="C829" s="5">
        <v>1</v>
      </c>
      <c r="D829" s="5" t="s">
        <v>2807</v>
      </c>
      <c r="E829" s="5" t="s">
        <v>277</v>
      </c>
      <c r="F829" s="5" t="s">
        <v>282</v>
      </c>
      <c r="G829" s="5" t="s">
        <v>2491</v>
      </c>
      <c r="H829" s="6" t="s">
        <v>2808</v>
      </c>
      <c r="I829" s="5" t="s">
        <v>2482</v>
      </c>
      <c r="J829" s="7">
        <f>125.88</f>
        <v>125.88</v>
      </c>
      <c r="K829" s="5" t="s">
        <v>270</v>
      </c>
      <c r="L829" s="8">
        <f>1</f>
        <v>1</v>
      </c>
      <c r="M829" s="8">
        <f>12588000</f>
        <v>12588000</v>
      </c>
      <c r="N829" s="6" t="s">
        <v>1131</v>
      </c>
      <c r="O829" s="5" t="s">
        <v>286</v>
      </c>
      <c r="P829" s="5" t="s">
        <v>991</v>
      </c>
      <c r="R829" s="8">
        <f>12587999</f>
        <v>12587999</v>
      </c>
      <c r="S829" s="5" t="s">
        <v>240</v>
      </c>
      <c r="T829" s="5" t="s">
        <v>237</v>
      </c>
      <c r="U829" s="5" t="s">
        <v>238</v>
      </c>
      <c r="V829" s="5" t="s">
        <v>238</v>
      </c>
      <c r="W829" s="5" t="s">
        <v>241</v>
      </c>
      <c r="X829" s="5" t="s">
        <v>276</v>
      </c>
      <c r="Y829" s="5" t="s">
        <v>238</v>
      </c>
      <c r="AB829" s="5" t="s">
        <v>238</v>
      </c>
      <c r="AD829" s="6" t="s">
        <v>238</v>
      </c>
      <c r="AG829" s="6" t="s">
        <v>246</v>
      </c>
      <c r="AH829" s="5" t="s">
        <v>247</v>
      </c>
      <c r="AI829" s="5" t="s">
        <v>248</v>
      </c>
      <c r="AY829" s="5" t="s">
        <v>250</v>
      </c>
      <c r="AZ829" s="5" t="s">
        <v>238</v>
      </c>
      <c r="BA829" s="5" t="s">
        <v>251</v>
      </c>
      <c r="BB829" s="5" t="s">
        <v>238</v>
      </c>
      <c r="BC829" s="5" t="s">
        <v>253</v>
      </c>
      <c r="BD829" s="5" t="s">
        <v>238</v>
      </c>
      <c r="BF829" s="5" t="s">
        <v>238</v>
      </c>
      <c r="BH829" s="5" t="s">
        <v>254</v>
      </c>
      <c r="BI829" s="6" t="s">
        <v>246</v>
      </c>
      <c r="BJ829" s="5" t="s">
        <v>255</v>
      </c>
      <c r="BK829" s="5" t="s">
        <v>256</v>
      </c>
      <c r="BL829" s="5" t="s">
        <v>238</v>
      </c>
      <c r="BM829" s="7">
        <f>0</f>
        <v>0</v>
      </c>
      <c r="BN829" s="8">
        <f>0</f>
        <v>0</v>
      </c>
      <c r="BO829" s="5" t="s">
        <v>257</v>
      </c>
      <c r="BP829" s="5" t="s">
        <v>258</v>
      </c>
      <c r="CD829" s="5" t="s">
        <v>238</v>
      </c>
      <c r="CE829" s="5" t="s">
        <v>238</v>
      </c>
      <c r="CI829" s="5" t="s">
        <v>527</v>
      </c>
      <c r="CJ829" s="5" t="s">
        <v>260</v>
      </c>
      <c r="CK829" s="5" t="s">
        <v>238</v>
      </c>
      <c r="CM829" s="5" t="s">
        <v>990</v>
      </c>
      <c r="CN829" s="6" t="s">
        <v>262</v>
      </c>
      <c r="CO829" s="5" t="s">
        <v>263</v>
      </c>
      <c r="CP829" s="5" t="s">
        <v>264</v>
      </c>
      <c r="CQ829" s="5" t="s">
        <v>238</v>
      </c>
      <c r="CR829" s="5" t="s">
        <v>238</v>
      </c>
      <c r="CS829" s="5">
        <v>0</v>
      </c>
      <c r="CT829" s="5" t="s">
        <v>265</v>
      </c>
      <c r="CU829" s="5" t="s">
        <v>1360</v>
      </c>
      <c r="CV829" s="5" t="s">
        <v>267</v>
      </c>
      <c r="CX829" s="8">
        <f>12588000</f>
        <v>12588000</v>
      </c>
      <c r="CY829" s="8">
        <f>0</f>
        <v>0</v>
      </c>
      <c r="DA829" s="5" t="s">
        <v>238</v>
      </c>
      <c r="DB829" s="5" t="s">
        <v>238</v>
      </c>
      <c r="DD829" s="5" t="s">
        <v>238</v>
      </c>
      <c r="DG829" s="5" t="s">
        <v>238</v>
      </c>
      <c r="DH829" s="5" t="s">
        <v>238</v>
      </c>
      <c r="DI829" s="5" t="s">
        <v>238</v>
      </c>
      <c r="DJ829" s="5" t="s">
        <v>238</v>
      </c>
      <c r="DK829" s="5" t="s">
        <v>274</v>
      </c>
      <c r="DL829" s="5" t="s">
        <v>272</v>
      </c>
      <c r="DM829" s="7">
        <f>125.88</f>
        <v>125.88</v>
      </c>
      <c r="DN829" s="5" t="s">
        <v>238</v>
      </c>
      <c r="DO829" s="5" t="s">
        <v>238</v>
      </c>
      <c r="DP829" s="5" t="s">
        <v>238</v>
      </c>
      <c r="DQ829" s="5" t="s">
        <v>238</v>
      </c>
      <c r="DT829" s="5" t="s">
        <v>2809</v>
      </c>
      <c r="DU829" s="5" t="s">
        <v>274</v>
      </c>
      <c r="HM829" s="5" t="s">
        <v>271</v>
      </c>
      <c r="HP829" s="5" t="s">
        <v>272</v>
      </c>
      <c r="HQ829" s="5" t="s">
        <v>272</v>
      </c>
    </row>
    <row r="830" spans="1:225" x14ac:dyDescent="0.4">
      <c r="A830" s="5">
        <v>922</v>
      </c>
      <c r="B830" s="5">
        <v>1</v>
      </c>
      <c r="C830" s="5">
        <v>1</v>
      </c>
      <c r="D830" s="5" t="s">
        <v>2807</v>
      </c>
      <c r="E830" s="5" t="s">
        <v>277</v>
      </c>
      <c r="F830" s="5" t="s">
        <v>282</v>
      </c>
      <c r="G830" s="5" t="s">
        <v>2491</v>
      </c>
      <c r="H830" s="6" t="s">
        <v>2808</v>
      </c>
      <c r="I830" s="5" t="s">
        <v>2482</v>
      </c>
      <c r="J830" s="7">
        <f>125.88</f>
        <v>125.88</v>
      </c>
      <c r="K830" s="5" t="s">
        <v>270</v>
      </c>
      <c r="L830" s="8">
        <f>1</f>
        <v>1</v>
      </c>
      <c r="M830" s="8">
        <f>12588000</f>
        <v>12588000</v>
      </c>
      <c r="N830" s="6" t="s">
        <v>1131</v>
      </c>
      <c r="O830" s="5" t="s">
        <v>286</v>
      </c>
      <c r="P830" s="5" t="s">
        <v>991</v>
      </c>
      <c r="R830" s="8">
        <f>12587999</f>
        <v>12587999</v>
      </c>
      <c r="S830" s="5" t="s">
        <v>240</v>
      </c>
      <c r="T830" s="5" t="s">
        <v>237</v>
      </c>
      <c r="U830" s="5" t="s">
        <v>238</v>
      </c>
      <c r="V830" s="5" t="s">
        <v>238</v>
      </c>
      <c r="W830" s="5" t="s">
        <v>241</v>
      </c>
      <c r="X830" s="5" t="s">
        <v>276</v>
      </c>
      <c r="Y830" s="5" t="s">
        <v>238</v>
      </c>
      <c r="AB830" s="5" t="s">
        <v>238</v>
      </c>
      <c r="AD830" s="6" t="s">
        <v>238</v>
      </c>
      <c r="AG830" s="6" t="s">
        <v>246</v>
      </c>
      <c r="AH830" s="5" t="s">
        <v>247</v>
      </c>
      <c r="AI830" s="5" t="s">
        <v>248</v>
      </c>
      <c r="AY830" s="5" t="s">
        <v>250</v>
      </c>
      <c r="AZ830" s="5" t="s">
        <v>238</v>
      </c>
      <c r="BA830" s="5" t="s">
        <v>251</v>
      </c>
      <c r="BB830" s="5" t="s">
        <v>238</v>
      </c>
      <c r="BC830" s="5" t="s">
        <v>253</v>
      </c>
      <c r="BD830" s="5" t="s">
        <v>238</v>
      </c>
      <c r="BF830" s="5" t="s">
        <v>238</v>
      </c>
      <c r="BH830" s="5" t="s">
        <v>254</v>
      </c>
      <c r="BI830" s="6" t="s">
        <v>246</v>
      </c>
      <c r="BJ830" s="5" t="s">
        <v>255</v>
      </c>
      <c r="BK830" s="5" t="s">
        <v>256</v>
      </c>
      <c r="BL830" s="5" t="s">
        <v>238</v>
      </c>
      <c r="BM830" s="7">
        <f>0</f>
        <v>0</v>
      </c>
      <c r="BN830" s="8">
        <f>0</f>
        <v>0</v>
      </c>
      <c r="BO830" s="5" t="s">
        <v>257</v>
      </c>
      <c r="BP830" s="5" t="s">
        <v>258</v>
      </c>
      <c r="CD830" s="5" t="s">
        <v>238</v>
      </c>
      <c r="CE830" s="5" t="s">
        <v>238</v>
      </c>
      <c r="CI830" s="5" t="s">
        <v>527</v>
      </c>
      <c r="CJ830" s="5" t="s">
        <v>260</v>
      </c>
      <c r="CK830" s="5" t="s">
        <v>238</v>
      </c>
      <c r="CM830" s="5" t="s">
        <v>990</v>
      </c>
      <c r="CN830" s="6" t="s">
        <v>262</v>
      </c>
      <c r="CO830" s="5" t="s">
        <v>263</v>
      </c>
      <c r="CP830" s="5" t="s">
        <v>264</v>
      </c>
      <c r="CQ830" s="5" t="s">
        <v>238</v>
      </c>
      <c r="CR830" s="5" t="s">
        <v>238</v>
      </c>
      <c r="CS830" s="5">
        <v>0</v>
      </c>
      <c r="CT830" s="5" t="s">
        <v>265</v>
      </c>
      <c r="CU830" s="5" t="s">
        <v>1360</v>
      </c>
      <c r="CV830" s="5" t="s">
        <v>267</v>
      </c>
      <c r="CX830" s="8">
        <f>12588000</f>
        <v>12588000</v>
      </c>
      <c r="CY830" s="8">
        <f>0</f>
        <v>0</v>
      </c>
      <c r="DA830" s="5" t="s">
        <v>238</v>
      </c>
      <c r="DB830" s="5" t="s">
        <v>238</v>
      </c>
      <c r="DD830" s="5" t="s">
        <v>238</v>
      </c>
      <c r="DG830" s="5" t="s">
        <v>238</v>
      </c>
      <c r="DH830" s="5" t="s">
        <v>238</v>
      </c>
      <c r="DI830" s="5" t="s">
        <v>238</v>
      </c>
      <c r="DJ830" s="5" t="s">
        <v>238</v>
      </c>
      <c r="DK830" s="5" t="s">
        <v>274</v>
      </c>
      <c r="DL830" s="5" t="s">
        <v>272</v>
      </c>
      <c r="DM830" s="7">
        <f>125.88</f>
        <v>125.88</v>
      </c>
      <c r="DN830" s="5" t="s">
        <v>238</v>
      </c>
      <c r="DO830" s="5" t="s">
        <v>238</v>
      </c>
      <c r="DP830" s="5" t="s">
        <v>238</v>
      </c>
      <c r="DQ830" s="5" t="s">
        <v>238</v>
      </c>
      <c r="DT830" s="5" t="s">
        <v>2809</v>
      </c>
      <c r="DU830" s="5" t="s">
        <v>356</v>
      </c>
      <c r="HM830" s="5" t="s">
        <v>271</v>
      </c>
      <c r="HP830" s="5" t="s">
        <v>272</v>
      </c>
      <c r="HQ830" s="5" t="s">
        <v>272</v>
      </c>
    </row>
    <row r="831" spans="1:225" x14ac:dyDescent="0.4">
      <c r="A831" s="5">
        <v>923</v>
      </c>
      <c r="B831" s="5">
        <v>1</v>
      </c>
      <c r="C831" s="5">
        <v>1</v>
      </c>
      <c r="D831" s="5" t="s">
        <v>2807</v>
      </c>
      <c r="E831" s="5" t="s">
        <v>277</v>
      </c>
      <c r="F831" s="5" t="s">
        <v>282</v>
      </c>
      <c r="G831" s="5" t="s">
        <v>2491</v>
      </c>
      <c r="H831" s="6" t="s">
        <v>2808</v>
      </c>
      <c r="I831" s="5" t="s">
        <v>2482</v>
      </c>
      <c r="J831" s="7">
        <f>125.88</f>
        <v>125.88</v>
      </c>
      <c r="K831" s="5" t="s">
        <v>270</v>
      </c>
      <c r="L831" s="8">
        <f>1</f>
        <v>1</v>
      </c>
      <c r="M831" s="8">
        <f>12588000</f>
        <v>12588000</v>
      </c>
      <c r="N831" s="6" t="s">
        <v>1131</v>
      </c>
      <c r="O831" s="5" t="s">
        <v>286</v>
      </c>
      <c r="P831" s="5" t="s">
        <v>991</v>
      </c>
      <c r="R831" s="8">
        <f>12587999</f>
        <v>12587999</v>
      </c>
      <c r="S831" s="5" t="s">
        <v>240</v>
      </c>
      <c r="T831" s="5" t="s">
        <v>237</v>
      </c>
      <c r="U831" s="5" t="s">
        <v>238</v>
      </c>
      <c r="V831" s="5" t="s">
        <v>238</v>
      </c>
      <c r="W831" s="5" t="s">
        <v>241</v>
      </c>
      <c r="X831" s="5" t="s">
        <v>276</v>
      </c>
      <c r="Y831" s="5" t="s">
        <v>238</v>
      </c>
      <c r="AB831" s="5" t="s">
        <v>238</v>
      </c>
      <c r="AD831" s="6" t="s">
        <v>238</v>
      </c>
      <c r="AG831" s="6" t="s">
        <v>246</v>
      </c>
      <c r="AH831" s="5" t="s">
        <v>247</v>
      </c>
      <c r="AI831" s="5" t="s">
        <v>248</v>
      </c>
      <c r="AY831" s="5" t="s">
        <v>250</v>
      </c>
      <c r="AZ831" s="5" t="s">
        <v>238</v>
      </c>
      <c r="BA831" s="5" t="s">
        <v>251</v>
      </c>
      <c r="BB831" s="5" t="s">
        <v>238</v>
      </c>
      <c r="BC831" s="5" t="s">
        <v>253</v>
      </c>
      <c r="BD831" s="5" t="s">
        <v>238</v>
      </c>
      <c r="BF831" s="5" t="s">
        <v>238</v>
      </c>
      <c r="BH831" s="5" t="s">
        <v>254</v>
      </c>
      <c r="BI831" s="6" t="s">
        <v>246</v>
      </c>
      <c r="BJ831" s="5" t="s">
        <v>255</v>
      </c>
      <c r="BK831" s="5" t="s">
        <v>256</v>
      </c>
      <c r="BL831" s="5" t="s">
        <v>238</v>
      </c>
      <c r="BM831" s="7">
        <f>0</f>
        <v>0</v>
      </c>
      <c r="BN831" s="8">
        <f>0</f>
        <v>0</v>
      </c>
      <c r="BO831" s="5" t="s">
        <v>257</v>
      </c>
      <c r="BP831" s="5" t="s">
        <v>258</v>
      </c>
      <c r="CD831" s="5" t="s">
        <v>238</v>
      </c>
      <c r="CE831" s="5" t="s">
        <v>238</v>
      </c>
      <c r="CI831" s="5" t="s">
        <v>527</v>
      </c>
      <c r="CJ831" s="5" t="s">
        <v>260</v>
      </c>
      <c r="CK831" s="5" t="s">
        <v>238</v>
      </c>
      <c r="CM831" s="5" t="s">
        <v>990</v>
      </c>
      <c r="CN831" s="6" t="s">
        <v>262</v>
      </c>
      <c r="CO831" s="5" t="s">
        <v>263</v>
      </c>
      <c r="CP831" s="5" t="s">
        <v>264</v>
      </c>
      <c r="CQ831" s="5" t="s">
        <v>238</v>
      </c>
      <c r="CR831" s="5" t="s">
        <v>238</v>
      </c>
      <c r="CS831" s="5">
        <v>0</v>
      </c>
      <c r="CT831" s="5" t="s">
        <v>265</v>
      </c>
      <c r="CU831" s="5" t="s">
        <v>1360</v>
      </c>
      <c r="CV831" s="5" t="s">
        <v>267</v>
      </c>
      <c r="CX831" s="8">
        <f>12588000</f>
        <v>12588000</v>
      </c>
      <c r="CY831" s="8">
        <f>0</f>
        <v>0</v>
      </c>
      <c r="DA831" s="5" t="s">
        <v>238</v>
      </c>
      <c r="DB831" s="5" t="s">
        <v>238</v>
      </c>
      <c r="DD831" s="5" t="s">
        <v>238</v>
      </c>
      <c r="DG831" s="5" t="s">
        <v>238</v>
      </c>
      <c r="DH831" s="5" t="s">
        <v>238</v>
      </c>
      <c r="DI831" s="5" t="s">
        <v>238</v>
      </c>
      <c r="DJ831" s="5" t="s">
        <v>238</v>
      </c>
      <c r="DK831" s="5" t="s">
        <v>274</v>
      </c>
      <c r="DL831" s="5" t="s">
        <v>272</v>
      </c>
      <c r="DM831" s="7">
        <f>125.88</f>
        <v>125.88</v>
      </c>
      <c r="DN831" s="5" t="s">
        <v>238</v>
      </c>
      <c r="DO831" s="5" t="s">
        <v>238</v>
      </c>
      <c r="DP831" s="5" t="s">
        <v>238</v>
      </c>
      <c r="DQ831" s="5" t="s">
        <v>238</v>
      </c>
      <c r="DT831" s="5" t="s">
        <v>2809</v>
      </c>
      <c r="DU831" s="5" t="s">
        <v>310</v>
      </c>
      <c r="HM831" s="5" t="s">
        <v>271</v>
      </c>
      <c r="HP831" s="5" t="s">
        <v>272</v>
      </c>
      <c r="HQ831" s="5" t="s">
        <v>272</v>
      </c>
    </row>
    <row r="832" spans="1:225" x14ac:dyDescent="0.4">
      <c r="A832" s="5">
        <v>924</v>
      </c>
      <c r="B832" s="5">
        <v>1</v>
      </c>
      <c r="C832" s="5">
        <v>1</v>
      </c>
      <c r="D832" s="5" t="s">
        <v>2807</v>
      </c>
      <c r="E832" s="5" t="s">
        <v>277</v>
      </c>
      <c r="F832" s="5" t="s">
        <v>282</v>
      </c>
      <c r="G832" s="5" t="s">
        <v>2491</v>
      </c>
      <c r="H832" s="6" t="s">
        <v>2808</v>
      </c>
      <c r="I832" s="5" t="s">
        <v>2482</v>
      </c>
      <c r="J832" s="7">
        <f>125.88</f>
        <v>125.88</v>
      </c>
      <c r="K832" s="5" t="s">
        <v>270</v>
      </c>
      <c r="L832" s="8">
        <f>1</f>
        <v>1</v>
      </c>
      <c r="M832" s="8">
        <f>12588000</f>
        <v>12588000</v>
      </c>
      <c r="N832" s="6" t="s">
        <v>1131</v>
      </c>
      <c r="O832" s="5" t="s">
        <v>286</v>
      </c>
      <c r="P832" s="5" t="s">
        <v>991</v>
      </c>
      <c r="R832" s="8">
        <f>12587999</f>
        <v>12587999</v>
      </c>
      <c r="S832" s="5" t="s">
        <v>240</v>
      </c>
      <c r="T832" s="5" t="s">
        <v>237</v>
      </c>
      <c r="U832" s="5" t="s">
        <v>238</v>
      </c>
      <c r="V832" s="5" t="s">
        <v>238</v>
      </c>
      <c r="W832" s="5" t="s">
        <v>241</v>
      </c>
      <c r="X832" s="5" t="s">
        <v>276</v>
      </c>
      <c r="Y832" s="5" t="s">
        <v>238</v>
      </c>
      <c r="AB832" s="5" t="s">
        <v>238</v>
      </c>
      <c r="AD832" s="6" t="s">
        <v>238</v>
      </c>
      <c r="AG832" s="6" t="s">
        <v>246</v>
      </c>
      <c r="AH832" s="5" t="s">
        <v>247</v>
      </c>
      <c r="AI832" s="5" t="s">
        <v>248</v>
      </c>
      <c r="AY832" s="5" t="s">
        <v>250</v>
      </c>
      <c r="AZ832" s="5" t="s">
        <v>238</v>
      </c>
      <c r="BA832" s="5" t="s">
        <v>251</v>
      </c>
      <c r="BB832" s="5" t="s">
        <v>238</v>
      </c>
      <c r="BC832" s="5" t="s">
        <v>253</v>
      </c>
      <c r="BD832" s="5" t="s">
        <v>238</v>
      </c>
      <c r="BF832" s="5" t="s">
        <v>238</v>
      </c>
      <c r="BH832" s="5" t="s">
        <v>859</v>
      </c>
      <c r="BI832" s="6" t="s">
        <v>368</v>
      </c>
      <c r="BJ832" s="5" t="s">
        <v>255</v>
      </c>
      <c r="BK832" s="5" t="s">
        <v>256</v>
      </c>
      <c r="BL832" s="5" t="s">
        <v>238</v>
      </c>
      <c r="BM832" s="7">
        <f>0</f>
        <v>0</v>
      </c>
      <c r="BN832" s="8">
        <f>0</f>
        <v>0</v>
      </c>
      <c r="BO832" s="5" t="s">
        <v>257</v>
      </c>
      <c r="BP832" s="5" t="s">
        <v>258</v>
      </c>
      <c r="CD832" s="5" t="s">
        <v>238</v>
      </c>
      <c r="CE832" s="5" t="s">
        <v>238</v>
      </c>
      <c r="CI832" s="5" t="s">
        <v>527</v>
      </c>
      <c r="CJ832" s="5" t="s">
        <v>260</v>
      </c>
      <c r="CK832" s="5" t="s">
        <v>238</v>
      </c>
      <c r="CM832" s="5" t="s">
        <v>990</v>
      </c>
      <c r="CN832" s="6" t="s">
        <v>262</v>
      </c>
      <c r="CO832" s="5" t="s">
        <v>263</v>
      </c>
      <c r="CP832" s="5" t="s">
        <v>264</v>
      </c>
      <c r="CQ832" s="5" t="s">
        <v>238</v>
      </c>
      <c r="CR832" s="5" t="s">
        <v>238</v>
      </c>
      <c r="CS832" s="5">
        <v>0</v>
      </c>
      <c r="CT832" s="5" t="s">
        <v>265</v>
      </c>
      <c r="CU832" s="5" t="s">
        <v>1360</v>
      </c>
      <c r="CV832" s="5" t="s">
        <v>267</v>
      </c>
      <c r="CX832" s="8">
        <f>12588000</f>
        <v>12588000</v>
      </c>
      <c r="CY832" s="8">
        <f>0</f>
        <v>0</v>
      </c>
      <c r="DA832" s="5" t="s">
        <v>238</v>
      </c>
      <c r="DB832" s="5" t="s">
        <v>238</v>
      </c>
      <c r="DD832" s="5" t="s">
        <v>238</v>
      </c>
      <c r="DG832" s="5" t="s">
        <v>238</v>
      </c>
      <c r="DH832" s="5" t="s">
        <v>238</v>
      </c>
      <c r="DI832" s="5" t="s">
        <v>238</v>
      </c>
      <c r="DJ832" s="5" t="s">
        <v>238</v>
      </c>
      <c r="DK832" s="5" t="s">
        <v>274</v>
      </c>
      <c r="DL832" s="5" t="s">
        <v>272</v>
      </c>
      <c r="DM832" s="7">
        <f>125.88</f>
        <v>125.88</v>
      </c>
      <c r="DN832" s="5" t="s">
        <v>238</v>
      </c>
      <c r="DO832" s="5" t="s">
        <v>238</v>
      </c>
      <c r="DP832" s="5" t="s">
        <v>238</v>
      </c>
      <c r="DQ832" s="5" t="s">
        <v>238</v>
      </c>
      <c r="DT832" s="5" t="s">
        <v>2809</v>
      </c>
      <c r="DU832" s="5" t="s">
        <v>379</v>
      </c>
      <c r="HM832" s="5" t="s">
        <v>271</v>
      </c>
      <c r="HP832" s="5" t="s">
        <v>272</v>
      </c>
      <c r="HQ832" s="5" t="s">
        <v>272</v>
      </c>
    </row>
    <row r="833" spans="1:238" x14ac:dyDescent="0.4">
      <c r="A833" s="5">
        <v>925</v>
      </c>
      <c r="B833" s="5">
        <v>1</v>
      </c>
      <c r="C833" s="5">
        <v>1</v>
      </c>
      <c r="D833" s="5" t="s">
        <v>2805</v>
      </c>
      <c r="E833" s="5" t="s">
        <v>277</v>
      </c>
      <c r="F833" s="5" t="s">
        <v>282</v>
      </c>
      <c r="G833" s="5" t="s">
        <v>2491</v>
      </c>
      <c r="H833" s="6" t="s">
        <v>2667</v>
      </c>
      <c r="I833" s="5" t="s">
        <v>2482</v>
      </c>
      <c r="J833" s="7">
        <f>147.38</f>
        <v>147.38</v>
      </c>
      <c r="K833" s="5" t="s">
        <v>270</v>
      </c>
      <c r="L833" s="8">
        <f>1</f>
        <v>1</v>
      </c>
      <c r="M833" s="8">
        <f>22843900</f>
        <v>22843900</v>
      </c>
      <c r="N833" s="6" t="s">
        <v>1044</v>
      </c>
      <c r="O833" s="5" t="s">
        <v>286</v>
      </c>
      <c r="P833" s="5" t="s">
        <v>1035</v>
      </c>
      <c r="R833" s="8">
        <f>22843899</f>
        <v>22843899</v>
      </c>
      <c r="S833" s="5" t="s">
        <v>240</v>
      </c>
      <c r="T833" s="5" t="s">
        <v>237</v>
      </c>
      <c r="U833" s="5" t="s">
        <v>238</v>
      </c>
      <c r="V833" s="5" t="s">
        <v>238</v>
      </c>
      <c r="W833" s="5" t="s">
        <v>241</v>
      </c>
      <c r="X833" s="5" t="s">
        <v>276</v>
      </c>
      <c r="Y833" s="5" t="s">
        <v>238</v>
      </c>
      <c r="AB833" s="5" t="s">
        <v>238</v>
      </c>
      <c r="AD833" s="6" t="s">
        <v>238</v>
      </c>
      <c r="AG833" s="6" t="s">
        <v>246</v>
      </c>
      <c r="AH833" s="5" t="s">
        <v>247</v>
      </c>
      <c r="AI833" s="5" t="s">
        <v>248</v>
      </c>
      <c r="AY833" s="5" t="s">
        <v>250</v>
      </c>
      <c r="AZ833" s="5" t="s">
        <v>238</v>
      </c>
      <c r="BA833" s="5" t="s">
        <v>251</v>
      </c>
      <c r="BB833" s="5" t="s">
        <v>238</v>
      </c>
      <c r="BC833" s="5" t="s">
        <v>253</v>
      </c>
      <c r="BD833" s="5" t="s">
        <v>238</v>
      </c>
      <c r="BF833" s="5" t="s">
        <v>2648</v>
      </c>
      <c r="BH833" s="5" t="s">
        <v>697</v>
      </c>
      <c r="BI833" s="6" t="s">
        <v>698</v>
      </c>
      <c r="BJ833" s="5" t="s">
        <v>255</v>
      </c>
      <c r="BK833" s="5" t="s">
        <v>256</v>
      </c>
      <c r="BL833" s="5" t="s">
        <v>238</v>
      </c>
      <c r="BM833" s="7">
        <f>0</f>
        <v>0</v>
      </c>
      <c r="BN833" s="8">
        <f>0</f>
        <v>0</v>
      </c>
      <c r="BO833" s="5" t="s">
        <v>257</v>
      </c>
      <c r="BP833" s="5" t="s">
        <v>258</v>
      </c>
      <c r="CD833" s="5" t="s">
        <v>238</v>
      </c>
      <c r="CE833" s="5" t="s">
        <v>238</v>
      </c>
      <c r="CI833" s="5" t="s">
        <v>259</v>
      </c>
      <c r="CJ833" s="5" t="s">
        <v>260</v>
      </c>
      <c r="CK833" s="5" t="s">
        <v>238</v>
      </c>
      <c r="CM833" s="5" t="s">
        <v>1034</v>
      </c>
      <c r="CN833" s="6" t="s">
        <v>262</v>
      </c>
      <c r="CO833" s="5" t="s">
        <v>263</v>
      </c>
      <c r="CP833" s="5" t="s">
        <v>264</v>
      </c>
      <c r="CQ833" s="5" t="s">
        <v>238</v>
      </c>
      <c r="CR833" s="5" t="s">
        <v>238</v>
      </c>
      <c r="CS833" s="5">
        <v>0</v>
      </c>
      <c r="CT833" s="5" t="s">
        <v>265</v>
      </c>
      <c r="CU833" s="5" t="s">
        <v>1360</v>
      </c>
      <c r="CV833" s="5" t="s">
        <v>267</v>
      </c>
      <c r="CX833" s="8">
        <f>22843900</f>
        <v>22843900</v>
      </c>
      <c r="CY833" s="8">
        <f>0</f>
        <v>0</v>
      </c>
      <c r="DA833" s="5" t="s">
        <v>238</v>
      </c>
      <c r="DB833" s="5" t="s">
        <v>238</v>
      </c>
      <c r="DD833" s="5" t="s">
        <v>238</v>
      </c>
      <c r="DG833" s="5" t="s">
        <v>238</v>
      </c>
      <c r="DH833" s="5" t="s">
        <v>238</v>
      </c>
      <c r="DI833" s="5" t="s">
        <v>238</v>
      </c>
      <c r="DJ833" s="5" t="s">
        <v>238</v>
      </c>
      <c r="DK833" s="5" t="s">
        <v>274</v>
      </c>
      <c r="DL833" s="5" t="s">
        <v>272</v>
      </c>
      <c r="DM833" s="7">
        <f>147.38</f>
        <v>147.38</v>
      </c>
      <c r="DN833" s="5" t="s">
        <v>238</v>
      </c>
      <c r="DO833" s="5" t="s">
        <v>238</v>
      </c>
      <c r="DP833" s="5" t="s">
        <v>238</v>
      </c>
      <c r="DQ833" s="5" t="s">
        <v>238</v>
      </c>
      <c r="DT833" s="5" t="s">
        <v>2806</v>
      </c>
      <c r="DU833" s="5" t="s">
        <v>271</v>
      </c>
      <c r="HM833" s="5" t="s">
        <v>271</v>
      </c>
      <c r="HP833" s="5" t="s">
        <v>272</v>
      </c>
      <c r="HQ833" s="5" t="s">
        <v>272</v>
      </c>
    </row>
    <row r="834" spans="1:238" x14ac:dyDescent="0.4">
      <c r="A834" s="5">
        <v>926</v>
      </c>
      <c r="B834" s="5">
        <v>1</v>
      </c>
      <c r="C834" s="5">
        <v>1</v>
      </c>
      <c r="D834" s="5" t="s">
        <v>2805</v>
      </c>
      <c r="E834" s="5" t="s">
        <v>277</v>
      </c>
      <c r="F834" s="5" t="s">
        <v>282</v>
      </c>
      <c r="G834" s="5" t="s">
        <v>2491</v>
      </c>
      <c r="H834" s="6" t="s">
        <v>2667</v>
      </c>
      <c r="I834" s="5" t="s">
        <v>2482</v>
      </c>
      <c r="J834" s="7">
        <f>147.38</f>
        <v>147.38</v>
      </c>
      <c r="K834" s="5" t="s">
        <v>270</v>
      </c>
      <c r="L834" s="8">
        <f>1</f>
        <v>1</v>
      </c>
      <c r="M834" s="8">
        <f>22843900</f>
        <v>22843900</v>
      </c>
      <c r="N834" s="6" t="s">
        <v>1044</v>
      </c>
      <c r="O834" s="5" t="s">
        <v>286</v>
      </c>
      <c r="P834" s="5" t="s">
        <v>1035</v>
      </c>
      <c r="R834" s="8">
        <f>22843899</f>
        <v>22843899</v>
      </c>
      <c r="S834" s="5" t="s">
        <v>240</v>
      </c>
      <c r="T834" s="5" t="s">
        <v>237</v>
      </c>
      <c r="U834" s="5" t="s">
        <v>238</v>
      </c>
      <c r="V834" s="5" t="s">
        <v>238</v>
      </c>
      <c r="W834" s="5" t="s">
        <v>241</v>
      </c>
      <c r="X834" s="5" t="s">
        <v>276</v>
      </c>
      <c r="Y834" s="5" t="s">
        <v>238</v>
      </c>
      <c r="AB834" s="5" t="s">
        <v>238</v>
      </c>
      <c r="AD834" s="6" t="s">
        <v>238</v>
      </c>
      <c r="AG834" s="6" t="s">
        <v>246</v>
      </c>
      <c r="AH834" s="5" t="s">
        <v>247</v>
      </c>
      <c r="AI834" s="5" t="s">
        <v>248</v>
      </c>
      <c r="AY834" s="5" t="s">
        <v>250</v>
      </c>
      <c r="AZ834" s="5" t="s">
        <v>238</v>
      </c>
      <c r="BA834" s="5" t="s">
        <v>251</v>
      </c>
      <c r="BB834" s="5" t="s">
        <v>238</v>
      </c>
      <c r="BC834" s="5" t="s">
        <v>253</v>
      </c>
      <c r="BD834" s="5" t="s">
        <v>238</v>
      </c>
      <c r="BF834" s="5" t="s">
        <v>238</v>
      </c>
      <c r="BH834" s="5" t="s">
        <v>798</v>
      </c>
      <c r="BI834" s="6" t="s">
        <v>799</v>
      </c>
      <c r="BJ834" s="5" t="s">
        <v>255</v>
      </c>
      <c r="BK834" s="5" t="s">
        <v>256</v>
      </c>
      <c r="BL834" s="5" t="s">
        <v>238</v>
      </c>
      <c r="BM834" s="7">
        <f>0</f>
        <v>0</v>
      </c>
      <c r="BN834" s="8">
        <f>0</f>
        <v>0</v>
      </c>
      <c r="BO834" s="5" t="s">
        <v>257</v>
      </c>
      <c r="BP834" s="5" t="s">
        <v>258</v>
      </c>
      <c r="CD834" s="5" t="s">
        <v>238</v>
      </c>
      <c r="CE834" s="5" t="s">
        <v>238</v>
      </c>
      <c r="CI834" s="5" t="s">
        <v>259</v>
      </c>
      <c r="CJ834" s="5" t="s">
        <v>260</v>
      </c>
      <c r="CK834" s="5" t="s">
        <v>238</v>
      </c>
      <c r="CM834" s="5" t="s">
        <v>1034</v>
      </c>
      <c r="CN834" s="6" t="s">
        <v>262</v>
      </c>
      <c r="CO834" s="5" t="s">
        <v>263</v>
      </c>
      <c r="CP834" s="5" t="s">
        <v>264</v>
      </c>
      <c r="CQ834" s="5" t="s">
        <v>238</v>
      </c>
      <c r="CR834" s="5" t="s">
        <v>238</v>
      </c>
      <c r="CS834" s="5">
        <v>0</v>
      </c>
      <c r="CT834" s="5" t="s">
        <v>265</v>
      </c>
      <c r="CU834" s="5" t="s">
        <v>1360</v>
      </c>
      <c r="CV834" s="5" t="s">
        <v>267</v>
      </c>
      <c r="CX834" s="8">
        <f>22843900</f>
        <v>22843900</v>
      </c>
      <c r="CY834" s="8">
        <f>0</f>
        <v>0</v>
      </c>
      <c r="DA834" s="5" t="s">
        <v>238</v>
      </c>
      <c r="DB834" s="5" t="s">
        <v>238</v>
      </c>
      <c r="DD834" s="5" t="s">
        <v>238</v>
      </c>
      <c r="DG834" s="5" t="s">
        <v>238</v>
      </c>
      <c r="DH834" s="5" t="s">
        <v>238</v>
      </c>
      <c r="DI834" s="5" t="s">
        <v>238</v>
      </c>
      <c r="DJ834" s="5" t="s">
        <v>238</v>
      </c>
      <c r="DK834" s="5" t="s">
        <v>274</v>
      </c>
      <c r="DL834" s="5" t="s">
        <v>272</v>
      </c>
      <c r="DM834" s="7">
        <f>147.38</f>
        <v>147.38</v>
      </c>
      <c r="DN834" s="5" t="s">
        <v>238</v>
      </c>
      <c r="DO834" s="5" t="s">
        <v>238</v>
      </c>
      <c r="DP834" s="5" t="s">
        <v>238</v>
      </c>
      <c r="DQ834" s="5" t="s">
        <v>238</v>
      </c>
      <c r="DT834" s="5" t="s">
        <v>2806</v>
      </c>
      <c r="DU834" s="5" t="s">
        <v>274</v>
      </c>
      <c r="HM834" s="5" t="s">
        <v>271</v>
      </c>
      <c r="HP834" s="5" t="s">
        <v>272</v>
      </c>
      <c r="HQ834" s="5" t="s">
        <v>272</v>
      </c>
    </row>
    <row r="835" spans="1:238" x14ac:dyDescent="0.4">
      <c r="A835" s="5">
        <v>927</v>
      </c>
      <c r="B835" s="5">
        <v>1</v>
      </c>
      <c r="C835" s="5">
        <v>1</v>
      </c>
      <c r="D835" s="5" t="s">
        <v>2805</v>
      </c>
      <c r="E835" s="5" t="s">
        <v>277</v>
      </c>
      <c r="F835" s="5" t="s">
        <v>282</v>
      </c>
      <c r="G835" s="5" t="s">
        <v>2491</v>
      </c>
      <c r="H835" s="6" t="s">
        <v>2667</v>
      </c>
      <c r="I835" s="5" t="s">
        <v>2482</v>
      </c>
      <c r="J835" s="7">
        <f>137.44</f>
        <v>137.44</v>
      </c>
      <c r="K835" s="5" t="s">
        <v>270</v>
      </c>
      <c r="L835" s="8">
        <f>1</f>
        <v>1</v>
      </c>
      <c r="M835" s="8">
        <f>21303200</f>
        <v>21303200</v>
      </c>
      <c r="N835" s="6" t="s">
        <v>1044</v>
      </c>
      <c r="O835" s="5" t="s">
        <v>286</v>
      </c>
      <c r="P835" s="5" t="s">
        <v>1035</v>
      </c>
      <c r="R835" s="8">
        <f>21303199</f>
        <v>21303199</v>
      </c>
      <c r="S835" s="5" t="s">
        <v>240</v>
      </c>
      <c r="T835" s="5" t="s">
        <v>237</v>
      </c>
      <c r="U835" s="5" t="s">
        <v>238</v>
      </c>
      <c r="V835" s="5" t="s">
        <v>238</v>
      </c>
      <c r="W835" s="5" t="s">
        <v>241</v>
      </c>
      <c r="X835" s="5" t="s">
        <v>276</v>
      </c>
      <c r="Y835" s="5" t="s">
        <v>238</v>
      </c>
      <c r="AB835" s="5" t="s">
        <v>238</v>
      </c>
      <c r="AD835" s="6" t="s">
        <v>238</v>
      </c>
      <c r="AG835" s="6" t="s">
        <v>246</v>
      </c>
      <c r="AH835" s="5" t="s">
        <v>247</v>
      </c>
      <c r="AI835" s="5" t="s">
        <v>248</v>
      </c>
      <c r="AY835" s="5" t="s">
        <v>250</v>
      </c>
      <c r="AZ835" s="5" t="s">
        <v>238</v>
      </c>
      <c r="BA835" s="5" t="s">
        <v>251</v>
      </c>
      <c r="BB835" s="5" t="s">
        <v>238</v>
      </c>
      <c r="BC835" s="5" t="s">
        <v>253</v>
      </c>
      <c r="BD835" s="5" t="s">
        <v>238</v>
      </c>
      <c r="BF835" s="5" t="s">
        <v>238</v>
      </c>
      <c r="BH835" s="5" t="s">
        <v>254</v>
      </c>
      <c r="BI835" s="6" t="s">
        <v>246</v>
      </c>
      <c r="BJ835" s="5" t="s">
        <v>255</v>
      </c>
      <c r="BK835" s="5" t="s">
        <v>256</v>
      </c>
      <c r="BL835" s="5" t="s">
        <v>238</v>
      </c>
      <c r="BM835" s="7">
        <f>0</f>
        <v>0</v>
      </c>
      <c r="BN835" s="8">
        <f>0</f>
        <v>0</v>
      </c>
      <c r="BO835" s="5" t="s">
        <v>257</v>
      </c>
      <c r="BP835" s="5" t="s">
        <v>258</v>
      </c>
      <c r="CD835" s="5" t="s">
        <v>238</v>
      </c>
      <c r="CE835" s="5" t="s">
        <v>238</v>
      </c>
      <c r="CI835" s="5" t="s">
        <v>259</v>
      </c>
      <c r="CJ835" s="5" t="s">
        <v>260</v>
      </c>
      <c r="CK835" s="5" t="s">
        <v>238</v>
      </c>
      <c r="CM835" s="5" t="s">
        <v>1034</v>
      </c>
      <c r="CN835" s="6" t="s">
        <v>262</v>
      </c>
      <c r="CO835" s="5" t="s">
        <v>263</v>
      </c>
      <c r="CP835" s="5" t="s">
        <v>264</v>
      </c>
      <c r="CQ835" s="5" t="s">
        <v>238</v>
      </c>
      <c r="CR835" s="5" t="s">
        <v>238</v>
      </c>
      <c r="CS835" s="5">
        <v>0</v>
      </c>
      <c r="CT835" s="5" t="s">
        <v>265</v>
      </c>
      <c r="CU835" s="5" t="s">
        <v>1360</v>
      </c>
      <c r="CV835" s="5" t="s">
        <v>267</v>
      </c>
      <c r="CX835" s="8">
        <f>21303200</f>
        <v>21303200</v>
      </c>
      <c r="CY835" s="8">
        <f>0</f>
        <v>0</v>
      </c>
      <c r="DA835" s="5" t="s">
        <v>238</v>
      </c>
      <c r="DB835" s="5" t="s">
        <v>238</v>
      </c>
      <c r="DD835" s="5" t="s">
        <v>238</v>
      </c>
      <c r="DG835" s="5" t="s">
        <v>238</v>
      </c>
      <c r="DH835" s="5" t="s">
        <v>238</v>
      </c>
      <c r="DI835" s="5" t="s">
        <v>238</v>
      </c>
      <c r="DJ835" s="5" t="s">
        <v>238</v>
      </c>
      <c r="DK835" s="5" t="s">
        <v>274</v>
      </c>
      <c r="DL835" s="5" t="s">
        <v>272</v>
      </c>
      <c r="DM835" s="7">
        <f>137.44</f>
        <v>137.44</v>
      </c>
      <c r="DN835" s="5" t="s">
        <v>238</v>
      </c>
      <c r="DO835" s="5" t="s">
        <v>238</v>
      </c>
      <c r="DP835" s="5" t="s">
        <v>238</v>
      </c>
      <c r="DQ835" s="5" t="s">
        <v>238</v>
      </c>
      <c r="DT835" s="5" t="s">
        <v>2806</v>
      </c>
      <c r="DU835" s="5" t="s">
        <v>356</v>
      </c>
      <c r="HM835" s="5" t="s">
        <v>271</v>
      </c>
      <c r="HP835" s="5" t="s">
        <v>272</v>
      </c>
      <c r="HQ835" s="5" t="s">
        <v>272</v>
      </c>
    </row>
    <row r="836" spans="1:238" x14ac:dyDescent="0.4">
      <c r="A836" s="5">
        <v>928</v>
      </c>
      <c r="B836" s="5">
        <v>1</v>
      </c>
      <c r="C836" s="5">
        <v>1</v>
      </c>
      <c r="D836" s="5" t="s">
        <v>2805</v>
      </c>
      <c r="E836" s="5" t="s">
        <v>277</v>
      </c>
      <c r="F836" s="5" t="s">
        <v>282</v>
      </c>
      <c r="G836" s="5" t="s">
        <v>2491</v>
      </c>
      <c r="H836" s="6" t="s">
        <v>2667</v>
      </c>
      <c r="I836" s="5" t="s">
        <v>2482</v>
      </c>
      <c r="J836" s="7">
        <f>137.44</f>
        <v>137.44</v>
      </c>
      <c r="K836" s="5" t="s">
        <v>270</v>
      </c>
      <c r="L836" s="8">
        <f>1</f>
        <v>1</v>
      </c>
      <c r="M836" s="8">
        <f>21303200</f>
        <v>21303200</v>
      </c>
      <c r="N836" s="6" t="s">
        <v>1044</v>
      </c>
      <c r="O836" s="5" t="s">
        <v>286</v>
      </c>
      <c r="P836" s="5" t="s">
        <v>1035</v>
      </c>
      <c r="R836" s="8">
        <f>21303199</f>
        <v>21303199</v>
      </c>
      <c r="S836" s="5" t="s">
        <v>240</v>
      </c>
      <c r="T836" s="5" t="s">
        <v>237</v>
      </c>
      <c r="U836" s="5" t="s">
        <v>238</v>
      </c>
      <c r="V836" s="5" t="s">
        <v>238</v>
      </c>
      <c r="W836" s="5" t="s">
        <v>241</v>
      </c>
      <c r="X836" s="5" t="s">
        <v>276</v>
      </c>
      <c r="Y836" s="5" t="s">
        <v>238</v>
      </c>
      <c r="AB836" s="5" t="s">
        <v>238</v>
      </c>
      <c r="AD836" s="6" t="s">
        <v>238</v>
      </c>
      <c r="AG836" s="6" t="s">
        <v>246</v>
      </c>
      <c r="AH836" s="5" t="s">
        <v>247</v>
      </c>
      <c r="AI836" s="5" t="s">
        <v>248</v>
      </c>
      <c r="AY836" s="5" t="s">
        <v>250</v>
      </c>
      <c r="AZ836" s="5" t="s">
        <v>238</v>
      </c>
      <c r="BA836" s="5" t="s">
        <v>251</v>
      </c>
      <c r="BB836" s="5" t="s">
        <v>238</v>
      </c>
      <c r="BC836" s="5" t="s">
        <v>253</v>
      </c>
      <c r="BD836" s="5" t="s">
        <v>238</v>
      </c>
      <c r="BF836" s="5" t="s">
        <v>238</v>
      </c>
      <c r="BH836" s="5" t="s">
        <v>859</v>
      </c>
      <c r="BI836" s="6" t="s">
        <v>368</v>
      </c>
      <c r="BJ836" s="5" t="s">
        <v>255</v>
      </c>
      <c r="BK836" s="5" t="s">
        <v>256</v>
      </c>
      <c r="BL836" s="5" t="s">
        <v>238</v>
      </c>
      <c r="BM836" s="7">
        <f>0</f>
        <v>0</v>
      </c>
      <c r="BN836" s="8">
        <f>0</f>
        <v>0</v>
      </c>
      <c r="BO836" s="5" t="s">
        <v>257</v>
      </c>
      <c r="BP836" s="5" t="s">
        <v>258</v>
      </c>
      <c r="CD836" s="5" t="s">
        <v>238</v>
      </c>
      <c r="CE836" s="5" t="s">
        <v>238</v>
      </c>
      <c r="CI836" s="5" t="s">
        <v>259</v>
      </c>
      <c r="CJ836" s="5" t="s">
        <v>260</v>
      </c>
      <c r="CK836" s="5" t="s">
        <v>238</v>
      </c>
      <c r="CM836" s="5" t="s">
        <v>1034</v>
      </c>
      <c r="CN836" s="6" t="s">
        <v>262</v>
      </c>
      <c r="CO836" s="5" t="s">
        <v>263</v>
      </c>
      <c r="CP836" s="5" t="s">
        <v>264</v>
      </c>
      <c r="CQ836" s="5" t="s">
        <v>238</v>
      </c>
      <c r="CR836" s="5" t="s">
        <v>238</v>
      </c>
      <c r="CS836" s="5">
        <v>0</v>
      </c>
      <c r="CT836" s="5" t="s">
        <v>265</v>
      </c>
      <c r="CU836" s="5" t="s">
        <v>1360</v>
      </c>
      <c r="CV836" s="5" t="s">
        <v>267</v>
      </c>
      <c r="CX836" s="8">
        <f>21303200</f>
        <v>21303200</v>
      </c>
      <c r="CY836" s="8">
        <f>0</f>
        <v>0</v>
      </c>
      <c r="DA836" s="5" t="s">
        <v>238</v>
      </c>
      <c r="DB836" s="5" t="s">
        <v>238</v>
      </c>
      <c r="DD836" s="5" t="s">
        <v>238</v>
      </c>
      <c r="DG836" s="5" t="s">
        <v>238</v>
      </c>
      <c r="DH836" s="5" t="s">
        <v>238</v>
      </c>
      <c r="DI836" s="5" t="s">
        <v>238</v>
      </c>
      <c r="DJ836" s="5" t="s">
        <v>238</v>
      </c>
      <c r="DK836" s="5" t="s">
        <v>274</v>
      </c>
      <c r="DL836" s="5" t="s">
        <v>272</v>
      </c>
      <c r="DM836" s="7">
        <f>137.44</f>
        <v>137.44</v>
      </c>
      <c r="DN836" s="5" t="s">
        <v>238</v>
      </c>
      <c r="DO836" s="5" t="s">
        <v>238</v>
      </c>
      <c r="DP836" s="5" t="s">
        <v>238</v>
      </c>
      <c r="DQ836" s="5" t="s">
        <v>238</v>
      </c>
      <c r="DT836" s="5" t="s">
        <v>2806</v>
      </c>
      <c r="DU836" s="5" t="s">
        <v>310</v>
      </c>
      <c r="HM836" s="5" t="s">
        <v>271</v>
      </c>
      <c r="HP836" s="5" t="s">
        <v>272</v>
      </c>
      <c r="HQ836" s="5" t="s">
        <v>272</v>
      </c>
    </row>
    <row r="837" spans="1:238" x14ac:dyDescent="0.4">
      <c r="A837" s="5">
        <v>929</v>
      </c>
      <c r="B837" s="5">
        <v>1</v>
      </c>
      <c r="C837" s="5">
        <v>1</v>
      </c>
      <c r="D837" s="5" t="s">
        <v>2805</v>
      </c>
      <c r="E837" s="5" t="s">
        <v>277</v>
      </c>
      <c r="F837" s="5" t="s">
        <v>282</v>
      </c>
      <c r="G837" s="5" t="s">
        <v>2491</v>
      </c>
      <c r="H837" s="6" t="s">
        <v>2667</v>
      </c>
      <c r="I837" s="5" t="s">
        <v>2482</v>
      </c>
      <c r="J837" s="7">
        <f>137.44</f>
        <v>137.44</v>
      </c>
      <c r="K837" s="5" t="s">
        <v>270</v>
      </c>
      <c r="L837" s="8">
        <f>1</f>
        <v>1</v>
      </c>
      <c r="M837" s="8">
        <f>21303200</f>
        <v>21303200</v>
      </c>
      <c r="N837" s="6" t="s">
        <v>1044</v>
      </c>
      <c r="O837" s="5" t="s">
        <v>286</v>
      </c>
      <c r="P837" s="5" t="s">
        <v>1035</v>
      </c>
      <c r="R837" s="8">
        <f>21303199</f>
        <v>21303199</v>
      </c>
      <c r="S837" s="5" t="s">
        <v>240</v>
      </c>
      <c r="T837" s="5" t="s">
        <v>237</v>
      </c>
      <c r="U837" s="5" t="s">
        <v>238</v>
      </c>
      <c r="V837" s="5" t="s">
        <v>238</v>
      </c>
      <c r="W837" s="5" t="s">
        <v>241</v>
      </c>
      <c r="X837" s="5" t="s">
        <v>276</v>
      </c>
      <c r="Y837" s="5" t="s">
        <v>238</v>
      </c>
      <c r="AB837" s="5" t="s">
        <v>238</v>
      </c>
      <c r="AD837" s="6" t="s">
        <v>238</v>
      </c>
      <c r="AG837" s="6" t="s">
        <v>246</v>
      </c>
      <c r="AH837" s="5" t="s">
        <v>247</v>
      </c>
      <c r="AI837" s="5" t="s">
        <v>248</v>
      </c>
      <c r="AY837" s="5" t="s">
        <v>250</v>
      </c>
      <c r="AZ837" s="5" t="s">
        <v>238</v>
      </c>
      <c r="BA837" s="5" t="s">
        <v>251</v>
      </c>
      <c r="BB837" s="5" t="s">
        <v>238</v>
      </c>
      <c r="BC837" s="5" t="s">
        <v>253</v>
      </c>
      <c r="BD837" s="5" t="s">
        <v>238</v>
      </c>
      <c r="BF837" s="5" t="s">
        <v>238</v>
      </c>
      <c r="BH837" s="5" t="s">
        <v>697</v>
      </c>
      <c r="BI837" s="6" t="s">
        <v>698</v>
      </c>
      <c r="BJ837" s="5" t="s">
        <v>255</v>
      </c>
      <c r="BK837" s="5" t="s">
        <v>256</v>
      </c>
      <c r="BL837" s="5" t="s">
        <v>238</v>
      </c>
      <c r="BM837" s="7">
        <f>0</f>
        <v>0</v>
      </c>
      <c r="BN837" s="8">
        <f>0</f>
        <v>0</v>
      </c>
      <c r="BO837" s="5" t="s">
        <v>257</v>
      </c>
      <c r="BP837" s="5" t="s">
        <v>258</v>
      </c>
      <c r="CD837" s="5" t="s">
        <v>238</v>
      </c>
      <c r="CE837" s="5" t="s">
        <v>238</v>
      </c>
      <c r="CI837" s="5" t="s">
        <v>259</v>
      </c>
      <c r="CJ837" s="5" t="s">
        <v>260</v>
      </c>
      <c r="CK837" s="5" t="s">
        <v>238</v>
      </c>
      <c r="CM837" s="5" t="s">
        <v>1034</v>
      </c>
      <c r="CN837" s="6" t="s">
        <v>262</v>
      </c>
      <c r="CO837" s="5" t="s">
        <v>263</v>
      </c>
      <c r="CP837" s="5" t="s">
        <v>264</v>
      </c>
      <c r="CQ837" s="5" t="s">
        <v>238</v>
      </c>
      <c r="CR837" s="5" t="s">
        <v>238</v>
      </c>
      <c r="CS837" s="5">
        <v>0</v>
      </c>
      <c r="CT837" s="5" t="s">
        <v>265</v>
      </c>
      <c r="CU837" s="5" t="s">
        <v>1360</v>
      </c>
      <c r="CV837" s="5" t="s">
        <v>267</v>
      </c>
      <c r="CX837" s="8">
        <f>21303200</f>
        <v>21303200</v>
      </c>
      <c r="CY837" s="8">
        <f>0</f>
        <v>0</v>
      </c>
      <c r="DA837" s="5" t="s">
        <v>238</v>
      </c>
      <c r="DB837" s="5" t="s">
        <v>238</v>
      </c>
      <c r="DD837" s="5" t="s">
        <v>238</v>
      </c>
      <c r="DG837" s="5" t="s">
        <v>238</v>
      </c>
      <c r="DH837" s="5" t="s">
        <v>238</v>
      </c>
      <c r="DI837" s="5" t="s">
        <v>238</v>
      </c>
      <c r="DJ837" s="5" t="s">
        <v>238</v>
      </c>
      <c r="DK837" s="5" t="s">
        <v>274</v>
      </c>
      <c r="DL837" s="5" t="s">
        <v>272</v>
      </c>
      <c r="DM837" s="7">
        <f>137.44</f>
        <v>137.44</v>
      </c>
      <c r="DN837" s="5" t="s">
        <v>238</v>
      </c>
      <c r="DO837" s="5" t="s">
        <v>238</v>
      </c>
      <c r="DP837" s="5" t="s">
        <v>238</v>
      </c>
      <c r="DQ837" s="5" t="s">
        <v>238</v>
      </c>
      <c r="DT837" s="5" t="s">
        <v>2806</v>
      </c>
      <c r="DU837" s="5" t="s">
        <v>379</v>
      </c>
      <c r="HM837" s="5" t="s">
        <v>271</v>
      </c>
      <c r="HP837" s="5" t="s">
        <v>272</v>
      </c>
      <c r="HQ837" s="5" t="s">
        <v>272</v>
      </c>
    </row>
    <row r="838" spans="1:238" x14ac:dyDescent="0.4">
      <c r="A838" s="5">
        <v>930</v>
      </c>
      <c r="B838" s="5">
        <v>1</v>
      </c>
      <c r="C838" s="5">
        <v>1</v>
      </c>
      <c r="D838" s="5" t="s">
        <v>2805</v>
      </c>
      <c r="E838" s="5" t="s">
        <v>277</v>
      </c>
      <c r="F838" s="5" t="s">
        <v>282</v>
      </c>
      <c r="G838" s="5" t="s">
        <v>2491</v>
      </c>
      <c r="H838" s="6" t="s">
        <v>2667</v>
      </c>
      <c r="I838" s="5" t="s">
        <v>2482</v>
      </c>
      <c r="J838" s="7">
        <f>137.44</f>
        <v>137.44</v>
      </c>
      <c r="K838" s="5" t="s">
        <v>270</v>
      </c>
      <c r="L838" s="8">
        <f>1</f>
        <v>1</v>
      </c>
      <c r="M838" s="8">
        <f>21303200</f>
        <v>21303200</v>
      </c>
      <c r="N838" s="6" t="s">
        <v>1044</v>
      </c>
      <c r="O838" s="5" t="s">
        <v>286</v>
      </c>
      <c r="P838" s="5" t="s">
        <v>1035</v>
      </c>
      <c r="R838" s="8">
        <f>21303199</f>
        <v>21303199</v>
      </c>
      <c r="S838" s="5" t="s">
        <v>240</v>
      </c>
      <c r="T838" s="5" t="s">
        <v>237</v>
      </c>
      <c r="U838" s="5" t="s">
        <v>238</v>
      </c>
      <c r="V838" s="5" t="s">
        <v>238</v>
      </c>
      <c r="W838" s="5" t="s">
        <v>241</v>
      </c>
      <c r="X838" s="5" t="s">
        <v>276</v>
      </c>
      <c r="Y838" s="5" t="s">
        <v>238</v>
      </c>
      <c r="AB838" s="5" t="s">
        <v>238</v>
      </c>
      <c r="AD838" s="6" t="s">
        <v>238</v>
      </c>
      <c r="AG838" s="6" t="s">
        <v>246</v>
      </c>
      <c r="AH838" s="5" t="s">
        <v>247</v>
      </c>
      <c r="AI838" s="5" t="s">
        <v>248</v>
      </c>
      <c r="AY838" s="5" t="s">
        <v>250</v>
      </c>
      <c r="AZ838" s="5" t="s">
        <v>238</v>
      </c>
      <c r="BA838" s="5" t="s">
        <v>251</v>
      </c>
      <c r="BB838" s="5" t="s">
        <v>238</v>
      </c>
      <c r="BC838" s="5" t="s">
        <v>253</v>
      </c>
      <c r="BD838" s="5" t="s">
        <v>238</v>
      </c>
      <c r="BF838" s="5" t="s">
        <v>238</v>
      </c>
      <c r="BH838" s="5" t="s">
        <v>798</v>
      </c>
      <c r="BI838" s="6" t="s">
        <v>799</v>
      </c>
      <c r="BJ838" s="5" t="s">
        <v>255</v>
      </c>
      <c r="BK838" s="5" t="s">
        <v>256</v>
      </c>
      <c r="BL838" s="5" t="s">
        <v>238</v>
      </c>
      <c r="BM838" s="7">
        <f>0</f>
        <v>0</v>
      </c>
      <c r="BN838" s="8">
        <f>0</f>
        <v>0</v>
      </c>
      <c r="BO838" s="5" t="s">
        <v>257</v>
      </c>
      <c r="BP838" s="5" t="s">
        <v>258</v>
      </c>
      <c r="CD838" s="5" t="s">
        <v>238</v>
      </c>
      <c r="CE838" s="5" t="s">
        <v>238</v>
      </c>
      <c r="CI838" s="5" t="s">
        <v>259</v>
      </c>
      <c r="CJ838" s="5" t="s">
        <v>260</v>
      </c>
      <c r="CK838" s="5" t="s">
        <v>238</v>
      </c>
      <c r="CM838" s="5" t="s">
        <v>1034</v>
      </c>
      <c r="CN838" s="6" t="s">
        <v>262</v>
      </c>
      <c r="CO838" s="5" t="s">
        <v>263</v>
      </c>
      <c r="CP838" s="5" t="s">
        <v>264</v>
      </c>
      <c r="CQ838" s="5" t="s">
        <v>238</v>
      </c>
      <c r="CR838" s="5" t="s">
        <v>238</v>
      </c>
      <c r="CS838" s="5">
        <v>0</v>
      </c>
      <c r="CT838" s="5" t="s">
        <v>265</v>
      </c>
      <c r="CU838" s="5" t="s">
        <v>1360</v>
      </c>
      <c r="CV838" s="5" t="s">
        <v>267</v>
      </c>
      <c r="CX838" s="8">
        <f>21303200</f>
        <v>21303200</v>
      </c>
      <c r="CY838" s="8">
        <f>0</f>
        <v>0</v>
      </c>
      <c r="DA838" s="5" t="s">
        <v>238</v>
      </c>
      <c r="DB838" s="5" t="s">
        <v>238</v>
      </c>
      <c r="DD838" s="5" t="s">
        <v>238</v>
      </c>
      <c r="DG838" s="5" t="s">
        <v>238</v>
      </c>
      <c r="DH838" s="5" t="s">
        <v>238</v>
      </c>
      <c r="DI838" s="5" t="s">
        <v>238</v>
      </c>
      <c r="DJ838" s="5" t="s">
        <v>238</v>
      </c>
      <c r="DK838" s="5" t="s">
        <v>274</v>
      </c>
      <c r="DL838" s="5" t="s">
        <v>272</v>
      </c>
      <c r="DM838" s="7">
        <f>137.44</f>
        <v>137.44</v>
      </c>
      <c r="DN838" s="5" t="s">
        <v>238</v>
      </c>
      <c r="DO838" s="5" t="s">
        <v>238</v>
      </c>
      <c r="DP838" s="5" t="s">
        <v>238</v>
      </c>
      <c r="DQ838" s="5" t="s">
        <v>238</v>
      </c>
      <c r="DT838" s="5" t="s">
        <v>2806</v>
      </c>
      <c r="DU838" s="5" t="s">
        <v>313</v>
      </c>
      <c r="HM838" s="5" t="s">
        <v>271</v>
      </c>
      <c r="HP838" s="5" t="s">
        <v>272</v>
      </c>
      <c r="HQ838" s="5" t="s">
        <v>272</v>
      </c>
    </row>
    <row r="839" spans="1:238" x14ac:dyDescent="0.4">
      <c r="A839" s="5">
        <v>932</v>
      </c>
      <c r="B839" s="5">
        <v>1</v>
      </c>
      <c r="C839" s="5">
        <v>4</v>
      </c>
      <c r="D839" s="5" t="s">
        <v>2671</v>
      </c>
      <c r="E839" s="5" t="s">
        <v>277</v>
      </c>
      <c r="F839" s="5" t="s">
        <v>282</v>
      </c>
      <c r="G839" s="5" t="s">
        <v>2485</v>
      </c>
      <c r="H839" s="6" t="s">
        <v>2672</v>
      </c>
      <c r="I839" s="5" t="s">
        <v>2683</v>
      </c>
      <c r="J839" s="7">
        <f>152.82</f>
        <v>152.82</v>
      </c>
      <c r="K839" s="5" t="s">
        <v>270</v>
      </c>
      <c r="L839" s="8">
        <f>2212840</f>
        <v>2212840</v>
      </c>
      <c r="M839" s="8">
        <f>27660420</f>
        <v>27660420</v>
      </c>
      <c r="N839" s="6" t="s">
        <v>1356</v>
      </c>
      <c r="O839" s="5" t="s">
        <v>286</v>
      </c>
      <c r="P839" s="5" t="s">
        <v>611</v>
      </c>
      <c r="Q839" s="8">
        <f>1272379</f>
        <v>1272379</v>
      </c>
      <c r="R839" s="8">
        <f>25447580</f>
        <v>25447580</v>
      </c>
      <c r="S839" s="5" t="s">
        <v>240</v>
      </c>
      <c r="T839" s="5" t="s">
        <v>237</v>
      </c>
      <c r="U839" s="5" t="s">
        <v>238</v>
      </c>
      <c r="V839" s="5" t="s">
        <v>238</v>
      </c>
      <c r="W839" s="5" t="s">
        <v>241</v>
      </c>
      <c r="X839" s="5" t="s">
        <v>276</v>
      </c>
      <c r="Y839" s="5" t="s">
        <v>238</v>
      </c>
      <c r="AB839" s="5" t="s">
        <v>238</v>
      </c>
      <c r="AC839" s="6" t="s">
        <v>238</v>
      </c>
      <c r="AD839" s="6" t="s">
        <v>238</v>
      </c>
      <c r="AF839" s="6" t="s">
        <v>238</v>
      </c>
      <c r="AG839" s="6" t="s">
        <v>246</v>
      </c>
      <c r="AH839" s="5" t="s">
        <v>247</v>
      </c>
      <c r="AI839" s="5" t="s">
        <v>248</v>
      </c>
      <c r="AO839" s="5" t="s">
        <v>238</v>
      </c>
      <c r="AP839" s="5" t="s">
        <v>238</v>
      </c>
      <c r="AQ839" s="5" t="s">
        <v>238</v>
      </c>
      <c r="AR839" s="6" t="s">
        <v>238</v>
      </c>
      <c r="AS839" s="6" t="s">
        <v>238</v>
      </c>
      <c r="AT839" s="6" t="s">
        <v>238</v>
      </c>
      <c r="AW839" s="5" t="s">
        <v>304</v>
      </c>
      <c r="AX839" s="5" t="s">
        <v>304</v>
      </c>
      <c r="AY839" s="5" t="s">
        <v>250</v>
      </c>
      <c r="AZ839" s="5" t="s">
        <v>305</v>
      </c>
      <c r="BA839" s="5" t="s">
        <v>251</v>
      </c>
      <c r="BB839" s="5" t="s">
        <v>238</v>
      </c>
      <c r="BC839" s="5" t="s">
        <v>253</v>
      </c>
      <c r="BD839" s="5" t="s">
        <v>238</v>
      </c>
      <c r="BF839" s="5" t="s">
        <v>2648</v>
      </c>
      <c r="BH839" s="5" t="s">
        <v>283</v>
      </c>
      <c r="BI839" s="6" t="s">
        <v>293</v>
      </c>
      <c r="BJ839" s="5" t="s">
        <v>294</v>
      </c>
      <c r="BK839" s="5" t="s">
        <v>294</v>
      </c>
      <c r="BL839" s="5" t="s">
        <v>238</v>
      </c>
      <c r="BM839" s="7">
        <f>0</f>
        <v>0</v>
      </c>
      <c r="BN839" s="8">
        <f>-1272379</f>
        <v>-1272379</v>
      </c>
      <c r="BO839" s="5" t="s">
        <v>257</v>
      </c>
      <c r="BP839" s="5" t="s">
        <v>258</v>
      </c>
      <c r="BQ839" s="5" t="s">
        <v>238</v>
      </c>
      <c r="BR839" s="5" t="s">
        <v>238</v>
      </c>
      <c r="BS839" s="5" t="s">
        <v>238</v>
      </c>
      <c r="BT839" s="5" t="s">
        <v>238</v>
      </c>
      <c r="CC839" s="5" t="s">
        <v>258</v>
      </c>
      <c r="CD839" s="5" t="s">
        <v>238</v>
      </c>
      <c r="CE839" s="5" t="s">
        <v>238</v>
      </c>
      <c r="CI839" s="5" t="s">
        <v>259</v>
      </c>
      <c r="CJ839" s="5" t="s">
        <v>260</v>
      </c>
      <c r="CK839" s="5" t="s">
        <v>238</v>
      </c>
      <c r="CM839" s="5" t="s">
        <v>1357</v>
      </c>
      <c r="CN839" s="6" t="s">
        <v>262</v>
      </c>
      <c r="CO839" s="5" t="s">
        <v>263</v>
      </c>
      <c r="CP839" s="5" t="s">
        <v>264</v>
      </c>
      <c r="CQ839" s="5" t="s">
        <v>285</v>
      </c>
      <c r="CR839" s="5" t="s">
        <v>238</v>
      </c>
      <c r="CS839" s="5">
        <v>4.5999999999999999E-2</v>
      </c>
      <c r="CT839" s="5" t="s">
        <v>265</v>
      </c>
      <c r="CU839" s="5" t="s">
        <v>1360</v>
      </c>
      <c r="CV839" s="5" t="s">
        <v>267</v>
      </c>
      <c r="CW839" s="7">
        <f>0</f>
        <v>0</v>
      </c>
      <c r="CX839" s="8">
        <f>27660420</f>
        <v>27660420</v>
      </c>
      <c r="CY839" s="8">
        <f>3485219</f>
        <v>3485219</v>
      </c>
      <c r="DA839" s="5" t="s">
        <v>238</v>
      </c>
      <c r="DB839" s="5" t="s">
        <v>238</v>
      </c>
      <c r="DD839" s="5" t="s">
        <v>238</v>
      </c>
      <c r="DE839" s="8">
        <f>0</f>
        <v>0</v>
      </c>
      <c r="DG839" s="5" t="s">
        <v>238</v>
      </c>
      <c r="DH839" s="5" t="s">
        <v>238</v>
      </c>
      <c r="DI839" s="5" t="s">
        <v>238</v>
      </c>
      <c r="DJ839" s="5" t="s">
        <v>238</v>
      </c>
      <c r="DK839" s="5" t="s">
        <v>274</v>
      </c>
      <c r="DL839" s="5" t="s">
        <v>272</v>
      </c>
      <c r="DM839" s="7">
        <f>152.82</f>
        <v>152.82</v>
      </c>
      <c r="DN839" s="5" t="s">
        <v>238</v>
      </c>
      <c r="DO839" s="5" t="s">
        <v>238</v>
      </c>
      <c r="DP839" s="5" t="s">
        <v>238</v>
      </c>
      <c r="DQ839" s="5" t="s">
        <v>238</v>
      </c>
      <c r="DT839" s="5" t="s">
        <v>2673</v>
      </c>
      <c r="DU839" s="5" t="s">
        <v>271</v>
      </c>
      <c r="GL839" s="5" t="s">
        <v>2684</v>
      </c>
      <c r="HM839" s="5" t="s">
        <v>313</v>
      </c>
      <c r="HP839" s="5" t="s">
        <v>272</v>
      </c>
      <c r="HQ839" s="5" t="s">
        <v>272</v>
      </c>
      <c r="HR839" s="5" t="s">
        <v>238</v>
      </c>
      <c r="HS839" s="5" t="s">
        <v>238</v>
      </c>
      <c r="HT839" s="5" t="s">
        <v>238</v>
      </c>
      <c r="HU839" s="5" t="s">
        <v>238</v>
      </c>
      <c r="HV839" s="5" t="s">
        <v>238</v>
      </c>
      <c r="HW839" s="5" t="s">
        <v>238</v>
      </c>
      <c r="HX839" s="5" t="s">
        <v>238</v>
      </c>
      <c r="HY839" s="5" t="s">
        <v>238</v>
      </c>
      <c r="HZ839" s="5" t="s">
        <v>238</v>
      </c>
      <c r="IA839" s="5" t="s">
        <v>238</v>
      </c>
      <c r="IB839" s="5" t="s">
        <v>238</v>
      </c>
      <c r="IC839" s="5" t="s">
        <v>238</v>
      </c>
      <c r="ID839" s="5" t="s">
        <v>238</v>
      </c>
    </row>
    <row r="840" spans="1:238" x14ac:dyDescent="0.4">
      <c r="A840" s="5">
        <v>933</v>
      </c>
      <c r="B840" s="5">
        <v>1</v>
      </c>
      <c r="C840" s="5">
        <v>4</v>
      </c>
      <c r="D840" s="5" t="s">
        <v>2671</v>
      </c>
      <c r="E840" s="5" t="s">
        <v>277</v>
      </c>
      <c r="F840" s="5" t="s">
        <v>282</v>
      </c>
      <c r="G840" s="5" t="s">
        <v>2485</v>
      </c>
      <c r="H840" s="6" t="s">
        <v>2672</v>
      </c>
      <c r="I840" s="5" t="s">
        <v>2681</v>
      </c>
      <c r="J840" s="7">
        <f>152.82</f>
        <v>152.82</v>
      </c>
      <c r="K840" s="5" t="s">
        <v>270</v>
      </c>
      <c r="L840" s="8">
        <f>2212840</f>
        <v>2212840</v>
      </c>
      <c r="M840" s="8">
        <f>27660420</f>
        <v>27660420</v>
      </c>
      <c r="N840" s="6" t="s">
        <v>1356</v>
      </c>
      <c r="O840" s="5" t="s">
        <v>286</v>
      </c>
      <c r="P840" s="5" t="s">
        <v>611</v>
      </c>
      <c r="Q840" s="8">
        <f>1272379</f>
        <v>1272379</v>
      </c>
      <c r="R840" s="8">
        <f>25447580</f>
        <v>25447580</v>
      </c>
      <c r="S840" s="5" t="s">
        <v>240</v>
      </c>
      <c r="T840" s="5" t="s">
        <v>237</v>
      </c>
      <c r="U840" s="5" t="s">
        <v>238</v>
      </c>
      <c r="V840" s="5" t="s">
        <v>238</v>
      </c>
      <c r="W840" s="5" t="s">
        <v>241</v>
      </c>
      <c r="X840" s="5" t="s">
        <v>276</v>
      </c>
      <c r="Y840" s="5" t="s">
        <v>238</v>
      </c>
      <c r="AB840" s="5" t="s">
        <v>238</v>
      </c>
      <c r="AC840" s="6" t="s">
        <v>238</v>
      </c>
      <c r="AD840" s="6" t="s">
        <v>238</v>
      </c>
      <c r="AF840" s="6" t="s">
        <v>238</v>
      </c>
      <c r="AG840" s="6" t="s">
        <v>246</v>
      </c>
      <c r="AH840" s="5" t="s">
        <v>247</v>
      </c>
      <c r="AI840" s="5" t="s">
        <v>248</v>
      </c>
      <c r="AO840" s="5" t="s">
        <v>238</v>
      </c>
      <c r="AP840" s="5" t="s">
        <v>238</v>
      </c>
      <c r="AQ840" s="5" t="s">
        <v>238</v>
      </c>
      <c r="AR840" s="6" t="s">
        <v>238</v>
      </c>
      <c r="AS840" s="6" t="s">
        <v>238</v>
      </c>
      <c r="AT840" s="6" t="s">
        <v>238</v>
      </c>
      <c r="AW840" s="5" t="s">
        <v>304</v>
      </c>
      <c r="AX840" s="5" t="s">
        <v>304</v>
      </c>
      <c r="AY840" s="5" t="s">
        <v>250</v>
      </c>
      <c r="AZ840" s="5" t="s">
        <v>305</v>
      </c>
      <c r="BA840" s="5" t="s">
        <v>251</v>
      </c>
      <c r="BB840" s="5" t="s">
        <v>238</v>
      </c>
      <c r="BC840" s="5" t="s">
        <v>253</v>
      </c>
      <c r="BD840" s="5" t="s">
        <v>238</v>
      </c>
      <c r="BF840" s="5" t="s">
        <v>238</v>
      </c>
      <c r="BH840" s="5" t="s">
        <v>283</v>
      </c>
      <c r="BI840" s="6" t="s">
        <v>293</v>
      </c>
      <c r="BJ840" s="5" t="s">
        <v>294</v>
      </c>
      <c r="BK840" s="5" t="s">
        <v>294</v>
      </c>
      <c r="BL840" s="5" t="s">
        <v>238</v>
      </c>
      <c r="BM840" s="7">
        <f>0</f>
        <v>0</v>
      </c>
      <c r="BN840" s="8">
        <f>-1272379</f>
        <v>-1272379</v>
      </c>
      <c r="BO840" s="5" t="s">
        <v>257</v>
      </c>
      <c r="BP840" s="5" t="s">
        <v>258</v>
      </c>
      <c r="BQ840" s="5" t="s">
        <v>238</v>
      </c>
      <c r="BR840" s="5" t="s">
        <v>238</v>
      </c>
      <c r="BS840" s="5" t="s">
        <v>238</v>
      </c>
      <c r="BT840" s="5" t="s">
        <v>238</v>
      </c>
      <c r="CC840" s="5" t="s">
        <v>258</v>
      </c>
      <c r="CD840" s="5" t="s">
        <v>238</v>
      </c>
      <c r="CE840" s="5" t="s">
        <v>238</v>
      </c>
      <c r="CI840" s="5" t="s">
        <v>259</v>
      </c>
      <c r="CJ840" s="5" t="s">
        <v>260</v>
      </c>
      <c r="CK840" s="5" t="s">
        <v>238</v>
      </c>
      <c r="CM840" s="5" t="s">
        <v>1357</v>
      </c>
      <c r="CN840" s="6" t="s">
        <v>262</v>
      </c>
      <c r="CO840" s="5" t="s">
        <v>263</v>
      </c>
      <c r="CP840" s="5" t="s">
        <v>264</v>
      </c>
      <c r="CQ840" s="5" t="s">
        <v>285</v>
      </c>
      <c r="CR840" s="5" t="s">
        <v>238</v>
      </c>
      <c r="CS840" s="5">
        <v>4.5999999999999999E-2</v>
      </c>
      <c r="CT840" s="5" t="s">
        <v>265</v>
      </c>
      <c r="CU840" s="5" t="s">
        <v>1360</v>
      </c>
      <c r="CV840" s="5" t="s">
        <v>267</v>
      </c>
      <c r="CW840" s="7">
        <f>0</f>
        <v>0</v>
      </c>
      <c r="CX840" s="8">
        <f>27660420</f>
        <v>27660420</v>
      </c>
      <c r="CY840" s="8">
        <f>3485219</f>
        <v>3485219</v>
      </c>
      <c r="DA840" s="5" t="s">
        <v>238</v>
      </c>
      <c r="DB840" s="5" t="s">
        <v>238</v>
      </c>
      <c r="DD840" s="5" t="s">
        <v>238</v>
      </c>
      <c r="DE840" s="8">
        <f>0</f>
        <v>0</v>
      </c>
      <c r="DG840" s="5" t="s">
        <v>238</v>
      </c>
      <c r="DH840" s="5" t="s">
        <v>238</v>
      </c>
      <c r="DI840" s="5" t="s">
        <v>238</v>
      </c>
      <c r="DJ840" s="5" t="s">
        <v>238</v>
      </c>
      <c r="DK840" s="5" t="s">
        <v>274</v>
      </c>
      <c r="DL840" s="5" t="s">
        <v>272</v>
      </c>
      <c r="DM840" s="7">
        <f>152.82</f>
        <v>152.82</v>
      </c>
      <c r="DN840" s="5" t="s">
        <v>238</v>
      </c>
      <c r="DO840" s="5" t="s">
        <v>238</v>
      </c>
      <c r="DP840" s="5" t="s">
        <v>238</v>
      </c>
      <c r="DQ840" s="5" t="s">
        <v>238</v>
      </c>
      <c r="DT840" s="5" t="s">
        <v>2673</v>
      </c>
      <c r="DU840" s="5" t="s">
        <v>274</v>
      </c>
      <c r="GL840" s="5" t="s">
        <v>2682</v>
      </c>
      <c r="HM840" s="5" t="s">
        <v>313</v>
      </c>
      <c r="HP840" s="5" t="s">
        <v>272</v>
      </c>
      <c r="HQ840" s="5" t="s">
        <v>272</v>
      </c>
      <c r="HR840" s="5" t="s">
        <v>238</v>
      </c>
      <c r="HS840" s="5" t="s">
        <v>238</v>
      </c>
      <c r="HT840" s="5" t="s">
        <v>238</v>
      </c>
      <c r="HU840" s="5" t="s">
        <v>238</v>
      </c>
      <c r="HV840" s="5" t="s">
        <v>238</v>
      </c>
      <c r="HW840" s="5" t="s">
        <v>238</v>
      </c>
      <c r="HX840" s="5" t="s">
        <v>238</v>
      </c>
      <c r="HY840" s="5" t="s">
        <v>238</v>
      </c>
      <c r="HZ840" s="5" t="s">
        <v>238</v>
      </c>
      <c r="IA840" s="5" t="s">
        <v>238</v>
      </c>
      <c r="IB840" s="5" t="s">
        <v>238</v>
      </c>
      <c r="IC840" s="5" t="s">
        <v>238</v>
      </c>
      <c r="ID840" s="5" t="s">
        <v>238</v>
      </c>
    </row>
    <row r="841" spans="1:238" x14ac:dyDescent="0.4">
      <c r="A841" s="5">
        <v>934</v>
      </c>
      <c r="B841" s="5">
        <v>1</v>
      </c>
      <c r="C841" s="5">
        <v>4</v>
      </c>
      <c r="D841" s="5" t="s">
        <v>2671</v>
      </c>
      <c r="E841" s="5" t="s">
        <v>277</v>
      </c>
      <c r="F841" s="5" t="s">
        <v>282</v>
      </c>
      <c r="G841" s="5" t="s">
        <v>2485</v>
      </c>
      <c r="H841" s="6" t="s">
        <v>2672</v>
      </c>
      <c r="I841" s="5" t="s">
        <v>2679</v>
      </c>
      <c r="J841" s="7">
        <f>163.11</f>
        <v>163.11000000000001</v>
      </c>
      <c r="K841" s="5" t="s">
        <v>270</v>
      </c>
      <c r="L841" s="8">
        <f>2361850</f>
        <v>2361850</v>
      </c>
      <c r="M841" s="8">
        <f>29522910</f>
        <v>29522910</v>
      </c>
      <c r="N841" s="6" t="s">
        <v>1356</v>
      </c>
      <c r="O841" s="5" t="s">
        <v>286</v>
      </c>
      <c r="P841" s="5" t="s">
        <v>611</v>
      </c>
      <c r="Q841" s="8">
        <f>1358053</f>
        <v>1358053</v>
      </c>
      <c r="R841" s="8">
        <f>27161060</f>
        <v>27161060</v>
      </c>
      <c r="S841" s="5" t="s">
        <v>240</v>
      </c>
      <c r="T841" s="5" t="s">
        <v>237</v>
      </c>
      <c r="U841" s="5" t="s">
        <v>238</v>
      </c>
      <c r="V841" s="5" t="s">
        <v>238</v>
      </c>
      <c r="W841" s="5" t="s">
        <v>241</v>
      </c>
      <c r="X841" s="5" t="s">
        <v>276</v>
      </c>
      <c r="Y841" s="5" t="s">
        <v>238</v>
      </c>
      <c r="AB841" s="5" t="s">
        <v>238</v>
      </c>
      <c r="AC841" s="6" t="s">
        <v>238</v>
      </c>
      <c r="AD841" s="6" t="s">
        <v>238</v>
      </c>
      <c r="AF841" s="6" t="s">
        <v>238</v>
      </c>
      <c r="AG841" s="6" t="s">
        <v>246</v>
      </c>
      <c r="AH841" s="5" t="s">
        <v>247</v>
      </c>
      <c r="AI841" s="5" t="s">
        <v>248</v>
      </c>
      <c r="AO841" s="5" t="s">
        <v>238</v>
      </c>
      <c r="AP841" s="5" t="s">
        <v>238</v>
      </c>
      <c r="AQ841" s="5" t="s">
        <v>238</v>
      </c>
      <c r="AR841" s="6" t="s">
        <v>238</v>
      </c>
      <c r="AS841" s="6" t="s">
        <v>238</v>
      </c>
      <c r="AT841" s="6" t="s">
        <v>238</v>
      </c>
      <c r="AW841" s="5" t="s">
        <v>304</v>
      </c>
      <c r="AX841" s="5" t="s">
        <v>304</v>
      </c>
      <c r="AY841" s="5" t="s">
        <v>250</v>
      </c>
      <c r="AZ841" s="5" t="s">
        <v>305</v>
      </c>
      <c r="BA841" s="5" t="s">
        <v>251</v>
      </c>
      <c r="BB841" s="5" t="s">
        <v>238</v>
      </c>
      <c r="BC841" s="5" t="s">
        <v>253</v>
      </c>
      <c r="BD841" s="5" t="s">
        <v>238</v>
      </c>
      <c r="BF841" s="5" t="s">
        <v>238</v>
      </c>
      <c r="BH841" s="5" t="s">
        <v>283</v>
      </c>
      <c r="BI841" s="6" t="s">
        <v>293</v>
      </c>
      <c r="BJ841" s="5" t="s">
        <v>294</v>
      </c>
      <c r="BK841" s="5" t="s">
        <v>294</v>
      </c>
      <c r="BL841" s="5" t="s">
        <v>238</v>
      </c>
      <c r="BM841" s="7">
        <f>0</f>
        <v>0</v>
      </c>
      <c r="BN841" s="8">
        <f>-1358053</f>
        <v>-1358053</v>
      </c>
      <c r="BO841" s="5" t="s">
        <v>257</v>
      </c>
      <c r="BP841" s="5" t="s">
        <v>258</v>
      </c>
      <c r="BQ841" s="5" t="s">
        <v>238</v>
      </c>
      <c r="BR841" s="5" t="s">
        <v>238</v>
      </c>
      <c r="BS841" s="5" t="s">
        <v>238</v>
      </c>
      <c r="BT841" s="5" t="s">
        <v>238</v>
      </c>
      <c r="CC841" s="5" t="s">
        <v>258</v>
      </c>
      <c r="CD841" s="5" t="s">
        <v>238</v>
      </c>
      <c r="CE841" s="5" t="s">
        <v>238</v>
      </c>
      <c r="CI841" s="5" t="s">
        <v>259</v>
      </c>
      <c r="CJ841" s="5" t="s">
        <v>260</v>
      </c>
      <c r="CK841" s="5" t="s">
        <v>238</v>
      </c>
      <c r="CM841" s="5" t="s">
        <v>1357</v>
      </c>
      <c r="CN841" s="6" t="s">
        <v>262</v>
      </c>
      <c r="CO841" s="5" t="s">
        <v>263</v>
      </c>
      <c r="CP841" s="5" t="s">
        <v>264</v>
      </c>
      <c r="CQ841" s="5" t="s">
        <v>285</v>
      </c>
      <c r="CR841" s="5" t="s">
        <v>238</v>
      </c>
      <c r="CS841" s="5">
        <v>4.5999999999999999E-2</v>
      </c>
      <c r="CT841" s="5" t="s">
        <v>265</v>
      </c>
      <c r="CU841" s="5" t="s">
        <v>1360</v>
      </c>
      <c r="CV841" s="5" t="s">
        <v>267</v>
      </c>
      <c r="CW841" s="7">
        <f>0</f>
        <v>0</v>
      </c>
      <c r="CX841" s="8">
        <f>29522910</f>
        <v>29522910</v>
      </c>
      <c r="CY841" s="8">
        <f>3719903</f>
        <v>3719903</v>
      </c>
      <c r="DA841" s="5" t="s">
        <v>238</v>
      </c>
      <c r="DB841" s="5" t="s">
        <v>238</v>
      </c>
      <c r="DD841" s="5" t="s">
        <v>238</v>
      </c>
      <c r="DE841" s="8">
        <f>0</f>
        <v>0</v>
      </c>
      <c r="DG841" s="5" t="s">
        <v>238</v>
      </c>
      <c r="DH841" s="5" t="s">
        <v>238</v>
      </c>
      <c r="DI841" s="5" t="s">
        <v>238</v>
      </c>
      <c r="DJ841" s="5" t="s">
        <v>238</v>
      </c>
      <c r="DK841" s="5" t="s">
        <v>274</v>
      </c>
      <c r="DL841" s="5" t="s">
        <v>272</v>
      </c>
      <c r="DM841" s="7">
        <f>163.11</f>
        <v>163.11000000000001</v>
      </c>
      <c r="DN841" s="5" t="s">
        <v>238</v>
      </c>
      <c r="DO841" s="5" t="s">
        <v>238</v>
      </c>
      <c r="DP841" s="5" t="s">
        <v>238</v>
      </c>
      <c r="DQ841" s="5" t="s">
        <v>238</v>
      </c>
      <c r="DT841" s="5" t="s">
        <v>2673</v>
      </c>
      <c r="DU841" s="5" t="s">
        <v>356</v>
      </c>
      <c r="GL841" s="5" t="s">
        <v>2680</v>
      </c>
      <c r="HM841" s="5" t="s">
        <v>313</v>
      </c>
      <c r="HP841" s="5" t="s">
        <v>272</v>
      </c>
      <c r="HQ841" s="5" t="s">
        <v>272</v>
      </c>
      <c r="HR841" s="5" t="s">
        <v>238</v>
      </c>
      <c r="HS841" s="5" t="s">
        <v>238</v>
      </c>
      <c r="HT841" s="5" t="s">
        <v>238</v>
      </c>
      <c r="HU841" s="5" t="s">
        <v>238</v>
      </c>
      <c r="HV841" s="5" t="s">
        <v>238</v>
      </c>
      <c r="HW841" s="5" t="s">
        <v>238</v>
      </c>
      <c r="HX841" s="5" t="s">
        <v>238</v>
      </c>
      <c r="HY841" s="5" t="s">
        <v>238</v>
      </c>
      <c r="HZ841" s="5" t="s">
        <v>238</v>
      </c>
      <c r="IA841" s="5" t="s">
        <v>238</v>
      </c>
      <c r="IB841" s="5" t="s">
        <v>238</v>
      </c>
      <c r="IC841" s="5" t="s">
        <v>238</v>
      </c>
      <c r="ID841" s="5" t="s">
        <v>238</v>
      </c>
    </row>
    <row r="842" spans="1:238" x14ac:dyDescent="0.4">
      <c r="A842" s="5">
        <v>935</v>
      </c>
      <c r="B842" s="5">
        <v>1</v>
      </c>
      <c r="C842" s="5">
        <v>4</v>
      </c>
      <c r="D842" s="5" t="s">
        <v>2671</v>
      </c>
      <c r="E842" s="5" t="s">
        <v>277</v>
      </c>
      <c r="F842" s="5" t="s">
        <v>282</v>
      </c>
      <c r="G842" s="5" t="s">
        <v>2485</v>
      </c>
      <c r="H842" s="6" t="s">
        <v>2672</v>
      </c>
      <c r="I842" s="5" t="s">
        <v>2677</v>
      </c>
      <c r="J842" s="7">
        <f>163.11</f>
        <v>163.11000000000001</v>
      </c>
      <c r="K842" s="5" t="s">
        <v>270</v>
      </c>
      <c r="L842" s="8">
        <f>2361850</f>
        <v>2361850</v>
      </c>
      <c r="M842" s="8">
        <f>29522910</f>
        <v>29522910</v>
      </c>
      <c r="N842" s="6" t="s">
        <v>1356</v>
      </c>
      <c r="O842" s="5" t="s">
        <v>286</v>
      </c>
      <c r="P842" s="5" t="s">
        <v>611</v>
      </c>
      <c r="Q842" s="8">
        <f>1358053</f>
        <v>1358053</v>
      </c>
      <c r="R842" s="8">
        <f>27161060</f>
        <v>27161060</v>
      </c>
      <c r="S842" s="5" t="s">
        <v>240</v>
      </c>
      <c r="T842" s="5" t="s">
        <v>237</v>
      </c>
      <c r="U842" s="5" t="s">
        <v>238</v>
      </c>
      <c r="V842" s="5" t="s">
        <v>238</v>
      </c>
      <c r="W842" s="5" t="s">
        <v>241</v>
      </c>
      <c r="X842" s="5" t="s">
        <v>276</v>
      </c>
      <c r="Y842" s="5" t="s">
        <v>238</v>
      </c>
      <c r="AB842" s="5" t="s">
        <v>238</v>
      </c>
      <c r="AC842" s="6" t="s">
        <v>238</v>
      </c>
      <c r="AD842" s="6" t="s">
        <v>238</v>
      </c>
      <c r="AF842" s="6" t="s">
        <v>238</v>
      </c>
      <c r="AG842" s="6" t="s">
        <v>246</v>
      </c>
      <c r="AH842" s="5" t="s">
        <v>247</v>
      </c>
      <c r="AI842" s="5" t="s">
        <v>248</v>
      </c>
      <c r="AO842" s="5" t="s">
        <v>238</v>
      </c>
      <c r="AP842" s="5" t="s">
        <v>238</v>
      </c>
      <c r="AQ842" s="5" t="s">
        <v>238</v>
      </c>
      <c r="AR842" s="6" t="s">
        <v>238</v>
      </c>
      <c r="AS842" s="6" t="s">
        <v>238</v>
      </c>
      <c r="AT842" s="6" t="s">
        <v>238</v>
      </c>
      <c r="AW842" s="5" t="s">
        <v>304</v>
      </c>
      <c r="AX842" s="5" t="s">
        <v>304</v>
      </c>
      <c r="AY842" s="5" t="s">
        <v>250</v>
      </c>
      <c r="AZ842" s="5" t="s">
        <v>305</v>
      </c>
      <c r="BA842" s="5" t="s">
        <v>251</v>
      </c>
      <c r="BB842" s="5" t="s">
        <v>238</v>
      </c>
      <c r="BC842" s="5" t="s">
        <v>253</v>
      </c>
      <c r="BD842" s="5" t="s">
        <v>238</v>
      </c>
      <c r="BF842" s="5" t="s">
        <v>238</v>
      </c>
      <c r="BH842" s="5" t="s">
        <v>283</v>
      </c>
      <c r="BI842" s="6" t="s">
        <v>293</v>
      </c>
      <c r="BJ842" s="5" t="s">
        <v>294</v>
      </c>
      <c r="BK842" s="5" t="s">
        <v>294</v>
      </c>
      <c r="BL842" s="5" t="s">
        <v>238</v>
      </c>
      <c r="BM842" s="7">
        <f>0</f>
        <v>0</v>
      </c>
      <c r="BN842" s="8">
        <f>-1358053</f>
        <v>-1358053</v>
      </c>
      <c r="BO842" s="5" t="s">
        <v>257</v>
      </c>
      <c r="BP842" s="5" t="s">
        <v>258</v>
      </c>
      <c r="BQ842" s="5" t="s">
        <v>238</v>
      </c>
      <c r="BR842" s="5" t="s">
        <v>238</v>
      </c>
      <c r="BS842" s="5" t="s">
        <v>238</v>
      </c>
      <c r="BT842" s="5" t="s">
        <v>238</v>
      </c>
      <c r="CC842" s="5" t="s">
        <v>258</v>
      </c>
      <c r="CD842" s="5" t="s">
        <v>238</v>
      </c>
      <c r="CE842" s="5" t="s">
        <v>238</v>
      </c>
      <c r="CI842" s="5" t="s">
        <v>259</v>
      </c>
      <c r="CJ842" s="5" t="s">
        <v>260</v>
      </c>
      <c r="CK842" s="5" t="s">
        <v>238</v>
      </c>
      <c r="CM842" s="5" t="s">
        <v>1357</v>
      </c>
      <c r="CN842" s="6" t="s">
        <v>262</v>
      </c>
      <c r="CO842" s="5" t="s">
        <v>263</v>
      </c>
      <c r="CP842" s="5" t="s">
        <v>264</v>
      </c>
      <c r="CQ842" s="5" t="s">
        <v>285</v>
      </c>
      <c r="CR842" s="5" t="s">
        <v>238</v>
      </c>
      <c r="CS842" s="5">
        <v>4.5999999999999999E-2</v>
      </c>
      <c r="CT842" s="5" t="s">
        <v>265</v>
      </c>
      <c r="CU842" s="5" t="s">
        <v>1360</v>
      </c>
      <c r="CV842" s="5" t="s">
        <v>267</v>
      </c>
      <c r="CW842" s="7">
        <f>0</f>
        <v>0</v>
      </c>
      <c r="CX842" s="8">
        <f>29522910</f>
        <v>29522910</v>
      </c>
      <c r="CY842" s="8">
        <f>3719903</f>
        <v>3719903</v>
      </c>
      <c r="DA842" s="5" t="s">
        <v>238</v>
      </c>
      <c r="DB842" s="5" t="s">
        <v>238</v>
      </c>
      <c r="DD842" s="5" t="s">
        <v>238</v>
      </c>
      <c r="DE842" s="8">
        <f>0</f>
        <v>0</v>
      </c>
      <c r="DG842" s="5" t="s">
        <v>238</v>
      </c>
      <c r="DH842" s="5" t="s">
        <v>238</v>
      </c>
      <c r="DI842" s="5" t="s">
        <v>238</v>
      </c>
      <c r="DJ842" s="5" t="s">
        <v>238</v>
      </c>
      <c r="DK842" s="5" t="s">
        <v>274</v>
      </c>
      <c r="DL842" s="5" t="s">
        <v>272</v>
      </c>
      <c r="DM842" s="7">
        <f>163.11</f>
        <v>163.11000000000001</v>
      </c>
      <c r="DN842" s="5" t="s">
        <v>238</v>
      </c>
      <c r="DO842" s="5" t="s">
        <v>238</v>
      </c>
      <c r="DP842" s="5" t="s">
        <v>238</v>
      </c>
      <c r="DQ842" s="5" t="s">
        <v>238</v>
      </c>
      <c r="DT842" s="5" t="s">
        <v>2673</v>
      </c>
      <c r="DU842" s="5" t="s">
        <v>310</v>
      </c>
      <c r="GL842" s="5" t="s">
        <v>2678</v>
      </c>
      <c r="HM842" s="5" t="s">
        <v>313</v>
      </c>
      <c r="HP842" s="5" t="s">
        <v>272</v>
      </c>
      <c r="HQ842" s="5" t="s">
        <v>272</v>
      </c>
      <c r="HR842" s="5" t="s">
        <v>238</v>
      </c>
      <c r="HS842" s="5" t="s">
        <v>238</v>
      </c>
      <c r="HT842" s="5" t="s">
        <v>238</v>
      </c>
      <c r="HU842" s="5" t="s">
        <v>238</v>
      </c>
      <c r="HV842" s="5" t="s">
        <v>238</v>
      </c>
      <c r="HW842" s="5" t="s">
        <v>238</v>
      </c>
      <c r="HX842" s="5" t="s">
        <v>238</v>
      </c>
      <c r="HY842" s="5" t="s">
        <v>238</v>
      </c>
      <c r="HZ842" s="5" t="s">
        <v>238</v>
      </c>
      <c r="IA842" s="5" t="s">
        <v>238</v>
      </c>
      <c r="IB842" s="5" t="s">
        <v>238</v>
      </c>
      <c r="IC842" s="5" t="s">
        <v>238</v>
      </c>
      <c r="ID842" s="5" t="s">
        <v>238</v>
      </c>
    </row>
    <row r="843" spans="1:238" x14ac:dyDescent="0.4">
      <c r="A843" s="5">
        <v>936</v>
      </c>
      <c r="B843" s="5">
        <v>1</v>
      </c>
      <c r="C843" s="5">
        <v>4</v>
      </c>
      <c r="D843" s="5" t="s">
        <v>2671</v>
      </c>
      <c r="E843" s="5" t="s">
        <v>277</v>
      </c>
      <c r="F843" s="5" t="s">
        <v>282</v>
      </c>
      <c r="G843" s="5" t="s">
        <v>2485</v>
      </c>
      <c r="H843" s="6" t="s">
        <v>2672</v>
      </c>
      <c r="I843" s="5" t="s">
        <v>2675</v>
      </c>
      <c r="J843" s="7">
        <f>175.6</f>
        <v>175.6</v>
      </c>
      <c r="K843" s="5" t="s">
        <v>270</v>
      </c>
      <c r="L843" s="8">
        <f>2542700</f>
        <v>2542700</v>
      </c>
      <c r="M843" s="8">
        <f>31783600</f>
        <v>31783600</v>
      </c>
      <c r="N843" s="6" t="s">
        <v>1356</v>
      </c>
      <c r="O843" s="5" t="s">
        <v>286</v>
      </c>
      <c r="P843" s="5" t="s">
        <v>611</v>
      </c>
      <c r="Q843" s="8">
        <f>1462045</f>
        <v>1462045</v>
      </c>
      <c r="R843" s="8">
        <f>29240900</f>
        <v>29240900</v>
      </c>
      <c r="S843" s="5" t="s">
        <v>240</v>
      </c>
      <c r="T843" s="5" t="s">
        <v>237</v>
      </c>
      <c r="U843" s="5" t="s">
        <v>238</v>
      </c>
      <c r="V843" s="5" t="s">
        <v>238</v>
      </c>
      <c r="W843" s="5" t="s">
        <v>241</v>
      </c>
      <c r="X843" s="5" t="s">
        <v>276</v>
      </c>
      <c r="Y843" s="5" t="s">
        <v>238</v>
      </c>
      <c r="AB843" s="5" t="s">
        <v>238</v>
      </c>
      <c r="AC843" s="6" t="s">
        <v>238</v>
      </c>
      <c r="AD843" s="6" t="s">
        <v>238</v>
      </c>
      <c r="AF843" s="6" t="s">
        <v>238</v>
      </c>
      <c r="AG843" s="6" t="s">
        <v>246</v>
      </c>
      <c r="AH843" s="5" t="s">
        <v>247</v>
      </c>
      <c r="AI843" s="5" t="s">
        <v>248</v>
      </c>
      <c r="AO843" s="5" t="s">
        <v>238</v>
      </c>
      <c r="AP843" s="5" t="s">
        <v>238</v>
      </c>
      <c r="AQ843" s="5" t="s">
        <v>238</v>
      </c>
      <c r="AR843" s="6" t="s">
        <v>238</v>
      </c>
      <c r="AS843" s="6" t="s">
        <v>238</v>
      </c>
      <c r="AT843" s="6" t="s">
        <v>238</v>
      </c>
      <c r="AW843" s="5" t="s">
        <v>304</v>
      </c>
      <c r="AX843" s="5" t="s">
        <v>304</v>
      </c>
      <c r="AY843" s="5" t="s">
        <v>250</v>
      </c>
      <c r="AZ843" s="5" t="s">
        <v>305</v>
      </c>
      <c r="BA843" s="5" t="s">
        <v>251</v>
      </c>
      <c r="BB843" s="5" t="s">
        <v>238</v>
      </c>
      <c r="BC843" s="5" t="s">
        <v>253</v>
      </c>
      <c r="BD843" s="5" t="s">
        <v>238</v>
      </c>
      <c r="BF843" s="5" t="s">
        <v>238</v>
      </c>
      <c r="BH843" s="5" t="s">
        <v>283</v>
      </c>
      <c r="BI843" s="6" t="s">
        <v>293</v>
      </c>
      <c r="BJ843" s="5" t="s">
        <v>294</v>
      </c>
      <c r="BK843" s="5" t="s">
        <v>294</v>
      </c>
      <c r="BL843" s="5" t="s">
        <v>238</v>
      </c>
      <c r="BM843" s="7">
        <f>0</f>
        <v>0</v>
      </c>
      <c r="BN843" s="8">
        <f>-1462045</f>
        <v>-1462045</v>
      </c>
      <c r="BO843" s="5" t="s">
        <v>257</v>
      </c>
      <c r="BP843" s="5" t="s">
        <v>258</v>
      </c>
      <c r="BQ843" s="5" t="s">
        <v>238</v>
      </c>
      <c r="BR843" s="5" t="s">
        <v>238</v>
      </c>
      <c r="BS843" s="5" t="s">
        <v>238</v>
      </c>
      <c r="BT843" s="5" t="s">
        <v>238</v>
      </c>
      <c r="CC843" s="5" t="s">
        <v>258</v>
      </c>
      <c r="CD843" s="5" t="s">
        <v>238</v>
      </c>
      <c r="CE843" s="5" t="s">
        <v>238</v>
      </c>
      <c r="CI843" s="5" t="s">
        <v>259</v>
      </c>
      <c r="CJ843" s="5" t="s">
        <v>260</v>
      </c>
      <c r="CK843" s="5" t="s">
        <v>238</v>
      </c>
      <c r="CM843" s="5" t="s">
        <v>1357</v>
      </c>
      <c r="CN843" s="6" t="s">
        <v>262</v>
      </c>
      <c r="CO843" s="5" t="s">
        <v>263</v>
      </c>
      <c r="CP843" s="5" t="s">
        <v>264</v>
      </c>
      <c r="CQ843" s="5" t="s">
        <v>285</v>
      </c>
      <c r="CR843" s="5" t="s">
        <v>238</v>
      </c>
      <c r="CS843" s="5">
        <v>4.5999999999999999E-2</v>
      </c>
      <c r="CT843" s="5" t="s">
        <v>265</v>
      </c>
      <c r="CU843" s="5" t="s">
        <v>1360</v>
      </c>
      <c r="CV843" s="5" t="s">
        <v>267</v>
      </c>
      <c r="CW843" s="7">
        <f>0</f>
        <v>0</v>
      </c>
      <c r="CX843" s="8">
        <f>31783600</f>
        <v>31783600</v>
      </c>
      <c r="CY843" s="8">
        <f>4004745</f>
        <v>4004745</v>
      </c>
      <c r="DA843" s="5" t="s">
        <v>238</v>
      </c>
      <c r="DB843" s="5" t="s">
        <v>238</v>
      </c>
      <c r="DD843" s="5" t="s">
        <v>238</v>
      </c>
      <c r="DE843" s="8">
        <f>0</f>
        <v>0</v>
      </c>
      <c r="DG843" s="5" t="s">
        <v>238</v>
      </c>
      <c r="DH843" s="5" t="s">
        <v>238</v>
      </c>
      <c r="DI843" s="5" t="s">
        <v>238</v>
      </c>
      <c r="DJ843" s="5" t="s">
        <v>238</v>
      </c>
      <c r="DK843" s="5" t="s">
        <v>274</v>
      </c>
      <c r="DL843" s="5" t="s">
        <v>272</v>
      </c>
      <c r="DM843" s="7">
        <f>175.6</f>
        <v>175.6</v>
      </c>
      <c r="DN843" s="5" t="s">
        <v>238</v>
      </c>
      <c r="DO843" s="5" t="s">
        <v>238</v>
      </c>
      <c r="DP843" s="5" t="s">
        <v>238</v>
      </c>
      <c r="DQ843" s="5" t="s">
        <v>238</v>
      </c>
      <c r="DT843" s="5" t="s">
        <v>2673</v>
      </c>
      <c r="DU843" s="5" t="s">
        <v>379</v>
      </c>
      <c r="GL843" s="5" t="s">
        <v>2676</v>
      </c>
      <c r="HM843" s="5" t="s">
        <v>313</v>
      </c>
      <c r="HP843" s="5" t="s">
        <v>272</v>
      </c>
      <c r="HQ843" s="5" t="s">
        <v>272</v>
      </c>
      <c r="HR843" s="5" t="s">
        <v>238</v>
      </c>
      <c r="HS843" s="5" t="s">
        <v>238</v>
      </c>
      <c r="HT843" s="5" t="s">
        <v>238</v>
      </c>
      <c r="HU843" s="5" t="s">
        <v>238</v>
      </c>
      <c r="HV843" s="5" t="s">
        <v>238</v>
      </c>
      <c r="HW843" s="5" t="s">
        <v>238</v>
      </c>
      <c r="HX843" s="5" t="s">
        <v>238</v>
      </c>
      <c r="HY843" s="5" t="s">
        <v>238</v>
      </c>
      <c r="HZ843" s="5" t="s">
        <v>238</v>
      </c>
      <c r="IA843" s="5" t="s">
        <v>238</v>
      </c>
      <c r="IB843" s="5" t="s">
        <v>238</v>
      </c>
      <c r="IC843" s="5" t="s">
        <v>238</v>
      </c>
      <c r="ID843" s="5" t="s">
        <v>238</v>
      </c>
    </row>
    <row r="844" spans="1:238" x14ac:dyDescent="0.4">
      <c r="A844" s="5">
        <v>937</v>
      </c>
      <c r="B844" s="5">
        <v>1</v>
      </c>
      <c r="C844" s="5">
        <v>4</v>
      </c>
      <c r="D844" s="5" t="s">
        <v>2671</v>
      </c>
      <c r="E844" s="5" t="s">
        <v>277</v>
      </c>
      <c r="F844" s="5" t="s">
        <v>282</v>
      </c>
      <c r="G844" s="5" t="s">
        <v>2485</v>
      </c>
      <c r="H844" s="6" t="s">
        <v>2672</v>
      </c>
      <c r="I844" s="5" t="s">
        <v>2670</v>
      </c>
      <c r="J844" s="7">
        <f>175.6</f>
        <v>175.6</v>
      </c>
      <c r="K844" s="5" t="s">
        <v>270</v>
      </c>
      <c r="L844" s="8">
        <f>2542700</f>
        <v>2542700</v>
      </c>
      <c r="M844" s="8">
        <f>31783600</f>
        <v>31783600</v>
      </c>
      <c r="N844" s="6" t="s">
        <v>1356</v>
      </c>
      <c r="O844" s="5" t="s">
        <v>286</v>
      </c>
      <c r="P844" s="5" t="s">
        <v>611</v>
      </c>
      <c r="Q844" s="8">
        <f>1462045</f>
        <v>1462045</v>
      </c>
      <c r="R844" s="8">
        <f>29240900</f>
        <v>29240900</v>
      </c>
      <c r="S844" s="5" t="s">
        <v>240</v>
      </c>
      <c r="T844" s="5" t="s">
        <v>237</v>
      </c>
      <c r="U844" s="5" t="s">
        <v>238</v>
      </c>
      <c r="V844" s="5" t="s">
        <v>238</v>
      </c>
      <c r="W844" s="5" t="s">
        <v>241</v>
      </c>
      <c r="X844" s="5" t="s">
        <v>276</v>
      </c>
      <c r="Y844" s="5" t="s">
        <v>238</v>
      </c>
      <c r="AB844" s="5" t="s">
        <v>238</v>
      </c>
      <c r="AC844" s="6" t="s">
        <v>238</v>
      </c>
      <c r="AD844" s="6" t="s">
        <v>238</v>
      </c>
      <c r="AF844" s="6" t="s">
        <v>238</v>
      </c>
      <c r="AG844" s="6" t="s">
        <v>246</v>
      </c>
      <c r="AH844" s="5" t="s">
        <v>247</v>
      </c>
      <c r="AI844" s="5" t="s">
        <v>248</v>
      </c>
      <c r="AO844" s="5" t="s">
        <v>238</v>
      </c>
      <c r="AP844" s="5" t="s">
        <v>238</v>
      </c>
      <c r="AQ844" s="5" t="s">
        <v>238</v>
      </c>
      <c r="AR844" s="6" t="s">
        <v>238</v>
      </c>
      <c r="AS844" s="6" t="s">
        <v>238</v>
      </c>
      <c r="AT844" s="6" t="s">
        <v>238</v>
      </c>
      <c r="AW844" s="5" t="s">
        <v>304</v>
      </c>
      <c r="AX844" s="5" t="s">
        <v>304</v>
      </c>
      <c r="AY844" s="5" t="s">
        <v>250</v>
      </c>
      <c r="AZ844" s="5" t="s">
        <v>305</v>
      </c>
      <c r="BA844" s="5" t="s">
        <v>251</v>
      </c>
      <c r="BB844" s="5" t="s">
        <v>238</v>
      </c>
      <c r="BC844" s="5" t="s">
        <v>253</v>
      </c>
      <c r="BD844" s="5" t="s">
        <v>238</v>
      </c>
      <c r="BF844" s="5" t="s">
        <v>238</v>
      </c>
      <c r="BH844" s="5" t="s">
        <v>283</v>
      </c>
      <c r="BI844" s="6" t="s">
        <v>293</v>
      </c>
      <c r="BJ844" s="5" t="s">
        <v>294</v>
      </c>
      <c r="BK844" s="5" t="s">
        <v>294</v>
      </c>
      <c r="BL844" s="5" t="s">
        <v>238</v>
      </c>
      <c r="BM844" s="7">
        <f>0</f>
        <v>0</v>
      </c>
      <c r="BN844" s="8">
        <f>-1462045</f>
        <v>-1462045</v>
      </c>
      <c r="BO844" s="5" t="s">
        <v>257</v>
      </c>
      <c r="BP844" s="5" t="s">
        <v>258</v>
      </c>
      <c r="BQ844" s="5" t="s">
        <v>238</v>
      </c>
      <c r="BR844" s="5" t="s">
        <v>238</v>
      </c>
      <c r="BS844" s="5" t="s">
        <v>238</v>
      </c>
      <c r="BT844" s="5" t="s">
        <v>238</v>
      </c>
      <c r="CC844" s="5" t="s">
        <v>258</v>
      </c>
      <c r="CD844" s="5" t="s">
        <v>238</v>
      </c>
      <c r="CE844" s="5" t="s">
        <v>238</v>
      </c>
      <c r="CI844" s="5" t="s">
        <v>259</v>
      </c>
      <c r="CJ844" s="5" t="s">
        <v>260</v>
      </c>
      <c r="CK844" s="5" t="s">
        <v>238</v>
      </c>
      <c r="CM844" s="5" t="s">
        <v>1357</v>
      </c>
      <c r="CN844" s="6" t="s">
        <v>262</v>
      </c>
      <c r="CO844" s="5" t="s">
        <v>263</v>
      </c>
      <c r="CP844" s="5" t="s">
        <v>264</v>
      </c>
      <c r="CQ844" s="5" t="s">
        <v>285</v>
      </c>
      <c r="CR844" s="5" t="s">
        <v>238</v>
      </c>
      <c r="CS844" s="5">
        <v>4.5999999999999999E-2</v>
      </c>
      <c r="CT844" s="5" t="s">
        <v>265</v>
      </c>
      <c r="CU844" s="5" t="s">
        <v>1360</v>
      </c>
      <c r="CV844" s="5" t="s">
        <v>267</v>
      </c>
      <c r="CW844" s="7">
        <f>0</f>
        <v>0</v>
      </c>
      <c r="CX844" s="8">
        <f>31783600</f>
        <v>31783600</v>
      </c>
      <c r="CY844" s="8">
        <f>4004745</f>
        <v>4004745</v>
      </c>
      <c r="DA844" s="5" t="s">
        <v>238</v>
      </c>
      <c r="DB844" s="5" t="s">
        <v>238</v>
      </c>
      <c r="DD844" s="5" t="s">
        <v>238</v>
      </c>
      <c r="DE844" s="8">
        <f>0</f>
        <v>0</v>
      </c>
      <c r="DG844" s="5" t="s">
        <v>238</v>
      </c>
      <c r="DH844" s="5" t="s">
        <v>238</v>
      </c>
      <c r="DI844" s="5" t="s">
        <v>238</v>
      </c>
      <c r="DJ844" s="5" t="s">
        <v>238</v>
      </c>
      <c r="DK844" s="5" t="s">
        <v>274</v>
      </c>
      <c r="DL844" s="5" t="s">
        <v>272</v>
      </c>
      <c r="DM844" s="7">
        <f>175.6</f>
        <v>175.6</v>
      </c>
      <c r="DN844" s="5" t="s">
        <v>238</v>
      </c>
      <c r="DO844" s="5" t="s">
        <v>238</v>
      </c>
      <c r="DP844" s="5" t="s">
        <v>238</v>
      </c>
      <c r="DQ844" s="5" t="s">
        <v>238</v>
      </c>
      <c r="DT844" s="5" t="s">
        <v>2673</v>
      </c>
      <c r="DU844" s="5" t="s">
        <v>313</v>
      </c>
      <c r="GL844" s="5" t="s">
        <v>2674</v>
      </c>
      <c r="HM844" s="5" t="s">
        <v>313</v>
      </c>
      <c r="HP844" s="5" t="s">
        <v>272</v>
      </c>
      <c r="HQ844" s="5" t="s">
        <v>272</v>
      </c>
      <c r="HR844" s="5" t="s">
        <v>238</v>
      </c>
      <c r="HS844" s="5" t="s">
        <v>238</v>
      </c>
      <c r="HT844" s="5" t="s">
        <v>238</v>
      </c>
      <c r="HU844" s="5" t="s">
        <v>238</v>
      </c>
      <c r="HV844" s="5" t="s">
        <v>238</v>
      </c>
      <c r="HW844" s="5" t="s">
        <v>238</v>
      </c>
      <c r="HX844" s="5" t="s">
        <v>238</v>
      </c>
      <c r="HY844" s="5" t="s">
        <v>238</v>
      </c>
      <c r="HZ844" s="5" t="s">
        <v>238</v>
      </c>
      <c r="IA844" s="5" t="s">
        <v>238</v>
      </c>
      <c r="IB844" s="5" t="s">
        <v>238</v>
      </c>
      <c r="IC844" s="5" t="s">
        <v>238</v>
      </c>
      <c r="ID844" s="5" t="s">
        <v>238</v>
      </c>
    </row>
    <row r="845" spans="1:238" x14ac:dyDescent="0.4">
      <c r="A845" s="5">
        <v>938</v>
      </c>
      <c r="B845" s="5">
        <v>1</v>
      </c>
      <c r="C845" s="5">
        <v>4</v>
      </c>
      <c r="D845" s="5" t="s">
        <v>2665</v>
      </c>
      <c r="E845" s="5" t="s">
        <v>277</v>
      </c>
      <c r="F845" s="5" t="s">
        <v>282</v>
      </c>
      <c r="G845" s="5" t="s">
        <v>2485</v>
      </c>
      <c r="H845" s="6" t="s">
        <v>2667</v>
      </c>
      <c r="I845" s="5" t="s">
        <v>2482</v>
      </c>
      <c r="J845" s="7">
        <f>72.39</f>
        <v>72.39</v>
      </c>
      <c r="K845" s="5" t="s">
        <v>270</v>
      </c>
      <c r="L845" s="8">
        <f>11501136</f>
        <v>11501136</v>
      </c>
      <c r="M845" s="8">
        <f>18198000</f>
        <v>18198000</v>
      </c>
      <c r="N845" s="6" t="s">
        <v>2666</v>
      </c>
      <c r="O845" s="5" t="s">
        <v>286</v>
      </c>
      <c r="P845" s="5" t="s">
        <v>313</v>
      </c>
      <c r="Q845" s="8">
        <f>837108</f>
        <v>837108</v>
      </c>
      <c r="R845" s="8">
        <f>6696864</f>
        <v>6696864</v>
      </c>
      <c r="S845" s="5" t="s">
        <v>240</v>
      </c>
      <c r="T845" s="5" t="s">
        <v>237</v>
      </c>
      <c r="U845" s="5" t="s">
        <v>238</v>
      </c>
      <c r="V845" s="5" t="s">
        <v>238</v>
      </c>
      <c r="W845" s="5" t="s">
        <v>241</v>
      </c>
      <c r="X845" s="5" t="s">
        <v>276</v>
      </c>
      <c r="Y845" s="5" t="s">
        <v>238</v>
      </c>
      <c r="AB845" s="5" t="s">
        <v>238</v>
      </c>
      <c r="AC845" s="6" t="s">
        <v>238</v>
      </c>
      <c r="AD845" s="6" t="s">
        <v>238</v>
      </c>
      <c r="AF845" s="6" t="s">
        <v>238</v>
      </c>
      <c r="AG845" s="6" t="s">
        <v>246</v>
      </c>
      <c r="AH845" s="5" t="s">
        <v>247</v>
      </c>
      <c r="AI845" s="5" t="s">
        <v>248</v>
      </c>
      <c r="AO845" s="5" t="s">
        <v>238</v>
      </c>
      <c r="AP845" s="5" t="s">
        <v>238</v>
      </c>
      <c r="AQ845" s="5" t="s">
        <v>238</v>
      </c>
      <c r="AR845" s="6" t="s">
        <v>238</v>
      </c>
      <c r="AS845" s="6" t="s">
        <v>238</v>
      </c>
      <c r="AT845" s="6" t="s">
        <v>238</v>
      </c>
      <c r="AW845" s="5" t="s">
        <v>304</v>
      </c>
      <c r="AX845" s="5" t="s">
        <v>304</v>
      </c>
      <c r="AY845" s="5" t="s">
        <v>250</v>
      </c>
      <c r="AZ845" s="5" t="s">
        <v>305</v>
      </c>
      <c r="BA845" s="5" t="s">
        <v>251</v>
      </c>
      <c r="BB845" s="5" t="s">
        <v>238</v>
      </c>
      <c r="BC845" s="5" t="s">
        <v>253</v>
      </c>
      <c r="BD845" s="5" t="s">
        <v>238</v>
      </c>
      <c r="BF845" s="5" t="s">
        <v>2648</v>
      </c>
      <c r="BH845" s="5" t="s">
        <v>283</v>
      </c>
      <c r="BI845" s="6" t="s">
        <v>293</v>
      </c>
      <c r="BJ845" s="5" t="s">
        <v>294</v>
      </c>
      <c r="BK845" s="5" t="s">
        <v>294</v>
      </c>
      <c r="BL845" s="5" t="s">
        <v>238</v>
      </c>
      <c r="BM845" s="7">
        <f>0</f>
        <v>0</v>
      </c>
      <c r="BN845" s="8">
        <f>-837108</f>
        <v>-837108</v>
      </c>
      <c r="BO845" s="5" t="s">
        <v>257</v>
      </c>
      <c r="BP845" s="5" t="s">
        <v>258</v>
      </c>
      <c r="BQ845" s="5" t="s">
        <v>238</v>
      </c>
      <c r="BR845" s="5" t="s">
        <v>238</v>
      </c>
      <c r="BS845" s="5" t="s">
        <v>238</v>
      </c>
      <c r="BT845" s="5" t="s">
        <v>238</v>
      </c>
      <c r="CC845" s="5" t="s">
        <v>258</v>
      </c>
      <c r="CD845" s="5" t="s">
        <v>238</v>
      </c>
      <c r="CE845" s="5" t="s">
        <v>238</v>
      </c>
      <c r="CI845" s="5" t="s">
        <v>259</v>
      </c>
      <c r="CJ845" s="5" t="s">
        <v>260</v>
      </c>
      <c r="CK845" s="5" t="s">
        <v>238</v>
      </c>
      <c r="CM845" s="5" t="s">
        <v>723</v>
      </c>
      <c r="CN845" s="6" t="s">
        <v>262</v>
      </c>
      <c r="CO845" s="5" t="s">
        <v>263</v>
      </c>
      <c r="CP845" s="5" t="s">
        <v>264</v>
      </c>
      <c r="CQ845" s="5" t="s">
        <v>285</v>
      </c>
      <c r="CR845" s="5" t="s">
        <v>238</v>
      </c>
      <c r="CS845" s="5">
        <v>4.5999999999999999E-2</v>
      </c>
      <c r="CT845" s="5" t="s">
        <v>265</v>
      </c>
      <c r="CU845" s="5" t="s">
        <v>1360</v>
      </c>
      <c r="CV845" s="5" t="s">
        <v>267</v>
      </c>
      <c r="CW845" s="7">
        <f>0</f>
        <v>0</v>
      </c>
      <c r="CX845" s="8">
        <f>18198000</f>
        <v>18198000</v>
      </c>
      <c r="CY845" s="8">
        <f>12338244</f>
        <v>12338244</v>
      </c>
      <c r="DA845" s="5" t="s">
        <v>238</v>
      </c>
      <c r="DB845" s="5" t="s">
        <v>238</v>
      </c>
      <c r="DD845" s="5" t="s">
        <v>238</v>
      </c>
      <c r="DE845" s="8">
        <f>0</f>
        <v>0</v>
      </c>
      <c r="DG845" s="5" t="s">
        <v>238</v>
      </c>
      <c r="DH845" s="5" t="s">
        <v>238</v>
      </c>
      <c r="DI845" s="5" t="s">
        <v>238</v>
      </c>
      <c r="DJ845" s="5" t="s">
        <v>238</v>
      </c>
      <c r="DK845" s="5" t="s">
        <v>271</v>
      </c>
      <c r="DL845" s="5" t="s">
        <v>272</v>
      </c>
      <c r="DM845" s="7">
        <f>72.39</f>
        <v>72.39</v>
      </c>
      <c r="DN845" s="5" t="s">
        <v>238</v>
      </c>
      <c r="DO845" s="5" t="s">
        <v>238</v>
      </c>
      <c r="DP845" s="5" t="s">
        <v>238</v>
      </c>
      <c r="DQ845" s="5" t="s">
        <v>238</v>
      </c>
      <c r="DT845" s="5" t="s">
        <v>2668</v>
      </c>
      <c r="DU845" s="5" t="s">
        <v>271</v>
      </c>
      <c r="GL845" s="5" t="s">
        <v>2669</v>
      </c>
      <c r="HM845" s="5" t="s">
        <v>313</v>
      </c>
      <c r="HP845" s="5" t="s">
        <v>272</v>
      </c>
      <c r="HQ845" s="5" t="s">
        <v>272</v>
      </c>
      <c r="HR845" s="5" t="s">
        <v>238</v>
      </c>
      <c r="HS845" s="5" t="s">
        <v>238</v>
      </c>
      <c r="HT845" s="5" t="s">
        <v>238</v>
      </c>
      <c r="HU845" s="5" t="s">
        <v>238</v>
      </c>
      <c r="HV845" s="5" t="s">
        <v>238</v>
      </c>
      <c r="HW845" s="5" t="s">
        <v>238</v>
      </c>
      <c r="HX845" s="5" t="s">
        <v>238</v>
      </c>
      <c r="HY845" s="5" t="s">
        <v>238</v>
      </c>
      <c r="HZ845" s="5" t="s">
        <v>238</v>
      </c>
      <c r="IA845" s="5" t="s">
        <v>238</v>
      </c>
      <c r="IB845" s="5" t="s">
        <v>238</v>
      </c>
      <c r="IC845" s="5" t="s">
        <v>238</v>
      </c>
      <c r="ID845" s="5" t="s">
        <v>238</v>
      </c>
    </row>
    <row r="846" spans="1:238" x14ac:dyDescent="0.4">
      <c r="A846" s="5">
        <v>939</v>
      </c>
      <c r="B846" s="5">
        <v>1</v>
      </c>
      <c r="C846" s="5">
        <v>1</v>
      </c>
      <c r="D846" s="5" t="s">
        <v>2802</v>
      </c>
      <c r="E846" s="5" t="s">
        <v>277</v>
      </c>
      <c r="F846" s="5" t="s">
        <v>282</v>
      </c>
      <c r="G846" s="5" t="s">
        <v>2491</v>
      </c>
      <c r="H846" s="6" t="s">
        <v>2803</v>
      </c>
      <c r="I846" s="5" t="s">
        <v>2482</v>
      </c>
      <c r="J846" s="7">
        <f>144.1</f>
        <v>144.1</v>
      </c>
      <c r="K846" s="5" t="s">
        <v>270</v>
      </c>
      <c r="L846" s="8">
        <f>1</f>
        <v>1</v>
      </c>
      <c r="M846" s="8">
        <f>22335500</f>
        <v>22335500</v>
      </c>
      <c r="N846" s="6" t="s">
        <v>1532</v>
      </c>
      <c r="O846" s="5" t="s">
        <v>286</v>
      </c>
      <c r="P846" s="5" t="s">
        <v>1091</v>
      </c>
      <c r="R846" s="8">
        <f>22335499</f>
        <v>22335499</v>
      </c>
      <c r="S846" s="5" t="s">
        <v>240</v>
      </c>
      <c r="T846" s="5" t="s">
        <v>237</v>
      </c>
      <c r="U846" s="5" t="s">
        <v>238</v>
      </c>
      <c r="V846" s="5" t="s">
        <v>238</v>
      </c>
      <c r="W846" s="5" t="s">
        <v>241</v>
      </c>
      <c r="X846" s="5" t="s">
        <v>276</v>
      </c>
      <c r="Y846" s="5" t="s">
        <v>238</v>
      </c>
      <c r="AB846" s="5" t="s">
        <v>238</v>
      </c>
      <c r="AD846" s="6" t="s">
        <v>238</v>
      </c>
      <c r="AG846" s="6" t="s">
        <v>246</v>
      </c>
      <c r="AH846" s="5" t="s">
        <v>247</v>
      </c>
      <c r="AI846" s="5" t="s">
        <v>248</v>
      </c>
      <c r="AY846" s="5" t="s">
        <v>250</v>
      </c>
      <c r="AZ846" s="5" t="s">
        <v>238</v>
      </c>
      <c r="BA846" s="5" t="s">
        <v>251</v>
      </c>
      <c r="BB846" s="5" t="s">
        <v>238</v>
      </c>
      <c r="BC846" s="5" t="s">
        <v>253</v>
      </c>
      <c r="BD846" s="5" t="s">
        <v>238</v>
      </c>
      <c r="BF846" s="5" t="s">
        <v>238</v>
      </c>
      <c r="BH846" s="5" t="s">
        <v>697</v>
      </c>
      <c r="BI846" s="6" t="s">
        <v>698</v>
      </c>
      <c r="BJ846" s="5" t="s">
        <v>255</v>
      </c>
      <c r="BK846" s="5" t="s">
        <v>256</v>
      </c>
      <c r="BL846" s="5" t="s">
        <v>238</v>
      </c>
      <c r="BM846" s="7">
        <f>0</f>
        <v>0</v>
      </c>
      <c r="BN846" s="8">
        <f>0</f>
        <v>0</v>
      </c>
      <c r="BO846" s="5" t="s">
        <v>257</v>
      </c>
      <c r="BP846" s="5" t="s">
        <v>258</v>
      </c>
      <c r="CD846" s="5" t="s">
        <v>238</v>
      </c>
      <c r="CE846" s="5" t="s">
        <v>238</v>
      </c>
      <c r="CI846" s="5" t="s">
        <v>259</v>
      </c>
      <c r="CJ846" s="5" t="s">
        <v>260</v>
      </c>
      <c r="CK846" s="5" t="s">
        <v>238</v>
      </c>
      <c r="CM846" s="5" t="s">
        <v>306</v>
      </c>
      <c r="CN846" s="6" t="s">
        <v>262</v>
      </c>
      <c r="CO846" s="5" t="s">
        <v>263</v>
      </c>
      <c r="CP846" s="5" t="s">
        <v>264</v>
      </c>
      <c r="CQ846" s="5" t="s">
        <v>238</v>
      </c>
      <c r="CR846" s="5" t="s">
        <v>238</v>
      </c>
      <c r="CS846" s="5">
        <v>0</v>
      </c>
      <c r="CT846" s="5" t="s">
        <v>265</v>
      </c>
      <c r="CU846" s="5" t="s">
        <v>1360</v>
      </c>
      <c r="CV846" s="5" t="s">
        <v>267</v>
      </c>
      <c r="CX846" s="8">
        <f>22335500</f>
        <v>22335500</v>
      </c>
      <c r="CY846" s="8">
        <f>0</f>
        <v>0</v>
      </c>
      <c r="DA846" s="5" t="s">
        <v>238</v>
      </c>
      <c r="DB846" s="5" t="s">
        <v>238</v>
      </c>
      <c r="DD846" s="5" t="s">
        <v>238</v>
      </c>
      <c r="DG846" s="5" t="s">
        <v>238</v>
      </c>
      <c r="DH846" s="5" t="s">
        <v>238</v>
      </c>
      <c r="DI846" s="5" t="s">
        <v>238</v>
      </c>
      <c r="DJ846" s="5" t="s">
        <v>238</v>
      </c>
      <c r="DK846" s="5" t="s">
        <v>274</v>
      </c>
      <c r="DL846" s="5" t="s">
        <v>272</v>
      </c>
      <c r="DM846" s="7">
        <f>144.1</f>
        <v>144.1</v>
      </c>
      <c r="DN846" s="5" t="s">
        <v>238</v>
      </c>
      <c r="DO846" s="5" t="s">
        <v>238</v>
      </c>
      <c r="DP846" s="5" t="s">
        <v>238</v>
      </c>
      <c r="DQ846" s="5" t="s">
        <v>238</v>
      </c>
      <c r="DT846" s="5" t="s">
        <v>2804</v>
      </c>
      <c r="DU846" s="5" t="s">
        <v>271</v>
      </c>
      <c r="HM846" s="5" t="s">
        <v>271</v>
      </c>
      <c r="HP846" s="5" t="s">
        <v>272</v>
      </c>
      <c r="HQ846" s="5" t="s">
        <v>272</v>
      </c>
    </row>
    <row r="847" spans="1:238" x14ac:dyDescent="0.4">
      <c r="A847" s="5">
        <v>940</v>
      </c>
      <c r="B847" s="5">
        <v>1</v>
      </c>
      <c r="C847" s="5">
        <v>1</v>
      </c>
      <c r="D847" s="5" t="s">
        <v>2802</v>
      </c>
      <c r="E847" s="5" t="s">
        <v>277</v>
      </c>
      <c r="F847" s="5" t="s">
        <v>282</v>
      </c>
      <c r="G847" s="5" t="s">
        <v>2491</v>
      </c>
      <c r="H847" s="6" t="s">
        <v>2803</v>
      </c>
      <c r="I847" s="5" t="s">
        <v>2482</v>
      </c>
      <c r="J847" s="7">
        <f>139.96</f>
        <v>139.96</v>
      </c>
      <c r="K847" s="5" t="s">
        <v>270</v>
      </c>
      <c r="L847" s="8">
        <f>1</f>
        <v>1</v>
      </c>
      <c r="M847" s="8">
        <f>21693800</f>
        <v>21693800</v>
      </c>
      <c r="N847" s="6" t="s">
        <v>1532</v>
      </c>
      <c r="O847" s="5" t="s">
        <v>286</v>
      </c>
      <c r="P847" s="5" t="s">
        <v>1091</v>
      </c>
      <c r="R847" s="8">
        <f>21693799</f>
        <v>21693799</v>
      </c>
      <c r="S847" s="5" t="s">
        <v>240</v>
      </c>
      <c r="T847" s="5" t="s">
        <v>237</v>
      </c>
      <c r="U847" s="5" t="s">
        <v>238</v>
      </c>
      <c r="V847" s="5" t="s">
        <v>238</v>
      </c>
      <c r="W847" s="5" t="s">
        <v>241</v>
      </c>
      <c r="X847" s="5" t="s">
        <v>276</v>
      </c>
      <c r="Y847" s="5" t="s">
        <v>238</v>
      </c>
      <c r="AB847" s="5" t="s">
        <v>238</v>
      </c>
      <c r="AD847" s="6" t="s">
        <v>238</v>
      </c>
      <c r="AG847" s="6" t="s">
        <v>246</v>
      </c>
      <c r="AH847" s="5" t="s">
        <v>247</v>
      </c>
      <c r="AI847" s="5" t="s">
        <v>248</v>
      </c>
      <c r="AY847" s="5" t="s">
        <v>250</v>
      </c>
      <c r="AZ847" s="5" t="s">
        <v>238</v>
      </c>
      <c r="BA847" s="5" t="s">
        <v>251</v>
      </c>
      <c r="BB847" s="5" t="s">
        <v>238</v>
      </c>
      <c r="BC847" s="5" t="s">
        <v>253</v>
      </c>
      <c r="BD847" s="5" t="s">
        <v>238</v>
      </c>
      <c r="BF847" s="5" t="s">
        <v>238</v>
      </c>
      <c r="BH847" s="5" t="s">
        <v>798</v>
      </c>
      <c r="BI847" s="6" t="s">
        <v>799</v>
      </c>
      <c r="BJ847" s="5" t="s">
        <v>255</v>
      </c>
      <c r="BK847" s="5" t="s">
        <v>256</v>
      </c>
      <c r="BL847" s="5" t="s">
        <v>238</v>
      </c>
      <c r="BM847" s="7">
        <f>0</f>
        <v>0</v>
      </c>
      <c r="BN847" s="8">
        <f>0</f>
        <v>0</v>
      </c>
      <c r="BO847" s="5" t="s">
        <v>257</v>
      </c>
      <c r="BP847" s="5" t="s">
        <v>258</v>
      </c>
      <c r="CD847" s="5" t="s">
        <v>238</v>
      </c>
      <c r="CE847" s="5" t="s">
        <v>238</v>
      </c>
      <c r="CI847" s="5" t="s">
        <v>259</v>
      </c>
      <c r="CJ847" s="5" t="s">
        <v>260</v>
      </c>
      <c r="CK847" s="5" t="s">
        <v>238</v>
      </c>
      <c r="CM847" s="5" t="s">
        <v>306</v>
      </c>
      <c r="CN847" s="6" t="s">
        <v>262</v>
      </c>
      <c r="CO847" s="5" t="s">
        <v>263</v>
      </c>
      <c r="CP847" s="5" t="s">
        <v>264</v>
      </c>
      <c r="CQ847" s="5" t="s">
        <v>238</v>
      </c>
      <c r="CR847" s="5" t="s">
        <v>238</v>
      </c>
      <c r="CS847" s="5">
        <v>0</v>
      </c>
      <c r="CT847" s="5" t="s">
        <v>265</v>
      </c>
      <c r="CU847" s="5" t="s">
        <v>1360</v>
      </c>
      <c r="CV847" s="5" t="s">
        <v>267</v>
      </c>
      <c r="CX847" s="8">
        <f>21693800</f>
        <v>21693800</v>
      </c>
      <c r="CY847" s="8">
        <f>0</f>
        <v>0</v>
      </c>
      <c r="DA847" s="5" t="s">
        <v>238</v>
      </c>
      <c r="DB847" s="5" t="s">
        <v>238</v>
      </c>
      <c r="DD847" s="5" t="s">
        <v>238</v>
      </c>
      <c r="DG847" s="5" t="s">
        <v>238</v>
      </c>
      <c r="DH847" s="5" t="s">
        <v>238</v>
      </c>
      <c r="DI847" s="5" t="s">
        <v>238</v>
      </c>
      <c r="DJ847" s="5" t="s">
        <v>238</v>
      </c>
      <c r="DK847" s="5" t="s">
        <v>274</v>
      </c>
      <c r="DL847" s="5" t="s">
        <v>272</v>
      </c>
      <c r="DM847" s="7">
        <f>139.96</f>
        <v>139.96</v>
      </c>
      <c r="DN847" s="5" t="s">
        <v>238</v>
      </c>
      <c r="DO847" s="5" t="s">
        <v>238</v>
      </c>
      <c r="DP847" s="5" t="s">
        <v>238</v>
      </c>
      <c r="DQ847" s="5" t="s">
        <v>238</v>
      </c>
      <c r="DT847" s="5" t="s">
        <v>2804</v>
      </c>
      <c r="DU847" s="5" t="s">
        <v>274</v>
      </c>
      <c r="HM847" s="5" t="s">
        <v>271</v>
      </c>
      <c r="HP847" s="5" t="s">
        <v>272</v>
      </c>
      <c r="HQ847" s="5" t="s">
        <v>272</v>
      </c>
    </row>
    <row r="848" spans="1:238" x14ac:dyDescent="0.4">
      <c r="A848" s="5">
        <v>941</v>
      </c>
      <c r="B848" s="5">
        <v>1</v>
      </c>
      <c r="C848" s="5">
        <v>1</v>
      </c>
      <c r="D848" s="5" t="s">
        <v>2802</v>
      </c>
      <c r="E848" s="5" t="s">
        <v>277</v>
      </c>
      <c r="F848" s="5" t="s">
        <v>282</v>
      </c>
      <c r="G848" s="5" t="s">
        <v>2491</v>
      </c>
      <c r="H848" s="6" t="s">
        <v>2803</v>
      </c>
      <c r="I848" s="5" t="s">
        <v>2482</v>
      </c>
      <c r="J848" s="7">
        <f>135.82</f>
        <v>135.82</v>
      </c>
      <c r="K848" s="5" t="s">
        <v>270</v>
      </c>
      <c r="L848" s="8">
        <f>1</f>
        <v>1</v>
      </c>
      <c r="M848" s="8">
        <f>21052100</f>
        <v>21052100</v>
      </c>
      <c r="N848" s="6" t="s">
        <v>1532</v>
      </c>
      <c r="O848" s="5" t="s">
        <v>286</v>
      </c>
      <c r="P848" s="5" t="s">
        <v>1091</v>
      </c>
      <c r="R848" s="8">
        <f>21052099</f>
        <v>21052099</v>
      </c>
      <c r="S848" s="5" t="s">
        <v>240</v>
      </c>
      <c r="T848" s="5" t="s">
        <v>237</v>
      </c>
      <c r="U848" s="5" t="s">
        <v>238</v>
      </c>
      <c r="V848" s="5" t="s">
        <v>238</v>
      </c>
      <c r="W848" s="5" t="s">
        <v>241</v>
      </c>
      <c r="X848" s="5" t="s">
        <v>276</v>
      </c>
      <c r="Y848" s="5" t="s">
        <v>238</v>
      </c>
      <c r="AB848" s="5" t="s">
        <v>238</v>
      </c>
      <c r="AD848" s="6" t="s">
        <v>238</v>
      </c>
      <c r="AG848" s="6" t="s">
        <v>431</v>
      </c>
      <c r="AH848" s="5" t="s">
        <v>247</v>
      </c>
      <c r="AI848" s="5" t="s">
        <v>248</v>
      </c>
      <c r="AY848" s="5" t="s">
        <v>250</v>
      </c>
      <c r="AZ848" s="5" t="s">
        <v>238</v>
      </c>
      <c r="BA848" s="5" t="s">
        <v>251</v>
      </c>
      <c r="BB848" s="5" t="s">
        <v>238</v>
      </c>
      <c r="BC848" s="5" t="s">
        <v>253</v>
      </c>
      <c r="BD848" s="5" t="s">
        <v>238</v>
      </c>
      <c r="BF848" s="5" t="s">
        <v>238</v>
      </c>
      <c r="BH848" s="5" t="s">
        <v>697</v>
      </c>
      <c r="BI848" s="6" t="s">
        <v>431</v>
      </c>
      <c r="BJ848" s="5" t="s">
        <v>255</v>
      </c>
      <c r="BK848" s="5" t="s">
        <v>256</v>
      </c>
      <c r="BL848" s="5" t="s">
        <v>238</v>
      </c>
      <c r="BM848" s="7">
        <f>0</f>
        <v>0</v>
      </c>
      <c r="BN848" s="8">
        <f>0</f>
        <v>0</v>
      </c>
      <c r="BO848" s="5" t="s">
        <v>257</v>
      </c>
      <c r="BP848" s="5" t="s">
        <v>258</v>
      </c>
      <c r="CD848" s="5" t="s">
        <v>238</v>
      </c>
      <c r="CE848" s="5" t="s">
        <v>238</v>
      </c>
      <c r="CI848" s="5" t="s">
        <v>259</v>
      </c>
      <c r="CJ848" s="5" t="s">
        <v>260</v>
      </c>
      <c r="CK848" s="5" t="s">
        <v>238</v>
      </c>
      <c r="CM848" s="5" t="s">
        <v>306</v>
      </c>
      <c r="CN848" s="6" t="s">
        <v>262</v>
      </c>
      <c r="CO848" s="5" t="s">
        <v>263</v>
      </c>
      <c r="CP848" s="5" t="s">
        <v>264</v>
      </c>
      <c r="CQ848" s="5" t="s">
        <v>238</v>
      </c>
      <c r="CR848" s="5" t="s">
        <v>238</v>
      </c>
      <c r="CS848" s="5">
        <v>0</v>
      </c>
      <c r="CT848" s="5" t="s">
        <v>265</v>
      </c>
      <c r="CU848" s="5" t="s">
        <v>1360</v>
      </c>
      <c r="CV848" s="5" t="s">
        <v>267</v>
      </c>
      <c r="CX848" s="8">
        <f>21052100</f>
        <v>21052100</v>
      </c>
      <c r="CY848" s="8">
        <f>0</f>
        <v>0</v>
      </c>
      <c r="DA848" s="5" t="s">
        <v>238</v>
      </c>
      <c r="DB848" s="5" t="s">
        <v>238</v>
      </c>
      <c r="DD848" s="5" t="s">
        <v>238</v>
      </c>
      <c r="DG848" s="5" t="s">
        <v>238</v>
      </c>
      <c r="DH848" s="5" t="s">
        <v>238</v>
      </c>
      <c r="DI848" s="5" t="s">
        <v>238</v>
      </c>
      <c r="DJ848" s="5" t="s">
        <v>238</v>
      </c>
      <c r="DK848" s="5" t="s">
        <v>274</v>
      </c>
      <c r="DL848" s="5" t="s">
        <v>272</v>
      </c>
      <c r="DM848" s="7">
        <f>135.82</f>
        <v>135.82</v>
      </c>
      <c r="DN848" s="5" t="s">
        <v>238</v>
      </c>
      <c r="DO848" s="5" t="s">
        <v>238</v>
      </c>
      <c r="DP848" s="5" t="s">
        <v>238</v>
      </c>
      <c r="DQ848" s="5" t="s">
        <v>238</v>
      </c>
      <c r="DT848" s="5" t="s">
        <v>2804</v>
      </c>
      <c r="DU848" s="5" t="s">
        <v>356</v>
      </c>
      <c r="HM848" s="5" t="s">
        <v>271</v>
      </c>
      <c r="HP848" s="5" t="s">
        <v>272</v>
      </c>
      <c r="HQ848" s="5" t="s">
        <v>272</v>
      </c>
    </row>
    <row r="849" spans="1:238" x14ac:dyDescent="0.4">
      <c r="A849" s="5">
        <v>942</v>
      </c>
      <c r="B849" s="5">
        <v>1</v>
      </c>
      <c r="C849" s="5">
        <v>1</v>
      </c>
      <c r="D849" s="5" t="s">
        <v>2798</v>
      </c>
      <c r="E849" s="5" t="s">
        <v>277</v>
      </c>
      <c r="F849" s="5" t="s">
        <v>282</v>
      </c>
      <c r="G849" s="5" t="s">
        <v>2491</v>
      </c>
      <c r="H849" s="6" t="s">
        <v>2800</v>
      </c>
      <c r="I849" s="5" t="s">
        <v>2495</v>
      </c>
      <c r="J849" s="7">
        <f>278.7</f>
        <v>278.7</v>
      </c>
      <c r="K849" s="5" t="s">
        <v>270</v>
      </c>
      <c r="L849" s="8">
        <f>1</f>
        <v>1</v>
      </c>
      <c r="M849" s="8">
        <f>29263500</f>
        <v>29263500</v>
      </c>
      <c r="N849" s="6" t="s">
        <v>2799</v>
      </c>
      <c r="O849" s="5" t="s">
        <v>639</v>
      </c>
      <c r="P849" s="5" t="s">
        <v>975</v>
      </c>
      <c r="R849" s="8">
        <f>29263499</f>
        <v>29263499</v>
      </c>
      <c r="S849" s="5" t="s">
        <v>240</v>
      </c>
      <c r="T849" s="5" t="s">
        <v>237</v>
      </c>
      <c r="U849" s="5" t="s">
        <v>238</v>
      </c>
      <c r="V849" s="5" t="s">
        <v>238</v>
      </c>
      <c r="W849" s="5" t="s">
        <v>241</v>
      </c>
      <c r="X849" s="5" t="s">
        <v>276</v>
      </c>
      <c r="Y849" s="5" t="s">
        <v>238</v>
      </c>
      <c r="AB849" s="5" t="s">
        <v>238</v>
      </c>
      <c r="AD849" s="6" t="s">
        <v>238</v>
      </c>
      <c r="AG849" s="6" t="s">
        <v>431</v>
      </c>
      <c r="AH849" s="5" t="s">
        <v>247</v>
      </c>
      <c r="AI849" s="5" t="s">
        <v>248</v>
      </c>
      <c r="AY849" s="5" t="s">
        <v>250</v>
      </c>
      <c r="AZ849" s="5" t="s">
        <v>238</v>
      </c>
      <c r="BA849" s="5" t="s">
        <v>251</v>
      </c>
      <c r="BB849" s="5" t="s">
        <v>238</v>
      </c>
      <c r="BC849" s="5" t="s">
        <v>253</v>
      </c>
      <c r="BD849" s="5" t="s">
        <v>238</v>
      </c>
      <c r="BF849" s="5" t="s">
        <v>238</v>
      </c>
      <c r="BH849" s="5" t="s">
        <v>697</v>
      </c>
      <c r="BI849" s="6" t="s">
        <v>698</v>
      </c>
      <c r="BJ849" s="5" t="s">
        <v>255</v>
      </c>
      <c r="BK849" s="5" t="s">
        <v>256</v>
      </c>
      <c r="BL849" s="5" t="s">
        <v>238</v>
      </c>
      <c r="BM849" s="7">
        <f>0</f>
        <v>0</v>
      </c>
      <c r="BN849" s="8">
        <f>0</f>
        <v>0</v>
      </c>
      <c r="BO849" s="5" t="s">
        <v>257</v>
      </c>
      <c r="BP849" s="5" t="s">
        <v>258</v>
      </c>
      <c r="CD849" s="5" t="s">
        <v>238</v>
      </c>
      <c r="CE849" s="5" t="s">
        <v>238</v>
      </c>
      <c r="CI849" s="5" t="s">
        <v>527</v>
      </c>
      <c r="CJ849" s="5" t="s">
        <v>260</v>
      </c>
      <c r="CK849" s="5" t="s">
        <v>238</v>
      </c>
      <c r="CM849" s="5" t="s">
        <v>974</v>
      </c>
      <c r="CN849" s="6" t="s">
        <v>262</v>
      </c>
      <c r="CO849" s="5" t="s">
        <v>263</v>
      </c>
      <c r="CP849" s="5" t="s">
        <v>264</v>
      </c>
      <c r="CQ849" s="5" t="s">
        <v>238</v>
      </c>
      <c r="CR849" s="5" t="s">
        <v>238</v>
      </c>
      <c r="CS849" s="5">
        <v>0</v>
      </c>
      <c r="CT849" s="5" t="s">
        <v>265</v>
      </c>
      <c r="CU849" s="5" t="s">
        <v>1360</v>
      </c>
      <c r="CV849" s="5" t="s">
        <v>2508</v>
      </c>
      <c r="CX849" s="8">
        <f>29263500</f>
        <v>29263500</v>
      </c>
      <c r="CY849" s="8">
        <f>0</f>
        <v>0</v>
      </c>
      <c r="DA849" s="5" t="s">
        <v>238</v>
      </c>
      <c r="DB849" s="5" t="s">
        <v>238</v>
      </c>
      <c r="DD849" s="5" t="s">
        <v>238</v>
      </c>
      <c r="DG849" s="5" t="s">
        <v>238</v>
      </c>
      <c r="DH849" s="5" t="s">
        <v>238</v>
      </c>
      <c r="DI849" s="5" t="s">
        <v>238</v>
      </c>
      <c r="DJ849" s="5" t="s">
        <v>238</v>
      </c>
      <c r="DK849" s="5" t="s">
        <v>274</v>
      </c>
      <c r="DL849" s="5" t="s">
        <v>272</v>
      </c>
      <c r="DM849" s="7">
        <f>278.7</f>
        <v>278.7</v>
      </c>
      <c r="DN849" s="5" t="s">
        <v>238</v>
      </c>
      <c r="DO849" s="5" t="s">
        <v>238</v>
      </c>
      <c r="DP849" s="5" t="s">
        <v>238</v>
      </c>
      <c r="DQ849" s="5" t="s">
        <v>238</v>
      </c>
      <c r="DT849" s="5" t="s">
        <v>2801</v>
      </c>
      <c r="DU849" s="5" t="s">
        <v>271</v>
      </c>
      <c r="HM849" s="5" t="s">
        <v>271</v>
      </c>
      <c r="HP849" s="5" t="s">
        <v>272</v>
      </c>
      <c r="HQ849" s="5" t="s">
        <v>272</v>
      </c>
    </row>
    <row r="850" spans="1:238" x14ac:dyDescent="0.4">
      <c r="A850" s="5">
        <v>943</v>
      </c>
      <c r="B850" s="5">
        <v>1</v>
      </c>
      <c r="C850" s="5">
        <v>1</v>
      </c>
      <c r="D850" s="5" t="s">
        <v>2798</v>
      </c>
      <c r="E850" s="5" t="s">
        <v>277</v>
      </c>
      <c r="F850" s="5" t="s">
        <v>282</v>
      </c>
      <c r="G850" s="5" t="s">
        <v>2491</v>
      </c>
      <c r="H850" s="6" t="s">
        <v>2800</v>
      </c>
      <c r="I850" s="5" t="s">
        <v>2505</v>
      </c>
      <c r="J850" s="7">
        <f>278.7</f>
        <v>278.7</v>
      </c>
      <c r="K850" s="5" t="s">
        <v>270</v>
      </c>
      <c r="L850" s="8">
        <f>1</f>
        <v>1</v>
      </c>
      <c r="M850" s="8">
        <f>29263500</f>
        <v>29263500</v>
      </c>
      <c r="N850" s="6" t="s">
        <v>2799</v>
      </c>
      <c r="O850" s="5" t="s">
        <v>639</v>
      </c>
      <c r="P850" s="5" t="s">
        <v>975</v>
      </c>
      <c r="R850" s="8">
        <f>29263499</f>
        <v>29263499</v>
      </c>
      <c r="S850" s="5" t="s">
        <v>240</v>
      </c>
      <c r="T850" s="5" t="s">
        <v>237</v>
      </c>
      <c r="U850" s="5" t="s">
        <v>238</v>
      </c>
      <c r="V850" s="5" t="s">
        <v>238</v>
      </c>
      <c r="W850" s="5" t="s">
        <v>241</v>
      </c>
      <c r="X850" s="5" t="s">
        <v>276</v>
      </c>
      <c r="Y850" s="5" t="s">
        <v>238</v>
      </c>
      <c r="AB850" s="5" t="s">
        <v>238</v>
      </c>
      <c r="AD850" s="6" t="s">
        <v>238</v>
      </c>
      <c r="AG850" s="6" t="s">
        <v>431</v>
      </c>
      <c r="AH850" s="5" t="s">
        <v>247</v>
      </c>
      <c r="AI850" s="5" t="s">
        <v>248</v>
      </c>
      <c r="AY850" s="5" t="s">
        <v>250</v>
      </c>
      <c r="AZ850" s="5" t="s">
        <v>238</v>
      </c>
      <c r="BA850" s="5" t="s">
        <v>251</v>
      </c>
      <c r="BB850" s="5" t="s">
        <v>238</v>
      </c>
      <c r="BC850" s="5" t="s">
        <v>253</v>
      </c>
      <c r="BD850" s="5" t="s">
        <v>238</v>
      </c>
      <c r="BF850" s="5" t="s">
        <v>238</v>
      </c>
      <c r="BH850" s="5" t="s">
        <v>798</v>
      </c>
      <c r="BI850" s="6" t="s">
        <v>799</v>
      </c>
      <c r="BJ850" s="5" t="s">
        <v>255</v>
      </c>
      <c r="BK850" s="5" t="s">
        <v>256</v>
      </c>
      <c r="BL850" s="5" t="s">
        <v>238</v>
      </c>
      <c r="BM850" s="7">
        <f>0</f>
        <v>0</v>
      </c>
      <c r="BN850" s="8">
        <f>0</f>
        <v>0</v>
      </c>
      <c r="BO850" s="5" t="s">
        <v>257</v>
      </c>
      <c r="BP850" s="5" t="s">
        <v>258</v>
      </c>
      <c r="CD850" s="5" t="s">
        <v>238</v>
      </c>
      <c r="CE850" s="5" t="s">
        <v>238</v>
      </c>
      <c r="CI850" s="5" t="s">
        <v>527</v>
      </c>
      <c r="CJ850" s="5" t="s">
        <v>260</v>
      </c>
      <c r="CK850" s="5" t="s">
        <v>238</v>
      </c>
      <c r="CM850" s="5" t="s">
        <v>974</v>
      </c>
      <c r="CN850" s="6" t="s">
        <v>262</v>
      </c>
      <c r="CO850" s="5" t="s">
        <v>263</v>
      </c>
      <c r="CP850" s="5" t="s">
        <v>264</v>
      </c>
      <c r="CQ850" s="5" t="s">
        <v>238</v>
      </c>
      <c r="CR850" s="5" t="s">
        <v>238</v>
      </c>
      <c r="CS850" s="5">
        <v>0</v>
      </c>
      <c r="CT850" s="5" t="s">
        <v>265</v>
      </c>
      <c r="CU850" s="5" t="s">
        <v>1360</v>
      </c>
      <c r="CV850" s="5" t="s">
        <v>2508</v>
      </c>
      <c r="CX850" s="8">
        <f>29263500</f>
        <v>29263500</v>
      </c>
      <c r="CY850" s="8">
        <f>0</f>
        <v>0</v>
      </c>
      <c r="DA850" s="5" t="s">
        <v>238</v>
      </c>
      <c r="DB850" s="5" t="s">
        <v>238</v>
      </c>
      <c r="DD850" s="5" t="s">
        <v>238</v>
      </c>
      <c r="DG850" s="5" t="s">
        <v>238</v>
      </c>
      <c r="DH850" s="5" t="s">
        <v>238</v>
      </c>
      <c r="DI850" s="5" t="s">
        <v>238</v>
      </c>
      <c r="DJ850" s="5" t="s">
        <v>238</v>
      </c>
      <c r="DK850" s="5" t="s">
        <v>274</v>
      </c>
      <c r="DL850" s="5" t="s">
        <v>272</v>
      </c>
      <c r="DM850" s="7">
        <f>278.7</f>
        <v>278.7</v>
      </c>
      <c r="DN850" s="5" t="s">
        <v>238</v>
      </c>
      <c r="DO850" s="5" t="s">
        <v>238</v>
      </c>
      <c r="DP850" s="5" t="s">
        <v>238</v>
      </c>
      <c r="DQ850" s="5" t="s">
        <v>238</v>
      </c>
      <c r="DT850" s="5" t="s">
        <v>2801</v>
      </c>
      <c r="DU850" s="5" t="s">
        <v>274</v>
      </c>
      <c r="HM850" s="5" t="s">
        <v>271</v>
      </c>
      <c r="HP850" s="5" t="s">
        <v>272</v>
      </c>
      <c r="HQ850" s="5" t="s">
        <v>272</v>
      </c>
    </row>
    <row r="851" spans="1:238" x14ac:dyDescent="0.4">
      <c r="A851" s="5">
        <v>944</v>
      </c>
      <c r="B851" s="5">
        <v>1</v>
      </c>
      <c r="C851" s="5">
        <v>1</v>
      </c>
      <c r="D851" s="5" t="s">
        <v>2798</v>
      </c>
      <c r="E851" s="5" t="s">
        <v>277</v>
      </c>
      <c r="F851" s="5" t="s">
        <v>282</v>
      </c>
      <c r="G851" s="5" t="s">
        <v>2491</v>
      </c>
      <c r="H851" s="6" t="s">
        <v>2800</v>
      </c>
      <c r="I851" s="5" t="s">
        <v>2504</v>
      </c>
      <c r="J851" s="7">
        <f>278.7</f>
        <v>278.7</v>
      </c>
      <c r="K851" s="5" t="s">
        <v>270</v>
      </c>
      <c r="L851" s="8">
        <f>1</f>
        <v>1</v>
      </c>
      <c r="M851" s="8">
        <f>29263500</f>
        <v>29263500</v>
      </c>
      <c r="N851" s="6" t="s">
        <v>2799</v>
      </c>
      <c r="O851" s="5" t="s">
        <v>639</v>
      </c>
      <c r="P851" s="5" t="s">
        <v>975</v>
      </c>
      <c r="R851" s="8">
        <f>29263499</f>
        <v>29263499</v>
      </c>
      <c r="S851" s="5" t="s">
        <v>240</v>
      </c>
      <c r="T851" s="5" t="s">
        <v>237</v>
      </c>
      <c r="U851" s="5" t="s">
        <v>238</v>
      </c>
      <c r="V851" s="5" t="s">
        <v>238</v>
      </c>
      <c r="W851" s="5" t="s">
        <v>241</v>
      </c>
      <c r="X851" s="5" t="s">
        <v>276</v>
      </c>
      <c r="Y851" s="5" t="s">
        <v>238</v>
      </c>
      <c r="AB851" s="5" t="s">
        <v>238</v>
      </c>
      <c r="AD851" s="6" t="s">
        <v>238</v>
      </c>
      <c r="AG851" s="6" t="s">
        <v>246</v>
      </c>
      <c r="AH851" s="5" t="s">
        <v>247</v>
      </c>
      <c r="AI851" s="5" t="s">
        <v>248</v>
      </c>
      <c r="AY851" s="5" t="s">
        <v>250</v>
      </c>
      <c r="AZ851" s="5" t="s">
        <v>238</v>
      </c>
      <c r="BA851" s="5" t="s">
        <v>251</v>
      </c>
      <c r="BB851" s="5" t="s">
        <v>238</v>
      </c>
      <c r="BC851" s="5" t="s">
        <v>253</v>
      </c>
      <c r="BD851" s="5" t="s">
        <v>238</v>
      </c>
      <c r="BF851" s="5" t="s">
        <v>238</v>
      </c>
      <c r="BH851" s="5" t="s">
        <v>254</v>
      </c>
      <c r="BI851" s="6" t="s">
        <v>246</v>
      </c>
      <c r="BJ851" s="5" t="s">
        <v>255</v>
      </c>
      <c r="BK851" s="5" t="s">
        <v>256</v>
      </c>
      <c r="BL851" s="5" t="s">
        <v>238</v>
      </c>
      <c r="BM851" s="7">
        <f>0</f>
        <v>0</v>
      </c>
      <c r="BN851" s="8">
        <f>0</f>
        <v>0</v>
      </c>
      <c r="BO851" s="5" t="s">
        <v>257</v>
      </c>
      <c r="BP851" s="5" t="s">
        <v>258</v>
      </c>
      <c r="CD851" s="5" t="s">
        <v>238</v>
      </c>
      <c r="CE851" s="5" t="s">
        <v>238</v>
      </c>
      <c r="CI851" s="5" t="s">
        <v>527</v>
      </c>
      <c r="CJ851" s="5" t="s">
        <v>260</v>
      </c>
      <c r="CK851" s="5" t="s">
        <v>238</v>
      </c>
      <c r="CM851" s="5" t="s">
        <v>974</v>
      </c>
      <c r="CN851" s="6" t="s">
        <v>262</v>
      </c>
      <c r="CO851" s="5" t="s">
        <v>263</v>
      </c>
      <c r="CP851" s="5" t="s">
        <v>264</v>
      </c>
      <c r="CQ851" s="5" t="s">
        <v>238</v>
      </c>
      <c r="CR851" s="5" t="s">
        <v>238</v>
      </c>
      <c r="CS851" s="5">
        <v>0</v>
      </c>
      <c r="CT851" s="5" t="s">
        <v>265</v>
      </c>
      <c r="CU851" s="5" t="s">
        <v>1360</v>
      </c>
      <c r="CV851" s="5" t="s">
        <v>2508</v>
      </c>
      <c r="CX851" s="8">
        <f>29263500</f>
        <v>29263500</v>
      </c>
      <c r="CY851" s="8">
        <f>0</f>
        <v>0</v>
      </c>
      <c r="DA851" s="5" t="s">
        <v>238</v>
      </c>
      <c r="DB851" s="5" t="s">
        <v>238</v>
      </c>
      <c r="DD851" s="5" t="s">
        <v>238</v>
      </c>
      <c r="DG851" s="5" t="s">
        <v>238</v>
      </c>
      <c r="DH851" s="5" t="s">
        <v>238</v>
      </c>
      <c r="DI851" s="5" t="s">
        <v>238</v>
      </c>
      <c r="DJ851" s="5" t="s">
        <v>238</v>
      </c>
      <c r="DK851" s="5" t="s">
        <v>274</v>
      </c>
      <c r="DL851" s="5" t="s">
        <v>272</v>
      </c>
      <c r="DM851" s="7">
        <f>278.7</f>
        <v>278.7</v>
      </c>
      <c r="DN851" s="5" t="s">
        <v>238</v>
      </c>
      <c r="DO851" s="5" t="s">
        <v>238</v>
      </c>
      <c r="DP851" s="5" t="s">
        <v>238</v>
      </c>
      <c r="DQ851" s="5" t="s">
        <v>238</v>
      </c>
      <c r="DT851" s="5" t="s">
        <v>2801</v>
      </c>
      <c r="DU851" s="5" t="s">
        <v>356</v>
      </c>
      <c r="HM851" s="5" t="s">
        <v>271</v>
      </c>
      <c r="HP851" s="5" t="s">
        <v>272</v>
      </c>
      <c r="HQ851" s="5" t="s">
        <v>272</v>
      </c>
    </row>
    <row r="852" spans="1:238" x14ac:dyDescent="0.4">
      <c r="A852" s="5">
        <v>945</v>
      </c>
      <c r="B852" s="5">
        <v>1</v>
      </c>
      <c r="C852" s="5">
        <v>1</v>
      </c>
      <c r="D852" s="5" t="s">
        <v>2798</v>
      </c>
      <c r="E852" s="5" t="s">
        <v>277</v>
      </c>
      <c r="F852" s="5" t="s">
        <v>282</v>
      </c>
      <c r="G852" s="5" t="s">
        <v>2491</v>
      </c>
      <c r="H852" s="6" t="s">
        <v>2800</v>
      </c>
      <c r="I852" s="5" t="s">
        <v>2494</v>
      </c>
      <c r="J852" s="7">
        <f>278.7</f>
        <v>278.7</v>
      </c>
      <c r="K852" s="5" t="s">
        <v>270</v>
      </c>
      <c r="L852" s="8">
        <f>1</f>
        <v>1</v>
      </c>
      <c r="M852" s="8">
        <f>29263500</f>
        <v>29263500</v>
      </c>
      <c r="N852" s="6" t="s">
        <v>2799</v>
      </c>
      <c r="O852" s="5" t="s">
        <v>639</v>
      </c>
      <c r="P852" s="5" t="s">
        <v>975</v>
      </c>
      <c r="R852" s="8">
        <f>29263499</f>
        <v>29263499</v>
      </c>
      <c r="S852" s="5" t="s">
        <v>240</v>
      </c>
      <c r="T852" s="5" t="s">
        <v>237</v>
      </c>
      <c r="U852" s="5" t="s">
        <v>238</v>
      </c>
      <c r="V852" s="5" t="s">
        <v>238</v>
      </c>
      <c r="W852" s="5" t="s">
        <v>241</v>
      </c>
      <c r="X852" s="5" t="s">
        <v>276</v>
      </c>
      <c r="Y852" s="5" t="s">
        <v>238</v>
      </c>
      <c r="AB852" s="5" t="s">
        <v>238</v>
      </c>
      <c r="AD852" s="6" t="s">
        <v>238</v>
      </c>
      <c r="AG852" s="6" t="s">
        <v>246</v>
      </c>
      <c r="AH852" s="5" t="s">
        <v>247</v>
      </c>
      <c r="AI852" s="5" t="s">
        <v>248</v>
      </c>
      <c r="AY852" s="5" t="s">
        <v>250</v>
      </c>
      <c r="AZ852" s="5" t="s">
        <v>238</v>
      </c>
      <c r="BA852" s="5" t="s">
        <v>251</v>
      </c>
      <c r="BB852" s="5" t="s">
        <v>238</v>
      </c>
      <c r="BC852" s="5" t="s">
        <v>253</v>
      </c>
      <c r="BD852" s="5" t="s">
        <v>238</v>
      </c>
      <c r="BF852" s="5" t="s">
        <v>238</v>
      </c>
      <c r="BH852" s="5" t="s">
        <v>254</v>
      </c>
      <c r="BI852" s="6" t="s">
        <v>246</v>
      </c>
      <c r="BJ852" s="5" t="s">
        <v>255</v>
      </c>
      <c r="BK852" s="5" t="s">
        <v>256</v>
      </c>
      <c r="BL852" s="5" t="s">
        <v>238</v>
      </c>
      <c r="BM852" s="7">
        <f>0</f>
        <v>0</v>
      </c>
      <c r="BN852" s="8">
        <f>0</f>
        <v>0</v>
      </c>
      <c r="BO852" s="5" t="s">
        <v>257</v>
      </c>
      <c r="BP852" s="5" t="s">
        <v>258</v>
      </c>
      <c r="CD852" s="5" t="s">
        <v>238</v>
      </c>
      <c r="CE852" s="5" t="s">
        <v>238</v>
      </c>
      <c r="CI852" s="5" t="s">
        <v>527</v>
      </c>
      <c r="CJ852" s="5" t="s">
        <v>260</v>
      </c>
      <c r="CK852" s="5" t="s">
        <v>238</v>
      </c>
      <c r="CM852" s="5" t="s">
        <v>974</v>
      </c>
      <c r="CN852" s="6" t="s">
        <v>262</v>
      </c>
      <c r="CO852" s="5" t="s">
        <v>263</v>
      </c>
      <c r="CP852" s="5" t="s">
        <v>264</v>
      </c>
      <c r="CQ852" s="5" t="s">
        <v>238</v>
      </c>
      <c r="CR852" s="5" t="s">
        <v>238</v>
      </c>
      <c r="CS852" s="5">
        <v>0</v>
      </c>
      <c r="CT852" s="5" t="s">
        <v>265</v>
      </c>
      <c r="CU852" s="5" t="s">
        <v>1360</v>
      </c>
      <c r="CV852" s="5" t="s">
        <v>2508</v>
      </c>
      <c r="CX852" s="8">
        <f>29263500</f>
        <v>29263500</v>
      </c>
      <c r="CY852" s="8">
        <f>0</f>
        <v>0</v>
      </c>
      <c r="DA852" s="5" t="s">
        <v>238</v>
      </c>
      <c r="DB852" s="5" t="s">
        <v>238</v>
      </c>
      <c r="DD852" s="5" t="s">
        <v>238</v>
      </c>
      <c r="DG852" s="5" t="s">
        <v>238</v>
      </c>
      <c r="DH852" s="5" t="s">
        <v>238</v>
      </c>
      <c r="DI852" s="5" t="s">
        <v>238</v>
      </c>
      <c r="DJ852" s="5" t="s">
        <v>238</v>
      </c>
      <c r="DK852" s="5" t="s">
        <v>274</v>
      </c>
      <c r="DL852" s="5" t="s">
        <v>272</v>
      </c>
      <c r="DM852" s="7">
        <f>278.7</f>
        <v>278.7</v>
      </c>
      <c r="DN852" s="5" t="s">
        <v>238</v>
      </c>
      <c r="DO852" s="5" t="s">
        <v>238</v>
      </c>
      <c r="DP852" s="5" t="s">
        <v>238</v>
      </c>
      <c r="DQ852" s="5" t="s">
        <v>238</v>
      </c>
      <c r="DT852" s="5" t="s">
        <v>2801</v>
      </c>
      <c r="DU852" s="5" t="s">
        <v>310</v>
      </c>
      <c r="HM852" s="5" t="s">
        <v>271</v>
      </c>
      <c r="HP852" s="5" t="s">
        <v>272</v>
      </c>
      <c r="HQ852" s="5" t="s">
        <v>272</v>
      </c>
    </row>
    <row r="853" spans="1:238" x14ac:dyDescent="0.4">
      <c r="A853" s="5">
        <v>946</v>
      </c>
      <c r="B853" s="5">
        <v>1</v>
      </c>
      <c r="C853" s="5">
        <v>1</v>
      </c>
      <c r="D853" s="5" t="s">
        <v>2506</v>
      </c>
      <c r="E853" s="5" t="s">
        <v>277</v>
      </c>
      <c r="F853" s="5" t="s">
        <v>282</v>
      </c>
      <c r="G853" s="5" t="s">
        <v>2491</v>
      </c>
      <c r="H853" s="6" t="s">
        <v>2507</v>
      </c>
      <c r="I853" s="5" t="s">
        <v>2495</v>
      </c>
      <c r="J853" s="7">
        <f>329.95</f>
        <v>329.95</v>
      </c>
      <c r="K853" s="5" t="s">
        <v>270</v>
      </c>
      <c r="L853" s="8">
        <f>1</f>
        <v>1</v>
      </c>
      <c r="M853" s="8">
        <f>34644750</f>
        <v>34644750</v>
      </c>
      <c r="N853" s="6" t="s">
        <v>1066</v>
      </c>
      <c r="O853" s="5" t="s">
        <v>639</v>
      </c>
      <c r="P853" s="5" t="s">
        <v>639</v>
      </c>
      <c r="R853" s="8">
        <f>34644749</f>
        <v>34644749</v>
      </c>
      <c r="S853" s="5" t="s">
        <v>240</v>
      </c>
      <c r="T853" s="5" t="s">
        <v>237</v>
      </c>
      <c r="U853" s="5" t="s">
        <v>238</v>
      </c>
      <c r="V853" s="5" t="s">
        <v>238</v>
      </c>
      <c r="W853" s="5" t="s">
        <v>241</v>
      </c>
      <c r="X853" s="5" t="s">
        <v>276</v>
      </c>
      <c r="Y853" s="5" t="s">
        <v>238</v>
      </c>
      <c r="AB853" s="5" t="s">
        <v>238</v>
      </c>
      <c r="AD853" s="6" t="s">
        <v>238</v>
      </c>
      <c r="AG853" s="6" t="s">
        <v>246</v>
      </c>
      <c r="AH853" s="5" t="s">
        <v>247</v>
      </c>
      <c r="AI853" s="5" t="s">
        <v>248</v>
      </c>
      <c r="AY853" s="5" t="s">
        <v>250</v>
      </c>
      <c r="AZ853" s="5" t="s">
        <v>238</v>
      </c>
      <c r="BA853" s="5" t="s">
        <v>251</v>
      </c>
      <c r="BB853" s="5" t="s">
        <v>238</v>
      </c>
      <c r="BC853" s="5" t="s">
        <v>253</v>
      </c>
      <c r="BD853" s="5" t="s">
        <v>238</v>
      </c>
      <c r="BF853" s="5" t="s">
        <v>238</v>
      </c>
      <c r="BH853" s="5" t="s">
        <v>859</v>
      </c>
      <c r="BI853" s="6" t="s">
        <v>368</v>
      </c>
      <c r="BJ853" s="5" t="s">
        <v>255</v>
      </c>
      <c r="BK853" s="5" t="s">
        <v>294</v>
      </c>
      <c r="BL853" s="5" t="s">
        <v>238</v>
      </c>
      <c r="BM853" s="7">
        <f>0</f>
        <v>0</v>
      </c>
      <c r="BN853" s="8">
        <f>0</f>
        <v>0</v>
      </c>
      <c r="BO853" s="5" t="s">
        <v>257</v>
      </c>
      <c r="BP853" s="5" t="s">
        <v>258</v>
      </c>
      <c r="CD853" s="5" t="s">
        <v>238</v>
      </c>
      <c r="CE853" s="5" t="s">
        <v>238</v>
      </c>
      <c r="CI853" s="5" t="s">
        <v>527</v>
      </c>
      <c r="CJ853" s="5" t="s">
        <v>260</v>
      </c>
      <c r="CK853" s="5" t="s">
        <v>238</v>
      </c>
      <c r="CM853" s="5" t="s">
        <v>822</v>
      </c>
      <c r="CN853" s="6" t="s">
        <v>262</v>
      </c>
      <c r="CO853" s="5" t="s">
        <v>263</v>
      </c>
      <c r="CP853" s="5" t="s">
        <v>264</v>
      </c>
      <c r="CQ853" s="5" t="s">
        <v>238</v>
      </c>
      <c r="CR853" s="5" t="s">
        <v>238</v>
      </c>
      <c r="CS853" s="5">
        <v>0</v>
      </c>
      <c r="CT853" s="5" t="s">
        <v>265</v>
      </c>
      <c r="CU853" s="5" t="s">
        <v>1360</v>
      </c>
      <c r="CV853" s="5" t="s">
        <v>2508</v>
      </c>
      <c r="CX853" s="8">
        <f>34644750</f>
        <v>34644750</v>
      </c>
      <c r="CY853" s="8">
        <f>0</f>
        <v>0</v>
      </c>
      <c r="DA853" s="5" t="s">
        <v>238</v>
      </c>
      <c r="DB853" s="5" t="s">
        <v>238</v>
      </c>
      <c r="DD853" s="5" t="s">
        <v>238</v>
      </c>
      <c r="DG853" s="5" t="s">
        <v>238</v>
      </c>
      <c r="DH853" s="5" t="s">
        <v>238</v>
      </c>
      <c r="DI853" s="5" t="s">
        <v>238</v>
      </c>
      <c r="DJ853" s="5" t="s">
        <v>238</v>
      </c>
      <c r="DK853" s="5" t="s">
        <v>274</v>
      </c>
      <c r="DL853" s="5" t="s">
        <v>272</v>
      </c>
      <c r="DM853" s="7">
        <f>329.95</f>
        <v>329.95</v>
      </c>
      <c r="DN853" s="5" t="s">
        <v>238</v>
      </c>
      <c r="DO853" s="5" t="s">
        <v>238</v>
      </c>
      <c r="DP853" s="5" t="s">
        <v>238</v>
      </c>
      <c r="DQ853" s="5" t="s">
        <v>238</v>
      </c>
      <c r="DT853" s="5" t="s">
        <v>2509</v>
      </c>
      <c r="DU853" s="5" t="s">
        <v>271</v>
      </c>
      <c r="HM853" s="5" t="s">
        <v>313</v>
      </c>
      <c r="HP853" s="5" t="s">
        <v>272</v>
      </c>
      <c r="HQ853" s="5" t="s">
        <v>272</v>
      </c>
    </row>
    <row r="854" spans="1:238" x14ac:dyDescent="0.4">
      <c r="A854" s="5">
        <v>947</v>
      </c>
      <c r="B854" s="5">
        <v>1</v>
      </c>
      <c r="C854" s="5">
        <v>1</v>
      </c>
      <c r="D854" s="5" t="s">
        <v>2506</v>
      </c>
      <c r="E854" s="5" t="s">
        <v>277</v>
      </c>
      <c r="F854" s="5" t="s">
        <v>282</v>
      </c>
      <c r="G854" s="5" t="s">
        <v>2491</v>
      </c>
      <c r="H854" s="6" t="s">
        <v>2507</v>
      </c>
      <c r="I854" s="5" t="s">
        <v>2505</v>
      </c>
      <c r="J854" s="7">
        <f>329.95</f>
        <v>329.95</v>
      </c>
      <c r="K854" s="5" t="s">
        <v>270</v>
      </c>
      <c r="L854" s="8">
        <f>1</f>
        <v>1</v>
      </c>
      <c r="M854" s="8">
        <f>34644750</f>
        <v>34644750</v>
      </c>
      <c r="N854" s="6" t="s">
        <v>1066</v>
      </c>
      <c r="O854" s="5" t="s">
        <v>639</v>
      </c>
      <c r="P854" s="5" t="s">
        <v>639</v>
      </c>
      <c r="R854" s="8">
        <f>34644749</f>
        <v>34644749</v>
      </c>
      <c r="S854" s="5" t="s">
        <v>240</v>
      </c>
      <c r="T854" s="5" t="s">
        <v>237</v>
      </c>
      <c r="U854" s="5" t="s">
        <v>238</v>
      </c>
      <c r="V854" s="5" t="s">
        <v>238</v>
      </c>
      <c r="W854" s="5" t="s">
        <v>241</v>
      </c>
      <c r="X854" s="5" t="s">
        <v>276</v>
      </c>
      <c r="Y854" s="5" t="s">
        <v>238</v>
      </c>
      <c r="AB854" s="5" t="s">
        <v>238</v>
      </c>
      <c r="AD854" s="6" t="s">
        <v>238</v>
      </c>
      <c r="AG854" s="6" t="s">
        <v>246</v>
      </c>
      <c r="AH854" s="5" t="s">
        <v>247</v>
      </c>
      <c r="AI854" s="5" t="s">
        <v>248</v>
      </c>
      <c r="AY854" s="5" t="s">
        <v>250</v>
      </c>
      <c r="AZ854" s="5" t="s">
        <v>238</v>
      </c>
      <c r="BA854" s="5" t="s">
        <v>251</v>
      </c>
      <c r="BB854" s="5" t="s">
        <v>238</v>
      </c>
      <c r="BC854" s="5" t="s">
        <v>253</v>
      </c>
      <c r="BD854" s="5" t="s">
        <v>238</v>
      </c>
      <c r="BF854" s="5" t="s">
        <v>238</v>
      </c>
      <c r="BH854" s="5" t="s">
        <v>697</v>
      </c>
      <c r="BI854" s="6" t="s">
        <v>698</v>
      </c>
      <c r="BJ854" s="5" t="s">
        <v>255</v>
      </c>
      <c r="BK854" s="5" t="s">
        <v>294</v>
      </c>
      <c r="BL854" s="5" t="s">
        <v>238</v>
      </c>
      <c r="BM854" s="7">
        <f>0</f>
        <v>0</v>
      </c>
      <c r="BN854" s="8">
        <f>0</f>
        <v>0</v>
      </c>
      <c r="BO854" s="5" t="s">
        <v>257</v>
      </c>
      <c r="BP854" s="5" t="s">
        <v>258</v>
      </c>
      <c r="CD854" s="5" t="s">
        <v>238</v>
      </c>
      <c r="CE854" s="5" t="s">
        <v>238</v>
      </c>
      <c r="CI854" s="5" t="s">
        <v>527</v>
      </c>
      <c r="CJ854" s="5" t="s">
        <v>260</v>
      </c>
      <c r="CK854" s="5" t="s">
        <v>238</v>
      </c>
      <c r="CM854" s="5" t="s">
        <v>822</v>
      </c>
      <c r="CN854" s="6" t="s">
        <v>262</v>
      </c>
      <c r="CO854" s="5" t="s">
        <v>263</v>
      </c>
      <c r="CP854" s="5" t="s">
        <v>264</v>
      </c>
      <c r="CQ854" s="5" t="s">
        <v>238</v>
      </c>
      <c r="CR854" s="5" t="s">
        <v>238</v>
      </c>
      <c r="CS854" s="5">
        <v>0</v>
      </c>
      <c r="CT854" s="5" t="s">
        <v>265</v>
      </c>
      <c r="CU854" s="5" t="s">
        <v>1360</v>
      </c>
      <c r="CV854" s="5" t="s">
        <v>2508</v>
      </c>
      <c r="CX854" s="8">
        <f>34644750</f>
        <v>34644750</v>
      </c>
      <c r="CY854" s="8">
        <f>0</f>
        <v>0</v>
      </c>
      <c r="DA854" s="5" t="s">
        <v>238</v>
      </c>
      <c r="DB854" s="5" t="s">
        <v>238</v>
      </c>
      <c r="DD854" s="5" t="s">
        <v>238</v>
      </c>
      <c r="DG854" s="5" t="s">
        <v>238</v>
      </c>
      <c r="DH854" s="5" t="s">
        <v>238</v>
      </c>
      <c r="DI854" s="5" t="s">
        <v>238</v>
      </c>
      <c r="DJ854" s="5" t="s">
        <v>238</v>
      </c>
      <c r="DK854" s="5" t="s">
        <v>274</v>
      </c>
      <c r="DL854" s="5" t="s">
        <v>272</v>
      </c>
      <c r="DM854" s="7">
        <f>329.95</f>
        <v>329.95</v>
      </c>
      <c r="DN854" s="5" t="s">
        <v>238</v>
      </c>
      <c r="DO854" s="5" t="s">
        <v>238</v>
      </c>
      <c r="DP854" s="5" t="s">
        <v>238</v>
      </c>
      <c r="DQ854" s="5" t="s">
        <v>238</v>
      </c>
      <c r="DT854" s="5" t="s">
        <v>2509</v>
      </c>
      <c r="DU854" s="5" t="s">
        <v>274</v>
      </c>
      <c r="HM854" s="5" t="s">
        <v>313</v>
      </c>
      <c r="HP854" s="5" t="s">
        <v>272</v>
      </c>
      <c r="HQ854" s="5" t="s">
        <v>272</v>
      </c>
    </row>
    <row r="855" spans="1:238" x14ac:dyDescent="0.4">
      <c r="A855" s="5">
        <v>948</v>
      </c>
      <c r="B855" s="5">
        <v>1</v>
      </c>
      <c r="C855" s="5">
        <v>1</v>
      </c>
      <c r="D855" s="5" t="s">
        <v>2796</v>
      </c>
      <c r="E855" s="5" t="s">
        <v>277</v>
      </c>
      <c r="F855" s="5" t="s">
        <v>282</v>
      </c>
      <c r="G855" s="5" t="s">
        <v>2491</v>
      </c>
      <c r="H855" s="6" t="s">
        <v>2507</v>
      </c>
      <c r="I855" s="5" t="s">
        <v>2495</v>
      </c>
      <c r="J855" s="7">
        <f>377.64</f>
        <v>377.64</v>
      </c>
      <c r="K855" s="5" t="s">
        <v>270</v>
      </c>
      <c r="L855" s="8">
        <f>1</f>
        <v>1</v>
      </c>
      <c r="M855" s="8">
        <f>58534200</f>
        <v>58534200</v>
      </c>
      <c r="N855" s="6" t="s">
        <v>1785</v>
      </c>
      <c r="O855" s="5" t="s">
        <v>286</v>
      </c>
      <c r="P855" s="5" t="s">
        <v>332</v>
      </c>
      <c r="R855" s="8">
        <f>58534199</f>
        <v>58534199</v>
      </c>
      <c r="S855" s="5" t="s">
        <v>240</v>
      </c>
      <c r="T855" s="5" t="s">
        <v>237</v>
      </c>
      <c r="U855" s="5" t="s">
        <v>238</v>
      </c>
      <c r="V855" s="5" t="s">
        <v>238</v>
      </c>
      <c r="W855" s="5" t="s">
        <v>241</v>
      </c>
      <c r="X855" s="5" t="s">
        <v>276</v>
      </c>
      <c r="Y855" s="5" t="s">
        <v>238</v>
      </c>
      <c r="AB855" s="5" t="s">
        <v>238</v>
      </c>
      <c r="AD855" s="6" t="s">
        <v>238</v>
      </c>
      <c r="AG855" s="6" t="s">
        <v>246</v>
      </c>
      <c r="AH855" s="5" t="s">
        <v>247</v>
      </c>
      <c r="AI855" s="5" t="s">
        <v>248</v>
      </c>
      <c r="AY855" s="5" t="s">
        <v>250</v>
      </c>
      <c r="AZ855" s="5" t="s">
        <v>238</v>
      </c>
      <c r="BA855" s="5" t="s">
        <v>251</v>
      </c>
      <c r="BB855" s="5" t="s">
        <v>238</v>
      </c>
      <c r="BC855" s="5" t="s">
        <v>253</v>
      </c>
      <c r="BD855" s="5" t="s">
        <v>238</v>
      </c>
      <c r="BF855" s="5" t="s">
        <v>2648</v>
      </c>
      <c r="BH855" s="5" t="s">
        <v>798</v>
      </c>
      <c r="BI855" s="6" t="s">
        <v>799</v>
      </c>
      <c r="BJ855" s="5" t="s">
        <v>255</v>
      </c>
      <c r="BK855" s="5" t="s">
        <v>256</v>
      </c>
      <c r="BL855" s="5" t="s">
        <v>238</v>
      </c>
      <c r="BM855" s="7">
        <f>0</f>
        <v>0</v>
      </c>
      <c r="BN855" s="8">
        <f>0</f>
        <v>0</v>
      </c>
      <c r="BO855" s="5" t="s">
        <v>257</v>
      </c>
      <c r="BP855" s="5" t="s">
        <v>258</v>
      </c>
      <c r="CD855" s="5" t="s">
        <v>238</v>
      </c>
      <c r="CE855" s="5" t="s">
        <v>238</v>
      </c>
      <c r="CI855" s="5" t="s">
        <v>259</v>
      </c>
      <c r="CJ855" s="5" t="s">
        <v>260</v>
      </c>
      <c r="CK855" s="5" t="s">
        <v>238</v>
      </c>
      <c r="CM855" s="5" t="s">
        <v>882</v>
      </c>
      <c r="CN855" s="6" t="s">
        <v>262</v>
      </c>
      <c r="CO855" s="5" t="s">
        <v>263</v>
      </c>
      <c r="CP855" s="5" t="s">
        <v>264</v>
      </c>
      <c r="CQ855" s="5" t="s">
        <v>238</v>
      </c>
      <c r="CR855" s="5" t="s">
        <v>238</v>
      </c>
      <c r="CS855" s="5">
        <v>0</v>
      </c>
      <c r="CT855" s="5" t="s">
        <v>265</v>
      </c>
      <c r="CU855" s="5" t="s">
        <v>1360</v>
      </c>
      <c r="CV855" s="5" t="s">
        <v>267</v>
      </c>
      <c r="CX855" s="8">
        <f>58534200</f>
        <v>58534200</v>
      </c>
      <c r="CY855" s="8">
        <f>0</f>
        <v>0</v>
      </c>
      <c r="DA855" s="5" t="s">
        <v>238</v>
      </c>
      <c r="DB855" s="5" t="s">
        <v>238</v>
      </c>
      <c r="DD855" s="5" t="s">
        <v>238</v>
      </c>
      <c r="DG855" s="5" t="s">
        <v>238</v>
      </c>
      <c r="DH855" s="5" t="s">
        <v>238</v>
      </c>
      <c r="DI855" s="5" t="s">
        <v>238</v>
      </c>
      <c r="DJ855" s="5" t="s">
        <v>238</v>
      </c>
      <c r="DK855" s="5" t="s">
        <v>274</v>
      </c>
      <c r="DL855" s="5" t="s">
        <v>272</v>
      </c>
      <c r="DM855" s="7">
        <f>377.64</f>
        <v>377.64</v>
      </c>
      <c r="DN855" s="5" t="s">
        <v>238</v>
      </c>
      <c r="DO855" s="5" t="s">
        <v>238</v>
      </c>
      <c r="DP855" s="5" t="s">
        <v>238</v>
      </c>
      <c r="DQ855" s="5" t="s">
        <v>238</v>
      </c>
      <c r="DT855" s="5" t="s">
        <v>2797</v>
      </c>
      <c r="DU855" s="5" t="s">
        <v>271</v>
      </c>
      <c r="HM855" s="5" t="s">
        <v>271</v>
      </c>
      <c r="HP855" s="5" t="s">
        <v>272</v>
      </c>
      <c r="HQ855" s="5" t="s">
        <v>272</v>
      </c>
    </row>
    <row r="856" spans="1:238" x14ac:dyDescent="0.4">
      <c r="A856" s="5">
        <v>949</v>
      </c>
      <c r="B856" s="5">
        <v>1</v>
      </c>
      <c r="C856" s="5">
        <v>1</v>
      </c>
      <c r="D856" s="5" t="s">
        <v>2796</v>
      </c>
      <c r="E856" s="5" t="s">
        <v>277</v>
      </c>
      <c r="F856" s="5" t="s">
        <v>282</v>
      </c>
      <c r="G856" s="5" t="s">
        <v>2491</v>
      </c>
      <c r="H856" s="6" t="s">
        <v>2507</v>
      </c>
      <c r="I856" s="5" t="s">
        <v>2505</v>
      </c>
      <c r="J856" s="7">
        <f>377.64</f>
        <v>377.64</v>
      </c>
      <c r="K856" s="5" t="s">
        <v>270</v>
      </c>
      <c r="L856" s="8">
        <f>1</f>
        <v>1</v>
      </c>
      <c r="M856" s="8">
        <f>37764000</f>
        <v>37764000</v>
      </c>
      <c r="N856" s="6" t="s">
        <v>876</v>
      </c>
      <c r="O856" s="5" t="s">
        <v>286</v>
      </c>
      <c r="P856" s="5" t="s">
        <v>650</v>
      </c>
      <c r="R856" s="8">
        <f>37763999</f>
        <v>37763999</v>
      </c>
      <c r="S856" s="5" t="s">
        <v>240</v>
      </c>
      <c r="T856" s="5" t="s">
        <v>237</v>
      </c>
      <c r="U856" s="5" t="s">
        <v>238</v>
      </c>
      <c r="V856" s="5" t="s">
        <v>238</v>
      </c>
      <c r="W856" s="5" t="s">
        <v>241</v>
      </c>
      <c r="X856" s="5" t="s">
        <v>276</v>
      </c>
      <c r="Y856" s="5" t="s">
        <v>238</v>
      </c>
      <c r="AB856" s="5" t="s">
        <v>238</v>
      </c>
      <c r="AD856" s="6" t="s">
        <v>238</v>
      </c>
      <c r="AG856" s="6" t="s">
        <v>246</v>
      </c>
      <c r="AH856" s="5" t="s">
        <v>247</v>
      </c>
      <c r="AI856" s="5" t="s">
        <v>248</v>
      </c>
      <c r="AY856" s="5" t="s">
        <v>250</v>
      </c>
      <c r="AZ856" s="5" t="s">
        <v>238</v>
      </c>
      <c r="BA856" s="5" t="s">
        <v>251</v>
      </c>
      <c r="BB856" s="5" t="s">
        <v>238</v>
      </c>
      <c r="BC856" s="5" t="s">
        <v>253</v>
      </c>
      <c r="BD856" s="5" t="s">
        <v>238</v>
      </c>
      <c r="BF856" s="5" t="s">
        <v>238</v>
      </c>
      <c r="BH856" s="5" t="s">
        <v>254</v>
      </c>
      <c r="BI856" s="6" t="s">
        <v>246</v>
      </c>
      <c r="BJ856" s="5" t="s">
        <v>255</v>
      </c>
      <c r="BK856" s="5" t="s">
        <v>256</v>
      </c>
      <c r="BL856" s="5" t="s">
        <v>238</v>
      </c>
      <c r="BM856" s="7">
        <f>0</f>
        <v>0</v>
      </c>
      <c r="BN856" s="8">
        <f>0</f>
        <v>0</v>
      </c>
      <c r="BO856" s="5" t="s">
        <v>257</v>
      </c>
      <c r="BP856" s="5" t="s">
        <v>258</v>
      </c>
      <c r="CD856" s="5" t="s">
        <v>238</v>
      </c>
      <c r="CE856" s="5" t="s">
        <v>238</v>
      </c>
      <c r="CI856" s="5" t="s">
        <v>527</v>
      </c>
      <c r="CJ856" s="5" t="s">
        <v>260</v>
      </c>
      <c r="CK856" s="5" t="s">
        <v>238</v>
      </c>
      <c r="CM856" s="5" t="s">
        <v>877</v>
      </c>
      <c r="CN856" s="6" t="s">
        <v>262</v>
      </c>
      <c r="CO856" s="5" t="s">
        <v>263</v>
      </c>
      <c r="CP856" s="5" t="s">
        <v>264</v>
      </c>
      <c r="CQ856" s="5" t="s">
        <v>238</v>
      </c>
      <c r="CR856" s="5" t="s">
        <v>238</v>
      </c>
      <c r="CS856" s="5">
        <v>0</v>
      </c>
      <c r="CT856" s="5" t="s">
        <v>265</v>
      </c>
      <c r="CU856" s="5" t="s">
        <v>1360</v>
      </c>
      <c r="CV856" s="5" t="s">
        <v>267</v>
      </c>
      <c r="CX856" s="8">
        <f>37764000</f>
        <v>37764000</v>
      </c>
      <c r="CY856" s="8">
        <f>0</f>
        <v>0</v>
      </c>
      <c r="DA856" s="5" t="s">
        <v>238</v>
      </c>
      <c r="DB856" s="5" t="s">
        <v>238</v>
      </c>
      <c r="DD856" s="5" t="s">
        <v>238</v>
      </c>
      <c r="DG856" s="5" t="s">
        <v>238</v>
      </c>
      <c r="DH856" s="5" t="s">
        <v>238</v>
      </c>
      <c r="DI856" s="5" t="s">
        <v>238</v>
      </c>
      <c r="DJ856" s="5" t="s">
        <v>238</v>
      </c>
      <c r="DK856" s="5" t="s">
        <v>274</v>
      </c>
      <c r="DL856" s="5" t="s">
        <v>272</v>
      </c>
      <c r="DM856" s="7">
        <f>377.64</f>
        <v>377.64</v>
      </c>
      <c r="DN856" s="5" t="s">
        <v>238</v>
      </c>
      <c r="DO856" s="5" t="s">
        <v>238</v>
      </c>
      <c r="DP856" s="5" t="s">
        <v>238</v>
      </c>
      <c r="DQ856" s="5" t="s">
        <v>238</v>
      </c>
      <c r="DT856" s="5" t="s">
        <v>2797</v>
      </c>
      <c r="DU856" s="5" t="s">
        <v>274</v>
      </c>
      <c r="HM856" s="5" t="s">
        <v>271</v>
      </c>
      <c r="HP856" s="5" t="s">
        <v>272</v>
      </c>
      <c r="HQ856" s="5" t="s">
        <v>272</v>
      </c>
    </row>
    <row r="857" spans="1:238" x14ac:dyDescent="0.4">
      <c r="A857" s="5">
        <v>950</v>
      </c>
      <c r="B857" s="5">
        <v>1</v>
      </c>
      <c r="C857" s="5">
        <v>1</v>
      </c>
      <c r="D857" s="5" t="s">
        <v>2796</v>
      </c>
      <c r="E857" s="5" t="s">
        <v>277</v>
      </c>
      <c r="F857" s="5" t="s">
        <v>282</v>
      </c>
      <c r="G857" s="5" t="s">
        <v>2491</v>
      </c>
      <c r="H857" s="6" t="s">
        <v>2507</v>
      </c>
      <c r="I857" s="5" t="s">
        <v>2504</v>
      </c>
      <c r="J857" s="7">
        <f>377.64</f>
        <v>377.64</v>
      </c>
      <c r="K857" s="5" t="s">
        <v>270</v>
      </c>
      <c r="L857" s="8">
        <f>1</f>
        <v>1</v>
      </c>
      <c r="M857" s="8">
        <f>37764000</f>
        <v>37764000</v>
      </c>
      <c r="N857" s="6" t="s">
        <v>876</v>
      </c>
      <c r="O857" s="5" t="s">
        <v>286</v>
      </c>
      <c r="P857" s="5" t="s">
        <v>650</v>
      </c>
      <c r="R857" s="8">
        <f>37763999</f>
        <v>37763999</v>
      </c>
      <c r="S857" s="5" t="s">
        <v>240</v>
      </c>
      <c r="T857" s="5" t="s">
        <v>237</v>
      </c>
      <c r="U857" s="5" t="s">
        <v>238</v>
      </c>
      <c r="V857" s="5" t="s">
        <v>238</v>
      </c>
      <c r="W857" s="5" t="s">
        <v>241</v>
      </c>
      <c r="X857" s="5" t="s">
        <v>276</v>
      </c>
      <c r="Y857" s="5" t="s">
        <v>238</v>
      </c>
      <c r="AB857" s="5" t="s">
        <v>238</v>
      </c>
      <c r="AD857" s="6" t="s">
        <v>238</v>
      </c>
      <c r="AG857" s="6" t="s">
        <v>246</v>
      </c>
      <c r="AH857" s="5" t="s">
        <v>247</v>
      </c>
      <c r="AI857" s="5" t="s">
        <v>248</v>
      </c>
      <c r="AY857" s="5" t="s">
        <v>250</v>
      </c>
      <c r="AZ857" s="5" t="s">
        <v>238</v>
      </c>
      <c r="BA857" s="5" t="s">
        <v>251</v>
      </c>
      <c r="BB857" s="5" t="s">
        <v>238</v>
      </c>
      <c r="BC857" s="5" t="s">
        <v>253</v>
      </c>
      <c r="BD857" s="5" t="s">
        <v>238</v>
      </c>
      <c r="BF857" s="5" t="s">
        <v>238</v>
      </c>
      <c r="BH857" s="5" t="s">
        <v>254</v>
      </c>
      <c r="BI857" s="6" t="s">
        <v>246</v>
      </c>
      <c r="BJ857" s="5" t="s">
        <v>255</v>
      </c>
      <c r="BK857" s="5" t="s">
        <v>256</v>
      </c>
      <c r="BL857" s="5" t="s">
        <v>238</v>
      </c>
      <c r="BM857" s="7">
        <f>0</f>
        <v>0</v>
      </c>
      <c r="BN857" s="8">
        <f>0</f>
        <v>0</v>
      </c>
      <c r="BO857" s="5" t="s">
        <v>257</v>
      </c>
      <c r="BP857" s="5" t="s">
        <v>258</v>
      </c>
      <c r="CD857" s="5" t="s">
        <v>238</v>
      </c>
      <c r="CE857" s="5" t="s">
        <v>238</v>
      </c>
      <c r="CI857" s="5" t="s">
        <v>527</v>
      </c>
      <c r="CJ857" s="5" t="s">
        <v>260</v>
      </c>
      <c r="CK857" s="5" t="s">
        <v>238</v>
      </c>
      <c r="CM857" s="5" t="s">
        <v>877</v>
      </c>
      <c r="CN857" s="6" t="s">
        <v>262</v>
      </c>
      <c r="CO857" s="5" t="s">
        <v>263</v>
      </c>
      <c r="CP857" s="5" t="s">
        <v>264</v>
      </c>
      <c r="CQ857" s="5" t="s">
        <v>238</v>
      </c>
      <c r="CR857" s="5" t="s">
        <v>238</v>
      </c>
      <c r="CS857" s="5">
        <v>0</v>
      </c>
      <c r="CT857" s="5" t="s">
        <v>265</v>
      </c>
      <c r="CU857" s="5" t="s">
        <v>1360</v>
      </c>
      <c r="CV857" s="5" t="s">
        <v>267</v>
      </c>
      <c r="CX857" s="8">
        <f>37764000</f>
        <v>37764000</v>
      </c>
      <c r="CY857" s="8">
        <f>0</f>
        <v>0</v>
      </c>
      <c r="DA857" s="5" t="s">
        <v>238</v>
      </c>
      <c r="DB857" s="5" t="s">
        <v>238</v>
      </c>
      <c r="DD857" s="5" t="s">
        <v>238</v>
      </c>
      <c r="DG857" s="5" t="s">
        <v>238</v>
      </c>
      <c r="DH857" s="5" t="s">
        <v>238</v>
      </c>
      <c r="DI857" s="5" t="s">
        <v>238</v>
      </c>
      <c r="DJ857" s="5" t="s">
        <v>238</v>
      </c>
      <c r="DK857" s="5" t="s">
        <v>274</v>
      </c>
      <c r="DL857" s="5" t="s">
        <v>272</v>
      </c>
      <c r="DM857" s="7">
        <f>377.64</f>
        <v>377.64</v>
      </c>
      <c r="DN857" s="5" t="s">
        <v>238</v>
      </c>
      <c r="DO857" s="5" t="s">
        <v>238</v>
      </c>
      <c r="DP857" s="5" t="s">
        <v>238</v>
      </c>
      <c r="DQ857" s="5" t="s">
        <v>238</v>
      </c>
      <c r="DT857" s="5" t="s">
        <v>2797</v>
      </c>
      <c r="DU857" s="5" t="s">
        <v>356</v>
      </c>
      <c r="HM857" s="5" t="s">
        <v>271</v>
      </c>
      <c r="HP857" s="5" t="s">
        <v>272</v>
      </c>
      <c r="HQ857" s="5" t="s">
        <v>272</v>
      </c>
    </row>
    <row r="858" spans="1:238" x14ac:dyDescent="0.4">
      <c r="A858" s="5">
        <v>951</v>
      </c>
      <c r="B858" s="5">
        <v>1</v>
      </c>
      <c r="C858" s="5">
        <v>4</v>
      </c>
      <c r="D858" s="5" t="s">
        <v>2646</v>
      </c>
      <c r="E858" s="5" t="s">
        <v>277</v>
      </c>
      <c r="F858" s="5" t="s">
        <v>282</v>
      </c>
      <c r="G858" s="5" t="s">
        <v>2485</v>
      </c>
      <c r="H858" s="6" t="s">
        <v>2647</v>
      </c>
      <c r="I858" s="5" t="s">
        <v>2495</v>
      </c>
      <c r="J858" s="7">
        <f>159.72</f>
        <v>159.72</v>
      </c>
      <c r="K858" s="5" t="s">
        <v>270</v>
      </c>
      <c r="L858" s="8">
        <f>3260213</f>
        <v>3260213</v>
      </c>
      <c r="M858" s="8">
        <f>25874640</f>
        <v>25874640</v>
      </c>
      <c r="N858" s="6" t="s">
        <v>804</v>
      </c>
      <c r="O858" s="5" t="s">
        <v>286</v>
      </c>
      <c r="P858" s="5" t="s">
        <v>631</v>
      </c>
      <c r="Q858" s="8">
        <f>1190233</f>
        <v>1190233</v>
      </c>
      <c r="R858" s="8">
        <f>22614427</f>
        <v>22614427</v>
      </c>
      <c r="S858" s="5" t="s">
        <v>240</v>
      </c>
      <c r="T858" s="5" t="s">
        <v>237</v>
      </c>
      <c r="U858" s="5" t="s">
        <v>238</v>
      </c>
      <c r="V858" s="5" t="s">
        <v>238</v>
      </c>
      <c r="W858" s="5" t="s">
        <v>241</v>
      </c>
      <c r="X858" s="5" t="s">
        <v>276</v>
      </c>
      <c r="Y858" s="5" t="s">
        <v>238</v>
      </c>
      <c r="AB858" s="5" t="s">
        <v>238</v>
      </c>
      <c r="AC858" s="6" t="s">
        <v>238</v>
      </c>
      <c r="AD858" s="6" t="s">
        <v>238</v>
      </c>
      <c r="AF858" s="6" t="s">
        <v>238</v>
      </c>
      <c r="AG858" s="6" t="s">
        <v>246</v>
      </c>
      <c r="AH858" s="5" t="s">
        <v>247</v>
      </c>
      <c r="AI858" s="5" t="s">
        <v>248</v>
      </c>
      <c r="AO858" s="5" t="s">
        <v>238</v>
      </c>
      <c r="AP858" s="5" t="s">
        <v>238</v>
      </c>
      <c r="AQ858" s="5" t="s">
        <v>238</v>
      </c>
      <c r="AR858" s="6" t="s">
        <v>238</v>
      </c>
      <c r="AS858" s="6" t="s">
        <v>238</v>
      </c>
      <c r="AT858" s="6" t="s">
        <v>238</v>
      </c>
      <c r="AW858" s="5" t="s">
        <v>304</v>
      </c>
      <c r="AX858" s="5" t="s">
        <v>304</v>
      </c>
      <c r="AY858" s="5" t="s">
        <v>250</v>
      </c>
      <c r="AZ858" s="5" t="s">
        <v>305</v>
      </c>
      <c r="BA858" s="5" t="s">
        <v>251</v>
      </c>
      <c r="BB858" s="5" t="s">
        <v>238</v>
      </c>
      <c r="BC858" s="5" t="s">
        <v>253</v>
      </c>
      <c r="BD858" s="5" t="s">
        <v>238</v>
      </c>
      <c r="BF858" s="5" t="s">
        <v>2648</v>
      </c>
      <c r="BH858" s="5" t="s">
        <v>283</v>
      </c>
      <c r="BI858" s="6" t="s">
        <v>293</v>
      </c>
      <c r="BJ858" s="5" t="s">
        <v>294</v>
      </c>
      <c r="BK858" s="5" t="s">
        <v>294</v>
      </c>
      <c r="BL858" s="5" t="s">
        <v>238</v>
      </c>
      <c r="BM858" s="7">
        <f>0</f>
        <v>0</v>
      </c>
      <c r="BN858" s="8">
        <f>-1190233</f>
        <v>-1190233</v>
      </c>
      <c r="BO858" s="5" t="s">
        <v>257</v>
      </c>
      <c r="BP858" s="5" t="s">
        <v>258</v>
      </c>
      <c r="BQ858" s="5" t="s">
        <v>238</v>
      </c>
      <c r="BR858" s="5" t="s">
        <v>238</v>
      </c>
      <c r="BS858" s="5" t="s">
        <v>238</v>
      </c>
      <c r="BT858" s="5" t="s">
        <v>238</v>
      </c>
      <c r="CC858" s="5" t="s">
        <v>258</v>
      </c>
      <c r="CD858" s="5" t="s">
        <v>238</v>
      </c>
      <c r="CE858" s="5" t="s">
        <v>238</v>
      </c>
      <c r="CI858" s="5" t="s">
        <v>259</v>
      </c>
      <c r="CJ858" s="5" t="s">
        <v>260</v>
      </c>
      <c r="CK858" s="5" t="s">
        <v>238</v>
      </c>
      <c r="CM858" s="5" t="s">
        <v>807</v>
      </c>
      <c r="CN858" s="6" t="s">
        <v>262</v>
      </c>
      <c r="CO858" s="5" t="s">
        <v>263</v>
      </c>
      <c r="CP858" s="5" t="s">
        <v>264</v>
      </c>
      <c r="CQ858" s="5" t="s">
        <v>285</v>
      </c>
      <c r="CR858" s="5" t="s">
        <v>238</v>
      </c>
      <c r="CS858" s="5">
        <v>4.5999999999999999E-2</v>
      </c>
      <c r="CT858" s="5" t="s">
        <v>265</v>
      </c>
      <c r="CU858" s="5" t="s">
        <v>1360</v>
      </c>
      <c r="CV858" s="5" t="s">
        <v>267</v>
      </c>
      <c r="CW858" s="7">
        <f>0</f>
        <v>0</v>
      </c>
      <c r="CX858" s="8">
        <f>25874640</f>
        <v>25874640</v>
      </c>
      <c r="CY858" s="8">
        <f>4450446</f>
        <v>4450446</v>
      </c>
      <c r="DA858" s="5" t="s">
        <v>238</v>
      </c>
      <c r="DB858" s="5" t="s">
        <v>238</v>
      </c>
      <c r="DD858" s="5" t="s">
        <v>238</v>
      </c>
      <c r="DE858" s="8">
        <f>0</f>
        <v>0</v>
      </c>
      <c r="DG858" s="5" t="s">
        <v>238</v>
      </c>
      <c r="DH858" s="5" t="s">
        <v>238</v>
      </c>
      <c r="DI858" s="5" t="s">
        <v>238</v>
      </c>
      <c r="DJ858" s="5" t="s">
        <v>238</v>
      </c>
      <c r="DK858" s="5" t="s">
        <v>274</v>
      </c>
      <c r="DL858" s="5" t="s">
        <v>272</v>
      </c>
      <c r="DM858" s="7">
        <f>159.72</f>
        <v>159.72</v>
      </c>
      <c r="DN858" s="5" t="s">
        <v>238</v>
      </c>
      <c r="DO858" s="5" t="s">
        <v>238</v>
      </c>
      <c r="DP858" s="5" t="s">
        <v>238</v>
      </c>
      <c r="DQ858" s="5" t="s">
        <v>238</v>
      </c>
      <c r="DT858" s="5" t="s">
        <v>2662</v>
      </c>
      <c r="DU858" s="5" t="s">
        <v>271</v>
      </c>
      <c r="GL858" s="5" t="s">
        <v>2664</v>
      </c>
      <c r="HM858" s="5" t="s">
        <v>313</v>
      </c>
      <c r="HP858" s="5" t="s">
        <v>272</v>
      </c>
      <c r="HQ858" s="5" t="s">
        <v>272</v>
      </c>
      <c r="HR858" s="5" t="s">
        <v>238</v>
      </c>
      <c r="HS858" s="5" t="s">
        <v>238</v>
      </c>
      <c r="HT858" s="5" t="s">
        <v>238</v>
      </c>
      <c r="HU858" s="5" t="s">
        <v>238</v>
      </c>
      <c r="HV858" s="5" t="s">
        <v>238</v>
      </c>
      <c r="HW858" s="5" t="s">
        <v>238</v>
      </c>
      <c r="HX858" s="5" t="s">
        <v>238</v>
      </c>
      <c r="HY858" s="5" t="s">
        <v>238</v>
      </c>
      <c r="HZ858" s="5" t="s">
        <v>238</v>
      </c>
      <c r="IA858" s="5" t="s">
        <v>238</v>
      </c>
      <c r="IB858" s="5" t="s">
        <v>238</v>
      </c>
      <c r="IC858" s="5" t="s">
        <v>238</v>
      </c>
      <c r="ID858" s="5" t="s">
        <v>238</v>
      </c>
    </row>
    <row r="859" spans="1:238" x14ac:dyDescent="0.4">
      <c r="A859" s="5">
        <v>952</v>
      </c>
      <c r="B859" s="5">
        <v>1</v>
      </c>
      <c r="C859" s="5">
        <v>4</v>
      </c>
      <c r="D859" s="5" t="s">
        <v>2646</v>
      </c>
      <c r="E859" s="5" t="s">
        <v>277</v>
      </c>
      <c r="F859" s="5" t="s">
        <v>282</v>
      </c>
      <c r="G859" s="5" t="s">
        <v>2485</v>
      </c>
      <c r="H859" s="6" t="s">
        <v>2647</v>
      </c>
      <c r="I859" s="5" t="s">
        <v>2505</v>
      </c>
      <c r="J859" s="7">
        <f>159.72</f>
        <v>159.72</v>
      </c>
      <c r="K859" s="5" t="s">
        <v>270</v>
      </c>
      <c r="L859" s="8">
        <f>4450446</f>
        <v>4450446</v>
      </c>
      <c r="M859" s="8">
        <f>25874640</f>
        <v>25874640</v>
      </c>
      <c r="N859" s="6" t="s">
        <v>1254</v>
      </c>
      <c r="O859" s="5" t="s">
        <v>286</v>
      </c>
      <c r="P859" s="5" t="s">
        <v>269</v>
      </c>
      <c r="Q859" s="8">
        <f>1190233</f>
        <v>1190233</v>
      </c>
      <c r="R859" s="8">
        <f>21424194</f>
        <v>21424194</v>
      </c>
      <c r="S859" s="5" t="s">
        <v>240</v>
      </c>
      <c r="T859" s="5" t="s">
        <v>237</v>
      </c>
      <c r="U859" s="5" t="s">
        <v>238</v>
      </c>
      <c r="V859" s="5" t="s">
        <v>238</v>
      </c>
      <c r="W859" s="5" t="s">
        <v>241</v>
      </c>
      <c r="X859" s="5" t="s">
        <v>276</v>
      </c>
      <c r="Y859" s="5" t="s">
        <v>238</v>
      </c>
      <c r="AB859" s="5" t="s">
        <v>238</v>
      </c>
      <c r="AC859" s="6" t="s">
        <v>238</v>
      </c>
      <c r="AD859" s="6" t="s">
        <v>238</v>
      </c>
      <c r="AF859" s="6" t="s">
        <v>238</v>
      </c>
      <c r="AG859" s="6" t="s">
        <v>246</v>
      </c>
      <c r="AH859" s="5" t="s">
        <v>247</v>
      </c>
      <c r="AI859" s="5" t="s">
        <v>248</v>
      </c>
      <c r="AO859" s="5" t="s">
        <v>238</v>
      </c>
      <c r="AP859" s="5" t="s">
        <v>238</v>
      </c>
      <c r="AQ859" s="5" t="s">
        <v>238</v>
      </c>
      <c r="AR859" s="6" t="s">
        <v>238</v>
      </c>
      <c r="AS859" s="6" t="s">
        <v>238</v>
      </c>
      <c r="AT859" s="6" t="s">
        <v>238</v>
      </c>
      <c r="AW859" s="5" t="s">
        <v>304</v>
      </c>
      <c r="AX859" s="5" t="s">
        <v>304</v>
      </c>
      <c r="AY859" s="5" t="s">
        <v>250</v>
      </c>
      <c r="AZ859" s="5" t="s">
        <v>305</v>
      </c>
      <c r="BA859" s="5" t="s">
        <v>251</v>
      </c>
      <c r="BB859" s="5" t="s">
        <v>238</v>
      </c>
      <c r="BC859" s="5" t="s">
        <v>253</v>
      </c>
      <c r="BD859" s="5" t="s">
        <v>238</v>
      </c>
      <c r="BF859" s="5" t="s">
        <v>238</v>
      </c>
      <c r="BH859" s="5" t="s">
        <v>283</v>
      </c>
      <c r="BI859" s="6" t="s">
        <v>293</v>
      </c>
      <c r="BJ859" s="5" t="s">
        <v>294</v>
      </c>
      <c r="BK859" s="5" t="s">
        <v>294</v>
      </c>
      <c r="BL859" s="5" t="s">
        <v>238</v>
      </c>
      <c r="BM859" s="7">
        <f>0</f>
        <v>0</v>
      </c>
      <c r="BN859" s="8">
        <f>-1190233</f>
        <v>-1190233</v>
      </c>
      <c r="BO859" s="5" t="s">
        <v>257</v>
      </c>
      <c r="BP859" s="5" t="s">
        <v>258</v>
      </c>
      <c r="BQ859" s="5" t="s">
        <v>238</v>
      </c>
      <c r="BR859" s="5" t="s">
        <v>238</v>
      </c>
      <c r="BS859" s="5" t="s">
        <v>238</v>
      </c>
      <c r="BT859" s="5" t="s">
        <v>238</v>
      </c>
      <c r="CC859" s="5" t="s">
        <v>258</v>
      </c>
      <c r="CD859" s="5" t="s">
        <v>238</v>
      </c>
      <c r="CE859" s="5" t="s">
        <v>238</v>
      </c>
      <c r="CI859" s="5" t="s">
        <v>259</v>
      </c>
      <c r="CJ859" s="5" t="s">
        <v>260</v>
      </c>
      <c r="CK859" s="5" t="s">
        <v>238</v>
      </c>
      <c r="CM859" s="5" t="s">
        <v>682</v>
      </c>
      <c r="CN859" s="6" t="s">
        <v>262</v>
      </c>
      <c r="CO859" s="5" t="s">
        <v>263</v>
      </c>
      <c r="CP859" s="5" t="s">
        <v>264</v>
      </c>
      <c r="CQ859" s="5" t="s">
        <v>285</v>
      </c>
      <c r="CR859" s="5" t="s">
        <v>238</v>
      </c>
      <c r="CS859" s="5">
        <v>4.5999999999999999E-2</v>
      </c>
      <c r="CT859" s="5" t="s">
        <v>265</v>
      </c>
      <c r="CU859" s="5" t="s">
        <v>1360</v>
      </c>
      <c r="CV859" s="5" t="s">
        <v>267</v>
      </c>
      <c r="CW859" s="7">
        <f>0</f>
        <v>0</v>
      </c>
      <c r="CX859" s="8">
        <f>25874640</f>
        <v>25874640</v>
      </c>
      <c r="CY859" s="8">
        <f>5640679</f>
        <v>5640679</v>
      </c>
      <c r="DA859" s="5" t="s">
        <v>238</v>
      </c>
      <c r="DB859" s="5" t="s">
        <v>238</v>
      </c>
      <c r="DD859" s="5" t="s">
        <v>238</v>
      </c>
      <c r="DE859" s="8">
        <f>0</f>
        <v>0</v>
      </c>
      <c r="DG859" s="5" t="s">
        <v>238</v>
      </c>
      <c r="DH859" s="5" t="s">
        <v>238</v>
      </c>
      <c r="DI859" s="5" t="s">
        <v>238</v>
      </c>
      <c r="DJ859" s="5" t="s">
        <v>238</v>
      </c>
      <c r="DK859" s="5" t="s">
        <v>274</v>
      </c>
      <c r="DL859" s="5" t="s">
        <v>272</v>
      </c>
      <c r="DM859" s="7">
        <f>159.72</f>
        <v>159.72</v>
      </c>
      <c r="DN859" s="5" t="s">
        <v>238</v>
      </c>
      <c r="DO859" s="5" t="s">
        <v>238</v>
      </c>
      <c r="DP859" s="5" t="s">
        <v>238</v>
      </c>
      <c r="DQ859" s="5" t="s">
        <v>238</v>
      </c>
      <c r="DT859" s="5" t="s">
        <v>2662</v>
      </c>
      <c r="DU859" s="5" t="s">
        <v>274</v>
      </c>
      <c r="GL859" s="5" t="s">
        <v>2663</v>
      </c>
      <c r="HM859" s="5" t="s">
        <v>313</v>
      </c>
      <c r="HP859" s="5" t="s">
        <v>272</v>
      </c>
      <c r="HQ859" s="5" t="s">
        <v>272</v>
      </c>
      <c r="HR859" s="5" t="s">
        <v>238</v>
      </c>
      <c r="HS859" s="5" t="s">
        <v>238</v>
      </c>
      <c r="HT859" s="5" t="s">
        <v>238</v>
      </c>
      <c r="HU859" s="5" t="s">
        <v>238</v>
      </c>
      <c r="HV859" s="5" t="s">
        <v>238</v>
      </c>
      <c r="HW859" s="5" t="s">
        <v>238</v>
      </c>
      <c r="HX859" s="5" t="s">
        <v>238</v>
      </c>
      <c r="HY859" s="5" t="s">
        <v>238</v>
      </c>
      <c r="HZ859" s="5" t="s">
        <v>238</v>
      </c>
      <c r="IA859" s="5" t="s">
        <v>238</v>
      </c>
      <c r="IB859" s="5" t="s">
        <v>238</v>
      </c>
      <c r="IC859" s="5" t="s">
        <v>238</v>
      </c>
      <c r="ID859" s="5" t="s">
        <v>238</v>
      </c>
    </row>
    <row r="860" spans="1:238" x14ac:dyDescent="0.4">
      <c r="A860" s="5">
        <v>953</v>
      </c>
      <c r="B860" s="5">
        <v>1</v>
      </c>
      <c r="C860" s="5">
        <v>1</v>
      </c>
      <c r="D860" s="5" t="s">
        <v>2793</v>
      </c>
      <c r="E860" s="5" t="s">
        <v>277</v>
      </c>
      <c r="F860" s="5" t="s">
        <v>282</v>
      </c>
      <c r="G860" s="5" t="s">
        <v>2491</v>
      </c>
      <c r="H860" s="6" t="s">
        <v>2794</v>
      </c>
      <c r="I860" s="5" t="s">
        <v>2495</v>
      </c>
      <c r="J860" s="7">
        <f>125.88</f>
        <v>125.88</v>
      </c>
      <c r="K860" s="5" t="s">
        <v>270</v>
      </c>
      <c r="L860" s="8">
        <f>1</f>
        <v>1</v>
      </c>
      <c r="M860" s="8">
        <f>12588000</f>
        <v>12588000</v>
      </c>
      <c r="N860" s="6" t="s">
        <v>876</v>
      </c>
      <c r="O860" s="5" t="s">
        <v>286</v>
      </c>
      <c r="P860" s="5" t="s">
        <v>650</v>
      </c>
      <c r="R860" s="8">
        <f>12587999</f>
        <v>12587999</v>
      </c>
      <c r="S860" s="5" t="s">
        <v>240</v>
      </c>
      <c r="T860" s="5" t="s">
        <v>237</v>
      </c>
      <c r="U860" s="5" t="s">
        <v>238</v>
      </c>
      <c r="V860" s="5" t="s">
        <v>238</v>
      </c>
      <c r="W860" s="5" t="s">
        <v>241</v>
      </c>
      <c r="X860" s="5" t="s">
        <v>276</v>
      </c>
      <c r="Y860" s="5" t="s">
        <v>238</v>
      </c>
      <c r="AB860" s="5" t="s">
        <v>238</v>
      </c>
      <c r="AD860" s="6" t="s">
        <v>238</v>
      </c>
      <c r="AG860" s="6" t="s">
        <v>246</v>
      </c>
      <c r="AH860" s="5" t="s">
        <v>247</v>
      </c>
      <c r="AI860" s="5" t="s">
        <v>248</v>
      </c>
      <c r="AY860" s="5" t="s">
        <v>250</v>
      </c>
      <c r="AZ860" s="5" t="s">
        <v>238</v>
      </c>
      <c r="BA860" s="5" t="s">
        <v>251</v>
      </c>
      <c r="BB860" s="5" t="s">
        <v>238</v>
      </c>
      <c r="BC860" s="5" t="s">
        <v>253</v>
      </c>
      <c r="BD860" s="5" t="s">
        <v>238</v>
      </c>
      <c r="BF860" s="5" t="s">
        <v>238</v>
      </c>
      <c r="BH860" s="5" t="s">
        <v>798</v>
      </c>
      <c r="BI860" s="6" t="s">
        <v>799</v>
      </c>
      <c r="BJ860" s="5" t="s">
        <v>255</v>
      </c>
      <c r="BK860" s="5" t="s">
        <v>256</v>
      </c>
      <c r="BL860" s="5" t="s">
        <v>238</v>
      </c>
      <c r="BM860" s="7">
        <f>0</f>
        <v>0</v>
      </c>
      <c r="BN860" s="8">
        <f>0</f>
        <v>0</v>
      </c>
      <c r="BO860" s="5" t="s">
        <v>257</v>
      </c>
      <c r="BP860" s="5" t="s">
        <v>258</v>
      </c>
      <c r="CD860" s="5" t="s">
        <v>238</v>
      </c>
      <c r="CE860" s="5" t="s">
        <v>238</v>
      </c>
      <c r="CI860" s="5" t="s">
        <v>527</v>
      </c>
      <c r="CJ860" s="5" t="s">
        <v>260</v>
      </c>
      <c r="CK860" s="5" t="s">
        <v>238</v>
      </c>
      <c r="CM860" s="5" t="s">
        <v>877</v>
      </c>
      <c r="CN860" s="6" t="s">
        <v>262</v>
      </c>
      <c r="CO860" s="5" t="s">
        <v>263</v>
      </c>
      <c r="CP860" s="5" t="s">
        <v>264</v>
      </c>
      <c r="CQ860" s="5" t="s">
        <v>238</v>
      </c>
      <c r="CR860" s="5" t="s">
        <v>238</v>
      </c>
      <c r="CS860" s="5">
        <v>0</v>
      </c>
      <c r="CT860" s="5" t="s">
        <v>265</v>
      </c>
      <c r="CU860" s="5" t="s">
        <v>1360</v>
      </c>
      <c r="CV860" s="5" t="s">
        <v>267</v>
      </c>
      <c r="CX860" s="8">
        <f>12588000</f>
        <v>12588000</v>
      </c>
      <c r="CY860" s="8">
        <f>0</f>
        <v>0</v>
      </c>
      <c r="DA860" s="5" t="s">
        <v>238</v>
      </c>
      <c r="DB860" s="5" t="s">
        <v>238</v>
      </c>
      <c r="DD860" s="5" t="s">
        <v>238</v>
      </c>
      <c r="DG860" s="5" t="s">
        <v>238</v>
      </c>
      <c r="DH860" s="5" t="s">
        <v>238</v>
      </c>
      <c r="DI860" s="5" t="s">
        <v>238</v>
      </c>
      <c r="DJ860" s="5" t="s">
        <v>238</v>
      </c>
      <c r="DK860" s="5" t="s">
        <v>274</v>
      </c>
      <c r="DL860" s="5" t="s">
        <v>272</v>
      </c>
      <c r="DM860" s="7">
        <f>125.88</f>
        <v>125.88</v>
      </c>
      <c r="DN860" s="5" t="s">
        <v>238</v>
      </c>
      <c r="DO860" s="5" t="s">
        <v>238</v>
      </c>
      <c r="DP860" s="5" t="s">
        <v>238</v>
      </c>
      <c r="DQ860" s="5" t="s">
        <v>238</v>
      </c>
      <c r="DT860" s="5" t="s">
        <v>2795</v>
      </c>
      <c r="DU860" s="5" t="s">
        <v>271</v>
      </c>
      <c r="HM860" s="5" t="s">
        <v>271</v>
      </c>
      <c r="HP860" s="5" t="s">
        <v>272</v>
      </c>
      <c r="HQ860" s="5" t="s">
        <v>272</v>
      </c>
    </row>
    <row r="861" spans="1:238" x14ac:dyDescent="0.4">
      <c r="A861" s="5">
        <v>954</v>
      </c>
      <c r="B861" s="5">
        <v>1</v>
      </c>
      <c r="C861" s="5">
        <v>1</v>
      </c>
      <c r="D861" s="5" t="s">
        <v>2793</v>
      </c>
      <c r="E861" s="5" t="s">
        <v>277</v>
      </c>
      <c r="F861" s="5" t="s">
        <v>282</v>
      </c>
      <c r="G861" s="5" t="s">
        <v>2491</v>
      </c>
      <c r="H861" s="6" t="s">
        <v>2794</v>
      </c>
      <c r="I861" s="5" t="s">
        <v>2505</v>
      </c>
      <c r="J861" s="7">
        <f>125.88</f>
        <v>125.88</v>
      </c>
      <c r="K861" s="5" t="s">
        <v>270</v>
      </c>
      <c r="L861" s="8">
        <f>1</f>
        <v>1</v>
      </c>
      <c r="M861" s="8">
        <f>12588000</f>
        <v>12588000</v>
      </c>
      <c r="N861" s="6" t="s">
        <v>876</v>
      </c>
      <c r="O861" s="5" t="s">
        <v>286</v>
      </c>
      <c r="P861" s="5" t="s">
        <v>650</v>
      </c>
      <c r="R861" s="8">
        <f>12587999</f>
        <v>12587999</v>
      </c>
      <c r="S861" s="5" t="s">
        <v>240</v>
      </c>
      <c r="T861" s="5" t="s">
        <v>237</v>
      </c>
      <c r="U861" s="5" t="s">
        <v>238</v>
      </c>
      <c r="V861" s="5" t="s">
        <v>238</v>
      </c>
      <c r="W861" s="5" t="s">
        <v>241</v>
      </c>
      <c r="X861" s="5" t="s">
        <v>276</v>
      </c>
      <c r="Y861" s="5" t="s">
        <v>238</v>
      </c>
      <c r="AB861" s="5" t="s">
        <v>238</v>
      </c>
      <c r="AD861" s="6" t="s">
        <v>238</v>
      </c>
      <c r="AG861" s="6" t="s">
        <v>246</v>
      </c>
      <c r="AH861" s="5" t="s">
        <v>247</v>
      </c>
      <c r="AI861" s="5" t="s">
        <v>248</v>
      </c>
      <c r="AY861" s="5" t="s">
        <v>250</v>
      </c>
      <c r="AZ861" s="5" t="s">
        <v>238</v>
      </c>
      <c r="BA861" s="5" t="s">
        <v>251</v>
      </c>
      <c r="BB861" s="5" t="s">
        <v>238</v>
      </c>
      <c r="BC861" s="5" t="s">
        <v>253</v>
      </c>
      <c r="BD861" s="5" t="s">
        <v>238</v>
      </c>
      <c r="BF861" s="5" t="s">
        <v>238</v>
      </c>
      <c r="BH861" s="5" t="s">
        <v>254</v>
      </c>
      <c r="BI861" s="6" t="s">
        <v>246</v>
      </c>
      <c r="BJ861" s="5" t="s">
        <v>255</v>
      </c>
      <c r="BK861" s="5" t="s">
        <v>256</v>
      </c>
      <c r="BL861" s="5" t="s">
        <v>238</v>
      </c>
      <c r="BM861" s="7">
        <f>0</f>
        <v>0</v>
      </c>
      <c r="BN861" s="8">
        <f>0</f>
        <v>0</v>
      </c>
      <c r="BO861" s="5" t="s">
        <v>257</v>
      </c>
      <c r="BP861" s="5" t="s">
        <v>258</v>
      </c>
      <c r="CD861" s="5" t="s">
        <v>238</v>
      </c>
      <c r="CE861" s="5" t="s">
        <v>238</v>
      </c>
      <c r="CI861" s="5" t="s">
        <v>527</v>
      </c>
      <c r="CJ861" s="5" t="s">
        <v>260</v>
      </c>
      <c r="CK861" s="5" t="s">
        <v>238</v>
      </c>
      <c r="CM861" s="5" t="s">
        <v>877</v>
      </c>
      <c r="CN861" s="6" t="s">
        <v>262</v>
      </c>
      <c r="CO861" s="5" t="s">
        <v>263</v>
      </c>
      <c r="CP861" s="5" t="s">
        <v>264</v>
      </c>
      <c r="CQ861" s="5" t="s">
        <v>238</v>
      </c>
      <c r="CR861" s="5" t="s">
        <v>238</v>
      </c>
      <c r="CS861" s="5">
        <v>0</v>
      </c>
      <c r="CT861" s="5" t="s">
        <v>265</v>
      </c>
      <c r="CU861" s="5" t="s">
        <v>1360</v>
      </c>
      <c r="CV861" s="5" t="s">
        <v>267</v>
      </c>
      <c r="CX861" s="8">
        <f>12588000</f>
        <v>12588000</v>
      </c>
      <c r="CY861" s="8">
        <f>0</f>
        <v>0</v>
      </c>
      <c r="DA861" s="5" t="s">
        <v>238</v>
      </c>
      <c r="DB861" s="5" t="s">
        <v>238</v>
      </c>
      <c r="DD861" s="5" t="s">
        <v>238</v>
      </c>
      <c r="DG861" s="5" t="s">
        <v>238</v>
      </c>
      <c r="DH861" s="5" t="s">
        <v>238</v>
      </c>
      <c r="DI861" s="5" t="s">
        <v>238</v>
      </c>
      <c r="DJ861" s="5" t="s">
        <v>238</v>
      </c>
      <c r="DK861" s="5" t="s">
        <v>274</v>
      </c>
      <c r="DL861" s="5" t="s">
        <v>272</v>
      </c>
      <c r="DM861" s="7">
        <f>125.88</f>
        <v>125.88</v>
      </c>
      <c r="DN861" s="5" t="s">
        <v>238</v>
      </c>
      <c r="DO861" s="5" t="s">
        <v>238</v>
      </c>
      <c r="DP861" s="5" t="s">
        <v>238</v>
      </c>
      <c r="DQ861" s="5" t="s">
        <v>238</v>
      </c>
      <c r="DT861" s="5" t="s">
        <v>2795</v>
      </c>
      <c r="DU861" s="5" t="s">
        <v>274</v>
      </c>
      <c r="HM861" s="5" t="s">
        <v>271</v>
      </c>
      <c r="HP861" s="5" t="s">
        <v>272</v>
      </c>
      <c r="HQ861" s="5" t="s">
        <v>272</v>
      </c>
    </row>
    <row r="862" spans="1:238" x14ac:dyDescent="0.4">
      <c r="A862" s="5">
        <v>955</v>
      </c>
      <c r="B862" s="5">
        <v>1</v>
      </c>
      <c r="C862" s="5">
        <v>1</v>
      </c>
      <c r="D862" s="5" t="s">
        <v>2793</v>
      </c>
      <c r="E862" s="5" t="s">
        <v>277</v>
      </c>
      <c r="F862" s="5" t="s">
        <v>282</v>
      </c>
      <c r="G862" s="5" t="s">
        <v>2491</v>
      </c>
      <c r="H862" s="6" t="s">
        <v>2794</v>
      </c>
      <c r="I862" s="5" t="s">
        <v>2504</v>
      </c>
      <c r="J862" s="7">
        <f>125.88</f>
        <v>125.88</v>
      </c>
      <c r="K862" s="5" t="s">
        <v>270</v>
      </c>
      <c r="L862" s="8">
        <f>1</f>
        <v>1</v>
      </c>
      <c r="M862" s="8">
        <f>12588000</f>
        <v>12588000</v>
      </c>
      <c r="N862" s="6" t="s">
        <v>876</v>
      </c>
      <c r="O862" s="5" t="s">
        <v>286</v>
      </c>
      <c r="P862" s="5" t="s">
        <v>650</v>
      </c>
      <c r="R862" s="8">
        <f>12587999</f>
        <v>12587999</v>
      </c>
      <c r="S862" s="5" t="s">
        <v>240</v>
      </c>
      <c r="T862" s="5" t="s">
        <v>237</v>
      </c>
      <c r="U862" s="5" t="s">
        <v>238</v>
      </c>
      <c r="V862" s="5" t="s">
        <v>238</v>
      </c>
      <c r="W862" s="5" t="s">
        <v>241</v>
      </c>
      <c r="X862" s="5" t="s">
        <v>276</v>
      </c>
      <c r="Y862" s="5" t="s">
        <v>238</v>
      </c>
      <c r="AB862" s="5" t="s">
        <v>238</v>
      </c>
      <c r="AD862" s="6" t="s">
        <v>238</v>
      </c>
      <c r="AG862" s="6" t="s">
        <v>246</v>
      </c>
      <c r="AH862" s="5" t="s">
        <v>247</v>
      </c>
      <c r="AI862" s="5" t="s">
        <v>248</v>
      </c>
      <c r="AY862" s="5" t="s">
        <v>250</v>
      </c>
      <c r="AZ862" s="5" t="s">
        <v>238</v>
      </c>
      <c r="BA862" s="5" t="s">
        <v>251</v>
      </c>
      <c r="BB862" s="5" t="s">
        <v>238</v>
      </c>
      <c r="BC862" s="5" t="s">
        <v>253</v>
      </c>
      <c r="BD862" s="5" t="s">
        <v>238</v>
      </c>
      <c r="BF862" s="5" t="s">
        <v>238</v>
      </c>
      <c r="BH862" s="5" t="s">
        <v>859</v>
      </c>
      <c r="BI862" s="6" t="s">
        <v>368</v>
      </c>
      <c r="BJ862" s="5" t="s">
        <v>255</v>
      </c>
      <c r="BK862" s="5" t="s">
        <v>256</v>
      </c>
      <c r="BL862" s="5" t="s">
        <v>238</v>
      </c>
      <c r="BM862" s="7">
        <f>0</f>
        <v>0</v>
      </c>
      <c r="BN862" s="8">
        <f>0</f>
        <v>0</v>
      </c>
      <c r="BO862" s="5" t="s">
        <v>257</v>
      </c>
      <c r="BP862" s="5" t="s">
        <v>258</v>
      </c>
      <c r="CD862" s="5" t="s">
        <v>238</v>
      </c>
      <c r="CE862" s="5" t="s">
        <v>238</v>
      </c>
      <c r="CI862" s="5" t="s">
        <v>527</v>
      </c>
      <c r="CJ862" s="5" t="s">
        <v>260</v>
      </c>
      <c r="CK862" s="5" t="s">
        <v>238</v>
      </c>
      <c r="CM862" s="5" t="s">
        <v>877</v>
      </c>
      <c r="CN862" s="6" t="s">
        <v>262</v>
      </c>
      <c r="CO862" s="5" t="s">
        <v>263</v>
      </c>
      <c r="CP862" s="5" t="s">
        <v>264</v>
      </c>
      <c r="CQ862" s="5" t="s">
        <v>238</v>
      </c>
      <c r="CR862" s="5" t="s">
        <v>238</v>
      </c>
      <c r="CS862" s="5">
        <v>0</v>
      </c>
      <c r="CT862" s="5" t="s">
        <v>265</v>
      </c>
      <c r="CU862" s="5" t="s">
        <v>1360</v>
      </c>
      <c r="CV862" s="5" t="s">
        <v>267</v>
      </c>
      <c r="CX862" s="8">
        <f>12588000</f>
        <v>12588000</v>
      </c>
      <c r="CY862" s="8">
        <f>0</f>
        <v>0</v>
      </c>
      <c r="DA862" s="5" t="s">
        <v>238</v>
      </c>
      <c r="DB862" s="5" t="s">
        <v>238</v>
      </c>
      <c r="DD862" s="5" t="s">
        <v>238</v>
      </c>
      <c r="DG862" s="5" t="s">
        <v>238</v>
      </c>
      <c r="DH862" s="5" t="s">
        <v>238</v>
      </c>
      <c r="DI862" s="5" t="s">
        <v>238</v>
      </c>
      <c r="DJ862" s="5" t="s">
        <v>238</v>
      </c>
      <c r="DK862" s="5" t="s">
        <v>274</v>
      </c>
      <c r="DL862" s="5" t="s">
        <v>272</v>
      </c>
      <c r="DM862" s="7">
        <f>125.88</f>
        <v>125.88</v>
      </c>
      <c r="DN862" s="5" t="s">
        <v>238</v>
      </c>
      <c r="DO862" s="5" t="s">
        <v>238</v>
      </c>
      <c r="DP862" s="5" t="s">
        <v>238</v>
      </c>
      <c r="DQ862" s="5" t="s">
        <v>238</v>
      </c>
      <c r="DT862" s="5" t="s">
        <v>2795</v>
      </c>
      <c r="DU862" s="5" t="s">
        <v>356</v>
      </c>
      <c r="HM862" s="5" t="s">
        <v>271</v>
      </c>
      <c r="HP862" s="5" t="s">
        <v>272</v>
      </c>
      <c r="HQ862" s="5" t="s">
        <v>272</v>
      </c>
    </row>
    <row r="863" spans="1:238" x14ac:dyDescent="0.4">
      <c r="A863" s="5">
        <v>956</v>
      </c>
      <c r="B863" s="5">
        <v>1</v>
      </c>
      <c r="C863" s="5">
        <v>4</v>
      </c>
      <c r="D863" s="5" t="s">
        <v>2651</v>
      </c>
      <c r="E863" s="5" t="s">
        <v>277</v>
      </c>
      <c r="F863" s="5" t="s">
        <v>282</v>
      </c>
      <c r="G863" s="5" t="s">
        <v>2485</v>
      </c>
      <c r="H863" s="6" t="s">
        <v>2653</v>
      </c>
      <c r="I863" s="5" t="s">
        <v>2495</v>
      </c>
      <c r="J863" s="7">
        <f>158.62</f>
        <v>158.62</v>
      </c>
      <c r="K863" s="5" t="s">
        <v>270</v>
      </c>
      <c r="L863" s="8">
        <f>938406</f>
        <v>938406</v>
      </c>
      <c r="M863" s="8">
        <f>27599880</f>
        <v>27599880</v>
      </c>
      <c r="N863" s="6" t="s">
        <v>655</v>
      </c>
      <c r="O863" s="5" t="s">
        <v>286</v>
      </c>
      <c r="P863" s="5" t="s">
        <v>658</v>
      </c>
      <c r="Q863" s="8">
        <f>1269594</f>
        <v>1269594</v>
      </c>
      <c r="R863" s="8">
        <f>26661474</f>
        <v>26661474</v>
      </c>
      <c r="S863" s="5" t="s">
        <v>240</v>
      </c>
      <c r="T863" s="5" t="s">
        <v>237</v>
      </c>
      <c r="U863" s="5" t="s">
        <v>238</v>
      </c>
      <c r="V863" s="5" t="s">
        <v>238</v>
      </c>
      <c r="W863" s="5" t="s">
        <v>241</v>
      </c>
      <c r="X863" s="5" t="s">
        <v>276</v>
      </c>
      <c r="Y863" s="5" t="s">
        <v>238</v>
      </c>
      <c r="AB863" s="5" t="s">
        <v>238</v>
      </c>
      <c r="AC863" s="6" t="s">
        <v>238</v>
      </c>
      <c r="AD863" s="6" t="s">
        <v>238</v>
      </c>
      <c r="AF863" s="6" t="s">
        <v>238</v>
      </c>
      <c r="AG863" s="6" t="s">
        <v>246</v>
      </c>
      <c r="AH863" s="5" t="s">
        <v>247</v>
      </c>
      <c r="AI863" s="5" t="s">
        <v>248</v>
      </c>
      <c r="AO863" s="5" t="s">
        <v>238</v>
      </c>
      <c r="AP863" s="5" t="s">
        <v>238</v>
      </c>
      <c r="AQ863" s="5" t="s">
        <v>238</v>
      </c>
      <c r="AR863" s="6" t="s">
        <v>238</v>
      </c>
      <c r="AS863" s="6" t="s">
        <v>238</v>
      </c>
      <c r="AT863" s="6" t="s">
        <v>238</v>
      </c>
      <c r="AW863" s="5" t="s">
        <v>304</v>
      </c>
      <c r="AX863" s="5" t="s">
        <v>304</v>
      </c>
      <c r="AY863" s="5" t="s">
        <v>250</v>
      </c>
      <c r="AZ863" s="5" t="s">
        <v>305</v>
      </c>
      <c r="BA863" s="5" t="s">
        <v>251</v>
      </c>
      <c r="BB863" s="5" t="s">
        <v>238</v>
      </c>
      <c r="BC863" s="5" t="s">
        <v>253</v>
      </c>
      <c r="BD863" s="5" t="s">
        <v>238</v>
      </c>
      <c r="BF863" s="5" t="s">
        <v>238</v>
      </c>
      <c r="BH863" s="5" t="s">
        <v>283</v>
      </c>
      <c r="BI863" s="6" t="s">
        <v>293</v>
      </c>
      <c r="BJ863" s="5" t="s">
        <v>294</v>
      </c>
      <c r="BK863" s="5" t="s">
        <v>294</v>
      </c>
      <c r="BL863" s="5" t="s">
        <v>238</v>
      </c>
      <c r="BM863" s="7">
        <f>0</f>
        <v>0</v>
      </c>
      <c r="BN863" s="8">
        <f>-1269594</f>
        <v>-1269594</v>
      </c>
      <c r="BO863" s="5" t="s">
        <v>257</v>
      </c>
      <c r="BP863" s="5" t="s">
        <v>258</v>
      </c>
      <c r="BQ863" s="5" t="s">
        <v>238</v>
      </c>
      <c r="BR863" s="5" t="s">
        <v>238</v>
      </c>
      <c r="BS863" s="5" t="s">
        <v>238</v>
      </c>
      <c r="BT863" s="5" t="s">
        <v>238</v>
      </c>
      <c r="CC863" s="5" t="s">
        <v>258</v>
      </c>
      <c r="CD863" s="5" t="s">
        <v>238</v>
      </c>
      <c r="CE863" s="5" t="s">
        <v>238</v>
      </c>
      <c r="CI863" s="5" t="s">
        <v>259</v>
      </c>
      <c r="CJ863" s="5" t="s">
        <v>260</v>
      </c>
      <c r="CK863" s="5" t="s">
        <v>238</v>
      </c>
      <c r="CM863" s="5" t="s">
        <v>657</v>
      </c>
      <c r="CN863" s="6" t="s">
        <v>262</v>
      </c>
      <c r="CO863" s="5" t="s">
        <v>263</v>
      </c>
      <c r="CP863" s="5" t="s">
        <v>264</v>
      </c>
      <c r="CQ863" s="5" t="s">
        <v>285</v>
      </c>
      <c r="CR863" s="5" t="s">
        <v>238</v>
      </c>
      <c r="CS863" s="5">
        <v>4.5999999999999999E-2</v>
      </c>
      <c r="CT863" s="5" t="s">
        <v>265</v>
      </c>
      <c r="CU863" s="5" t="s">
        <v>1360</v>
      </c>
      <c r="CV863" s="5" t="s">
        <v>267</v>
      </c>
      <c r="CW863" s="7">
        <f>0</f>
        <v>0</v>
      </c>
      <c r="CX863" s="8">
        <f>27599880</f>
        <v>27599880</v>
      </c>
      <c r="CY863" s="8">
        <f>2208000</f>
        <v>2208000</v>
      </c>
      <c r="DA863" s="5" t="s">
        <v>238</v>
      </c>
      <c r="DB863" s="5" t="s">
        <v>238</v>
      </c>
      <c r="DD863" s="5" t="s">
        <v>238</v>
      </c>
      <c r="DE863" s="8">
        <f>0</f>
        <v>0</v>
      </c>
      <c r="DG863" s="5" t="s">
        <v>238</v>
      </c>
      <c r="DH863" s="5" t="s">
        <v>238</v>
      </c>
      <c r="DI863" s="5" t="s">
        <v>238</v>
      </c>
      <c r="DJ863" s="5" t="s">
        <v>238</v>
      </c>
      <c r="DK863" s="5" t="s">
        <v>274</v>
      </c>
      <c r="DL863" s="5" t="s">
        <v>272</v>
      </c>
      <c r="DM863" s="7">
        <f>158.62</f>
        <v>158.62</v>
      </c>
      <c r="DN863" s="5" t="s">
        <v>238</v>
      </c>
      <c r="DO863" s="5" t="s">
        <v>238</v>
      </c>
      <c r="DP863" s="5" t="s">
        <v>238</v>
      </c>
      <c r="DQ863" s="5" t="s">
        <v>238</v>
      </c>
      <c r="DT863" s="5" t="s">
        <v>2654</v>
      </c>
      <c r="DU863" s="5" t="s">
        <v>271</v>
      </c>
      <c r="GL863" s="5" t="s">
        <v>2661</v>
      </c>
      <c r="HM863" s="5" t="s">
        <v>313</v>
      </c>
      <c r="HP863" s="5" t="s">
        <v>272</v>
      </c>
      <c r="HQ863" s="5" t="s">
        <v>272</v>
      </c>
      <c r="HR863" s="5" t="s">
        <v>238</v>
      </c>
      <c r="HS863" s="5" t="s">
        <v>238</v>
      </c>
      <c r="HT863" s="5" t="s">
        <v>238</v>
      </c>
      <c r="HU863" s="5" t="s">
        <v>238</v>
      </c>
      <c r="HV863" s="5" t="s">
        <v>238</v>
      </c>
      <c r="HW863" s="5" t="s">
        <v>238</v>
      </c>
      <c r="HX863" s="5" t="s">
        <v>238</v>
      </c>
      <c r="HY863" s="5" t="s">
        <v>238</v>
      </c>
      <c r="HZ863" s="5" t="s">
        <v>238</v>
      </c>
      <c r="IA863" s="5" t="s">
        <v>238</v>
      </c>
      <c r="IB863" s="5" t="s">
        <v>238</v>
      </c>
      <c r="IC863" s="5" t="s">
        <v>238</v>
      </c>
      <c r="ID863" s="5" t="s">
        <v>238</v>
      </c>
    </row>
    <row r="864" spans="1:238" x14ac:dyDescent="0.4">
      <c r="A864" s="5">
        <v>957</v>
      </c>
      <c r="B864" s="5">
        <v>1</v>
      </c>
      <c r="C864" s="5">
        <v>4</v>
      </c>
      <c r="D864" s="5" t="s">
        <v>2651</v>
      </c>
      <c r="E864" s="5" t="s">
        <v>277</v>
      </c>
      <c r="F864" s="5" t="s">
        <v>282</v>
      </c>
      <c r="G864" s="5" t="s">
        <v>2485</v>
      </c>
      <c r="H864" s="6" t="s">
        <v>2653</v>
      </c>
      <c r="I864" s="5" t="s">
        <v>2505</v>
      </c>
      <c r="J864" s="7">
        <f>158.62</f>
        <v>158.62</v>
      </c>
      <c r="K864" s="5" t="s">
        <v>270</v>
      </c>
      <c r="L864" s="8">
        <f>938406</f>
        <v>938406</v>
      </c>
      <c r="M864" s="8">
        <f>27599880</f>
        <v>27599880</v>
      </c>
      <c r="N864" s="6" t="s">
        <v>655</v>
      </c>
      <c r="O864" s="5" t="s">
        <v>286</v>
      </c>
      <c r="P864" s="5" t="s">
        <v>658</v>
      </c>
      <c r="Q864" s="8">
        <f>1269594</f>
        <v>1269594</v>
      </c>
      <c r="R864" s="8">
        <f>26661474</f>
        <v>26661474</v>
      </c>
      <c r="S864" s="5" t="s">
        <v>240</v>
      </c>
      <c r="T864" s="5" t="s">
        <v>237</v>
      </c>
      <c r="U864" s="5" t="s">
        <v>238</v>
      </c>
      <c r="V864" s="5" t="s">
        <v>238</v>
      </c>
      <c r="W864" s="5" t="s">
        <v>241</v>
      </c>
      <c r="X864" s="5" t="s">
        <v>276</v>
      </c>
      <c r="Y864" s="5" t="s">
        <v>238</v>
      </c>
      <c r="AB864" s="5" t="s">
        <v>238</v>
      </c>
      <c r="AC864" s="6" t="s">
        <v>238</v>
      </c>
      <c r="AD864" s="6" t="s">
        <v>238</v>
      </c>
      <c r="AF864" s="6" t="s">
        <v>238</v>
      </c>
      <c r="AG864" s="6" t="s">
        <v>246</v>
      </c>
      <c r="AH864" s="5" t="s">
        <v>247</v>
      </c>
      <c r="AI864" s="5" t="s">
        <v>248</v>
      </c>
      <c r="AO864" s="5" t="s">
        <v>238</v>
      </c>
      <c r="AP864" s="5" t="s">
        <v>238</v>
      </c>
      <c r="AQ864" s="5" t="s">
        <v>238</v>
      </c>
      <c r="AR864" s="6" t="s">
        <v>238</v>
      </c>
      <c r="AS864" s="6" t="s">
        <v>238</v>
      </c>
      <c r="AT864" s="6" t="s">
        <v>238</v>
      </c>
      <c r="AW864" s="5" t="s">
        <v>304</v>
      </c>
      <c r="AX864" s="5" t="s">
        <v>304</v>
      </c>
      <c r="AY864" s="5" t="s">
        <v>250</v>
      </c>
      <c r="AZ864" s="5" t="s">
        <v>305</v>
      </c>
      <c r="BA864" s="5" t="s">
        <v>251</v>
      </c>
      <c r="BB864" s="5" t="s">
        <v>238</v>
      </c>
      <c r="BC864" s="5" t="s">
        <v>253</v>
      </c>
      <c r="BD864" s="5" t="s">
        <v>238</v>
      </c>
      <c r="BF864" s="5" t="s">
        <v>238</v>
      </c>
      <c r="BH864" s="5" t="s">
        <v>283</v>
      </c>
      <c r="BI864" s="6" t="s">
        <v>293</v>
      </c>
      <c r="BJ864" s="5" t="s">
        <v>294</v>
      </c>
      <c r="BK864" s="5" t="s">
        <v>294</v>
      </c>
      <c r="BL864" s="5" t="s">
        <v>238</v>
      </c>
      <c r="BM864" s="7">
        <f>0</f>
        <v>0</v>
      </c>
      <c r="BN864" s="8">
        <f>-1269594</f>
        <v>-1269594</v>
      </c>
      <c r="BO864" s="5" t="s">
        <v>257</v>
      </c>
      <c r="BP864" s="5" t="s">
        <v>258</v>
      </c>
      <c r="BQ864" s="5" t="s">
        <v>238</v>
      </c>
      <c r="BR864" s="5" t="s">
        <v>238</v>
      </c>
      <c r="BS864" s="5" t="s">
        <v>238</v>
      </c>
      <c r="BT864" s="5" t="s">
        <v>238</v>
      </c>
      <c r="CC864" s="5" t="s">
        <v>258</v>
      </c>
      <c r="CD864" s="5" t="s">
        <v>238</v>
      </c>
      <c r="CE864" s="5" t="s">
        <v>238</v>
      </c>
      <c r="CI864" s="5" t="s">
        <v>259</v>
      </c>
      <c r="CJ864" s="5" t="s">
        <v>260</v>
      </c>
      <c r="CK864" s="5" t="s">
        <v>238</v>
      </c>
      <c r="CM864" s="5" t="s">
        <v>657</v>
      </c>
      <c r="CN864" s="6" t="s">
        <v>262</v>
      </c>
      <c r="CO864" s="5" t="s">
        <v>263</v>
      </c>
      <c r="CP864" s="5" t="s">
        <v>264</v>
      </c>
      <c r="CQ864" s="5" t="s">
        <v>285</v>
      </c>
      <c r="CR864" s="5" t="s">
        <v>238</v>
      </c>
      <c r="CS864" s="5">
        <v>4.5999999999999999E-2</v>
      </c>
      <c r="CT864" s="5" t="s">
        <v>265</v>
      </c>
      <c r="CU864" s="5" t="s">
        <v>1360</v>
      </c>
      <c r="CV864" s="5" t="s">
        <v>267</v>
      </c>
      <c r="CW864" s="7">
        <f>0</f>
        <v>0</v>
      </c>
      <c r="CX864" s="8">
        <f>27599880</f>
        <v>27599880</v>
      </c>
      <c r="CY864" s="8">
        <f>2208000</f>
        <v>2208000</v>
      </c>
      <c r="DA864" s="5" t="s">
        <v>238</v>
      </c>
      <c r="DB864" s="5" t="s">
        <v>238</v>
      </c>
      <c r="DD864" s="5" t="s">
        <v>238</v>
      </c>
      <c r="DE864" s="8">
        <f>0</f>
        <v>0</v>
      </c>
      <c r="DG864" s="5" t="s">
        <v>238</v>
      </c>
      <c r="DH864" s="5" t="s">
        <v>238</v>
      </c>
      <c r="DI864" s="5" t="s">
        <v>238</v>
      </c>
      <c r="DJ864" s="5" t="s">
        <v>238</v>
      </c>
      <c r="DK864" s="5" t="s">
        <v>274</v>
      </c>
      <c r="DL864" s="5" t="s">
        <v>272</v>
      </c>
      <c r="DM864" s="7">
        <f>158.62</f>
        <v>158.62</v>
      </c>
      <c r="DN864" s="5" t="s">
        <v>238</v>
      </c>
      <c r="DO864" s="5" t="s">
        <v>238</v>
      </c>
      <c r="DP864" s="5" t="s">
        <v>238</v>
      </c>
      <c r="DQ864" s="5" t="s">
        <v>238</v>
      </c>
      <c r="DT864" s="5" t="s">
        <v>2654</v>
      </c>
      <c r="DU864" s="5" t="s">
        <v>274</v>
      </c>
      <c r="GL864" s="5" t="s">
        <v>2660</v>
      </c>
      <c r="HM864" s="5" t="s">
        <v>313</v>
      </c>
      <c r="HP864" s="5" t="s">
        <v>272</v>
      </c>
      <c r="HQ864" s="5" t="s">
        <v>272</v>
      </c>
      <c r="HR864" s="5" t="s">
        <v>238</v>
      </c>
      <c r="HS864" s="5" t="s">
        <v>238</v>
      </c>
      <c r="HT864" s="5" t="s">
        <v>238</v>
      </c>
      <c r="HU864" s="5" t="s">
        <v>238</v>
      </c>
      <c r="HV864" s="5" t="s">
        <v>238</v>
      </c>
      <c r="HW864" s="5" t="s">
        <v>238</v>
      </c>
      <c r="HX864" s="5" t="s">
        <v>238</v>
      </c>
      <c r="HY864" s="5" t="s">
        <v>238</v>
      </c>
      <c r="HZ864" s="5" t="s">
        <v>238</v>
      </c>
      <c r="IA864" s="5" t="s">
        <v>238</v>
      </c>
      <c r="IB864" s="5" t="s">
        <v>238</v>
      </c>
      <c r="IC864" s="5" t="s">
        <v>238</v>
      </c>
      <c r="ID864" s="5" t="s">
        <v>238</v>
      </c>
    </row>
    <row r="865" spans="1:238" x14ac:dyDescent="0.4">
      <c r="A865" s="5">
        <v>958</v>
      </c>
      <c r="B865" s="5">
        <v>1</v>
      </c>
      <c r="C865" s="5">
        <v>4</v>
      </c>
      <c r="D865" s="5" t="s">
        <v>2651</v>
      </c>
      <c r="E865" s="5" t="s">
        <v>277</v>
      </c>
      <c r="F865" s="5" t="s">
        <v>282</v>
      </c>
      <c r="G865" s="5" t="s">
        <v>2485</v>
      </c>
      <c r="H865" s="6" t="s">
        <v>2653</v>
      </c>
      <c r="I865" s="5" t="s">
        <v>2504</v>
      </c>
      <c r="J865" s="7">
        <f>158.62</f>
        <v>158.62</v>
      </c>
      <c r="K865" s="5" t="s">
        <v>270</v>
      </c>
      <c r="L865" s="8">
        <f>938406</f>
        <v>938406</v>
      </c>
      <c r="M865" s="8">
        <f>27599880</f>
        <v>27599880</v>
      </c>
      <c r="N865" s="6" t="s">
        <v>655</v>
      </c>
      <c r="O865" s="5" t="s">
        <v>286</v>
      </c>
      <c r="P865" s="5" t="s">
        <v>658</v>
      </c>
      <c r="Q865" s="8">
        <f>1269594</f>
        <v>1269594</v>
      </c>
      <c r="R865" s="8">
        <f>26661474</f>
        <v>26661474</v>
      </c>
      <c r="S865" s="5" t="s">
        <v>240</v>
      </c>
      <c r="T865" s="5" t="s">
        <v>237</v>
      </c>
      <c r="U865" s="5" t="s">
        <v>238</v>
      </c>
      <c r="V865" s="5" t="s">
        <v>238</v>
      </c>
      <c r="W865" s="5" t="s">
        <v>241</v>
      </c>
      <c r="X865" s="5" t="s">
        <v>276</v>
      </c>
      <c r="Y865" s="5" t="s">
        <v>238</v>
      </c>
      <c r="AB865" s="5" t="s">
        <v>238</v>
      </c>
      <c r="AC865" s="6" t="s">
        <v>238</v>
      </c>
      <c r="AD865" s="6" t="s">
        <v>238</v>
      </c>
      <c r="AF865" s="6" t="s">
        <v>238</v>
      </c>
      <c r="AG865" s="6" t="s">
        <v>246</v>
      </c>
      <c r="AH865" s="5" t="s">
        <v>247</v>
      </c>
      <c r="AI865" s="5" t="s">
        <v>248</v>
      </c>
      <c r="AO865" s="5" t="s">
        <v>238</v>
      </c>
      <c r="AP865" s="5" t="s">
        <v>238</v>
      </c>
      <c r="AQ865" s="5" t="s">
        <v>238</v>
      </c>
      <c r="AR865" s="6" t="s">
        <v>238</v>
      </c>
      <c r="AS865" s="6" t="s">
        <v>238</v>
      </c>
      <c r="AT865" s="6" t="s">
        <v>238</v>
      </c>
      <c r="AW865" s="5" t="s">
        <v>304</v>
      </c>
      <c r="AX865" s="5" t="s">
        <v>304</v>
      </c>
      <c r="AY865" s="5" t="s">
        <v>250</v>
      </c>
      <c r="AZ865" s="5" t="s">
        <v>305</v>
      </c>
      <c r="BA865" s="5" t="s">
        <v>251</v>
      </c>
      <c r="BB865" s="5" t="s">
        <v>238</v>
      </c>
      <c r="BC865" s="5" t="s">
        <v>253</v>
      </c>
      <c r="BD865" s="5" t="s">
        <v>238</v>
      </c>
      <c r="BF865" s="5" t="s">
        <v>238</v>
      </c>
      <c r="BH865" s="5" t="s">
        <v>283</v>
      </c>
      <c r="BI865" s="6" t="s">
        <v>293</v>
      </c>
      <c r="BJ865" s="5" t="s">
        <v>294</v>
      </c>
      <c r="BK865" s="5" t="s">
        <v>294</v>
      </c>
      <c r="BL865" s="5" t="s">
        <v>238</v>
      </c>
      <c r="BM865" s="7">
        <f>0</f>
        <v>0</v>
      </c>
      <c r="BN865" s="8">
        <f>-1269594</f>
        <v>-1269594</v>
      </c>
      <c r="BO865" s="5" t="s">
        <v>257</v>
      </c>
      <c r="BP865" s="5" t="s">
        <v>258</v>
      </c>
      <c r="BQ865" s="5" t="s">
        <v>238</v>
      </c>
      <c r="BR865" s="5" t="s">
        <v>238</v>
      </c>
      <c r="BS865" s="5" t="s">
        <v>238</v>
      </c>
      <c r="BT865" s="5" t="s">
        <v>238</v>
      </c>
      <c r="CC865" s="5" t="s">
        <v>258</v>
      </c>
      <c r="CD865" s="5" t="s">
        <v>238</v>
      </c>
      <c r="CE865" s="5" t="s">
        <v>238</v>
      </c>
      <c r="CI865" s="5" t="s">
        <v>259</v>
      </c>
      <c r="CJ865" s="5" t="s">
        <v>260</v>
      </c>
      <c r="CK865" s="5" t="s">
        <v>238</v>
      </c>
      <c r="CM865" s="5" t="s">
        <v>657</v>
      </c>
      <c r="CN865" s="6" t="s">
        <v>262</v>
      </c>
      <c r="CO865" s="5" t="s">
        <v>263</v>
      </c>
      <c r="CP865" s="5" t="s">
        <v>264</v>
      </c>
      <c r="CQ865" s="5" t="s">
        <v>285</v>
      </c>
      <c r="CR865" s="5" t="s">
        <v>238</v>
      </c>
      <c r="CS865" s="5">
        <v>4.5999999999999999E-2</v>
      </c>
      <c r="CT865" s="5" t="s">
        <v>265</v>
      </c>
      <c r="CU865" s="5" t="s">
        <v>1360</v>
      </c>
      <c r="CV865" s="5" t="s">
        <v>267</v>
      </c>
      <c r="CW865" s="7">
        <f>0</f>
        <v>0</v>
      </c>
      <c r="CX865" s="8">
        <f>27599880</f>
        <v>27599880</v>
      </c>
      <c r="CY865" s="8">
        <f>2208000</f>
        <v>2208000</v>
      </c>
      <c r="DA865" s="5" t="s">
        <v>238</v>
      </c>
      <c r="DB865" s="5" t="s">
        <v>238</v>
      </c>
      <c r="DD865" s="5" t="s">
        <v>238</v>
      </c>
      <c r="DE865" s="8">
        <f>0</f>
        <v>0</v>
      </c>
      <c r="DG865" s="5" t="s">
        <v>238</v>
      </c>
      <c r="DH865" s="5" t="s">
        <v>238</v>
      </c>
      <c r="DI865" s="5" t="s">
        <v>238</v>
      </c>
      <c r="DJ865" s="5" t="s">
        <v>238</v>
      </c>
      <c r="DK865" s="5" t="s">
        <v>274</v>
      </c>
      <c r="DL865" s="5" t="s">
        <v>272</v>
      </c>
      <c r="DM865" s="7">
        <f>158.62</f>
        <v>158.62</v>
      </c>
      <c r="DN865" s="5" t="s">
        <v>238</v>
      </c>
      <c r="DO865" s="5" t="s">
        <v>238</v>
      </c>
      <c r="DP865" s="5" t="s">
        <v>238</v>
      </c>
      <c r="DQ865" s="5" t="s">
        <v>238</v>
      </c>
      <c r="DT865" s="5" t="s">
        <v>2654</v>
      </c>
      <c r="DU865" s="5" t="s">
        <v>356</v>
      </c>
      <c r="GL865" s="5" t="s">
        <v>2659</v>
      </c>
      <c r="HM865" s="5" t="s">
        <v>313</v>
      </c>
      <c r="HP865" s="5" t="s">
        <v>272</v>
      </c>
      <c r="HQ865" s="5" t="s">
        <v>272</v>
      </c>
      <c r="HR865" s="5" t="s">
        <v>238</v>
      </c>
      <c r="HS865" s="5" t="s">
        <v>238</v>
      </c>
      <c r="HT865" s="5" t="s">
        <v>238</v>
      </c>
      <c r="HU865" s="5" t="s">
        <v>238</v>
      </c>
      <c r="HV865" s="5" t="s">
        <v>238</v>
      </c>
      <c r="HW865" s="5" t="s">
        <v>238</v>
      </c>
      <c r="HX865" s="5" t="s">
        <v>238</v>
      </c>
      <c r="HY865" s="5" t="s">
        <v>238</v>
      </c>
      <c r="HZ865" s="5" t="s">
        <v>238</v>
      </c>
      <c r="IA865" s="5" t="s">
        <v>238</v>
      </c>
      <c r="IB865" s="5" t="s">
        <v>238</v>
      </c>
      <c r="IC865" s="5" t="s">
        <v>238</v>
      </c>
      <c r="ID865" s="5" t="s">
        <v>238</v>
      </c>
    </row>
    <row r="866" spans="1:238" x14ac:dyDescent="0.4">
      <c r="A866" s="5">
        <v>959</v>
      </c>
      <c r="B866" s="5">
        <v>1</v>
      </c>
      <c r="C866" s="5">
        <v>4</v>
      </c>
      <c r="D866" s="5" t="s">
        <v>2651</v>
      </c>
      <c r="E866" s="5" t="s">
        <v>277</v>
      </c>
      <c r="F866" s="5" t="s">
        <v>282</v>
      </c>
      <c r="G866" s="5" t="s">
        <v>2485</v>
      </c>
      <c r="H866" s="6" t="s">
        <v>2653</v>
      </c>
      <c r="I866" s="5" t="s">
        <v>2494</v>
      </c>
      <c r="J866" s="7">
        <f>74.6</f>
        <v>74.599999999999994</v>
      </c>
      <c r="K866" s="5" t="s">
        <v>270</v>
      </c>
      <c r="L866" s="8">
        <f>3584530</f>
        <v>3584530</v>
      </c>
      <c r="M866" s="8">
        <f>11563000</f>
        <v>11563000</v>
      </c>
      <c r="N866" s="6" t="s">
        <v>316</v>
      </c>
      <c r="O866" s="5" t="s">
        <v>286</v>
      </c>
      <c r="P866" s="5" t="s">
        <v>319</v>
      </c>
      <c r="Q866" s="8">
        <f>531898</f>
        <v>531898</v>
      </c>
      <c r="R866" s="8">
        <f>7978470</f>
        <v>7978470</v>
      </c>
      <c r="S866" s="5" t="s">
        <v>240</v>
      </c>
      <c r="T866" s="5" t="s">
        <v>237</v>
      </c>
      <c r="U866" s="5" t="s">
        <v>238</v>
      </c>
      <c r="V866" s="5" t="s">
        <v>238</v>
      </c>
      <c r="W866" s="5" t="s">
        <v>241</v>
      </c>
      <c r="X866" s="5" t="s">
        <v>276</v>
      </c>
      <c r="Y866" s="5" t="s">
        <v>238</v>
      </c>
      <c r="AB866" s="5" t="s">
        <v>238</v>
      </c>
      <c r="AC866" s="6" t="s">
        <v>238</v>
      </c>
      <c r="AD866" s="6" t="s">
        <v>238</v>
      </c>
      <c r="AF866" s="6" t="s">
        <v>238</v>
      </c>
      <c r="AG866" s="6" t="s">
        <v>246</v>
      </c>
      <c r="AH866" s="5" t="s">
        <v>247</v>
      </c>
      <c r="AI866" s="5" t="s">
        <v>248</v>
      </c>
      <c r="AO866" s="5" t="s">
        <v>238</v>
      </c>
      <c r="AP866" s="5" t="s">
        <v>238</v>
      </c>
      <c r="AQ866" s="5" t="s">
        <v>238</v>
      </c>
      <c r="AR866" s="6" t="s">
        <v>238</v>
      </c>
      <c r="AS866" s="6" t="s">
        <v>238</v>
      </c>
      <c r="AT866" s="6" t="s">
        <v>238</v>
      </c>
      <c r="AW866" s="5" t="s">
        <v>304</v>
      </c>
      <c r="AX866" s="5" t="s">
        <v>304</v>
      </c>
      <c r="AY866" s="5" t="s">
        <v>250</v>
      </c>
      <c r="AZ866" s="5" t="s">
        <v>305</v>
      </c>
      <c r="BA866" s="5" t="s">
        <v>251</v>
      </c>
      <c r="BB866" s="5" t="s">
        <v>238</v>
      </c>
      <c r="BC866" s="5" t="s">
        <v>253</v>
      </c>
      <c r="BD866" s="5" t="s">
        <v>238</v>
      </c>
      <c r="BF866" s="5" t="s">
        <v>238</v>
      </c>
      <c r="BH866" s="5" t="s">
        <v>283</v>
      </c>
      <c r="BI866" s="6" t="s">
        <v>293</v>
      </c>
      <c r="BJ866" s="5" t="s">
        <v>294</v>
      </c>
      <c r="BK866" s="5" t="s">
        <v>294</v>
      </c>
      <c r="BL866" s="5" t="s">
        <v>238</v>
      </c>
      <c r="BM866" s="7">
        <f>0</f>
        <v>0</v>
      </c>
      <c r="BN866" s="8">
        <f>-531898</f>
        <v>-531898</v>
      </c>
      <c r="BO866" s="5" t="s">
        <v>257</v>
      </c>
      <c r="BP866" s="5" t="s">
        <v>258</v>
      </c>
      <c r="BQ866" s="5" t="s">
        <v>238</v>
      </c>
      <c r="BR866" s="5" t="s">
        <v>238</v>
      </c>
      <c r="BS866" s="5" t="s">
        <v>238</v>
      </c>
      <c r="BT866" s="5" t="s">
        <v>238</v>
      </c>
      <c r="CC866" s="5" t="s">
        <v>258</v>
      </c>
      <c r="CD866" s="5" t="s">
        <v>238</v>
      </c>
      <c r="CE866" s="5" t="s">
        <v>238</v>
      </c>
      <c r="CI866" s="5" t="s">
        <v>259</v>
      </c>
      <c r="CJ866" s="5" t="s">
        <v>260</v>
      </c>
      <c r="CK866" s="5" t="s">
        <v>238</v>
      </c>
      <c r="CM866" s="5" t="s">
        <v>318</v>
      </c>
      <c r="CN866" s="6" t="s">
        <v>262</v>
      </c>
      <c r="CO866" s="5" t="s">
        <v>263</v>
      </c>
      <c r="CP866" s="5" t="s">
        <v>264</v>
      </c>
      <c r="CQ866" s="5" t="s">
        <v>285</v>
      </c>
      <c r="CR866" s="5" t="s">
        <v>238</v>
      </c>
      <c r="CS866" s="5">
        <v>4.5999999999999999E-2</v>
      </c>
      <c r="CT866" s="5" t="s">
        <v>265</v>
      </c>
      <c r="CU866" s="5" t="s">
        <v>1360</v>
      </c>
      <c r="CV866" s="5" t="s">
        <v>267</v>
      </c>
      <c r="CW866" s="7">
        <f>0</f>
        <v>0</v>
      </c>
      <c r="CX866" s="8">
        <f>11563000</f>
        <v>11563000</v>
      </c>
      <c r="CY866" s="8">
        <f>4116428</f>
        <v>4116428</v>
      </c>
      <c r="DA866" s="5" t="s">
        <v>238</v>
      </c>
      <c r="DB866" s="5" t="s">
        <v>238</v>
      </c>
      <c r="DD866" s="5" t="s">
        <v>238</v>
      </c>
      <c r="DE866" s="8">
        <f>0</f>
        <v>0</v>
      </c>
      <c r="DG866" s="5" t="s">
        <v>238</v>
      </c>
      <c r="DH866" s="5" t="s">
        <v>238</v>
      </c>
      <c r="DI866" s="5" t="s">
        <v>238</v>
      </c>
      <c r="DJ866" s="5" t="s">
        <v>238</v>
      </c>
      <c r="DK866" s="5" t="s">
        <v>271</v>
      </c>
      <c r="DL866" s="5" t="s">
        <v>272</v>
      </c>
      <c r="DM866" s="7">
        <f>74.6</f>
        <v>74.599999999999994</v>
      </c>
      <c r="DN866" s="5" t="s">
        <v>238</v>
      </c>
      <c r="DO866" s="5" t="s">
        <v>238</v>
      </c>
      <c r="DP866" s="5" t="s">
        <v>238</v>
      </c>
      <c r="DQ866" s="5" t="s">
        <v>238</v>
      </c>
      <c r="DT866" s="5" t="s">
        <v>2654</v>
      </c>
      <c r="DU866" s="5" t="s">
        <v>310</v>
      </c>
      <c r="GL866" s="5" t="s">
        <v>2658</v>
      </c>
      <c r="HM866" s="5" t="s">
        <v>313</v>
      </c>
      <c r="HP866" s="5" t="s">
        <v>272</v>
      </c>
      <c r="HQ866" s="5" t="s">
        <v>272</v>
      </c>
      <c r="HR866" s="5" t="s">
        <v>238</v>
      </c>
      <c r="HS866" s="5" t="s">
        <v>238</v>
      </c>
      <c r="HT866" s="5" t="s">
        <v>238</v>
      </c>
      <c r="HU866" s="5" t="s">
        <v>238</v>
      </c>
      <c r="HV866" s="5" t="s">
        <v>238</v>
      </c>
      <c r="HW866" s="5" t="s">
        <v>238</v>
      </c>
      <c r="HX866" s="5" t="s">
        <v>238</v>
      </c>
      <c r="HY866" s="5" t="s">
        <v>238</v>
      </c>
      <c r="HZ866" s="5" t="s">
        <v>238</v>
      </c>
      <c r="IA866" s="5" t="s">
        <v>238</v>
      </c>
      <c r="IB866" s="5" t="s">
        <v>238</v>
      </c>
      <c r="IC866" s="5" t="s">
        <v>238</v>
      </c>
      <c r="ID866" s="5" t="s">
        <v>238</v>
      </c>
    </row>
    <row r="867" spans="1:238" x14ac:dyDescent="0.4">
      <c r="A867" s="5">
        <v>960</v>
      </c>
      <c r="B867" s="5">
        <v>1</v>
      </c>
      <c r="C867" s="5">
        <v>4</v>
      </c>
      <c r="D867" s="5" t="s">
        <v>2651</v>
      </c>
      <c r="E867" s="5" t="s">
        <v>277</v>
      </c>
      <c r="F867" s="5" t="s">
        <v>282</v>
      </c>
      <c r="G867" s="5" t="s">
        <v>2485</v>
      </c>
      <c r="H867" s="6" t="s">
        <v>2653</v>
      </c>
      <c r="I867" s="5" t="s">
        <v>2520</v>
      </c>
      <c r="J867" s="7">
        <f>74.6</f>
        <v>74.599999999999994</v>
      </c>
      <c r="K867" s="5" t="s">
        <v>270</v>
      </c>
      <c r="L867" s="8">
        <f>5109846</f>
        <v>5109846</v>
      </c>
      <c r="M867" s="8">
        <f>14353500</f>
        <v>14353500</v>
      </c>
      <c r="N867" s="6" t="s">
        <v>2652</v>
      </c>
      <c r="O867" s="5" t="s">
        <v>286</v>
      </c>
      <c r="P867" s="5" t="s">
        <v>395</v>
      </c>
      <c r="Q867" s="8">
        <f>660261</f>
        <v>660261</v>
      </c>
      <c r="R867" s="8">
        <f>9243654</f>
        <v>9243654</v>
      </c>
      <c r="S867" s="5" t="s">
        <v>240</v>
      </c>
      <c r="T867" s="5" t="s">
        <v>237</v>
      </c>
      <c r="U867" s="5" t="s">
        <v>238</v>
      </c>
      <c r="V867" s="5" t="s">
        <v>238</v>
      </c>
      <c r="W867" s="5" t="s">
        <v>241</v>
      </c>
      <c r="X867" s="5" t="s">
        <v>276</v>
      </c>
      <c r="Y867" s="5" t="s">
        <v>238</v>
      </c>
      <c r="AB867" s="5" t="s">
        <v>238</v>
      </c>
      <c r="AC867" s="6" t="s">
        <v>238</v>
      </c>
      <c r="AD867" s="6" t="s">
        <v>238</v>
      </c>
      <c r="AF867" s="6" t="s">
        <v>238</v>
      </c>
      <c r="AG867" s="6" t="s">
        <v>246</v>
      </c>
      <c r="AH867" s="5" t="s">
        <v>247</v>
      </c>
      <c r="AI867" s="5" t="s">
        <v>248</v>
      </c>
      <c r="AO867" s="5" t="s">
        <v>238</v>
      </c>
      <c r="AP867" s="5" t="s">
        <v>238</v>
      </c>
      <c r="AQ867" s="5" t="s">
        <v>238</v>
      </c>
      <c r="AR867" s="6" t="s">
        <v>238</v>
      </c>
      <c r="AS867" s="6" t="s">
        <v>238</v>
      </c>
      <c r="AT867" s="6" t="s">
        <v>238</v>
      </c>
      <c r="AW867" s="5" t="s">
        <v>304</v>
      </c>
      <c r="AX867" s="5" t="s">
        <v>304</v>
      </c>
      <c r="AY867" s="5" t="s">
        <v>250</v>
      </c>
      <c r="AZ867" s="5" t="s">
        <v>305</v>
      </c>
      <c r="BA867" s="5" t="s">
        <v>251</v>
      </c>
      <c r="BB867" s="5" t="s">
        <v>238</v>
      </c>
      <c r="BC867" s="5" t="s">
        <v>253</v>
      </c>
      <c r="BD867" s="5" t="s">
        <v>238</v>
      </c>
      <c r="BF867" s="5" t="s">
        <v>238</v>
      </c>
      <c r="BH867" s="5" t="s">
        <v>283</v>
      </c>
      <c r="BI867" s="6" t="s">
        <v>293</v>
      </c>
      <c r="BJ867" s="5" t="s">
        <v>294</v>
      </c>
      <c r="BK867" s="5" t="s">
        <v>294</v>
      </c>
      <c r="BL867" s="5" t="s">
        <v>238</v>
      </c>
      <c r="BM867" s="7">
        <f>0</f>
        <v>0</v>
      </c>
      <c r="BN867" s="8">
        <f>-660261</f>
        <v>-660261</v>
      </c>
      <c r="BO867" s="5" t="s">
        <v>257</v>
      </c>
      <c r="BP867" s="5" t="s">
        <v>258</v>
      </c>
      <c r="BQ867" s="5" t="s">
        <v>238</v>
      </c>
      <c r="BR867" s="5" t="s">
        <v>238</v>
      </c>
      <c r="BS867" s="5" t="s">
        <v>238</v>
      </c>
      <c r="BT867" s="5" t="s">
        <v>238</v>
      </c>
      <c r="CC867" s="5" t="s">
        <v>258</v>
      </c>
      <c r="CD867" s="5" t="s">
        <v>238</v>
      </c>
      <c r="CE867" s="5" t="s">
        <v>238</v>
      </c>
      <c r="CI867" s="5" t="s">
        <v>259</v>
      </c>
      <c r="CJ867" s="5" t="s">
        <v>260</v>
      </c>
      <c r="CK867" s="5" t="s">
        <v>238</v>
      </c>
      <c r="CM867" s="5" t="s">
        <v>393</v>
      </c>
      <c r="CN867" s="6" t="s">
        <v>262</v>
      </c>
      <c r="CO867" s="5" t="s">
        <v>263</v>
      </c>
      <c r="CP867" s="5" t="s">
        <v>264</v>
      </c>
      <c r="CQ867" s="5" t="s">
        <v>285</v>
      </c>
      <c r="CR867" s="5" t="s">
        <v>238</v>
      </c>
      <c r="CS867" s="5">
        <v>4.5999999999999999E-2</v>
      </c>
      <c r="CT867" s="5" t="s">
        <v>265</v>
      </c>
      <c r="CU867" s="5" t="s">
        <v>1360</v>
      </c>
      <c r="CV867" s="5" t="s">
        <v>267</v>
      </c>
      <c r="CW867" s="7">
        <f>0</f>
        <v>0</v>
      </c>
      <c r="CX867" s="8">
        <f>14353500</f>
        <v>14353500</v>
      </c>
      <c r="CY867" s="8">
        <f>5770107</f>
        <v>5770107</v>
      </c>
      <c r="DA867" s="5" t="s">
        <v>238</v>
      </c>
      <c r="DB867" s="5" t="s">
        <v>238</v>
      </c>
      <c r="DD867" s="5" t="s">
        <v>238</v>
      </c>
      <c r="DE867" s="8">
        <f>0</f>
        <v>0</v>
      </c>
      <c r="DG867" s="5" t="s">
        <v>238</v>
      </c>
      <c r="DH867" s="5" t="s">
        <v>238</v>
      </c>
      <c r="DI867" s="5" t="s">
        <v>238</v>
      </c>
      <c r="DJ867" s="5" t="s">
        <v>238</v>
      </c>
      <c r="DK867" s="5" t="s">
        <v>271</v>
      </c>
      <c r="DL867" s="5" t="s">
        <v>272</v>
      </c>
      <c r="DM867" s="7">
        <f>74.6</f>
        <v>74.599999999999994</v>
      </c>
      <c r="DN867" s="5" t="s">
        <v>238</v>
      </c>
      <c r="DO867" s="5" t="s">
        <v>238</v>
      </c>
      <c r="DP867" s="5" t="s">
        <v>238</v>
      </c>
      <c r="DQ867" s="5" t="s">
        <v>238</v>
      </c>
      <c r="DT867" s="5" t="s">
        <v>2654</v>
      </c>
      <c r="DU867" s="5" t="s">
        <v>379</v>
      </c>
      <c r="GL867" s="5" t="s">
        <v>2657</v>
      </c>
      <c r="HM867" s="5" t="s">
        <v>313</v>
      </c>
      <c r="HP867" s="5" t="s">
        <v>272</v>
      </c>
      <c r="HQ867" s="5" t="s">
        <v>272</v>
      </c>
      <c r="HR867" s="5" t="s">
        <v>238</v>
      </c>
      <c r="HS867" s="5" t="s">
        <v>238</v>
      </c>
      <c r="HT867" s="5" t="s">
        <v>238</v>
      </c>
      <c r="HU867" s="5" t="s">
        <v>238</v>
      </c>
      <c r="HV867" s="5" t="s">
        <v>238</v>
      </c>
      <c r="HW867" s="5" t="s">
        <v>238</v>
      </c>
      <c r="HX867" s="5" t="s">
        <v>238</v>
      </c>
      <c r="HY867" s="5" t="s">
        <v>238</v>
      </c>
      <c r="HZ867" s="5" t="s">
        <v>238</v>
      </c>
      <c r="IA867" s="5" t="s">
        <v>238</v>
      </c>
      <c r="IB867" s="5" t="s">
        <v>238</v>
      </c>
      <c r="IC867" s="5" t="s">
        <v>238</v>
      </c>
      <c r="ID867" s="5" t="s">
        <v>238</v>
      </c>
    </row>
    <row r="868" spans="1:238" x14ac:dyDescent="0.4">
      <c r="A868" s="5">
        <v>961</v>
      </c>
      <c r="B868" s="5">
        <v>1</v>
      </c>
      <c r="C868" s="5">
        <v>4</v>
      </c>
      <c r="D868" s="5" t="s">
        <v>2651</v>
      </c>
      <c r="E868" s="5" t="s">
        <v>277</v>
      </c>
      <c r="F868" s="5" t="s">
        <v>282</v>
      </c>
      <c r="G868" s="5" t="s">
        <v>2485</v>
      </c>
      <c r="H868" s="6" t="s">
        <v>2653</v>
      </c>
      <c r="I868" s="5" t="s">
        <v>2489</v>
      </c>
      <c r="J868" s="7">
        <f>74.6</f>
        <v>74.599999999999994</v>
      </c>
      <c r="K868" s="5" t="s">
        <v>270</v>
      </c>
      <c r="L868" s="8">
        <f>3584530</f>
        <v>3584530</v>
      </c>
      <c r="M868" s="8">
        <f>11563000</f>
        <v>11563000</v>
      </c>
      <c r="N868" s="6" t="s">
        <v>316</v>
      </c>
      <c r="O868" s="5" t="s">
        <v>286</v>
      </c>
      <c r="P868" s="5" t="s">
        <v>319</v>
      </c>
      <c r="Q868" s="8">
        <f>531898</f>
        <v>531898</v>
      </c>
      <c r="R868" s="8">
        <f>7978470</f>
        <v>7978470</v>
      </c>
      <c r="S868" s="5" t="s">
        <v>240</v>
      </c>
      <c r="T868" s="5" t="s">
        <v>287</v>
      </c>
      <c r="U868" s="5" t="s">
        <v>238</v>
      </c>
      <c r="V868" s="5" t="s">
        <v>238</v>
      </c>
      <c r="W868" s="5" t="s">
        <v>241</v>
      </c>
      <c r="X868" s="5" t="s">
        <v>276</v>
      </c>
      <c r="Y868" s="5" t="s">
        <v>238</v>
      </c>
      <c r="AB868" s="5" t="s">
        <v>238</v>
      </c>
      <c r="AC868" s="6" t="s">
        <v>238</v>
      </c>
      <c r="AD868" s="6" t="s">
        <v>238</v>
      </c>
      <c r="AF868" s="6" t="s">
        <v>238</v>
      </c>
      <c r="AG868" s="6" t="s">
        <v>246</v>
      </c>
      <c r="AH868" s="5" t="s">
        <v>247</v>
      </c>
      <c r="AI868" s="5" t="s">
        <v>248</v>
      </c>
      <c r="AO868" s="5" t="s">
        <v>238</v>
      </c>
      <c r="AP868" s="5" t="s">
        <v>238</v>
      </c>
      <c r="AQ868" s="5" t="s">
        <v>238</v>
      </c>
      <c r="AR868" s="6" t="s">
        <v>238</v>
      </c>
      <c r="AS868" s="6" t="s">
        <v>238</v>
      </c>
      <c r="AT868" s="6" t="s">
        <v>238</v>
      </c>
      <c r="AW868" s="5" t="s">
        <v>304</v>
      </c>
      <c r="AX868" s="5" t="s">
        <v>304</v>
      </c>
      <c r="AY868" s="5" t="s">
        <v>250</v>
      </c>
      <c r="AZ868" s="5" t="s">
        <v>305</v>
      </c>
      <c r="BA868" s="5" t="s">
        <v>251</v>
      </c>
      <c r="BB868" s="5" t="s">
        <v>238</v>
      </c>
      <c r="BC868" s="5" t="s">
        <v>253</v>
      </c>
      <c r="BD868" s="5" t="s">
        <v>238</v>
      </c>
      <c r="BF868" s="5" t="s">
        <v>238</v>
      </c>
      <c r="BH868" s="5" t="s">
        <v>283</v>
      </c>
      <c r="BI868" s="6" t="s">
        <v>293</v>
      </c>
      <c r="BJ868" s="5" t="s">
        <v>294</v>
      </c>
      <c r="BK868" s="5" t="s">
        <v>294</v>
      </c>
      <c r="BL868" s="5" t="s">
        <v>238</v>
      </c>
      <c r="BM868" s="7">
        <f>0</f>
        <v>0</v>
      </c>
      <c r="BN868" s="8">
        <f>-531898</f>
        <v>-531898</v>
      </c>
      <c r="BO868" s="5" t="s">
        <v>257</v>
      </c>
      <c r="BP868" s="5" t="s">
        <v>258</v>
      </c>
      <c r="BQ868" s="5" t="s">
        <v>238</v>
      </c>
      <c r="BR868" s="5" t="s">
        <v>238</v>
      </c>
      <c r="BS868" s="5" t="s">
        <v>238</v>
      </c>
      <c r="BT868" s="5" t="s">
        <v>238</v>
      </c>
      <c r="CC868" s="5" t="s">
        <v>258</v>
      </c>
      <c r="CD868" s="5" t="s">
        <v>238</v>
      </c>
      <c r="CE868" s="5" t="s">
        <v>238</v>
      </c>
      <c r="CI868" s="5" t="s">
        <v>259</v>
      </c>
      <c r="CJ868" s="5" t="s">
        <v>260</v>
      </c>
      <c r="CK868" s="5" t="s">
        <v>238</v>
      </c>
      <c r="CM868" s="5" t="s">
        <v>318</v>
      </c>
      <c r="CN868" s="6" t="s">
        <v>262</v>
      </c>
      <c r="CO868" s="5" t="s">
        <v>263</v>
      </c>
      <c r="CP868" s="5" t="s">
        <v>264</v>
      </c>
      <c r="CQ868" s="5" t="s">
        <v>285</v>
      </c>
      <c r="CR868" s="5" t="s">
        <v>238</v>
      </c>
      <c r="CS868" s="5">
        <v>4.5999999999999999E-2</v>
      </c>
      <c r="CT868" s="5" t="s">
        <v>265</v>
      </c>
      <c r="CU868" s="5" t="s">
        <v>1360</v>
      </c>
      <c r="CV868" s="5" t="s">
        <v>267</v>
      </c>
      <c r="CW868" s="7">
        <f>0</f>
        <v>0</v>
      </c>
      <c r="CX868" s="8">
        <f>11563000</f>
        <v>11563000</v>
      </c>
      <c r="CY868" s="8">
        <f>4116428</f>
        <v>4116428</v>
      </c>
      <c r="DA868" s="5" t="s">
        <v>238</v>
      </c>
      <c r="DB868" s="5" t="s">
        <v>238</v>
      </c>
      <c r="DD868" s="5" t="s">
        <v>238</v>
      </c>
      <c r="DE868" s="8">
        <f>0</f>
        <v>0</v>
      </c>
      <c r="DG868" s="5" t="s">
        <v>238</v>
      </c>
      <c r="DH868" s="5" t="s">
        <v>238</v>
      </c>
      <c r="DI868" s="5" t="s">
        <v>238</v>
      </c>
      <c r="DJ868" s="5" t="s">
        <v>238</v>
      </c>
      <c r="DK868" s="5" t="s">
        <v>272</v>
      </c>
      <c r="DL868" s="5" t="s">
        <v>272</v>
      </c>
      <c r="DM868" s="7">
        <f>74.6</f>
        <v>74.599999999999994</v>
      </c>
      <c r="DN868" s="5" t="s">
        <v>238</v>
      </c>
      <c r="DO868" s="5" t="s">
        <v>238</v>
      </c>
      <c r="DP868" s="5" t="s">
        <v>238</v>
      </c>
      <c r="DQ868" s="5" t="s">
        <v>238</v>
      </c>
      <c r="DT868" s="5" t="s">
        <v>2654</v>
      </c>
      <c r="DU868" s="5" t="s">
        <v>313</v>
      </c>
      <c r="GL868" s="5" t="s">
        <v>2656</v>
      </c>
      <c r="HM868" s="5" t="s">
        <v>313</v>
      </c>
      <c r="HP868" s="5" t="s">
        <v>272</v>
      </c>
      <c r="HQ868" s="5" t="s">
        <v>272</v>
      </c>
      <c r="HR868" s="5" t="s">
        <v>238</v>
      </c>
      <c r="HS868" s="5" t="s">
        <v>238</v>
      </c>
      <c r="HT868" s="5" t="s">
        <v>238</v>
      </c>
      <c r="HU868" s="5" t="s">
        <v>238</v>
      </c>
      <c r="HV868" s="5" t="s">
        <v>238</v>
      </c>
      <c r="HW868" s="5" t="s">
        <v>238</v>
      </c>
      <c r="HX868" s="5" t="s">
        <v>238</v>
      </c>
      <c r="HY868" s="5" t="s">
        <v>238</v>
      </c>
      <c r="HZ868" s="5" t="s">
        <v>238</v>
      </c>
      <c r="IA868" s="5" t="s">
        <v>238</v>
      </c>
      <c r="IB868" s="5" t="s">
        <v>238</v>
      </c>
      <c r="IC868" s="5" t="s">
        <v>238</v>
      </c>
      <c r="ID868" s="5" t="s">
        <v>238</v>
      </c>
    </row>
    <row r="869" spans="1:238" x14ac:dyDescent="0.4">
      <c r="A869" s="5">
        <v>962</v>
      </c>
      <c r="B869" s="5">
        <v>1</v>
      </c>
      <c r="C869" s="5">
        <v>4</v>
      </c>
      <c r="D869" s="5" t="s">
        <v>2651</v>
      </c>
      <c r="E869" s="5" t="s">
        <v>277</v>
      </c>
      <c r="F869" s="5" t="s">
        <v>282</v>
      </c>
      <c r="G869" s="5" t="s">
        <v>2485</v>
      </c>
      <c r="H869" s="6" t="s">
        <v>2653</v>
      </c>
      <c r="I869" s="5" t="s">
        <v>2516</v>
      </c>
      <c r="J869" s="7">
        <f>74.6</f>
        <v>74.599999999999994</v>
      </c>
      <c r="K869" s="5" t="s">
        <v>270</v>
      </c>
      <c r="L869" s="8">
        <f>5109846</f>
        <v>5109846</v>
      </c>
      <c r="M869" s="8">
        <f>14353500</f>
        <v>14353500</v>
      </c>
      <c r="N869" s="6" t="s">
        <v>2652</v>
      </c>
      <c r="O869" s="5" t="s">
        <v>286</v>
      </c>
      <c r="P869" s="5" t="s">
        <v>395</v>
      </c>
      <c r="Q869" s="8">
        <f>660261</f>
        <v>660261</v>
      </c>
      <c r="R869" s="8">
        <f>9243654</f>
        <v>9243654</v>
      </c>
      <c r="S869" s="5" t="s">
        <v>240</v>
      </c>
      <c r="T869" s="5" t="s">
        <v>287</v>
      </c>
      <c r="U869" s="5" t="s">
        <v>238</v>
      </c>
      <c r="V869" s="5" t="s">
        <v>238</v>
      </c>
      <c r="W869" s="5" t="s">
        <v>241</v>
      </c>
      <c r="X869" s="5" t="s">
        <v>276</v>
      </c>
      <c r="Y869" s="5" t="s">
        <v>238</v>
      </c>
      <c r="AB869" s="5" t="s">
        <v>238</v>
      </c>
      <c r="AC869" s="6" t="s">
        <v>238</v>
      </c>
      <c r="AD869" s="6" t="s">
        <v>238</v>
      </c>
      <c r="AF869" s="6" t="s">
        <v>238</v>
      </c>
      <c r="AG869" s="6" t="s">
        <v>246</v>
      </c>
      <c r="AH869" s="5" t="s">
        <v>247</v>
      </c>
      <c r="AI869" s="5" t="s">
        <v>248</v>
      </c>
      <c r="AO869" s="5" t="s">
        <v>238</v>
      </c>
      <c r="AP869" s="5" t="s">
        <v>238</v>
      </c>
      <c r="AQ869" s="5" t="s">
        <v>238</v>
      </c>
      <c r="AR869" s="6" t="s">
        <v>238</v>
      </c>
      <c r="AS869" s="6" t="s">
        <v>238</v>
      </c>
      <c r="AT869" s="6" t="s">
        <v>238</v>
      </c>
      <c r="AW869" s="5" t="s">
        <v>304</v>
      </c>
      <c r="AX869" s="5" t="s">
        <v>304</v>
      </c>
      <c r="AY869" s="5" t="s">
        <v>250</v>
      </c>
      <c r="AZ869" s="5" t="s">
        <v>305</v>
      </c>
      <c r="BA869" s="5" t="s">
        <v>251</v>
      </c>
      <c r="BB869" s="5" t="s">
        <v>238</v>
      </c>
      <c r="BC869" s="5" t="s">
        <v>253</v>
      </c>
      <c r="BD869" s="5" t="s">
        <v>238</v>
      </c>
      <c r="BF869" s="5" t="s">
        <v>238</v>
      </c>
      <c r="BH869" s="5" t="s">
        <v>283</v>
      </c>
      <c r="BI869" s="6" t="s">
        <v>293</v>
      </c>
      <c r="BJ869" s="5" t="s">
        <v>294</v>
      </c>
      <c r="BK869" s="5" t="s">
        <v>294</v>
      </c>
      <c r="BL869" s="5" t="s">
        <v>238</v>
      </c>
      <c r="BM869" s="7">
        <f>0</f>
        <v>0</v>
      </c>
      <c r="BN869" s="8">
        <f>-660261</f>
        <v>-660261</v>
      </c>
      <c r="BO869" s="5" t="s">
        <v>257</v>
      </c>
      <c r="BP869" s="5" t="s">
        <v>258</v>
      </c>
      <c r="BQ869" s="5" t="s">
        <v>238</v>
      </c>
      <c r="BR869" s="5" t="s">
        <v>238</v>
      </c>
      <c r="BS869" s="5" t="s">
        <v>238</v>
      </c>
      <c r="BT869" s="5" t="s">
        <v>238</v>
      </c>
      <c r="CC869" s="5" t="s">
        <v>258</v>
      </c>
      <c r="CD869" s="5" t="s">
        <v>238</v>
      </c>
      <c r="CE869" s="5" t="s">
        <v>238</v>
      </c>
      <c r="CI869" s="5" t="s">
        <v>259</v>
      </c>
      <c r="CJ869" s="5" t="s">
        <v>260</v>
      </c>
      <c r="CK869" s="5" t="s">
        <v>238</v>
      </c>
      <c r="CM869" s="5" t="s">
        <v>393</v>
      </c>
      <c r="CN869" s="6" t="s">
        <v>262</v>
      </c>
      <c r="CO869" s="5" t="s">
        <v>263</v>
      </c>
      <c r="CP869" s="5" t="s">
        <v>264</v>
      </c>
      <c r="CQ869" s="5" t="s">
        <v>285</v>
      </c>
      <c r="CR869" s="5" t="s">
        <v>238</v>
      </c>
      <c r="CS869" s="5">
        <v>4.5999999999999999E-2</v>
      </c>
      <c r="CT869" s="5" t="s">
        <v>265</v>
      </c>
      <c r="CU869" s="5" t="s">
        <v>1360</v>
      </c>
      <c r="CV869" s="5" t="s">
        <v>267</v>
      </c>
      <c r="CW869" s="7">
        <f>0</f>
        <v>0</v>
      </c>
      <c r="CX869" s="8">
        <f>14353500</f>
        <v>14353500</v>
      </c>
      <c r="CY869" s="8">
        <f>5770107</f>
        <v>5770107</v>
      </c>
      <c r="DA869" s="5" t="s">
        <v>238</v>
      </c>
      <c r="DB869" s="5" t="s">
        <v>238</v>
      </c>
      <c r="DD869" s="5" t="s">
        <v>238</v>
      </c>
      <c r="DE869" s="8">
        <f>0</f>
        <v>0</v>
      </c>
      <c r="DG869" s="5" t="s">
        <v>238</v>
      </c>
      <c r="DH869" s="5" t="s">
        <v>238</v>
      </c>
      <c r="DI869" s="5" t="s">
        <v>238</v>
      </c>
      <c r="DJ869" s="5" t="s">
        <v>238</v>
      </c>
      <c r="DK869" s="5" t="s">
        <v>272</v>
      </c>
      <c r="DL869" s="5" t="s">
        <v>272</v>
      </c>
      <c r="DM869" s="7">
        <f>74.6</f>
        <v>74.599999999999994</v>
      </c>
      <c r="DN869" s="5" t="s">
        <v>238</v>
      </c>
      <c r="DO869" s="5" t="s">
        <v>238</v>
      </c>
      <c r="DP869" s="5" t="s">
        <v>238</v>
      </c>
      <c r="DQ869" s="5" t="s">
        <v>238</v>
      </c>
      <c r="DT869" s="5" t="s">
        <v>2654</v>
      </c>
      <c r="DU869" s="5" t="s">
        <v>389</v>
      </c>
      <c r="GL869" s="5" t="s">
        <v>2655</v>
      </c>
      <c r="HM869" s="5" t="s">
        <v>313</v>
      </c>
      <c r="HP869" s="5" t="s">
        <v>272</v>
      </c>
      <c r="HQ869" s="5" t="s">
        <v>272</v>
      </c>
      <c r="HR869" s="5" t="s">
        <v>238</v>
      </c>
      <c r="HS869" s="5" t="s">
        <v>238</v>
      </c>
      <c r="HT869" s="5" t="s">
        <v>238</v>
      </c>
      <c r="HU869" s="5" t="s">
        <v>238</v>
      </c>
      <c r="HV869" s="5" t="s">
        <v>238</v>
      </c>
      <c r="HW869" s="5" t="s">
        <v>238</v>
      </c>
      <c r="HX869" s="5" t="s">
        <v>238</v>
      </c>
      <c r="HY869" s="5" t="s">
        <v>238</v>
      </c>
      <c r="HZ869" s="5" t="s">
        <v>238</v>
      </c>
      <c r="IA869" s="5" t="s">
        <v>238</v>
      </c>
      <c r="IB869" s="5" t="s">
        <v>238</v>
      </c>
      <c r="IC869" s="5" t="s">
        <v>238</v>
      </c>
      <c r="ID869" s="5" t="s">
        <v>238</v>
      </c>
    </row>
    <row r="870" spans="1:238" x14ac:dyDescent="0.4">
      <c r="A870" s="5">
        <v>964</v>
      </c>
      <c r="B870" s="5">
        <v>1</v>
      </c>
      <c r="C870" s="5">
        <v>1</v>
      </c>
      <c r="D870" s="5" t="s">
        <v>2790</v>
      </c>
      <c r="E870" s="5" t="s">
        <v>277</v>
      </c>
      <c r="F870" s="5" t="s">
        <v>282</v>
      </c>
      <c r="G870" s="5" t="s">
        <v>2491</v>
      </c>
      <c r="H870" s="6" t="s">
        <v>2791</v>
      </c>
      <c r="I870" s="5" t="s">
        <v>2482</v>
      </c>
      <c r="J870" s="7">
        <f>69.94</f>
        <v>69.94</v>
      </c>
      <c r="K870" s="5" t="s">
        <v>270</v>
      </c>
      <c r="L870" s="8">
        <f>1</f>
        <v>1</v>
      </c>
      <c r="M870" s="8">
        <f>6994000</f>
        <v>6994000</v>
      </c>
      <c r="N870" s="6" t="s">
        <v>897</v>
      </c>
      <c r="O870" s="5" t="s">
        <v>286</v>
      </c>
      <c r="P870" s="5" t="s">
        <v>996</v>
      </c>
      <c r="R870" s="8">
        <f>6993999</f>
        <v>6993999</v>
      </c>
      <c r="S870" s="5" t="s">
        <v>240</v>
      </c>
      <c r="T870" s="5" t="s">
        <v>237</v>
      </c>
      <c r="U870" s="5" t="s">
        <v>238</v>
      </c>
      <c r="V870" s="5" t="s">
        <v>238</v>
      </c>
      <c r="W870" s="5" t="s">
        <v>241</v>
      </c>
      <c r="X870" s="5" t="s">
        <v>276</v>
      </c>
      <c r="Y870" s="5" t="s">
        <v>238</v>
      </c>
      <c r="AB870" s="5" t="s">
        <v>238</v>
      </c>
      <c r="AD870" s="6" t="s">
        <v>238</v>
      </c>
      <c r="AG870" s="6" t="s">
        <v>246</v>
      </c>
      <c r="AH870" s="5" t="s">
        <v>247</v>
      </c>
      <c r="AI870" s="5" t="s">
        <v>248</v>
      </c>
      <c r="AY870" s="5" t="s">
        <v>250</v>
      </c>
      <c r="AZ870" s="5" t="s">
        <v>238</v>
      </c>
      <c r="BA870" s="5" t="s">
        <v>251</v>
      </c>
      <c r="BB870" s="5" t="s">
        <v>238</v>
      </c>
      <c r="BC870" s="5" t="s">
        <v>253</v>
      </c>
      <c r="BD870" s="5" t="s">
        <v>238</v>
      </c>
      <c r="BF870" s="5" t="s">
        <v>238</v>
      </c>
      <c r="BH870" s="5" t="s">
        <v>254</v>
      </c>
      <c r="BI870" s="6" t="s">
        <v>246</v>
      </c>
      <c r="BJ870" s="5" t="s">
        <v>255</v>
      </c>
      <c r="BK870" s="5" t="s">
        <v>256</v>
      </c>
      <c r="BL870" s="5" t="s">
        <v>238</v>
      </c>
      <c r="BM870" s="7">
        <f>0</f>
        <v>0</v>
      </c>
      <c r="BN870" s="8">
        <f>0</f>
        <v>0</v>
      </c>
      <c r="BO870" s="5" t="s">
        <v>257</v>
      </c>
      <c r="BP870" s="5" t="s">
        <v>258</v>
      </c>
      <c r="CD870" s="5" t="s">
        <v>238</v>
      </c>
      <c r="CE870" s="5" t="s">
        <v>238</v>
      </c>
      <c r="CI870" s="5" t="s">
        <v>527</v>
      </c>
      <c r="CJ870" s="5" t="s">
        <v>260</v>
      </c>
      <c r="CK870" s="5" t="s">
        <v>238</v>
      </c>
      <c r="CM870" s="5" t="s">
        <v>995</v>
      </c>
      <c r="CN870" s="6" t="s">
        <v>262</v>
      </c>
      <c r="CO870" s="5" t="s">
        <v>263</v>
      </c>
      <c r="CP870" s="5" t="s">
        <v>264</v>
      </c>
      <c r="CQ870" s="5" t="s">
        <v>238</v>
      </c>
      <c r="CR870" s="5" t="s">
        <v>238</v>
      </c>
      <c r="CS870" s="5">
        <v>0</v>
      </c>
      <c r="CT870" s="5" t="s">
        <v>265</v>
      </c>
      <c r="CU870" s="5" t="s">
        <v>1360</v>
      </c>
      <c r="CV870" s="5" t="s">
        <v>267</v>
      </c>
      <c r="CX870" s="8">
        <f>6994000</f>
        <v>6994000</v>
      </c>
      <c r="CY870" s="8">
        <f>0</f>
        <v>0</v>
      </c>
      <c r="DA870" s="5" t="s">
        <v>238</v>
      </c>
      <c r="DB870" s="5" t="s">
        <v>238</v>
      </c>
      <c r="DD870" s="5" t="s">
        <v>238</v>
      </c>
      <c r="DG870" s="5" t="s">
        <v>238</v>
      </c>
      <c r="DH870" s="5" t="s">
        <v>238</v>
      </c>
      <c r="DI870" s="5" t="s">
        <v>238</v>
      </c>
      <c r="DJ870" s="5" t="s">
        <v>238</v>
      </c>
      <c r="DK870" s="5" t="s">
        <v>271</v>
      </c>
      <c r="DL870" s="5" t="s">
        <v>272</v>
      </c>
      <c r="DM870" s="7">
        <f>69.94</f>
        <v>69.94</v>
      </c>
      <c r="DN870" s="5" t="s">
        <v>238</v>
      </c>
      <c r="DO870" s="5" t="s">
        <v>238</v>
      </c>
      <c r="DP870" s="5" t="s">
        <v>238</v>
      </c>
      <c r="DQ870" s="5" t="s">
        <v>238</v>
      </c>
      <c r="DT870" s="5" t="s">
        <v>2792</v>
      </c>
      <c r="DU870" s="5" t="s">
        <v>271</v>
      </c>
      <c r="HM870" s="5" t="s">
        <v>271</v>
      </c>
      <c r="HP870" s="5" t="s">
        <v>272</v>
      </c>
      <c r="HQ870" s="5" t="s">
        <v>272</v>
      </c>
    </row>
    <row r="871" spans="1:238" x14ac:dyDescent="0.4">
      <c r="A871" s="5">
        <v>965</v>
      </c>
      <c r="B871" s="5">
        <v>1</v>
      </c>
      <c r="C871" s="5">
        <v>1</v>
      </c>
      <c r="D871" s="5" t="s">
        <v>2790</v>
      </c>
      <c r="E871" s="5" t="s">
        <v>277</v>
      </c>
      <c r="F871" s="5" t="s">
        <v>282</v>
      </c>
      <c r="G871" s="5" t="s">
        <v>2491</v>
      </c>
      <c r="H871" s="6" t="s">
        <v>2791</v>
      </c>
      <c r="I871" s="5" t="s">
        <v>2482</v>
      </c>
      <c r="J871" s="7">
        <f>69.94</f>
        <v>69.94</v>
      </c>
      <c r="K871" s="5" t="s">
        <v>270</v>
      </c>
      <c r="L871" s="8">
        <f>1</f>
        <v>1</v>
      </c>
      <c r="M871" s="8">
        <f>6994000</f>
        <v>6994000</v>
      </c>
      <c r="N871" s="6" t="s">
        <v>897</v>
      </c>
      <c r="O871" s="5" t="s">
        <v>286</v>
      </c>
      <c r="P871" s="5" t="s">
        <v>996</v>
      </c>
      <c r="R871" s="8">
        <f>6993999</f>
        <v>6993999</v>
      </c>
      <c r="S871" s="5" t="s">
        <v>240</v>
      </c>
      <c r="T871" s="5" t="s">
        <v>237</v>
      </c>
      <c r="U871" s="5" t="s">
        <v>238</v>
      </c>
      <c r="V871" s="5" t="s">
        <v>238</v>
      </c>
      <c r="W871" s="5" t="s">
        <v>241</v>
      </c>
      <c r="X871" s="5" t="s">
        <v>276</v>
      </c>
      <c r="Y871" s="5" t="s">
        <v>238</v>
      </c>
      <c r="AB871" s="5" t="s">
        <v>238</v>
      </c>
      <c r="AD871" s="6" t="s">
        <v>238</v>
      </c>
      <c r="AG871" s="6" t="s">
        <v>246</v>
      </c>
      <c r="AH871" s="5" t="s">
        <v>247</v>
      </c>
      <c r="AI871" s="5" t="s">
        <v>248</v>
      </c>
      <c r="AY871" s="5" t="s">
        <v>250</v>
      </c>
      <c r="AZ871" s="5" t="s">
        <v>238</v>
      </c>
      <c r="BA871" s="5" t="s">
        <v>251</v>
      </c>
      <c r="BB871" s="5" t="s">
        <v>238</v>
      </c>
      <c r="BC871" s="5" t="s">
        <v>253</v>
      </c>
      <c r="BD871" s="5" t="s">
        <v>238</v>
      </c>
      <c r="BF871" s="5" t="s">
        <v>238</v>
      </c>
      <c r="BH871" s="5" t="s">
        <v>859</v>
      </c>
      <c r="BI871" s="6" t="s">
        <v>368</v>
      </c>
      <c r="BJ871" s="5" t="s">
        <v>255</v>
      </c>
      <c r="BK871" s="5" t="s">
        <v>256</v>
      </c>
      <c r="BL871" s="5" t="s">
        <v>238</v>
      </c>
      <c r="BM871" s="7">
        <f>0</f>
        <v>0</v>
      </c>
      <c r="BN871" s="8">
        <f>0</f>
        <v>0</v>
      </c>
      <c r="BO871" s="5" t="s">
        <v>257</v>
      </c>
      <c r="BP871" s="5" t="s">
        <v>258</v>
      </c>
      <c r="CD871" s="5" t="s">
        <v>238</v>
      </c>
      <c r="CE871" s="5" t="s">
        <v>238</v>
      </c>
      <c r="CI871" s="5" t="s">
        <v>527</v>
      </c>
      <c r="CJ871" s="5" t="s">
        <v>260</v>
      </c>
      <c r="CK871" s="5" t="s">
        <v>238</v>
      </c>
      <c r="CM871" s="5" t="s">
        <v>995</v>
      </c>
      <c r="CN871" s="6" t="s">
        <v>262</v>
      </c>
      <c r="CO871" s="5" t="s">
        <v>263</v>
      </c>
      <c r="CP871" s="5" t="s">
        <v>264</v>
      </c>
      <c r="CQ871" s="5" t="s">
        <v>238</v>
      </c>
      <c r="CR871" s="5" t="s">
        <v>238</v>
      </c>
      <c r="CS871" s="5">
        <v>0</v>
      </c>
      <c r="CT871" s="5" t="s">
        <v>265</v>
      </c>
      <c r="CU871" s="5" t="s">
        <v>1360</v>
      </c>
      <c r="CV871" s="5" t="s">
        <v>267</v>
      </c>
      <c r="CX871" s="8">
        <f>6994000</f>
        <v>6994000</v>
      </c>
      <c r="CY871" s="8">
        <f>0</f>
        <v>0</v>
      </c>
      <c r="DA871" s="5" t="s">
        <v>238</v>
      </c>
      <c r="DB871" s="5" t="s">
        <v>238</v>
      </c>
      <c r="DD871" s="5" t="s">
        <v>238</v>
      </c>
      <c r="DG871" s="5" t="s">
        <v>238</v>
      </c>
      <c r="DH871" s="5" t="s">
        <v>238</v>
      </c>
      <c r="DI871" s="5" t="s">
        <v>238</v>
      </c>
      <c r="DJ871" s="5" t="s">
        <v>238</v>
      </c>
      <c r="DK871" s="5" t="s">
        <v>271</v>
      </c>
      <c r="DL871" s="5" t="s">
        <v>272</v>
      </c>
      <c r="DM871" s="7">
        <f>69.94</f>
        <v>69.94</v>
      </c>
      <c r="DN871" s="5" t="s">
        <v>238</v>
      </c>
      <c r="DO871" s="5" t="s">
        <v>238</v>
      </c>
      <c r="DP871" s="5" t="s">
        <v>238</v>
      </c>
      <c r="DQ871" s="5" t="s">
        <v>238</v>
      </c>
      <c r="DT871" s="5" t="s">
        <v>2792</v>
      </c>
      <c r="DU871" s="5" t="s">
        <v>274</v>
      </c>
      <c r="HM871" s="5" t="s">
        <v>271</v>
      </c>
      <c r="HP871" s="5" t="s">
        <v>272</v>
      </c>
      <c r="HQ871" s="5" t="s">
        <v>272</v>
      </c>
    </row>
    <row r="872" spans="1:238" x14ac:dyDescent="0.4">
      <c r="A872" s="5">
        <v>966</v>
      </c>
      <c r="B872" s="5">
        <v>1</v>
      </c>
      <c r="C872" s="5">
        <v>1</v>
      </c>
      <c r="D872" s="5" t="s">
        <v>2786</v>
      </c>
      <c r="E872" s="5" t="s">
        <v>277</v>
      </c>
      <c r="F872" s="5" t="s">
        <v>282</v>
      </c>
      <c r="G872" s="5" t="s">
        <v>2491</v>
      </c>
      <c r="H872" s="6" t="s">
        <v>2788</v>
      </c>
      <c r="I872" s="5" t="s">
        <v>2482</v>
      </c>
      <c r="J872" s="7">
        <f>32.4</f>
        <v>32.4</v>
      </c>
      <c r="K872" s="5" t="s">
        <v>270</v>
      </c>
      <c r="L872" s="8">
        <f>1</f>
        <v>1</v>
      </c>
      <c r="M872" s="8">
        <f>3240000</f>
        <v>3240000</v>
      </c>
      <c r="N872" s="6" t="s">
        <v>2787</v>
      </c>
      <c r="O872" s="5" t="s">
        <v>286</v>
      </c>
      <c r="P872" s="5" t="s">
        <v>1793</v>
      </c>
      <c r="R872" s="8">
        <f>3239999</f>
        <v>3239999</v>
      </c>
      <c r="S872" s="5" t="s">
        <v>240</v>
      </c>
      <c r="T872" s="5" t="s">
        <v>237</v>
      </c>
      <c r="U872" s="5" t="s">
        <v>238</v>
      </c>
      <c r="V872" s="5" t="s">
        <v>238</v>
      </c>
      <c r="W872" s="5" t="s">
        <v>241</v>
      </c>
      <c r="X872" s="5" t="s">
        <v>276</v>
      </c>
      <c r="Y872" s="5" t="s">
        <v>238</v>
      </c>
      <c r="AB872" s="5" t="s">
        <v>238</v>
      </c>
      <c r="AD872" s="6" t="s">
        <v>238</v>
      </c>
      <c r="AG872" s="6" t="s">
        <v>246</v>
      </c>
      <c r="AH872" s="5" t="s">
        <v>247</v>
      </c>
      <c r="AI872" s="5" t="s">
        <v>248</v>
      </c>
      <c r="AY872" s="5" t="s">
        <v>250</v>
      </c>
      <c r="AZ872" s="5" t="s">
        <v>238</v>
      </c>
      <c r="BA872" s="5" t="s">
        <v>251</v>
      </c>
      <c r="BB872" s="5" t="s">
        <v>238</v>
      </c>
      <c r="BC872" s="5" t="s">
        <v>253</v>
      </c>
      <c r="BD872" s="5" t="s">
        <v>238</v>
      </c>
      <c r="BF872" s="5" t="s">
        <v>2648</v>
      </c>
      <c r="BH872" s="5" t="s">
        <v>697</v>
      </c>
      <c r="BI872" s="6" t="s">
        <v>698</v>
      </c>
      <c r="BJ872" s="5" t="s">
        <v>255</v>
      </c>
      <c r="BK872" s="5" t="s">
        <v>256</v>
      </c>
      <c r="BL872" s="5" t="s">
        <v>238</v>
      </c>
      <c r="BM872" s="7">
        <f>0</f>
        <v>0</v>
      </c>
      <c r="BN872" s="8">
        <f>0</f>
        <v>0</v>
      </c>
      <c r="BO872" s="5" t="s">
        <v>257</v>
      </c>
      <c r="BP872" s="5" t="s">
        <v>258</v>
      </c>
      <c r="CD872" s="5" t="s">
        <v>238</v>
      </c>
      <c r="CE872" s="5" t="s">
        <v>238</v>
      </c>
      <c r="CI872" s="5" t="s">
        <v>527</v>
      </c>
      <c r="CJ872" s="5" t="s">
        <v>260</v>
      </c>
      <c r="CK872" s="5" t="s">
        <v>238</v>
      </c>
      <c r="CM872" s="5" t="s">
        <v>1792</v>
      </c>
      <c r="CN872" s="6" t="s">
        <v>262</v>
      </c>
      <c r="CO872" s="5" t="s">
        <v>263</v>
      </c>
      <c r="CP872" s="5" t="s">
        <v>264</v>
      </c>
      <c r="CQ872" s="5" t="s">
        <v>238</v>
      </c>
      <c r="CR872" s="5" t="s">
        <v>238</v>
      </c>
      <c r="CS872" s="5">
        <v>0</v>
      </c>
      <c r="CT872" s="5" t="s">
        <v>265</v>
      </c>
      <c r="CU872" s="5" t="s">
        <v>1360</v>
      </c>
      <c r="CV872" s="5" t="s">
        <v>267</v>
      </c>
      <c r="CX872" s="8">
        <f>3240000</f>
        <v>3240000</v>
      </c>
      <c r="CY872" s="8">
        <f>0</f>
        <v>0</v>
      </c>
      <c r="DA872" s="5" t="s">
        <v>238</v>
      </c>
      <c r="DB872" s="5" t="s">
        <v>238</v>
      </c>
      <c r="DD872" s="5" t="s">
        <v>238</v>
      </c>
      <c r="DG872" s="5" t="s">
        <v>238</v>
      </c>
      <c r="DH872" s="5" t="s">
        <v>238</v>
      </c>
      <c r="DI872" s="5" t="s">
        <v>238</v>
      </c>
      <c r="DJ872" s="5" t="s">
        <v>238</v>
      </c>
      <c r="DK872" s="5" t="s">
        <v>271</v>
      </c>
      <c r="DL872" s="5" t="s">
        <v>272</v>
      </c>
      <c r="DM872" s="7">
        <f>32.4</f>
        <v>32.4</v>
      </c>
      <c r="DN872" s="5" t="s">
        <v>238</v>
      </c>
      <c r="DO872" s="5" t="s">
        <v>238</v>
      </c>
      <c r="DP872" s="5" t="s">
        <v>238</v>
      </c>
      <c r="DQ872" s="5" t="s">
        <v>238</v>
      </c>
      <c r="DT872" s="5" t="s">
        <v>2789</v>
      </c>
      <c r="DU872" s="5" t="s">
        <v>271</v>
      </c>
      <c r="HM872" s="5" t="s">
        <v>271</v>
      </c>
      <c r="HP872" s="5" t="s">
        <v>272</v>
      </c>
      <c r="HQ872" s="5" t="s">
        <v>272</v>
      </c>
    </row>
    <row r="873" spans="1:238" x14ac:dyDescent="0.4">
      <c r="A873" s="5">
        <v>969</v>
      </c>
      <c r="B873" s="5">
        <v>1</v>
      </c>
      <c r="C873" s="5">
        <v>3</v>
      </c>
      <c r="D873" s="5" t="s">
        <v>2531</v>
      </c>
      <c r="E873" s="5" t="s">
        <v>277</v>
      </c>
      <c r="F873" s="5" t="s">
        <v>282</v>
      </c>
      <c r="G873" s="5" t="s">
        <v>2491</v>
      </c>
      <c r="H873" s="6" t="s">
        <v>2533</v>
      </c>
      <c r="I873" s="5" t="s">
        <v>2482</v>
      </c>
      <c r="J873" s="7">
        <f>54.69</f>
        <v>54.69</v>
      </c>
      <c r="K873" s="5" t="s">
        <v>270</v>
      </c>
      <c r="L873" s="8">
        <f>1</f>
        <v>1</v>
      </c>
      <c r="M873" s="8">
        <f>8312880</f>
        <v>8312880</v>
      </c>
      <c r="N873" s="6" t="s">
        <v>2532</v>
      </c>
      <c r="O873" s="5" t="s">
        <v>286</v>
      </c>
      <c r="P873" s="5" t="s">
        <v>818</v>
      </c>
      <c r="Q873" s="8">
        <f>282647</f>
        <v>282647</v>
      </c>
      <c r="R873" s="8">
        <f>8312879</f>
        <v>8312879</v>
      </c>
      <c r="S873" s="5" t="s">
        <v>240</v>
      </c>
      <c r="T873" s="5" t="s">
        <v>237</v>
      </c>
      <c r="U873" s="5" t="s">
        <v>238</v>
      </c>
      <c r="V873" s="5" t="s">
        <v>238</v>
      </c>
      <c r="W873" s="5" t="s">
        <v>241</v>
      </c>
      <c r="X873" s="5" t="s">
        <v>276</v>
      </c>
      <c r="Y873" s="5" t="s">
        <v>238</v>
      </c>
      <c r="AB873" s="5" t="s">
        <v>238</v>
      </c>
      <c r="AC873" s="6" t="s">
        <v>238</v>
      </c>
      <c r="AD873" s="6" t="s">
        <v>238</v>
      </c>
      <c r="AF873" s="6" t="s">
        <v>238</v>
      </c>
      <c r="AG873" s="6" t="s">
        <v>246</v>
      </c>
      <c r="AH873" s="5" t="s">
        <v>247</v>
      </c>
      <c r="AI873" s="5" t="s">
        <v>248</v>
      </c>
      <c r="AO873" s="5" t="s">
        <v>238</v>
      </c>
      <c r="AP873" s="5" t="s">
        <v>238</v>
      </c>
      <c r="AQ873" s="5" t="s">
        <v>238</v>
      </c>
      <c r="AR873" s="6" t="s">
        <v>238</v>
      </c>
      <c r="AS873" s="6" t="s">
        <v>238</v>
      </c>
      <c r="AT873" s="6" t="s">
        <v>238</v>
      </c>
      <c r="AW873" s="5" t="s">
        <v>304</v>
      </c>
      <c r="AX873" s="5" t="s">
        <v>304</v>
      </c>
      <c r="AY873" s="5" t="s">
        <v>250</v>
      </c>
      <c r="AZ873" s="5" t="s">
        <v>305</v>
      </c>
      <c r="BA873" s="5" t="s">
        <v>251</v>
      </c>
      <c r="BB873" s="5" t="s">
        <v>238</v>
      </c>
      <c r="BC873" s="5" t="s">
        <v>253</v>
      </c>
      <c r="BD873" s="5" t="s">
        <v>238</v>
      </c>
      <c r="BF873" s="5" t="s">
        <v>238</v>
      </c>
      <c r="BH873" s="5" t="s">
        <v>1076</v>
      </c>
      <c r="BI873" s="6" t="s">
        <v>1077</v>
      </c>
      <c r="BJ873" s="5" t="s">
        <v>294</v>
      </c>
      <c r="BK873" s="5" t="s">
        <v>294</v>
      </c>
      <c r="BL873" s="5" t="s">
        <v>238</v>
      </c>
      <c r="BM873" s="7">
        <f>0</f>
        <v>0</v>
      </c>
      <c r="BN873" s="8">
        <f>-282647</f>
        <v>-282647</v>
      </c>
      <c r="BO873" s="5" t="s">
        <v>257</v>
      </c>
      <c r="BP873" s="5" t="s">
        <v>258</v>
      </c>
      <c r="BQ873" s="5" t="s">
        <v>238</v>
      </c>
      <c r="BR873" s="5" t="s">
        <v>238</v>
      </c>
      <c r="BS873" s="5" t="s">
        <v>238</v>
      </c>
      <c r="BT873" s="5" t="s">
        <v>238</v>
      </c>
      <c r="CC873" s="5" t="s">
        <v>258</v>
      </c>
      <c r="CD873" s="5" t="s">
        <v>238</v>
      </c>
      <c r="CE873" s="5" t="s">
        <v>238</v>
      </c>
      <c r="CI873" s="5" t="s">
        <v>259</v>
      </c>
      <c r="CJ873" s="5" t="s">
        <v>260</v>
      </c>
      <c r="CK873" s="5" t="s">
        <v>238</v>
      </c>
      <c r="CM873" s="5" t="s">
        <v>261</v>
      </c>
      <c r="CN873" s="6" t="s">
        <v>262</v>
      </c>
      <c r="CO873" s="5" t="s">
        <v>263</v>
      </c>
      <c r="CP873" s="5" t="s">
        <v>264</v>
      </c>
      <c r="CQ873" s="5" t="s">
        <v>285</v>
      </c>
      <c r="CR873" s="5" t="s">
        <v>238</v>
      </c>
      <c r="CS873" s="5">
        <v>4.5999999999999999E-2</v>
      </c>
      <c r="CT873" s="5" t="s">
        <v>265</v>
      </c>
      <c r="CU873" s="5" t="s">
        <v>1360</v>
      </c>
      <c r="CV873" s="5" t="s">
        <v>267</v>
      </c>
      <c r="CW873" s="7">
        <f>0</f>
        <v>0</v>
      </c>
      <c r="CX873" s="8">
        <f>8312880</f>
        <v>8312880</v>
      </c>
      <c r="CY873" s="8">
        <f>1</f>
        <v>1</v>
      </c>
      <c r="DA873" s="5" t="s">
        <v>238</v>
      </c>
      <c r="DB873" s="5" t="s">
        <v>238</v>
      </c>
      <c r="DD873" s="5" t="s">
        <v>238</v>
      </c>
      <c r="DE873" s="8">
        <f>0</f>
        <v>0</v>
      </c>
      <c r="DG873" s="5" t="s">
        <v>238</v>
      </c>
      <c r="DH873" s="5" t="s">
        <v>238</v>
      </c>
      <c r="DI873" s="5" t="s">
        <v>238</v>
      </c>
      <c r="DJ873" s="5" t="s">
        <v>238</v>
      </c>
      <c r="DK873" s="5" t="s">
        <v>271</v>
      </c>
      <c r="DL873" s="5" t="s">
        <v>272</v>
      </c>
      <c r="DM873" s="7">
        <f>54.69</f>
        <v>54.69</v>
      </c>
      <c r="DN873" s="5" t="s">
        <v>238</v>
      </c>
      <c r="DO873" s="5" t="s">
        <v>238</v>
      </c>
      <c r="DP873" s="5" t="s">
        <v>238</v>
      </c>
      <c r="DQ873" s="5" t="s">
        <v>238</v>
      </c>
      <c r="DT873" s="5" t="s">
        <v>2534</v>
      </c>
      <c r="DU873" s="5" t="s">
        <v>274</v>
      </c>
      <c r="GL873" s="5" t="s">
        <v>2537</v>
      </c>
      <c r="HM873" s="5" t="s">
        <v>313</v>
      </c>
      <c r="HP873" s="5" t="s">
        <v>272</v>
      </c>
      <c r="HQ873" s="5" t="s">
        <v>272</v>
      </c>
      <c r="HR873" s="5" t="s">
        <v>238</v>
      </c>
      <c r="HS873" s="5" t="s">
        <v>238</v>
      </c>
      <c r="HT873" s="5" t="s">
        <v>238</v>
      </c>
      <c r="HU873" s="5" t="s">
        <v>238</v>
      </c>
      <c r="HV873" s="5" t="s">
        <v>238</v>
      </c>
      <c r="HW873" s="5" t="s">
        <v>238</v>
      </c>
      <c r="HX873" s="5" t="s">
        <v>238</v>
      </c>
      <c r="HY873" s="5" t="s">
        <v>238</v>
      </c>
      <c r="HZ873" s="5" t="s">
        <v>238</v>
      </c>
      <c r="IA873" s="5" t="s">
        <v>238</v>
      </c>
      <c r="IB873" s="5" t="s">
        <v>238</v>
      </c>
      <c r="IC873" s="5" t="s">
        <v>238</v>
      </c>
      <c r="ID873" s="5" t="s">
        <v>238</v>
      </c>
    </row>
    <row r="874" spans="1:238" x14ac:dyDescent="0.4">
      <c r="A874" s="5">
        <v>970</v>
      </c>
      <c r="B874" s="5">
        <v>1</v>
      </c>
      <c r="C874" s="5">
        <v>3</v>
      </c>
      <c r="D874" s="5" t="s">
        <v>2531</v>
      </c>
      <c r="E874" s="5" t="s">
        <v>277</v>
      </c>
      <c r="F874" s="5" t="s">
        <v>282</v>
      </c>
      <c r="G874" s="5" t="s">
        <v>2491</v>
      </c>
      <c r="H874" s="6" t="s">
        <v>2533</v>
      </c>
      <c r="I874" s="5" t="s">
        <v>2482</v>
      </c>
      <c r="J874" s="7">
        <f>54.69</f>
        <v>54.69</v>
      </c>
      <c r="K874" s="5" t="s">
        <v>270</v>
      </c>
      <c r="L874" s="8">
        <f>1</f>
        <v>1</v>
      </c>
      <c r="M874" s="8">
        <f>8312880</f>
        <v>8312880</v>
      </c>
      <c r="N874" s="6" t="s">
        <v>2532</v>
      </c>
      <c r="O874" s="5" t="s">
        <v>286</v>
      </c>
      <c r="P874" s="5" t="s">
        <v>818</v>
      </c>
      <c r="Q874" s="8">
        <f>282647</f>
        <v>282647</v>
      </c>
      <c r="R874" s="8">
        <f>8312879</f>
        <v>8312879</v>
      </c>
      <c r="S874" s="5" t="s">
        <v>240</v>
      </c>
      <c r="T874" s="5" t="s">
        <v>237</v>
      </c>
      <c r="U874" s="5" t="s">
        <v>238</v>
      </c>
      <c r="V874" s="5" t="s">
        <v>238</v>
      </c>
      <c r="W874" s="5" t="s">
        <v>241</v>
      </c>
      <c r="X874" s="5" t="s">
        <v>276</v>
      </c>
      <c r="Y874" s="5" t="s">
        <v>238</v>
      </c>
      <c r="AB874" s="5" t="s">
        <v>238</v>
      </c>
      <c r="AC874" s="6" t="s">
        <v>238</v>
      </c>
      <c r="AD874" s="6" t="s">
        <v>238</v>
      </c>
      <c r="AF874" s="6" t="s">
        <v>238</v>
      </c>
      <c r="AG874" s="6" t="s">
        <v>246</v>
      </c>
      <c r="AH874" s="5" t="s">
        <v>247</v>
      </c>
      <c r="AI874" s="5" t="s">
        <v>248</v>
      </c>
      <c r="AO874" s="5" t="s">
        <v>238</v>
      </c>
      <c r="AP874" s="5" t="s">
        <v>238</v>
      </c>
      <c r="AQ874" s="5" t="s">
        <v>238</v>
      </c>
      <c r="AR874" s="6" t="s">
        <v>238</v>
      </c>
      <c r="AS874" s="6" t="s">
        <v>238</v>
      </c>
      <c r="AT874" s="6" t="s">
        <v>238</v>
      </c>
      <c r="AW874" s="5" t="s">
        <v>304</v>
      </c>
      <c r="AX874" s="5" t="s">
        <v>304</v>
      </c>
      <c r="AY874" s="5" t="s">
        <v>250</v>
      </c>
      <c r="AZ874" s="5" t="s">
        <v>305</v>
      </c>
      <c r="BA874" s="5" t="s">
        <v>251</v>
      </c>
      <c r="BB874" s="5" t="s">
        <v>238</v>
      </c>
      <c r="BC874" s="5" t="s">
        <v>253</v>
      </c>
      <c r="BD874" s="5" t="s">
        <v>238</v>
      </c>
      <c r="BF874" s="5" t="s">
        <v>238</v>
      </c>
      <c r="BH874" s="5" t="s">
        <v>1076</v>
      </c>
      <c r="BI874" s="6" t="s">
        <v>1077</v>
      </c>
      <c r="BJ874" s="5" t="s">
        <v>294</v>
      </c>
      <c r="BK874" s="5" t="s">
        <v>294</v>
      </c>
      <c r="BL874" s="5" t="s">
        <v>238</v>
      </c>
      <c r="BM874" s="7">
        <f>0</f>
        <v>0</v>
      </c>
      <c r="BN874" s="8">
        <f>-282647</f>
        <v>-282647</v>
      </c>
      <c r="BO874" s="5" t="s">
        <v>257</v>
      </c>
      <c r="BP874" s="5" t="s">
        <v>258</v>
      </c>
      <c r="BQ874" s="5" t="s">
        <v>238</v>
      </c>
      <c r="BR874" s="5" t="s">
        <v>238</v>
      </c>
      <c r="BS874" s="5" t="s">
        <v>238</v>
      </c>
      <c r="BT874" s="5" t="s">
        <v>238</v>
      </c>
      <c r="CC874" s="5" t="s">
        <v>258</v>
      </c>
      <c r="CD874" s="5" t="s">
        <v>238</v>
      </c>
      <c r="CE874" s="5" t="s">
        <v>238</v>
      </c>
      <c r="CI874" s="5" t="s">
        <v>259</v>
      </c>
      <c r="CJ874" s="5" t="s">
        <v>260</v>
      </c>
      <c r="CK874" s="5" t="s">
        <v>238</v>
      </c>
      <c r="CM874" s="5" t="s">
        <v>261</v>
      </c>
      <c r="CN874" s="6" t="s">
        <v>262</v>
      </c>
      <c r="CO874" s="5" t="s">
        <v>263</v>
      </c>
      <c r="CP874" s="5" t="s">
        <v>264</v>
      </c>
      <c r="CQ874" s="5" t="s">
        <v>285</v>
      </c>
      <c r="CR874" s="5" t="s">
        <v>238</v>
      </c>
      <c r="CS874" s="5">
        <v>4.5999999999999999E-2</v>
      </c>
      <c r="CT874" s="5" t="s">
        <v>265</v>
      </c>
      <c r="CU874" s="5" t="s">
        <v>1360</v>
      </c>
      <c r="CV874" s="5" t="s">
        <v>267</v>
      </c>
      <c r="CW874" s="7">
        <f>0</f>
        <v>0</v>
      </c>
      <c r="CX874" s="8">
        <f>8312880</f>
        <v>8312880</v>
      </c>
      <c r="CY874" s="8">
        <f>1</f>
        <v>1</v>
      </c>
      <c r="DA874" s="5" t="s">
        <v>238</v>
      </c>
      <c r="DB874" s="5" t="s">
        <v>238</v>
      </c>
      <c r="DD874" s="5" t="s">
        <v>238</v>
      </c>
      <c r="DE874" s="8">
        <f>0</f>
        <v>0</v>
      </c>
      <c r="DG874" s="5" t="s">
        <v>238</v>
      </c>
      <c r="DH874" s="5" t="s">
        <v>238</v>
      </c>
      <c r="DI874" s="5" t="s">
        <v>238</v>
      </c>
      <c r="DJ874" s="5" t="s">
        <v>238</v>
      </c>
      <c r="DK874" s="5" t="s">
        <v>271</v>
      </c>
      <c r="DL874" s="5" t="s">
        <v>272</v>
      </c>
      <c r="DM874" s="7">
        <f>54.69</f>
        <v>54.69</v>
      </c>
      <c r="DN874" s="5" t="s">
        <v>238</v>
      </c>
      <c r="DO874" s="5" t="s">
        <v>238</v>
      </c>
      <c r="DP874" s="5" t="s">
        <v>238</v>
      </c>
      <c r="DQ874" s="5" t="s">
        <v>238</v>
      </c>
      <c r="DT874" s="5" t="s">
        <v>2534</v>
      </c>
      <c r="DU874" s="5" t="s">
        <v>356</v>
      </c>
      <c r="GL874" s="5" t="s">
        <v>2536</v>
      </c>
      <c r="HM874" s="5" t="s">
        <v>313</v>
      </c>
      <c r="HP874" s="5" t="s">
        <v>272</v>
      </c>
      <c r="HQ874" s="5" t="s">
        <v>272</v>
      </c>
      <c r="HR874" s="5" t="s">
        <v>238</v>
      </c>
      <c r="HS874" s="5" t="s">
        <v>238</v>
      </c>
      <c r="HT874" s="5" t="s">
        <v>238</v>
      </c>
      <c r="HU874" s="5" t="s">
        <v>238</v>
      </c>
      <c r="HV874" s="5" t="s">
        <v>238</v>
      </c>
      <c r="HW874" s="5" t="s">
        <v>238</v>
      </c>
      <c r="HX874" s="5" t="s">
        <v>238</v>
      </c>
      <c r="HY874" s="5" t="s">
        <v>238</v>
      </c>
      <c r="HZ874" s="5" t="s">
        <v>238</v>
      </c>
      <c r="IA874" s="5" t="s">
        <v>238</v>
      </c>
      <c r="IB874" s="5" t="s">
        <v>238</v>
      </c>
      <c r="IC874" s="5" t="s">
        <v>238</v>
      </c>
      <c r="ID874" s="5" t="s">
        <v>238</v>
      </c>
    </row>
    <row r="875" spans="1:238" x14ac:dyDescent="0.4">
      <c r="A875" s="5">
        <v>971</v>
      </c>
      <c r="B875" s="5">
        <v>1</v>
      </c>
      <c r="C875" s="5">
        <v>3</v>
      </c>
      <c r="D875" s="5" t="s">
        <v>2531</v>
      </c>
      <c r="E875" s="5" t="s">
        <v>277</v>
      </c>
      <c r="F875" s="5" t="s">
        <v>282</v>
      </c>
      <c r="G875" s="5" t="s">
        <v>2491</v>
      </c>
      <c r="H875" s="6" t="s">
        <v>2533</v>
      </c>
      <c r="I875" s="5" t="s">
        <v>2482</v>
      </c>
      <c r="J875" s="7">
        <f>54.69</f>
        <v>54.69</v>
      </c>
      <c r="K875" s="5" t="s">
        <v>270</v>
      </c>
      <c r="L875" s="8">
        <f>1</f>
        <v>1</v>
      </c>
      <c r="M875" s="8">
        <f>8312880</f>
        <v>8312880</v>
      </c>
      <c r="N875" s="6" t="s">
        <v>2532</v>
      </c>
      <c r="O875" s="5" t="s">
        <v>286</v>
      </c>
      <c r="P875" s="5" t="s">
        <v>818</v>
      </c>
      <c r="Q875" s="8">
        <f>282647</f>
        <v>282647</v>
      </c>
      <c r="R875" s="8">
        <f>8312879</f>
        <v>8312879</v>
      </c>
      <c r="S875" s="5" t="s">
        <v>240</v>
      </c>
      <c r="T875" s="5" t="s">
        <v>237</v>
      </c>
      <c r="U875" s="5" t="s">
        <v>238</v>
      </c>
      <c r="V875" s="5" t="s">
        <v>238</v>
      </c>
      <c r="W875" s="5" t="s">
        <v>241</v>
      </c>
      <c r="X875" s="5" t="s">
        <v>276</v>
      </c>
      <c r="Y875" s="5" t="s">
        <v>238</v>
      </c>
      <c r="AB875" s="5" t="s">
        <v>238</v>
      </c>
      <c r="AC875" s="6" t="s">
        <v>238</v>
      </c>
      <c r="AD875" s="6" t="s">
        <v>238</v>
      </c>
      <c r="AF875" s="6" t="s">
        <v>238</v>
      </c>
      <c r="AG875" s="6" t="s">
        <v>246</v>
      </c>
      <c r="AH875" s="5" t="s">
        <v>247</v>
      </c>
      <c r="AI875" s="5" t="s">
        <v>248</v>
      </c>
      <c r="AO875" s="5" t="s">
        <v>238</v>
      </c>
      <c r="AP875" s="5" t="s">
        <v>238</v>
      </c>
      <c r="AQ875" s="5" t="s">
        <v>238</v>
      </c>
      <c r="AR875" s="6" t="s">
        <v>238</v>
      </c>
      <c r="AS875" s="6" t="s">
        <v>238</v>
      </c>
      <c r="AT875" s="6" t="s">
        <v>238</v>
      </c>
      <c r="AW875" s="5" t="s">
        <v>304</v>
      </c>
      <c r="AX875" s="5" t="s">
        <v>304</v>
      </c>
      <c r="AY875" s="5" t="s">
        <v>250</v>
      </c>
      <c r="AZ875" s="5" t="s">
        <v>305</v>
      </c>
      <c r="BA875" s="5" t="s">
        <v>251</v>
      </c>
      <c r="BB875" s="5" t="s">
        <v>238</v>
      </c>
      <c r="BC875" s="5" t="s">
        <v>253</v>
      </c>
      <c r="BD875" s="5" t="s">
        <v>238</v>
      </c>
      <c r="BF875" s="5" t="s">
        <v>238</v>
      </c>
      <c r="BH875" s="5" t="s">
        <v>1076</v>
      </c>
      <c r="BI875" s="6" t="s">
        <v>1077</v>
      </c>
      <c r="BJ875" s="5" t="s">
        <v>294</v>
      </c>
      <c r="BK875" s="5" t="s">
        <v>294</v>
      </c>
      <c r="BL875" s="5" t="s">
        <v>238</v>
      </c>
      <c r="BM875" s="7">
        <f>0</f>
        <v>0</v>
      </c>
      <c r="BN875" s="8">
        <f>-282647</f>
        <v>-282647</v>
      </c>
      <c r="BO875" s="5" t="s">
        <v>257</v>
      </c>
      <c r="BP875" s="5" t="s">
        <v>258</v>
      </c>
      <c r="BQ875" s="5" t="s">
        <v>238</v>
      </c>
      <c r="BR875" s="5" t="s">
        <v>238</v>
      </c>
      <c r="BS875" s="5" t="s">
        <v>238</v>
      </c>
      <c r="BT875" s="5" t="s">
        <v>238</v>
      </c>
      <c r="CC875" s="5" t="s">
        <v>258</v>
      </c>
      <c r="CD875" s="5" t="s">
        <v>238</v>
      </c>
      <c r="CE875" s="5" t="s">
        <v>238</v>
      </c>
      <c r="CI875" s="5" t="s">
        <v>259</v>
      </c>
      <c r="CJ875" s="5" t="s">
        <v>260</v>
      </c>
      <c r="CK875" s="5" t="s">
        <v>238</v>
      </c>
      <c r="CM875" s="5" t="s">
        <v>261</v>
      </c>
      <c r="CN875" s="6" t="s">
        <v>262</v>
      </c>
      <c r="CO875" s="5" t="s">
        <v>263</v>
      </c>
      <c r="CP875" s="5" t="s">
        <v>264</v>
      </c>
      <c r="CQ875" s="5" t="s">
        <v>285</v>
      </c>
      <c r="CR875" s="5" t="s">
        <v>238</v>
      </c>
      <c r="CS875" s="5">
        <v>4.5999999999999999E-2</v>
      </c>
      <c r="CT875" s="5" t="s">
        <v>265</v>
      </c>
      <c r="CU875" s="5" t="s">
        <v>1360</v>
      </c>
      <c r="CV875" s="5" t="s">
        <v>267</v>
      </c>
      <c r="CW875" s="7">
        <f>0</f>
        <v>0</v>
      </c>
      <c r="CX875" s="8">
        <f>8312880</f>
        <v>8312880</v>
      </c>
      <c r="CY875" s="8">
        <f>1</f>
        <v>1</v>
      </c>
      <c r="DA875" s="5" t="s">
        <v>238</v>
      </c>
      <c r="DB875" s="5" t="s">
        <v>238</v>
      </c>
      <c r="DD875" s="5" t="s">
        <v>238</v>
      </c>
      <c r="DE875" s="8">
        <f>0</f>
        <v>0</v>
      </c>
      <c r="DG875" s="5" t="s">
        <v>238</v>
      </c>
      <c r="DH875" s="5" t="s">
        <v>238</v>
      </c>
      <c r="DI875" s="5" t="s">
        <v>238</v>
      </c>
      <c r="DJ875" s="5" t="s">
        <v>238</v>
      </c>
      <c r="DK875" s="5" t="s">
        <v>271</v>
      </c>
      <c r="DL875" s="5" t="s">
        <v>272</v>
      </c>
      <c r="DM875" s="7">
        <f>54.69</f>
        <v>54.69</v>
      </c>
      <c r="DN875" s="5" t="s">
        <v>238</v>
      </c>
      <c r="DO875" s="5" t="s">
        <v>238</v>
      </c>
      <c r="DP875" s="5" t="s">
        <v>238</v>
      </c>
      <c r="DQ875" s="5" t="s">
        <v>238</v>
      </c>
      <c r="DT875" s="5" t="s">
        <v>2534</v>
      </c>
      <c r="DU875" s="5" t="s">
        <v>310</v>
      </c>
      <c r="GL875" s="5" t="s">
        <v>2535</v>
      </c>
      <c r="HM875" s="5" t="s">
        <v>313</v>
      </c>
      <c r="HP875" s="5" t="s">
        <v>272</v>
      </c>
      <c r="HQ875" s="5" t="s">
        <v>272</v>
      </c>
      <c r="HR875" s="5" t="s">
        <v>238</v>
      </c>
      <c r="HS875" s="5" t="s">
        <v>238</v>
      </c>
      <c r="HT875" s="5" t="s">
        <v>238</v>
      </c>
      <c r="HU875" s="5" t="s">
        <v>238</v>
      </c>
      <c r="HV875" s="5" t="s">
        <v>238</v>
      </c>
      <c r="HW875" s="5" t="s">
        <v>238</v>
      </c>
      <c r="HX875" s="5" t="s">
        <v>238</v>
      </c>
      <c r="HY875" s="5" t="s">
        <v>238</v>
      </c>
      <c r="HZ875" s="5" t="s">
        <v>238</v>
      </c>
      <c r="IA875" s="5" t="s">
        <v>238</v>
      </c>
      <c r="IB875" s="5" t="s">
        <v>238</v>
      </c>
      <c r="IC875" s="5" t="s">
        <v>238</v>
      </c>
      <c r="ID875" s="5" t="s">
        <v>238</v>
      </c>
    </row>
    <row r="876" spans="1:238" x14ac:dyDescent="0.4">
      <c r="A876" s="5">
        <v>972</v>
      </c>
      <c r="B876" s="5">
        <v>1</v>
      </c>
      <c r="C876" s="5">
        <v>1</v>
      </c>
      <c r="D876" s="5" t="s">
        <v>2490</v>
      </c>
      <c r="E876" s="5" t="s">
        <v>277</v>
      </c>
      <c r="F876" s="5" t="s">
        <v>282</v>
      </c>
      <c r="G876" s="5" t="s">
        <v>2491</v>
      </c>
      <c r="H876" s="6" t="s">
        <v>2492</v>
      </c>
      <c r="I876" s="5" t="s">
        <v>2495</v>
      </c>
      <c r="J876" s="7">
        <f>169.26</f>
        <v>169.26</v>
      </c>
      <c r="K876" s="5" t="s">
        <v>270</v>
      </c>
      <c r="L876" s="8">
        <f>1</f>
        <v>1</v>
      </c>
      <c r="M876" s="8">
        <f>30128280</f>
        <v>30128280</v>
      </c>
      <c r="N876" s="6" t="s">
        <v>645</v>
      </c>
      <c r="O876" s="5" t="s">
        <v>286</v>
      </c>
      <c r="P876" s="5" t="s">
        <v>286</v>
      </c>
      <c r="R876" s="8">
        <f>30128279</f>
        <v>30128279</v>
      </c>
      <c r="S876" s="5" t="s">
        <v>240</v>
      </c>
      <c r="T876" s="5" t="s">
        <v>237</v>
      </c>
      <c r="U876" s="5" t="s">
        <v>238</v>
      </c>
      <c r="V876" s="5" t="s">
        <v>238</v>
      </c>
      <c r="W876" s="5" t="s">
        <v>241</v>
      </c>
      <c r="X876" s="5" t="s">
        <v>276</v>
      </c>
      <c r="Y876" s="5" t="s">
        <v>238</v>
      </c>
      <c r="AB876" s="5" t="s">
        <v>238</v>
      </c>
      <c r="AD876" s="6" t="s">
        <v>238</v>
      </c>
      <c r="AG876" s="6" t="s">
        <v>246</v>
      </c>
      <c r="AH876" s="5" t="s">
        <v>247</v>
      </c>
      <c r="AI876" s="5" t="s">
        <v>248</v>
      </c>
      <c r="AY876" s="5" t="s">
        <v>250</v>
      </c>
      <c r="AZ876" s="5" t="s">
        <v>238</v>
      </c>
      <c r="BA876" s="5" t="s">
        <v>251</v>
      </c>
      <c r="BB876" s="5" t="s">
        <v>238</v>
      </c>
      <c r="BC876" s="5" t="s">
        <v>253</v>
      </c>
      <c r="BD876" s="5" t="s">
        <v>238</v>
      </c>
      <c r="BF876" s="5" t="s">
        <v>238</v>
      </c>
      <c r="BH876" s="5" t="s">
        <v>254</v>
      </c>
      <c r="BI876" s="6" t="s">
        <v>246</v>
      </c>
      <c r="BJ876" s="5" t="s">
        <v>255</v>
      </c>
      <c r="BK876" s="5" t="s">
        <v>294</v>
      </c>
      <c r="BL876" s="5" t="s">
        <v>238</v>
      </c>
      <c r="BM876" s="7">
        <f>0</f>
        <v>0</v>
      </c>
      <c r="BN876" s="8">
        <f>0</f>
        <v>0</v>
      </c>
      <c r="BO876" s="5" t="s">
        <v>257</v>
      </c>
      <c r="BP876" s="5" t="s">
        <v>258</v>
      </c>
      <c r="CD876" s="5" t="s">
        <v>238</v>
      </c>
      <c r="CE876" s="5" t="s">
        <v>238</v>
      </c>
      <c r="CI876" s="5" t="s">
        <v>259</v>
      </c>
      <c r="CJ876" s="5" t="s">
        <v>260</v>
      </c>
      <c r="CK876" s="5" t="s">
        <v>238</v>
      </c>
      <c r="CM876" s="5" t="s">
        <v>648</v>
      </c>
      <c r="CN876" s="6" t="s">
        <v>262</v>
      </c>
      <c r="CO876" s="5" t="s">
        <v>263</v>
      </c>
      <c r="CP876" s="5" t="s">
        <v>264</v>
      </c>
      <c r="CQ876" s="5" t="s">
        <v>238</v>
      </c>
      <c r="CR876" s="5" t="s">
        <v>238</v>
      </c>
      <c r="CS876" s="5">
        <v>0</v>
      </c>
      <c r="CT876" s="5" t="s">
        <v>265</v>
      </c>
      <c r="CU876" s="5" t="s">
        <v>1360</v>
      </c>
      <c r="CV876" s="5" t="s">
        <v>267</v>
      </c>
      <c r="CX876" s="8">
        <f>30128280</f>
        <v>30128280</v>
      </c>
      <c r="CY876" s="8">
        <f>0</f>
        <v>0</v>
      </c>
      <c r="DA876" s="5" t="s">
        <v>238</v>
      </c>
      <c r="DB876" s="5" t="s">
        <v>238</v>
      </c>
      <c r="DD876" s="5" t="s">
        <v>238</v>
      </c>
      <c r="DG876" s="5" t="s">
        <v>238</v>
      </c>
      <c r="DH876" s="5" t="s">
        <v>238</v>
      </c>
      <c r="DI876" s="5" t="s">
        <v>238</v>
      </c>
      <c r="DJ876" s="5" t="s">
        <v>238</v>
      </c>
      <c r="DK876" s="5" t="s">
        <v>274</v>
      </c>
      <c r="DL876" s="5" t="s">
        <v>272</v>
      </c>
      <c r="DM876" s="7">
        <f>169.26</f>
        <v>169.26</v>
      </c>
      <c r="DN876" s="5" t="s">
        <v>238</v>
      </c>
      <c r="DO876" s="5" t="s">
        <v>238</v>
      </c>
      <c r="DP876" s="5" t="s">
        <v>238</v>
      </c>
      <c r="DQ876" s="5" t="s">
        <v>238</v>
      </c>
      <c r="DT876" s="5" t="s">
        <v>2493</v>
      </c>
      <c r="DU876" s="5" t="s">
        <v>271</v>
      </c>
      <c r="HM876" s="5" t="s">
        <v>310</v>
      </c>
      <c r="HP876" s="5" t="s">
        <v>272</v>
      </c>
      <c r="HQ876" s="5" t="s">
        <v>272</v>
      </c>
    </row>
    <row r="877" spans="1:238" x14ac:dyDescent="0.4">
      <c r="A877" s="5">
        <v>973</v>
      </c>
      <c r="B877" s="5">
        <v>1</v>
      </c>
      <c r="C877" s="5">
        <v>1</v>
      </c>
      <c r="D877" s="5" t="s">
        <v>2490</v>
      </c>
      <c r="E877" s="5" t="s">
        <v>277</v>
      </c>
      <c r="F877" s="5" t="s">
        <v>282</v>
      </c>
      <c r="G877" s="5" t="s">
        <v>2491</v>
      </c>
      <c r="H877" s="6" t="s">
        <v>2492</v>
      </c>
      <c r="I877" s="5" t="s">
        <v>2505</v>
      </c>
      <c r="J877" s="7">
        <f>169.26</f>
        <v>169.26</v>
      </c>
      <c r="K877" s="5" t="s">
        <v>270</v>
      </c>
      <c r="L877" s="8">
        <f>1</f>
        <v>1</v>
      </c>
      <c r="M877" s="8">
        <f>30128280</f>
        <v>30128280</v>
      </c>
      <c r="N877" s="6" t="s">
        <v>645</v>
      </c>
      <c r="O877" s="5" t="s">
        <v>286</v>
      </c>
      <c r="P877" s="5" t="s">
        <v>286</v>
      </c>
      <c r="R877" s="8">
        <f>30128279</f>
        <v>30128279</v>
      </c>
      <c r="S877" s="5" t="s">
        <v>240</v>
      </c>
      <c r="T877" s="5" t="s">
        <v>237</v>
      </c>
      <c r="U877" s="5" t="s">
        <v>238</v>
      </c>
      <c r="V877" s="5" t="s">
        <v>238</v>
      </c>
      <c r="W877" s="5" t="s">
        <v>241</v>
      </c>
      <c r="X877" s="5" t="s">
        <v>276</v>
      </c>
      <c r="Y877" s="5" t="s">
        <v>238</v>
      </c>
      <c r="AB877" s="5" t="s">
        <v>238</v>
      </c>
      <c r="AD877" s="6" t="s">
        <v>238</v>
      </c>
      <c r="AG877" s="6" t="s">
        <v>246</v>
      </c>
      <c r="AH877" s="5" t="s">
        <v>247</v>
      </c>
      <c r="AI877" s="5" t="s">
        <v>248</v>
      </c>
      <c r="AY877" s="5" t="s">
        <v>250</v>
      </c>
      <c r="AZ877" s="5" t="s">
        <v>238</v>
      </c>
      <c r="BA877" s="5" t="s">
        <v>251</v>
      </c>
      <c r="BB877" s="5" t="s">
        <v>238</v>
      </c>
      <c r="BC877" s="5" t="s">
        <v>253</v>
      </c>
      <c r="BD877" s="5" t="s">
        <v>238</v>
      </c>
      <c r="BF877" s="5" t="s">
        <v>238</v>
      </c>
      <c r="BH877" s="5" t="s">
        <v>859</v>
      </c>
      <c r="BI877" s="6" t="s">
        <v>368</v>
      </c>
      <c r="BJ877" s="5" t="s">
        <v>255</v>
      </c>
      <c r="BK877" s="5" t="s">
        <v>294</v>
      </c>
      <c r="BL877" s="5" t="s">
        <v>238</v>
      </c>
      <c r="BM877" s="7">
        <f>0</f>
        <v>0</v>
      </c>
      <c r="BN877" s="8">
        <f>0</f>
        <v>0</v>
      </c>
      <c r="BO877" s="5" t="s">
        <v>257</v>
      </c>
      <c r="BP877" s="5" t="s">
        <v>258</v>
      </c>
      <c r="CD877" s="5" t="s">
        <v>238</v>
      </c>
      <c r="CE877" s="5" t="s">
        <v>238</v>
      </c>
      <c r="CI877" s="5" t="s">
        <v>259</v>
      </c>
      <c r="CJ877" s="5" t="s">
        <v>260</v>
      </c>
      <c r="CK877" s="5" t="s">
        <v>238</v>
      </c>
      <c r="CM877" s="5" t="s">
        <v>648</v>
      </c>
      <c r="CN877" s="6" t="s">
        <v>262</v>
      </c>
      <c r="CO877" s="5" t="s">
        <v>263</v>
      </c>
      <c r="CP877" s="5" t="s">
        <v>264</v>
      </c>
      <c r="CQ877" s="5" t="s">
        <v>238</v>
      </c>
      <c r="CR877" s="5" t="s">
        <v>238</v>
      </c>
      <c r="CS877" s="5">
        <v>0</v>
      </c>
      <c r="CT877" s="5" t="s">
        <v>265</v>
      </c>
      <c r="CU877" s="5" t="s">
        <v>1360</v>
      </c>
      <c r="CV877" s="5" t="s">
        <v>267</v>
      </c>
      <c r="CX877" s="8">
        <f>30128280</f>
        <v>30128280</v>
      </c>
      <c r="CY877" s="8">
        <f>0</f>
        <v>0</v>
      </c>
      <c r="DA877" s="5" t="s">
        <v>238</v>
      </c>
      <c r="DB877" s="5" t="s">
        <v>238</v>
      </c>
      <c r="DD877" s="5" t="s">
        <v>238</v>
      </c>
      <c r="DG877" s="5" t="s">
        <v>238</v>
      </c>
      <c r="DH877" s="5" t="s">
        <v>238</v>
      </c>
      <c r="DI877" s="5" t="s">
        <v>238</v>
      </c>
      <c r="DJ877" s="5" t="s">
        <v>238</v>
      </c>
      <c r="DK877" s="5" t="s">
        <v>274</v>
      </c>
      <c r="DL877" s="5" t="s">
        <v>272</v>
      </c>
      <c r="DM877" s="7">
        <f>169.26</f>
        <v>169.26</v>
      </c>
      <c r="DN877" s="5" t="s">
        <v>238</v>
      </c>
      <c r="DO877" s="5" t="s">
        <v>238</v>
      </c>
      <c r="DP877" s="5" t="s">
        <v>238</v>
      </c>
      <c r="DQ877" s="5" t="s">
        <v>238</v>
      </c>
      <c r="DT877" s="5" t="s">
        <v>2493</v>
      </c>
      <c r="DU877" s="5" t="s">
        <v>274</v>
      </c>
      <c r="HM877" s="5" t="s">
        <v>310</v>
      </c>
      <c r="HP877" s="5" t="s">
        <v>272</v>
      </c>
      <c r="HQ877" s="5" t="s">
        <v>272</v>
      </c>
    </row>
    <row r="878" spans="1:238" x14ac:dyDescent="0.4">
      <c r="A878" s="5">
        <v>974</v>
      </c>
      <c r="B878" s="5">
        <v>1</v>
      </c>
      <c r="C878" s="5">
        <v>1</v>
      </c>
      <c r="D878" s="5" t="s">
        <v>2490</v>
      </c>
      <c r="E878" s="5" t="s">
        <v>277</v>
      </c>
      <c r="F878" s="5" t="s">
        <v>282</v>
      </c>
      <c r="G878" s="5" t="s">
        <v>2491</v>
      </c>
      <c r="H878" s="6" t="s">
        <v>2492</v>
      </c>
      <c r="I878" s="5" t="s">
        <v>2504</v>
      </c>
      <c r="J878" s="7">
        <f>90.05</f>
        <v>90.05</v>
      </c>
      <c r="K878" s="5" t="s">
        <v>270</v>
      </c>
      <c r="L878" s="8">
        <f>1</f>
        <v>1</v>
      </c>
      <c r="M878" s="8">
        <f>16028900</f>
        <v>16028900</v>
      </c>
      <c r="N878" s="6" t="s">
        <v>645</v>
      </c>
      <c r="O878" s="5" t="s">
        <v>286</v>
      </c>
      <c r="P878" s="5" t="s">
        <v>286</v>
      </c>
      <c r="R878" s="8">
        <f>16028899</f>
        <v>16028899</v>
      </c>
      <c r="S878" s="5" t="s">
        <v>240</v>
      </c>
      <c r="T878" s="5" t="s">
        <v>237</v>
      </c>
      <c r="U878" s="5" t="s">
        <v>238</v>
      </c>
      <c r="V878" s="5" t="s">
        <v>238</v>
      </c>
      <c r="W878" s="5" t="s">
        <v>241</v>
      </c>
      <c r="X878" s="5" t="s">
        <v>276</v>
      </c>
      <c r="Y878" s="5" t="s">
        <v>238</v>
      </c>
      <c r="AB878" s="5" t="s">
        <v>238</v>
      </c>
      <c r="AD878" s="6" t="s">
        <v>238</v>
      </c>
      <c r="AG878" s="6" t="s">
        <v>246</v>
      </c>
      <c r="AH878" s="5" t="s">
        <v>247</v>
      </c>
      <c r="AI878" s="5" t="s">
        <v>248</v>
      </c>
      <c r="AY878" s="5" t="s">
        <v>250</v>
      </c>
      <c r="AZ878" s="5" t="s">
        <v>238</v>
      </c>
      <c r="BA878" s="5" t="s">
        <v>251</v>
      </c>
      <c r="BB878" s="5" t="s">
        <v>238</v>
      </c>
      <c r="BC878" s="5" t="s">
        <v>253</v>
      </c>
      <c r="BD878" s="5" t="s">
        <v>238</v>
      </c>
      <c r="BF878" s="5" t="s">
        <v>238</v>
      </c>
      <c r="BH878" s="5" t="s">
        <v>697</v>
      </c>
      <c r="BI878" s="6" t="s">
        <v>698</v>
      </c>
      <c r="BJ878" s="5" t="s">
        <v>255</v>
      </c>
      <c r="BK878" s="5" t="s">
        <v>294</v>
      </c>
      <c r="BL878" s="5" t="s">
        <v>238</v>
      </c>
      <c r="BM878" s="7">
        <f>0</f>
        <v>0</v>
      </c>
      <c r="BN878" s="8">
        <f>0</f>
        <v>0</v>
      </c>
      <c r="BO878" s="5" t="s">
        <v>257</v>
      </c>
      <c r="BP878" s="5" t="s">
        <v>258</v>
      </c>
      <c r="CD878" s="5" t="s">
        <v>238</v>
      </c>
      <c r="CE878" s="5" t="s">
        <v>238</v>
      </c>
      <c r="CI878" s="5" t="s">
        <v>259</v>
      </c>
      <c r="CJ878" s="5" t="s">
        <v>260</v>
      </c>
      <c r="CK878" s="5" t="s">
        <v>238</v>
      </c>
      <c r="CM878" s="5" t="s">
        <v>648</v>
      </c>
      <c r="CN878" s="6" t="s">
        <v>262</v>
      </c>
      <c r="CO878" s="5" t="s">
        <v>263</v>
      </c>
      <c r="CP878" s="5" t="s">
        <v>264</v>
      </c>
      <c r="CQ878" s="5" t="s">
        <v>238</v>
      </c>
      <c r="CR878" s="5" t="s">
        <v>238</v>
      </c>
      <c r="CS878" s="5">
        <v>0</v>
      </c>
      <c r="CT878" s="5" t="s">
        <v>265</v>
      </c>
      <c r="CU878" s="5" t="s">
        <v>1360</v>
      </c>
      <c r="CV878" s="5" t="s">
        <v>267</v>
      </c>
      <c r="CX878" s="8">
        <f>16028900</f>
        <v>16028900</v>
      </c>
      <c r="CY878" s="8">
        <f>0</f>
        <v>0</v>
      </c>
      <c r="DA878" s="5" t="s">
        <v>238</v>
      </c>
      <c r="DB878" s="5" t="s">
        <v>238</v>
      </c>
      <c r="DD878" s="5" t="s">
        <v>238</v>
      </c>
      <c r="DG878" s="5" t="s">
        <v>238</v>
      </c>
      <c r="DH878" s="5" t="s">
        <v>238</v>
      </c>
      <c r="DI878" s="5" t="s">
        <v>238</v>
      </c>
      <c r="DJ878" s="5" t="s">
        <v>238</v>
      </c>
      <c r="DK878" s="5" t="s">
        <v>274</v>
      </c>
      <c r="DL878" s="5" t="s">
        <v>272</v>
      </c>
      <c r="DM878" s="7">
        <f>90.05</f>
        <v>90.05</v>
      </c>
      <c r="DN878" s="5" t="s">
        <v>238</v>
      </c>
      <c r="DO878" s="5" t="s">
        <v>238</v>
      </c>
      <c r="DP878" s="5" t="s">
        <v>238</v>
      </c>
      <c r="DQ878" s="5" t="s">
        <v>238</v>
      </c>
      <c r="DT878" s="5" t="s">
        <v>2493</v>
      </c>
      <c r="DU878" s="5" t="s">
        <v>356</v>
      </c>
      <c r="HM878" s="5" t="s">
        <v>310</v>
      </c>
      <c r="HP878" s="5" t="s">
        <v>272</v>
      </c>
      <c r="HQ878" s="5" t="s">
        <v>272</v>
      </c>
    </row>
    <row r="879" spans="1:238" x14ac:dyDescent="0.4">
      <c r="A879" s="5">
        <v>975</v>
      </c>
      <c r="B879" s="5">
        <v>1</v>
      </c>
      <c r="C879" s="5">
        <v>1</v>
      </c>
      <c r="D879" s="5" t="s">
        <v>2490</v>
      </c>
      <c r="E879" s="5" t="s">
        <v>277</v>
      </c>
      <c r="F879" s="5" t="s">
        <v>282</v>
      </c>
      <c r="G879" s="5" t="s">
        <v>2491</v>
      </c>
      <c r="H879" s="6" t="s">
        <v>2492</v>
      </c>
      <c r="I879" s="5" t="s">
        <v>2494</v>
      </c>
      <c r="J879" s="7">
        <f>90.05</f>
        <v>90.05</v>
      </c>
      <c r="K879" s="5" t="s">
        <v>270</v>
      </c>
      <c r="L879" s="8">
        <f>1</f>
        <v>1</v>
      </c>
      <c r="M879" s="8">
        <f>16028900</f>
        <v>16028900</v>
      </c>
      <c r="N879" s="6" t="s">
        <v>645</v>
      </c>
      <c r="O879" s="5" t="s">
        <v>286</v>
      </c>
      <c r="P879" s="5" t="s">
        <v>286</v>
      </c>
      <c r="R879" s="8">
        <f>16028899</f>
        <v>16028899</v>
      </c>
      <c r="S879" s="5" t="s">
        <v>240</v>
      </c>
      <c r="T879" s="5" t="s">
        <v>237</v>
      </c>
      <c r="U879" s="5" t="s">
        <v>238</v>
      </c>
      <c r="V879" s="5" t="s">
        <v>238</v>
      </c>
      <c r="W879" s="5" t="s">
        <v>241</v>
      </c>
      <c r="X879" s="5" t="s">
        <v>276</v>
      </c>
      <c r="Y879" s="5" t="s">
        <v>238</v>
      </c>
      <c r="AB879" s="5" t="s">
        <v>238</v>
      </c>
      <c r="AD879" s="6" t="s">
        <v>238</v>
      </c>
      <c r="AG879" s="6" t="s">
        <v>246</v>
      </c>
      <c r="AH879" s="5" t="s">
        <v>247</v>
      </c>
      <c r="AI879" s="5" t="s">
        <v>248</v>
      </c>
      <c r="AY879" s="5" t="s">
        <v>250</v>
      </c>
      <c r="AZ879" s="5" t="s">
        <v>238</v>
      </c>
      <c r="BA879" s="5" t="s">
        <v>251</v>
      </c>
      <c r="BB879" s="5" t="s">
        <v>238</v>
      </c>
      <c r="BC879" s="5" t="s">
        <v>253</v>
      </c>
      <c r="BD879" s="5" t="s">
        <v>238</v>
      </c>
      <c r="BF879" s="5" t="s">
        <v>238</v>
      </c>
      <c r="BH879" s="5" t="s">
        <v>798</v>
      </c>
      <c r="BI879" s="6" t="s">
        <v>799</v>
      </c>
      <c r="BJ879" s="5" t="s">
        <v>255</v>
      </c>
      <c r="BK879" s="5" t="s">
        <v>294</v>
      </c>
      <c r="BL879" s="5" t="s">
        <v>238</v>
      </c>
      <c r="BM879" s="7">
        <f>0</f>
        <v>0</v>
      </c>
      <c r="BN879" s="8">
        <f>0</f>
        <v>0</v>
      </c>
      <c r="BO879" s="5" t="s">
        <v>257</v>
      </c>
      <c r="BP879" s="5" t="s">
        <v>258</v>
      </c>
      <c r="CD879" s="5" t="s">
        <v>238</v>
      </c>
      <c r="CE879" s="5" t="s">
        <v>238</v>
      </c>
      <c r="CI879" s="5" t="s">
        <v>259</v>
      </c>
      <c r="CJ879" s="5" t="s">
        <v>260</v>
      </c>
      <c r="CK879" s="5" t="s">
        <v>238</v>
      </c>
      <c r="CM879" s="5" t="s">
        <v>648</v>
      </c>
      <c r="CN879" s="6" t="s">
        <v>262</v>
      </c>
      <c r="CO879" s="5" t="s">
        <v>263</v>
      </c>
      <c r="CP879" s="5" t="s">
        <v>264</v>
      </c>
      <c r="CQ879" s="5" t="s">
        <v>238</v>
      </c>
      <c r="CR879" s="5" t="s">
        <v>238</v>
      </c>
      <c r="CS879" s="5">
        <v>0</v>
      </c>
      <c r="CT879" s="5" t="s">
        <v>265</v>
      </c>
      <c r="CU879" s="5" t="s">
        <v>1360</v>
      </c>
      <c r="CV879" s="5" t="s">
        <v>267</v>
      </c>
      <c r="CX879" s="8">
        <f>16028900</f>
        <v>16028900</v>
      </c>
      <c r="CY879" s="8">
        <f>0</f>
        <v>0</v>
      </c>
      <c r="DA879" s="5" t="s">
        <v>238</v>
      </c>
      <c r="DB879" s="5" t="s">
        <v>238</v>
      </c>
      <c r="DD879" s="5" t="s">
        <v>238</v>
      </c>
      <c r="DG879" s="5" t="s">
        <v>238</v>
      </c>
      <c r="DH879" s="5" t="s">
        <v>238</v>
      </c>
      <c r="DI879" s="5" t="s">
        <v>238</v>
      </c>
      <c r="DJ879" s="5" t="s">
        <v>238</v>
      </c>
      <c r="DK879" s="5" t="s">
        <v>274</v>
      </c>
      <c r="DL879" s="5" t="s">
        <v>272</v>
      </c>
      <c r="DM879" s="7">
        <f>90.05</f>
        <v>90.05</v>
      </c>
      <c r="DN879" s="5" t="s">
        <v>238</v>
      </c>
      <c r="DO879" s="5" t="s">
        <v>238</v>
      </c>
      <c r="DP879" s="5" t="s">
        <v>238</v>
      </c>
      <c r="DQ879" s="5" t="s">
        <v>238</v>
      </c>
      <c r="DT879" s="5" t="s">
        <v>2493</v>
      </c>
      <c r="DU879" s="5" t="s">
        <v>310</v>
      </c>
      <c r="HM879" s="5" t="s">
        <v>310</v>
      </c>
      <c r="HP879" s="5" t="s">
        <v>272</v>
      </c>
      <c r="HQ879" s="5" t="s">
        <v>272</v>
      </c>
    </row>
    <row r="880" spans="1:238" x14ac:dyDescent="0.4">
      <c r="A880" s="5">
        <v>976</v>
      </c>
      <c r="B880" s="5">
        <v>1</v>
      </c>
      <c r="C880" s="5">
        <v>1</v>
      </c>
      <c r="D880" s="5" t="s">
        <v>2490</v>
      </c>
      <c r="E880" s="5" t="s">
        <v>277</v>
      </c>
      <c r="F880" s="5" t="s">
        <v>282</v>
      </c>
      <c r="G880" s="5" t="s">
        <v>2491</v>
      </c>
      <c r="H880" s="6" t="s">
        <v>2492</v>
      </c>
      <c r="I880" s="5" t="s">
        <v>2489</v>
      </c>
      <c r="J880" s="7">
        <f>90.05</f>
        <v>90.05</v>
      </c>
      <c r="K880" s="5" t="s">
        <v>270</v>
      </c>
      <c r="L880" s="8">
        <f>1</f>
        <v>1</v>
      </c>
      <c r="M880" s="8">
        <f>16028900</f>
        <v>16028900</v>
      </c>
      <c r="N880" s="6" t="s">
        <v>645</v>
      </c>
      <c r="O880" s="5" t="s">
        <v>286</v>
      </c>
      <c r="P880" s="5" t="s">
        <v>286</v>
      </c>
      <c r="R880" s="8">
        <f>16028899</f>
        <v>16028899</v>
      </c>
      <c r="S880" s="5" t="s">
        <v>240</v>
      </c>
      <c r="T880" s="5" t="s">
        <v>237</v>
      </c>
      <c r="U880" s="5" t="s">
        <v>238</v>
      </c>
      <c r="V880" s="5" t="s">
        <v>238</v>
      </c>
      <c r="W880" s="5" t="s">
        <v>241</v>
      </c>
      <c r="X880" s="5" t="s">
        <v>276</v>
      </c>
      <c r="Y880" s="5" t="s">
        <v>238</v>
      </c>
      <c r="AB880" s="5" t="s">
        <v>238</v>
      </c>
      <c r="AD880" s="6" t="s">
        <v>238</v>
      </c>
      <c r="AG880" s="6" t="s">
        <v>246</v>
      </c>
      <c r="AH880" s="5" t="s">
        <v>247</v>
      </c>
      <c r="AI880" s="5" t="s">
        <v>248</v>
      </c>
      <c r="AY880" s="5" t="s">
        <v>250</v>
      </c>
      <c r="AZ880" s="5" t="s">
        <v>238</v>
      </c>
      <c r="BA880" s="5" t="s">
        <v>251</v>
      </c>
      <c r="BB880" s="5" t="s">
        <v>238</v>
      </c>
      <c r="BC880" s="5" t="s">
        <v>253</v>
      </c>
      <c r="BD880" s="5" t="s">
        <v>238</v>
      </c>
      <c r="BF880" s="5" t="s">
        <v>238</v>
      </c>
      <c r="BH880" s="5" t="s">
        <v>254</v>
      </c>
      <c r="BI880" s="6" t="s">
        <v>246</v>
      </c>
      <c r="BJ880" s="5" t="s">
        <v>255</v>
      </c>
      <c r="BK880" s="5" t="s">
        <v>294</v>
      </c>
      <c r="BL880" s="5" t="s">
        <v>238</v>
      </c>
      <c r="BM880" s="7">
        <f>0</f>
        <v>0</v>
      </c>
      <c r="BN880" s="8">
        <f>0</f>
        <v>0</v>
      </c>
      <c r="BO880" s="5" t="s">
        <v>257</v>
      </c>
      <c r="BP880" s="5" t="s">
        <v>258</v>
      </c>
      <c r="CD880" s="5" t="s">
        <v>238</v>
      </c>
      <c r="CE880" s="5" t="s">
        <v>238</v>
      </c>
      <c r="CI880" s="5" t="s">
        <v>259</v>
      </c>
      <c r="CJ880" s="5" t="s">
        <v>260</v>
      </c>
      <c r="CK880" s="5" t="s">
        <v>238</v>
      </c>
      <c r="CM880" s="5" t="s">
        <v>648</v>
      </c>
      <c r="CN880" s="6" t="s">
        <v>262</v>
      </c>
      <c r="CO880" s="5" t="s">
        <v>263</v>
      </c>
      <c r="CP880" s="5" t="s">
        <v>264</v>
      </c>
      <c r="CQ880" s="5" t="s">
        <v>238</v>
      </c>
      <c r="CR880" s="5" t="s">
        <v>238</v>
      </c>
      <c r="CS880" s="5">
        <v>0</v>
      </c>
      <c r="CT880" s="5" t="s">
        <v>265</v>
      </c>
      <c r="CU880" s="5" t="s">
        <v>1360</v>
      </c>
      <c r="CV880" s="5" t="s">
        <v>267</v>
      </c>
      <c r="CX880" s="8">
        <f>16028900</f>
        <v>16028900</v>
      </c>
      <c r="CY880" s="8">
        <f>0</f>
        <v>0</v>
      </c>
      <c r="DA880" s="5" t="s">
        <v>238</v>
      </c>
      <c r="DB880" s="5" t="s">
        <v>238</v>
      </c>
      <c r="DD880" s="5" t="s">
        <v>238</v>
      </c>
      <c r="DG880" s="5" t="s">
        <v>238</v>
      </c>
      <c r="DH880" s="5" t="s">
        <v>238</v>
      </c>
      <c r="DI880" s="5" t="s">
        <v>238</v>
      </c>
      <c r="DJ880" s="5" t="s">
        <v>238</v>
      </c>
      <c r="DK880" s="5" t="s">
        <v>274</v>
      </c>
      <c r="DL880" s="5" t="s">
        <v>272</v>
      </c>
      <c r="DM880" s="7">
        <f>90.05</f>
        <v>90.05</v>
      </c>
      <c r="DN880" s="5" t="s">
        <v>238</v>
      </c>
      <c r="DO880" s="5" t="s">
        <v>238</v>
      </c>
      <c r="DP880" s="5" t="s">
        <v>238</v>
      </c>
      <c r="DQ880" s="5" t="s">
        <v>238</v>
      </c>
      <c r="DT880" s="5" t="s">
        <v>2493</v>
      </c>
      <c r="DU880" s="5" t="s">
        <v>379</v>
      </c>
      <c r="HM880" s="5" t="s">
        <v>310</v>
      </c>
      <c r="HP880" s="5" t="s">
        <v>272</v>
      </c>
      <c r="HQ880" s="5" t="s">
        <v>272</v>
      </c>
    </row>
    <row r="881" spans="1:238" x14ac:dyDescent="0.4">
      <c r="A881" s="5">
        <v>977</v>
      </c>
      <c r="B881" s="5">
        <v>1</v>
      </c>
      <c r="C881" s="5">
        <v>4</v>
      </c>
      <c r="D881" s="5" t="s">
        <v>2646</v>
      </c>
      <c r="E881" s="5" t="s">
        <v>277</v>
      </c>
      <c r="F881" s="5" t="s">
        <v>282</v>
      </c>
      <c r="G881" s="5" t="s">
        <v>2485</v>
      </c>
      <c r="H881" s="6" t="s">
        <v>2647</v>
      </c>
      <c r="I881" s="5" t="s">
        <v>2495</v>
      </c>
      <c r="J881" s="7">
        <f>52.95</f>
        <v>52.95</v>
      </c>
      <c r="K881" s="5" t="s">
        <v>270</v>
      </c>
      <c r="L881" s="8">
        <f>1567859</f>
        <v>1567859</v>
      </c>
      <c r="M881" s="8">
        <f>12443250</f>
        <v>12443250</v>
      </c>
      <c r="N881" s="6" t="s">
        <v>804</v>
      </c>
      <c r="O881" s="5" t="s">
        <v>286</v>
      </c>
      <c r="P881" s="5" t="s">
        <v>631</v>
      </c>
      <c r="Q881" s="8">
        <f>572389</f>
        <v>572389</v>
      </c>
      <c r="R881" s="8">
        <f>10875391</f>
        <v>10875391</v>
      </c>
      <c r="S881" s="5" t="s">
        <v>240</v>
      </c>
      <c r="T881" s="5" t="s">
        <v>237</v>
      </c>
      <c r="U881" s="5" t="s">
        <v>238</v>
      </c>
      <c r="V881" s="5" t="s">
        <v>238</v>
      </c>
      <c r="W881" s="5" t="s">
        <v>241</v>
      </c>
      <c r="X881" s="5" t="s">
        <v>276</v>
      </c>
      <c r="Y881" s="5" t="s">
        <v>238</v>
      </c>
      <c r="AB881" s="5" t="s">
        <v>238</v>
      </c>
      <c r="AC881" s="6" t="s">
        <v>238</v>
      </c>
      <c r="AD881" s="6" t="s">
        <v>238</v>
      </c>
      <c r="AF881" s="6" t="s">
        <v>238</v>
      </c>
      <c r="AG881" s="6" t="s">
        <v>246</v>
      </c>
      <c r="AH881" s="5" t="s">
        <v>247</v>
      </c>
      <c r="AI881" s="5" t="s">
        <v>248</v>
      </c>
      <c r="AO881" s="5" t="s">
        <v>238</v>
      </c>
      <c r="AP881" s="5" t="s">
        <v>238</v>
      </c>
      <c r="AQ881" s="5" t="s">
        <v>238</v>
      </c>
      <c r="AR881" s="6" t="s">
        <v>238</v>
      </c>
      <c r="AS881" s="6" t="s">
        <v>238</v>
      </c>
      <c r="AT881" s="6" t="s">
        <v>238</v>
      </c>
      <c r="AW881" s="5" t="s">
        <v>304</v>
      </c>
      <c r="AX881" s="5" t="s">
        <v>304</v>
      </c>
      <c r="AY881" s="5" t="s">
        <v>250</v>
      </c>
      <c r="AZ881" s="5" t="s">
        <v>305</v>
      </c>
      <c r="BA881" s="5" t="s">
        <v>251</v>
      </c>
      <c r="BB881" s="5" t="s">
        <v>238</v>
      </c>
      <c r="BC881" s="5" t="s">
        <v>253</v>
      </c>
      <c r="BD881" s="5" t="s">
        <v>238</v>
      </c>
      <c r="BF881" s="5" t="s">
        <v>2648</v>
      </c>
      <c r="BH881" s="5" t="s">
        <v>283</v>
      </c>
      <c r="BI881" s="6" t="s">
        <v>293</v>
      </c>
      <c r="BJ881" s="5" t="s">
        <v>294</v>
      </c>
      <c r="BK881" s="5" t="s">
        <v>294</v>
      </c>
      <c r="BL881" s="5" t="s">
        <v>238</v>
      </c>
      <c r="BM881" s="7">
        <f>0</f>
        <v>0</v>
      </c>
      <c r="BN881" s="8">
        <f>-572389</f>
        <v>-572389</v>
      </c>
      <c r="BO881" s="5" t="s">
        <v>257</v>
      </c>
      <c r="BP881" s="5" t="s">
        <v>258</v>
      </c>
      <c r="BQ881" s="5" t="s">
        <v>238</v>
      </c>
      <c r="BR881" s="5" t="s">
        <v>238</v>
      </c>
      <c r="BS881" s="5" t="s">
        <v>238</v>
      </c>
      <c r="BT881" s="5" t="s">
        <v>238</v>
      </c>
      <c r="CC881" s="5" t="s">
        <v>258</v>
      </c>
      <c r="CD881" s="5" t="s">
        <v>238</v>
      </c>
      <c r="CE881" s="5" t="s">
        <v>238</v>
      </c>
      <c r="CI881" s="5" t="s">
        <v>259</v>
      </c>
      <c r="CJ881" s="5" t="s">
        <v>260</v>
      </c>
      <c r="CK881" s="5" t="s">
        <v>238</v>
      </c>
      <c r="CM881" s="5" t="s">
        <v>807</v>
      </c>
      <c r="CN881" s="6" t="s">
        <v>262</v>
      </c>
      <c r="CO881" s="5" t="s">
        <v>263</v>
      </c>
      <c r="CP881" s="5" t="s">
        <v>264</v>
      </c>
      <c r="CQ881" s="5" t="s">
        <v>285</v>
      </c>
      <c r="CR881" s="5" t="s">
        <v>238</v>
      </c>
      <c r="CS881" s="5">
        <v>4.5999999999999999E-2</v>
      </c>
      <c r="CT881" s="5" t="s">
        <v>265</v>
      </c>
      <c r="CU881" s="5" t="s">
        <v>1360</v>
      </c>
      <c r="CV881" s="5" t="s">
        <v>267</v>
      </c>
      <c r="CW881" s="7">
        <f>0</f>
        <v>0</v>
      </c>
      <c r="CX881" s="8">
        <f>12443250</f>
        <v>12443250</v>
      </c>
      <c r="CY881" s="8">
        <f>2140248</f>
        <v>2140248</v>
      </c>
      <c r="DA881" s="5" t="s">
        <v>238</v>
      </c>
      <c r="DB881" s="5" t="s">
        <v>238</v>
      </c>
      <c r="DD881" s="5" t="s">
        <v>238</v>
      </c>
      <c r="DE881" s="8">
        <f>0</f>
        <v>0</v>
      </c>
      <c r="DG881" s="5" t="s">
        <v>238</v>
      </c>
      <c r="DH881" s="5" t="s">
        <v>238</v>
      </c>
      <c r="DI881" s="5" t="s">
        <v>238</v>
      </c>
      <c r="DJ881" s="5" t="s">
        <v>238</v>
      </c>
      <c r="DK881" s="5" t="s">
        <v>271</v>
      </c>
      <c r="DL881" s="5" t="s">
        <v>272</v>
      </c>
      <c r="DM881" s="7">
        <f>52.95</f>
        <v>52.95</v>
      </c>
      <c r="DN881" s="5" t="s">
        <v>238</v>
      </c>
      <c r="DO881" s="5" t="s">
        <v>238</v>
      </c>
      <c r="DP881" s="5" t="s">
        <v>238</v>
      </c>
      <c r="DQ881" s="5" t="s">
        <v>238</v>
      </c>
      <c r="DT881" s="5" t="s">
        <v>2649</v>
      </c>
      <c r="DU881" s="5" t="s">
        <v>271</v>
      </c>
      <c r="GL881" s="5" t="s">
        <v>2650</v>
      </c>
      <c r="HM881" s="5" t="s">
        <v>313</v>
      </c>
      <c r="HP881" s="5" t="s">
        <v>272</v>
      </c>
      <c r="HQ881" s="5" t="s">
        <v>272</v>
      </c>
      <c r="HR881" s="5" t="s">
        <v>238</v>
      </c>
      <c r="HS881" s="5" t="s">
        <v>238</v>
      </c>
      <c r="HT881" s="5" t="s">
        <v>238</v>
      </c>
      <c r="HU881" s="5" t="s">
        <v>238</v>
      </c>
      <c r="HV881" s="5" t="s">
        <v>238</v>
      </c>
      <c r="HW881" s="5" t="s">
        <v>238</v>
      </c>
      <c r="HX881" s="5" t="s">
        <v>238</v>
      </c>
      <c r="HY881" s="5" t="s">
        <v>238</v>
      </c>
      <c r="HZ881" s="5" t="s">
        <v>238</v>
      </c>
      <c r="IA881" s="5" t="s">
        <v>238</v>
      </c>
      <c r="IB881" s="5" t="s">
        <v>238</v>
      </c>
      <c r="IC881" s="5" t="s">
        <v>238</v>
      </c>
      <c r="ID881" s="5" t="s">
        <v>238</v>
      </c>
    </row>
    <row r="882" spans="1:238" x14ac:dyDescent="0.4">
      <c r="A882" s="5">
        <v>978</v>
      </c>
      <c r="B882" s="5">
        <v>1</v>
      </c>
      <c r="C882" s="5">
        <v>4</v>
      </c>
      <c r="D882" s="5" t="s">
        <v>1154</v>
      </c>
      <c r="E882" s="5" t="s">
        <v>277</v>
      </c>
      <c r="F882" s="5" t="s">
        <v>282</v>
      </c>
      <c r="G882" s="5" t="s">
        <v>2485</v>
      </c>
      <c r="H882" s="6" t="s">
        <v>1156</v>
      </c>
      <c r="I882" s="5" t="s">
        <v>2495</v>
      </c>
      <c r="J882" s="7">
        <f>1182.64</f>
        <v>1182.6400000000001</v>
      </c>
      <c r="K882" s="5" t="s">
        <v>270</v>
      </c>
      <c r="L882" s="8">
        <f>13931516</f>
        <v>13931516</v>
      </c>
      <c r="M882" s="8">
        <f>183309200</f>
        <v>183309200</v>
      </c>
      <c r="N882" s="6" t="s">
        <v>1155</v>
      </c>
      <c r="O882" s="5" t="s">
        <v>898</v>
      </c>
      <c r="P882" s="5" t="s">
        <v>915</v>
      </c>
      <c r="Q882" s="8">
        <f>4032802</f>
        <v>4032802</v>
      </c>
      <c r="R882" s="8">
        <f>169377684</f>
        <v>169377684</v>
      </c>
      <c r="S882" s="5" t="s">
        <v>240</v>
      </c>
      <c r="T882" s="5" t="s">
        <v>237</v>
      </c>
      <c r="U882" s="5" t="s">
        <v>238</v>
      </c>
      <c r="V882" s="5" t="s">
        <v>238</v>
      </c>
      <c r="W882" s="5" t="s">
        <v>241</v>
      </c>
      <c r="X882" s="5" t="s">
        <v>276</v>
      </c>
      <c r="Y882" s="5" t="s">
        <v>238</v>
      </c>
      <c r="AB882" s="5" t="s">
        <v>238</v>
      </c>
      <c r="AC882" s="6" t="s">
        <v>238</v>
      </c>
      <c r="AD882" s="6" t="s">
        <v>238</v>
      </c>
      <c r="AF882" s="6" t="s">
        <v>238</v>
      </c>
      <c r="AG882" s="6" t="s">
        <v>246</v>
      </c>
      <c r="AH882" s="5" t="s">
        <v>247</v>
      </c>
      <c r="AI882" s="5" t="s">
        <v>248</v>
      </c>
      <c r="AO882" s="5" t="s">
        <v>238</v>
      </c>
      <c r="AP882" s="5" t="s">
        <v>238</v>
      </c>
      <c r="AQ882" s="5" t="s">
        <v>238</v>
      </c>
      <c r="AR882" s="6" t="s">
        <v>238</v>
      </c>
      <c r="AS882" s="6" t="s">
        <v>238</v>
      </c>
      <c r="AT882" s="6" t="s">
        <v>238</v>
      </c>
      <c r="AW882" s="5" t="s">
        <v>304</v>
      </c>
      <c r="AX882" s="5" t="s">
        <v>304</v>
      </c>
      <c r="AY882" s="5" t="s">
        <v>250</v>
      </c>
      <c r="AZ882" s="5" t="s">
        <v>305</v>
      </c>
      <c r="BA882" s="5" t="s">
        <v>251</v>
      </c>
      <c r="BB882" s="5" t="s">
        <v>238</v>
      </c>
      <c r="BC882" s="5" t="s">
        <v>253</v>
      </c>
      <c r="BD882" s="5" t="s">
        <v>238</v>
      </c>
      <c r="BF882" s="5" t="s">
        <v>238</v>
      </c>
      <c r="BH882" s="5" t="s">
        <v>283</v>
      </c>
      <c r="BI882" s="6" t="s">
        <v>293</v>
      </c>
      <c r="BJ882" s="5" t="s">
        <v>294</v>
      </c>
      <c r="BK882" s="5" t="s">
        <v>294</v>
      </c>
      <c r="BL882" s="5" t="s">
        <v>238</v>
      </c>
      <c r="BM882" s="7">
        <f>0</f>
        <v>0</v>
      </c>
      <c r="BN882" s="8">
        <f>-4032802</f>
        <v>-4032802</v>
      </c>
      <c r="BO882" s="5" t="s">
        <v>257</v>
      </c>
      <c r="BP882" s="5" t="s">
        <v>258</v>
      </c>
      <c r="BQ882" s="5" t="s">
        <v>238</v>
      </c>
      <c r="BR882" s="5" t="s">
        <v>238</v>
      </c>
      <c r="BS882" s="5" t="s">
        <v>238</v>
      </c>
      <c r="BT882" s="5" t="s">
        <v>238</v>
      </c>
      <c r="CC882" s="5" t="s">
        <v>258</v>
      </c>
      <c r="CD882" s="5" t="s">
        <v>238</v>
      </c>
      <c r="CE882" s="5" t="s">
        <v>238</v>
      </c>
      <c r="CI882" s="5" t="s">
        <v>527</v>
      </c>
      <c r="CJ882" s="5" t="s">
        <v>260</v>
      </c>
      <c r="CK882" s="5" t="s">
        <v>238</v>
      </c>
      <c r="CM882" s="5" t="s">
        <v>699</v>
      </c>
      <c r="CN882" s="6" t="s">
        <v>262</v>
      </c>
      <c r="CO882" s="5" t="s">
        <v>263</v>
      </c>
      <c r="CP882" s="5" t="s">
        <v>264</v>
      </c>
      <c r="CQ882" s="5" t="s">
        <v>285</v>
      </c>
      <c r="CR882" s="5" t="s">
        <v>238</v>
      </c>
      <c r="CS882" s="5">
        <v>2.1999999999999999E-2</v>
      </c>
      <c r="CT882" s="5" t="s">
        <v>265</v>
      </c>
      <c r="CU882" s="5" t="s">
        <v>1360</v>
      </c>
      <c r="CV882" s="5" t="s">
        <v>308</v>
      </c>
      <c r="CW882" s="7">
        <f>0</f>
        <v>0</v>
      </c>
      <c r="CX882" s="8">
        <f>183309200</f>
        <v>183309200</v>
      </c>
      <c r="CY882" s="8">
        <f>17964318</f>
        <v>17964318</v>
      </c>
      <c r="DA882" s="5" t="s">
        <v>238</v>
      </c>
      <c r="DB882" s="5" t="s">
        <v>238</v>
      </c>
      <c r="DD882" s="5" t="s">
        <v>238</v>
      </c>
      <c r="DE882" s="8">
        <f>0</f>
        <v>0</v>
      </c>
      <c r="DG882" s="5" t="s">
        <v>238</v>
      </c>
      <c r="DH882" s="5" t="s">
        <v>238</v>
      </c>
      <c r="DI882" s="5" t="s">
        <v>238</v>
      </c>
      <c r="DJ882" s="5" t="s">
        <v>238</v>
      </c>
      <c r="DK882" s="5" t="s">
        <v>379</v>
      </c>
      <c r="DL882" s="5" t="s">
        <v>272</v>
      </c>
      <c r="DM882" s="7">
        <f>1182.64</f>
        <v>1182.6400000000001</v>
      </c>
      <c r="DN882" s="5" t="s">
        <v>238</v>
      </c>
      <c r="DO882" s="5" t="s">
        <v>238</v>
      </c>
      <c r="DP882" s="5" t="s">
        <v>238</v>
      </c>
      <c r="DQ882" s="5" t="s">
        <v>238</v>
      </c>
      <c r="DT882" s="5" t="s">
        <v>1157</v>
      </c>
      <c r="DU882" s="5" t="s">
        <v>271</v>
      </c>
      <c r="GL882" s="5" t="s">
        <v>2645</v>
      </c>
      <c r="HM882" s="5" t="s">
        <v>313</v>
      </c>
      <c r="HP882" s="5" t="s">
        <v>272</v>
      </c>
      <c r="HQ882" s="5" t="s">
        <v>272</v>
      </c>
      <c r="HR882" s="5" t="s">
        <v>238</v>
      </c>
      <c r="HS882" s="5" t="s">
        <v>238</v>
      </c>
      <c r="HT882" s="5" t="s">
        <v>238</v>
      </c>
      <c r="HU882" s="5" t="s">
        <v>238</v>
      </c>
      <c r="HV882" s="5" t="s">
        <v>238</v>
      </c>
      <c r="HW882" s="5" t="s">
        <v>238</v>
      </c>
      <c r="HX882" s="5" t="s">
        <v>238</v>
      </c>
      <c r="HY882" s="5" t="s">
        <v>238</v>
      </c>
      <c r="HZ882" s="5" t="s">
        <v>238</v>
      </c>
      <c r="IA882" s="5" t="s">
        <v>238</v>
      </c>
      <c r="IB882" s="5" t="s">
        <v>238</v>
      </c>
      <c r="IC882" s="5" t="s">
        <v>238</v>
      </c>
      <c r="ID882" s="5" t="s">
        <v>238</v>
      </c>
    </row>
    <row r="883" spans="1:238" x14ac:dyDescent="0.4">
      <c r="A883" s="5">
        <v>979</v>
      </c>
      <c r="B883" s="5">
        <v>1</v>
      </c>
      <c r="C883" s="5">
        <v>1</v>
      </c>
      <c r="D883" s="5" t="s">
        <v>1154</v>
      </c>
      <c r="E883" s="5" t="s">
        <v>277</v>
      </c>
      <c r="F883" s="5" t="s">
        <v>282</v>
      </c>
      <c r="G883" s="5" t="s">
        <v>695</v>
      </c>
      <c r="H883" s="6" t="s">
        <v>1156</v>
      </c>
      <c r="I883" s="5" t="s">
        <v>2380</v>
      </c>
      <c r="J883" s="7">
        <f>22.13</f>
        <v>22.13</v>
      </c>
      <c r="K883" s="5" t="s">
        <v>270</v>
      </c>
      <c r="L883" s="8">
        <f>1</f>
        <v>1</v>
      </c>
      <c r="M883" s="8">
        <f>2876900</f>
        <v>2876900</v>
      </c>
      <c r="N883" s="6" t="s">
        <v>1155</v>
      </c>
      <c r="O883" s="5" t="s">
        <v>639</v>
      </c>
      <c r="P883" s="5" t="s">
        <v>639</v>
      </c>
      <c r="R883" s="8">
        <f>2876899</f>
        <v>2876899</v>
      </c>
      <c r="S883" s="5" t="s">
        <v>240</v>
      </c>
      <c r="T883" s="5" t="s">
        <v>237</v>
      </c>
      <c r="U883" s="5" t="s">
        <v>238</v>
      </c>
      <c r="V883" s="5" t="s">
        <v>238</v>
      </c>
      <c r="W883" s="5" t="s">
        <v>241</v>
      </c>
      <c r="X883" s="5" t="s">
        <v>276</v>
      </c>
      <c r="Y883" s="5" t="s">
        <v>238</v>
      </c>
      <c r="AB883" s="5" t="s">
        <v>238</v>
      </c>
      <c r="AD883" s="6" t="s">
        <v>238</v>
      </c>
      <c r="AG883" s="6" t="s">
        <v>246</v>
      </c>
      <c r="AH883" s="5" t="s">
        <v>247</v>
      </c>
      <c r="AI883" s="5" t="s">
        <v>248</v>
      </c>
      <c r="AY883" s="5" t="s">
        <v>250</v>
      </c>
      <c r="AZ883" s="5" t="s">
        <v>238</v>
      </c>
      <c r="BA883" s="5" t="s">
        <v>251</v>
      </c>
      <c r="BB883" s="5" t="s">
        <v>238</v>
      </c>
      <c r="BC883" s="5" t="s">
        <v>253</v>
      </c>
      <c r="BD883" s="5" t="s">
        <v>238</v>
      </c>
      <c r="BF883" s="5" t="s">
        <v>238</v>
      </c>
      <c r="BH883" s="5" t="s">
        <v>798</v>
      </c>
      <c r="BI883" s="6" t="s">
        <v>799</v>
      </c>
      <c r="BJ883" s="5" t="s">
        <v>255</v>
      </c>
      <c r="BK883" s="5" t="s">
        <v>294</v>
      </c>
      <c r="BL883" s="5" t="s">
        <v>238</v>
      </c>
      <c r="BM883" s="7">
        <f>0</f>
        <v>0</v>
      </c>
      <c r="BN883" s="8">
        <f>0</f>
        <v>0</v>
      </c>
      <c r="BO883" s="5" t="s">
        <v>257</v>
      </c>
      <c r="BP883" s="5" t="s">
        <v>258</v>
      </c>
      <c r="CD883" s="5" t="s">
        <v>238</v>
      </c>
      <c r="CE883" s="5" t="s">
        <v>238</v>
      </c>
      <c r="CI883" s="5" t="s">
        <v>527</v>
      </c>
      <c r="CJ883" s="5" t="s">
        <v>260</v>
      </c>
      <c r="CK883" s="5" t="s">
        <v>238</v>
      </c>
      <c r="CM883" s="5" t="s">
        <v>699</v>
      </c>
      <c r="CN883" s="6" t="s">
        <v>262</v>
      </c>
      <c r="CO883" s="5" t="s">
        <v>263</v>
      </c>
      <c r="CP883" s="5" t="s">
        <v>264</v>
      </c>
      <c r="CQ883" s="5" t="s">
        <v>238</v>
      </c>
      <c r="CR883" s="5" t="s">
        <v>238</v>
      </c>
      <c r="CS883" s="5">
        <v>0</v>
      </c>
      <c r="CT883" s="5" t="s">
        <v>265</v>
      </c>
      <c r="CU883" s="5" t="s">
        <v>2381</v>
      </c>
      <c r="CV883" s="5" t="s">
        <v>308</v>
      </c>
      <c r="CX883" s="8">
        <f>2876900</f>
        <v>2876900</v>
      </c>
      <c r="CY883" s="8">
        <f>0</f>
        <v>0</v>
      </c>
      <c r="DA883" s="5" t="s">
        <v>238</v>
      </c>
      <c r="DB883" s="5" t="s">
        <v>238</v>
      </c>
      <c r="DD883" s="5" t="s">
        <v>238</v>
      </c>
      <c r="DG883" s="5" t="s">
        <v>238</v>
      </c>
      <c r="DH883" s="5" t="s">
        <v>238</v>
      </c>
      <c r="DI883" s="5" t="s">
        <v>238</v>
      </c>
      <c r="DJ883" s="5" t="s">
        <v>238</v>
      </c>
      <c r="DK883" s="5" t="s">
        <v>271</v>
      </c>
      <c r="DL883" s="5" t="s">
        <v>272</v>
      </c>
      <c r="DM883" s="7">
        <f>22.13</f>
        <v>22.13</v>
      </c>
      <c r="DN883" s="5" t="s">
        <v>238</v>
      </c>
      <c r="DO883" s="5" t="s">
        <v>238</v>
      </c>
      <c r="DP883" s="5" t="s">
        <v>238</v>
      </c>
      <c r="DQ883" s="5" t="s">
        <v>238</v>
      </c>
      <c r="DT883" s="5" t="s">
        <v>1157</v>
      </c>
      <c r="DU883" s="5" t="s">
        <v>274</v>
      </c>
      <c r="HM883" s="5" t="s">
        <v>310</v>
      </c>
      <c r="HP883" s="5" t="s">
        <v>272</v>
      </c>
      <c r="HQ883" s="5" t="s">
        <v>272</v>
      </c>
    </row>
    <row r="884" spans="1:238" x14ac:dyDescent="0.4">
      <c r="A884" s="5">
        <v>980</v>
      </c>
      <c r="B884" s="5">
        <v>1</v>
      </c>
      <c r="C884" s="5">
        <v>1</v>
      </c>
      <c r="D884" s="5" t="s">
        <v>1154</v>
      </c>
      <c r="E884" s="5" t="s">
        <v>277</v>
      </c>
      <c r="F884" s="5" t="s">
        <v>282</v>
      </c>
      <c r="G884" s="5" t="s">
        <v>695</v>
      </c>
      <c r="H884" s="6" t="s">
        <v>1156</v>
      </c>
      <c r="I884" s="5" t="s">
        <v>692</v>
      </c>
      <c r="J884" s="7">
        <f>10</f>
        <v>10</v>
      </c>
      <c r="K884" s="5" t="s">
        <v>270</v>
      </c>
      <c r="L884" s="8">
        <f>1</f>
        <v>1</v>
      </c>
      <c r="M884" s="8">
        <f>1300000</f>
        <v>1300000</v>
      </c>
      <c r="N884" s="6" t="s">
        <v>1155</v>
      </c>
      <c r="O884" s="5" t="s">
        <v>639</v>
      </c>
      <c r="P884" s="5" t="s">
        <v>639</v>
      </c>
      <c r="R884" s="8">
        <f>1299999</f>
        <v>1299999</v>
      </c>
      <c r="S884" s="5" t="s">
        <v>240</v>
      </c>
      <c r="T884" s="5" t="s">
        <v>237</v>
      </c>
      <c r="U884" s="5" t="s">
        <v>238</v>
      </c>
      <c r="V884" s="5" t="s">
        <v>238</v>
      </c>
      <c r="W884" s="5" t="s">
        <v>241</v>
      </c>
      <c r="X884" s="5" t="s">
        <v>276</v>
      </c>
      <c r="Y884" s="5" t="s">
        <v>238</v>
      </c>
      <c r="AB884" s="5" t="s">
        <v>238</v>
      </c>
      <c r="AD884" s="6" t="s">
        <v>238</v>
      </c>
      <c r="AG884" s="6" t="s">
        <v>246</v>
      </c>
      <c r="AH884" s="5" t="s">
        <v>247</v>
      </c>
      <c r="AI884" s="5" t="s">
        <v>248</v>
      </c>
      <c r="AY884" s="5" t="s">
        <v>250</v>
      </c>
      <c r="AZ884" s="5" t="s">
        <v>238</v>
      </c>
      <c r="BA884" s="5" t="s">
        <v>251</v>
      </c>
      <c r="BB884" s="5" t="s">
        <v>238</v>
      </c>
      <c r="BC884" s="5" t="s">
        <v>253</v>
      </c>
      <c r="BD884" s="5" t="s">
        <v>238</v>
      </c>
      <c r="BF884" s="5" t="s">
        <v>238</v>
      </c>
      <c r="BH884" s="5" t="s">
        <v>254</v>
      </c>
      <c r="BI884" s="6" t="s">
        <v>246</v>
      </c>
      <c r="BJ884" s="5" t="s">
        <v>255</v>
      </c>
      <c r="BK884" s="5" t="s">
        <v>294</v>
      </c>
      <c r="BL884" s="5" t="s">
        <v>238</v>
      </c>
      <c r="BM884" s="7">
        <f>0</f>
        <v>0</v>
      </c>
      <c r="BN884" s="8">
        <f>0</f>
        <v>0</v>
      </c>
      <c r="BO884" s="5" t="s">
        <v>257</v>
      </c>
      <c r="BP884" s="5" t="s">
        <v>258</v>
      </c>
      <c r="CD884" s="5" t="s">
        <v>238</v>
      </c>
      <c r="CE884" s="5" t="s">
        <v>238</v>
      </c>
      <c r="CI884" s="5" t="s">
        <v>527</v>
      </c>
      <c r="CJ884" s="5" t="s">
        <v>260</v>
      </c>
      <c r="CK884" s="5" t="s">
        <v>238</v>
      </c>
      <c r="CM884" s="5" t="s">
        <v>699</v>
      </c>
      <c r="CN884" s="6" t="s">
        <v>262</v>
      </c>
      <c r="CO884" s="5" t="s">
        <v>263</v>
      </c>
      <c r="CP884" s="5" t="s">
        <v>264</v>
      </c>
      <c r="CQ884" s="5" t="s">
        <v>238</v>
      </c>
      <c r="CR884" s="5" t="s">
        <v>238</v>
      </c>
      <c r="CS884" s="5">
        <v>0</v>
      </c>
      <c r="CT884" s="5" t="s">
        <v>265</v>
      </c>
      <c r="CU884" s="5" t="s">
        <v>266</v>
      </c>
      <c r="CV884" s="5" t="s">
        <v>308</v>
      </c>
      <c r="CX884" s="8">
        <f>1300000</f>
        <v>1300000</v>
      </c>
      <c r="CY884" s="8">
        <f>0</f>
        <v>0</v>
      </c>
      <c r="DA884" s="5" t="s">
        <v>238</v>
      </c>
      <c r="DB884" s="5" t="s">
        <v>238</v>
      </c>
      <c r="DD884" s="5" t="s">
        <v>238</v>
      </c>
      <c r="DG884" s="5" t="s">
        <v>238</v>
      </c>
      <c r="DH884" s="5" t="s">
        <v>238</v>
      </c>
      <c r="DI884" s="5" t="s">
        <v>238</v>
      </c>
      <c r="DJ884" s="5" t="s">
        <v>238</v>
      </c>
      <c r="DK884" s="5" t="s">
        <v>271</v>
      </c>
      <c r="DL884" s="5" t="s">
        <v>272</v>
      </c>
      <c r="DM884" s="7">
        <f>10</f>
        <v>10</v>
      </c>
      <c r="DN884" s="5" t="s">
        <v>238</v>
      </c>
      <c r="DO884" s="5" t="s">
        <v>238</v>
      </c>
      <c r="DP884" s="5" t="s">
        <v>238</v>
      </c>
      <c r="DQ884" s="5" t="s">
        <v>238</v>
      </c>
      <c r="DT884" s="5" t="s">
        <v>1157</v>
      </c>
      <c r="DU884" s="5" t="s">
        <v>356</v>
      </c>
      <c r="HM884" s="5" t="s">
        <v>310</v>
      </c>
      <c r="HP884" s="5" t="s">
        <v>272</v>
      </c>
      <c r="HQ884" s="5" t="s">
        <v>272</v>
      </c>
    </row>
    <row r="885" spans="1:238" x14ac:dyDescent="0.4">
      <c r="A885" s="5">
        <v>981</v>
      </c>
      <c r="B885" s="5">
        <v>1</v>
      </c>
      <c r="C885" s="5">
        <v>4</v>
      </c>
      <c r="D885" s="5" t="s">
        <v>1154</v>
      </c>
      <c r="E885" s="5" t="s">
        <v>277</v>
      </c>
      <c r="F885" s="5" t="s">
        <v>282</v>
      </c>
      <c r="G885" s="5" t="s">
        <v>2485</v>
      </c>
      <c r="H885" s="6" t="s">
        <v>1156</v>
      </c>
      <c r="I885" s="5" t="s">
        <v>2505</v>
      </c>
      <c r="J885" s="7">
        <f>889.98</f>
        <v>889.98</v>
      </c>
      <c r="K885" s="5" t="s">
        <v>270</v>
      </c>
      <c r="L885" s="8">
        <f>10483998</f>
        <v>10483998</v>
      </c>
      <c r="M885" s="8">
        <f>137946900</f>
        <v>137946900</v>
      </c>
      <c r="N885" s="6" t="s">
        <v>1155</v>
      </c>
      <c r="O885" s="5" t="s">
        <v>898</v>
      </c>
      <c r="P885" s="5" t="s">
        <v>915</v>
      </c>
      <c r="Q885" s="8">
        <f>3034831</f>
        <v>3034831</v>
      </c>
      <c r="R885" s="8">
        <f>127462902</f>
        <v>127462902</v>
      </c>
      <c r="S885" s="5" t="s">
        <v>240</v>
      </c>
      <c r="T885" s="5" t="s">
        <v>237</v>
      </c>
      <c r="U885" s="5" t="s">
        <v>238</v>
      </c>
      <c r="V885" s="5" t="s">
        <v>238</v>
      </c>
      <c r="W885" s="5" t="s">
        <v>241</v>
      </c>
      <c r="X885" s="5" t="s">
        <v>276</v>
      </c>
      <c r="Y885" s="5" t="s">
        <v>238</v>
      </c>
      <c r="AB885" s="5" t="s">
        <v>238</v>
      </c>
      <c r="AC885" s="6" t="s">
        <v>238</v>
      </c>
      <c r="AD885" s="6" t="s">
        <v>238</v>
      </c>
      <c r="AF885" s="6" t="s">
        <v>238</v>
      </c>
      <c r="AG885" s="6" t="s">
        <v>246</v>
      </c>
      <c r="AH885" s="5" t="s">
        <v>247</v>
      </c>
      <c r="AI885" s="5" t="s">
        <v>248</v>
      </c>
      <c r="AO885" s="5" t="s">
        <v>238</v>
      </c>
      <c r="AP885" s="5" t="s">
        <v>238</v>
      </c>
      <c r="AQ885" s="5" t="s">
        <v>238</v>
      </c>
      <c r="AR885" s="6" t="s">
        <v>238</v>
      </c>
      <c r="AS885" s="6" t="s">
        <v>238</v>
      </c>
      <c r="AT885" s="6" t="s">
        <v>238</v>
      </c>
      <c r="AW885" s="5" t="s">
        <v>304</v>
      </c>
      <c r="AX885" s="5" t="s">
        <v>304</v>
      </c>
      <c r="AY885" s="5" t="s">
        <v>250</v>
      </c>
      <c r="AZ885" s="5" t="s">
        <v>305</v>
      </c>
      <c r="BA885" s="5" t="s">
        <v>251</v>
      </c>
      <c r="BB885" s="5" t="s">
        <v>238</v>
      </c>
      <c r="BC885" s="5" t="s">
        <v>253</v>
      </c>
      <c r="BD885" s="5" t="s">
        <v>238</v>
      </c>
      <c r="BF885" s="5" t="s">
        <v>238</v>
      </c>
      <c r="BH885" s="5" t="s">
        <v>283</v>
      </c>
      <c r="BI885" s="6" t="s">
        <v>293</v>
      </c>
      <c r="BJ885" s="5" t="s">
        <v>294</v>
      </c>
      <c r="BK885" s="5" t="s">
        <v>294</v>
      </c>
      <c r="BL885" s="5" t="s">
        <v>238</v>
      </c>
      <c r="BM885" s="7">
        <f>0</f>
        <v>0</v>
      </c>
      <c r="BN885" s="8">
        <f>-3034831</f>
        <v>-3034831</v>
      </c>
      <c r="BO885" s="5" t="s">
        <v>257</v>
      </c>
      <c r="BP885" s="5" t="s">
        <v>258</v>
      </c>
      <c r="BQ885" s="5" t="s">
        <v>238</v>
      </c>
      <c r="BR885" s="5" t="s">
        <v>238</v>
      </c>
      <c r="BS885" s="5" t="s">
        <v>238</v>
      </c>
      <c r="BT885" s="5" t="s">
        <v>238</v>
      </c>
      <c r="CC885" s="5" t="s">
        <v>258</v>
      </c>
      <c r="CD885" s="5" t="s">
        <v>238</v>
      </c>
      <c r="CE885" s="5" t="s">
        <v>238</v>
      </c>
      <c r="CI885" s="5" t="s">
        <v>527</v>
      </c>
      <c r="CJ885" s="5" t="s">
        <v>260</v>
      </c>
      <c r="CK885" s="5" t="s">
        <v>238</v>
      </c>
      <c r="CM885" s="5" t="s">
        <v>699</v>
      </c>
      <c r="CN885" s="6" t="s">
        <v>262</v>
      </c>
      <c r="CO885" s="5" t="s">
        <v>263</v>
      </c>
      <c r="CP885" s="5" t="s">
        <v>264</v>
      </c>
      <c r="CQ885" s="5" t="s">
        <v>285</v>
      </c>
      <c r="CR885" s="5" t="s">
        <v>238</v>
      </c>
      <c r="CS885" s="5">
        <v>2.1999999999999999E-2</v>
      </c>
      <c r="CT885" s="5" t="s">
        <v>265</v>
      </c>
      <c r="CU885" s="5" t="s">
        <v>1360</v>
      </c>
      <c r="CV885" s="5" t="s">
        <v>308</v>
      </c>
      <c r="CW885" s="7">
        <f>0</f>
        <v>0</v>
      </c>
      <c r="CX885" s="8">
        <f>137946900</f>
        <v>137946900</v>
      </c>
      <c r="CY885" s="8">
        <f>13518829</f>
        <v>13518829</v>
      </c>
      <c r="DA885" s="5" t="s">
        <v>238</v>
      </c>
      <c r="DB885" s="5" t="s">
        <v>238</v>
      </c>
      <c r="DD885" s="5" t="s">
        <v>238</v>
      </c>
      <c r="DE885" s="8">
        <f>0</f>
        <v>0</v>
      </c>
      <c r="DG885" s="5" t="s">
        <v>238</v>
      </c>
      <c r="DH885" s="5" t="s">
        <v>238</v>
      </c>
      <c r="DI885" s="5" t="s">
        <v>238</v>
      </c>
      <c r="DJ885" s="5" t="s">
        <v>238</v>
      </c>
      <c r="DK885" s="5" t="s">
        <v>271</v>
      </c>
      <c r="DL885" s="5" t="s">
        <v>272</v>
      </c>
      <c r="DM885" s="7">
        <f>889.98</f>
        <v>889.98</v>
      </c>
      <c r="DN885" s="5" t="s">
        <v>238</v>
      </c>
      <c r="DO885" s="5" t="s">
        <v>238</v>
      </c>
      <c r="DP885" s="5" t="s">
        <v>238</v>
      </c>
      <c r="DQ885" s="5" t="s">
        <v>238</v>
      </c>
      <c r="DT885" s="5" t="s">
        <v>1157</v>
      </c>
      <c r="DU885" s="5" t="s">
        <v>310</v>
      </c>
      <c r="GL885" s="5" t="s">
        <v>2644</v>
      </c>
      <c r="HM885" s="5" t="s">
        <v>313</v>
      </c>
      <c r="HP885" s="5" t="s">
        <v>272</v>
      </c>
      <c r="HQ885" s="5" t="s">
        <v>272</v>
      </c>
      <c r="HR885" s="5" t="s">
        <v>238</v>
      </c>
      <c r="HS885" s="5" t="s">
        <v>238</v>
      </c>
      <c r="HT885" s="5" t="s">
        <v>238</v>
      </c>
      <c r="HU885" s="5" t="s">
        <v>238</v>
      </c>
      <c r="HV885" s="5" t="s">
        <v>238</v>
      </c>
      <c r="HW885" s="5" t="s">
        <v>238</v>
      </c>
      <c r="HX885" s="5" t="s">
        <v>238</v>
      </c>
      <c r="HY885" s="5" t="s">
        <v>238</v>
      </c>
      <c r="HZ885" s="5" t="s">
        <v>238</v>
      </c>
      <c r="IA885" s="5" t="s">
        <v>238</v>
      </c>
      <c r="IB885" s="5" t="s">
        <v>238</v>
      </c>
      <c r="IC885" s="5" t="s">
        <v>238</v>
      </c>
      <c r="ID885" s="5" t="s">
        <v>238</v>
      </c>
    </row>
    <row r="886" spans="1:238" x14ac:dyDescent="0.4">
      <c r="A886" s="5">
        <v>982</v>
      </c>
      <c r="B886" s="5">
        <v>1</v>
      </c>
      <c r="C886" s="5">
        <v>4</v>
      </c>
      <c r="D886" s="5" t="s">
        <v>1154</v>
      </c>
      <c r="E886" s="5" t="s">
        <v>277</v>
      </c>
      <c r="F886" s="5" t="s">
        <v>282</v>
      </c>
      <c r="G886" s="5" t="s">
        <v>3102</v>
      </c>
      <c r="H886" s="6" t="s">
        <v>1156</v>
      </c>
      <c r="I886" s="5" t="s">
        <v>3096</v>
      </c>
      <c r="J886" s="7">
        <f>0</f>
        <v>0</v>
      </c>
      <c r="K886" s="5" t="s">
        <v>270</v>
      </c>
      <c r="L886" s="8">
        <f>3788092</f>
        <v>3788092</v>
      </c>
      <c r="M886" s="8">
        <f>5696377</f>
        <v>5696377</v>
      </c>
      <c r="N886" s="6" t="s">
        <v>326</v>
      </c>
      <c r="O886" s="5" t="s">
        <v>268</v>
      </c>
      <c r="P886" s="5" t="s">
        <v>356</v>
      </c>
      <c r="Q886" s="8">
        <f>381657</f>
        <v>381657</v>
      </c>
      <c r="R886" s="8">
        <f>1908285</f>
        <v>1908285</v>
      </c>
      <c r="S886" s="5" t="s">
        <v>240</v>
      </c>
      <c r="T886" s="5" t="s">
        <v>287</v>
      </c>
      <c r="U886" s="5" t="s">
        <v>238</v>
      </c>
      <c r="V886" s="5" t="s">
        <v>238</v>
      </c>
      <c r="W886" s="5" t="s">
        <v>241</v>
      </c>
      <c r="X886" s="5" t="s">
        <v>276</v>
      </c>
      <c r="Y886" s="5" t="s">
        <v>238</v>
      </c>
      <c r="AB886" s="5" t="s">
        <v>238</v>
      </c>
      <c r="AC886" s="6" t="s">
        <v>238</v>
      </c>
      <c r="AD886" s="6" t="s">
        <v>238</v>
      </c>
      <c r="AF886" s="6" t="s">
        <v>238</v>
      </c>
      <c r="AG886" s="6" t="s">
        <v>246</v>
      </c>
      <c r="AH886" s="5" t="s">
        <v>247</v>
      </c>
      <c r="AI886" s="5" t="s">
        <v>248</v>
      </c>
      <c r="AO886" s="5" t="s">
        <v>238</v>
      </c>
      <c r="AP886" s="5" t="s">
        <v>238</v>
      </c>
      <c r="AQ886" s="5" t="s">
        <v>238</v>
      </c>
      <c r="AR886" s="6" t="s">
        <v>238</v>
      </c>
      <c r="AS886" s="6" t="s">
        <v>238</v>
      </c>
      <c r="AT886" s="6" t="s">
        <v>238</v>
      </c>
      <c r="AW886" s="5" t="s">
        <v>304</v>
      </c>
      <c r="AX886" s="5" t="s">
        <v>304</v>
      </c>
      <c r="AY886" s="5" t="s">
        <v>250</v>
      </c>
      <c r="AZ886" s="5" t="s">
        <v>305</v>
      </c>
      <c r="BA886" s="5" t="s">
        <v>251</v>
      </c>
      <c r="BB886" s="5" t="s">
        <v>238</v>
      </c>
      <c r="BC886" s="5" t="s">
        <v>253</v>
      </c>
      <c r="BD886" s="5" t="s">
        <v>238</v>
      </c>
      <c r="BF886" s="5" t="s">
        <v>238</v>
      </c>
      <c r="BH886" s="5" t="s">
        <v>283</v>
      </c>
      <c r="BI886" s="6" t="s">
        <v>293</v>
      </c>
      <c r="BJ886" s="5" t="s">
        <v>294</v>
      </c>
      <c r="BK886" s="5" t="s">
        <v>294</v>
      </c>
      <c r="BL886" s="5" t="s">
        <v>238</v>
      </c>
      <c r="BM886" s="7">
        <f>0</f>
        <v>0</v>
      </c>
      <c r="BN886" s="8">
        <f>-381657</f>
        <v>-381657</v>
      </c>
      <c r="BO886" s="5" t="s">
        <v>257</v>
      </c>
      <c r="BP886" s="5" t="s">
        <v>258</v>
      </c>
      <c r="BQ886" s="5" t="s">
        <v>238</v>
      </c>
      <c r="BR886" s="5" t="s">
        <v>238</v>
      </c>
      <c r="BS886" s="5" t="s">
        <v>238</v>
      </c>
      <c r="BT886" s="5" t="s">
        <v>238</v>
      </c>
      <c r="CC886" s="5" t="s">
        <v>258</v>
      </c>
      <c r="CD886" s="5" t="s">
        <v>238</v>
      </c>
      <c r="CE886" s="5" t="s">
        <v>238</v>
      </c>
      <c r="CI886" s="5" t="s">
        <v>259</v>
      </c>
      <c r="CJ886" s="5" t="s">
        <v>260</v>
      </c>
      <c r="CK886" s="5" t="s">
        <v>238</v>
      </c>
      <c r="CM886" s="5" t="s">
        <v>376</v>
      </c>
      <c r="CN886" s="6" t="s">
        <v>262</v>
      </c>
      <c r="CO886" s="5" t="s">
        <v>263</v>
      </c>
      <c r="CP886" s="5" t="s">
        <v>264</v>
      </c>
      <c r="CQ886" s="5" t="s">
        <v>285</v>
      </c>
      <c r="CR886" s="5" t="s">
        <v>238</v>
      </c>
      <c r="CS886" s="5">
        <v>6.7000000000000004E-2</v>
      </c>
      <c r="CT886" s="5" t="s">
        <v>265</v>
      </c>
      <c r="CU886" s="5" t="s">
        <v>351</v>
      </c>
      <c r="CV886" s="5" t="s">
        <v>394</v>
      </c>
      <c r="CW886" s="7">
        <f>0</f>
        <v>0</v>
      </c>
      <c r="CX886" s="8">
        <f>5696377</f>
        <v>5696377</v>
      </c>
      <c r="CY886" s="8">
        <f>4169749</f>
        <v>4169749</v>
      </c>
      <c r="DA886" s="5" t="s">
        <v>238</v>
      </c>
      <c r="DB886" s="5" t="s">
        <v>238</v>
      </c>
      <c r="DD886" s="5" t="s">
        <v>238</v>
      </c>
      <c r="DE886" s="8">
        <f>0</f>
        <v>0</v>
      </c>
      <c r="DG886" s="5" t="s">
        <v>238</v>
      </c>
      <c r="DH886" s="5" t="s">
        <v>238</v>
      </c>
      <c r="DI886" s="5" t="s">
        <v>238</v>
      </c>
      <c r="DJ886" s="5" t="s">
        <v>238</v>
      </c>
      <c r="DK886" s="5" t="s">
        <v>272</v>
      </c>
      <c r="DL886" s="5" t="s">
        <v>272</v>
      </c>
      <c r="DM886" s="8" t="s">
        <v>238</v>
      </c>
      <c r="DN886" s="5" t="s">
        <v>238</v>
      </c>
      <c r="DO886" s="5" t="s">
        <v>238</v>
      </c>
      <c r="DP886" s="5" t="s">
        <v>238</v>
      </c>
      <c r="DQ886" s="5" t="s">
        <v>238</v>
      </c>
      <c r="DT886" s="5" t="s">
        <v>1157</v>
      </c>
      <c r="DU886" s="5" t="s">
        <v>379</v>
      </c>
      <c r="GL886" s="5" t="s">
        <v>3103</v>
      </c>
      <c r="HM886" s="5" t="s">
        <v>379</v>
      </c>
      <c r="HP886" s="5" t="s">
        <v>272</v>
      </c>
      <c r="HQ886" s="5" t="s">
        <v>272</v>
      </c>
      <c r="HR886" s="5" t="s">
        <v>238</v>
      </c>
      <c r="HS886" s="5" t="s">
        <v>238</v>
      </c>
      <c r="HT886" s="5" t="s">
        <v>238</v>
      </c>
      <c r="HU886" s="5" t="s">
        <v>238</v>
      </c>
      <c r="HV886" s="5" t="s">
        <v>238</v>
      </c>
      <c r="HW886" s="5" t="s">
        <v>238</v>
      </c>
      <c r="HX886" s="5" t="s">
        <v>238</v>
      </c>
      <c r="HY886" s="5" t="s">
        <v>238</v>
      </c>
      <c r="HZ886" s="5" t="s">
        <v>238</v>
      </c>
      <c r="IA886" s="5" t="s">
        <v>238</v>
      </c>
      <c r="IB886" s="5" t="s">
        <v>238</v>
      </c>
      <c r="IC886" s="5" t="s">
        <v>238</v>
      </c>
      <c r="ID886" s="5" t="s">
        <v>238</v>
      </c>
    </row>
    <row r="887" spans="1:238" x14ac:dyDescent="0.4">
      <c r="A887" s="5">
        <v>983</v>
      </c>
      <c r="B887" s="5">
        <v>1</v>
      </c>
      <c r="C887" s="5">
        <v>4</v>
      </c>
      <c r="D887" s="5" t="s">
        <v>1154</v>
      </c>
      <c r="E887" s="5" t="s">
        <v>277</v>
      </c>
      <c r="F887" s="5" t="s">
        <v>282</v>
      </c>
      <c r="G887" s="5" t="s">
        <v>2485</v>
      </c>
      <c r="H887" s="6" t="s">
        <v>1156</v>
      </c>
      <c r="I887" s="5" t="s">
        <v>2641</v>
      </c>
      <c r="J887" s="7">
        <f>0</f>
        <v>0</v>
      </c>
      <c r="K887" s="5" t="s">
        <v>270</v>
      </c>
      <c r="L887" s="8">
        <f>40145847</f>
        <v>40145847</v>
      </c>
      <c r="M887" s="8">
        <f>42982704</f>
        <v>42982704</v>
      </c>
      <c r="N887" s="6" t="s">
        <v>2642</v>
      </c>
      <c r="O887" s="5" t="s">
        <v>898</v>
      </c>
      <c r="P887" s="5" t="s">
        <v>271</v>
      </c>
      <c r="Q887" s="8">
        <f>945619</f>
        <v>945619</v>
      </c>
      <c r="R887" s="8">
        <f>2836857</f>
        <v>2836857</v>
      </c>
      <c r="S887" s="5" t="s">
        <v>240</v>
      </c>
      <c r="T887" s="5" t="s">
        <v>287</v>
      </c>
      <c r="U887" s="5" t="s">
        <v>238</v>
      </c>
      <c r="V887" s="5" t="s">
        <v>238</v>
      </c>
      <c r="W887" s="5" t="s">
        <v>241</v>
      </c>
      <c r="X887" s="5" t="s">
        <v>276</v>
      </c>
      <c r="Y887" s="5" t="s">
        <v>238</v>
      </c>
      <c r="AB887" s="5" t="s">
        <v>238</v>
      </c>
      <c r="AC887" s="6" t="s">
        <v>238</v>
      </c>
      <c r="AD887" s="6" t="s">
        <v>238</v>
      </c>
      <c r="AF887" s="6" t="s">
        <v>238</v>
      </c>
      <c r="AG887" s="6" t="s">
        <v>246</v>
      </c>
      <c r="AH887" s="5" t="s">
        <v>247</v>
      </c>
      <c r="AI887" s="5" t="s">
        <v>248</v>
      </c>
      <c r="AO887" s="5" t="s">
        <v>238</v>
      </c>
      <c r="AP887" s="5" t="s">
        <v>238</v>
      </c>
      <c r="AQ887" s="5" t="s">
        <v>238</v>
      </c>
      <c r="AR887" s="6" t="s">
        <v>238</v>
      </c>
      <c r="AS887" s="6" t="s">
        <v>238</v>
      </c>
      <c r="AT887" s="6" t="s">
        <v>238</v>
      </c>
      <c r="AW887" s="5" t="s">
        <v>304</v>
      </c>
      <c r="AX887" s="5" t="s">
        <v>304</v>
      </c>
      <c r="AY887" s="5" t="s">
        <v>250</v>
      </c>
      <c r="AZ887" s="5" t="s">
        <v>305</v>
      </c>
      <c r="BA887" s="5" t="s">
        <v>251</v>
      </c>
      <c r="BB887" s="5" t="s">
        <v>238</v>
      </c>
      <c r="BC887" s="5" t="s">
        <v>253</v>
      </c>
      <c r="BD887" s="5" t="s">
        <v>238</v>
      </c>
      <c r="BF887" s="5" t="s">
        <v>238</v>
      </c>
      <c r="BH887" s="5" t="s">
        <v>283</v>
      </c>
      <c r="BI887" s="6" t="s">
        <v>293</v>
      </c>
      <c r="BJ887" s="5" t="s">
        <v>294</v>
      </c>
      <c r="BK887" s="5" t="s">
        <v>294</v>
      </c>
      <c r="BL887" s="5" t="s">
        <v>238</v>
      </c>
      <c r="BM887" s="7">
        <f>0</f>
        <v>0</v>
      </c>
      <c r="BN887" s="8">
        <f>-945619</f>
        <v>-945619</v>
      </c>
      <c r="BO887" s="5" t="s">
        <v>257</v>
      </c>
      <c r="BP887" s="5" t="s">
        <v>258</v>
      </c>
      <c r="BQ887" s="5" t="s">
        <v>238</v>
      </c>
      <c r="BR887" s="5" t="s">
        <v>238</v>
      </c>
      <c r="BS887" s="5" t="s">
        <v>238</v>
      </c>
      <c r="BT887" s="5" t="s">
        <v>238</v>
      </c>
      <c r="CC887" s="5" t="s">
        <v>258</v>
      </c>
      <c r="CD887" s="5" t="s">
        <v>238</v>
      </c>
      <c r="CE887" s="5" t="s">
        <v>238</v>
      </c>
      <c r="CI887" s="5" t="s">
        <v>259</v>
      </c>
      <c r="CJ887" s="5" t="s">
        <v>260</v>
      </c>
      <c r="CK887" s="5" t="s">
        <v>238</v>
      </c>
      <c r="CM887" s="5" t="s">
        <v>291</v>
      </c>
      <c r="CN887" s="6" t="s">
        <v>262</v>
      </c>
      <c r="CO887" s="5" t="s">
        <v>263</v>
      </c>
      <c r="CP887" s="5" t="s">
        <v>264</v>
      </c>
      <c r="CQ887" s="5" t="s">
        <v>285</v>
      </c>
      <c r="CR887" s="5" t="s">
        <v>238</v>
      </c>
      <c r="CS887" s="5">
        <v>2.1999999999999999E-2</v>
      </c>
      <c r="CT887" s="5" t="s">
        <v>265</v>
      </c>
      <c r="CU887" s="5" t="s">
        <v>1360</v>
      </c>
      <c r="CV887" s="5" t="s">
        <v>308</v>
      </c>
      <c r="CW887" s="7">
        <f>0</f>
        <v>0</v>
      </c>
      <c r="CX887" s="8">
        <f>42982704</f>
        <v>42982704</v>
      </c>
      <c r="CY887" s="8">
        <f>41091466</f>
        <v>41091466</v>
      </c>
      <c r="DA887" s="5" t="s">
        <v>238</v>
      </c>
      <c r="DB887" s="5" t="s">
        <v>238</v>
      </c>
      <c r="DD887" s="5" t="s">
        <v>238</v>
      </c>
      <c r="DE887" s="8">
        <f>0</f>
        <v>0</v>
      </c>
      <c r="DG887" s="5" t="s">
        <v>238</v>
      </c>
      <c r="DH887" s="5" t="s">
        <v>238</v>
      </c>
      <c r="DI887" s="5" t="s">
        <v>238</v>
      </c>
      <c r="DJ887" s="5" t="s">
        <v>238</v>
      </c>
      <c r="DK887" s="5" t="s">
        <v>272</v>
      </c>
      <c r="DL887" s="5" t="s">
        <v>272</v>
      </c>
      <c r="DM887" s="8" t="s">
        <v>238</v>
      </c>
      <c r="DN887" s="5" t="s">
        <v>238</v>
      </c>
      <c r="DO887" s="5" t="s">
        <v>238</v>
      </c>
      <c r="DP887" s="5" t="s">
        <v>238</v>
      </c>
      <c r="DQ887" s="5" t="s">
        <v>238</v>
      </c>
      <c r="DT887" s="5" t="s">
        <v>1157</v>
      </c>
      <c r="DU887" s="5" t="s">
        <v>313</v>
      </c>
      <c r="GL887" s="5" t="s">
        <v>2643</v>
      </c>
      <c r="HM887" s="5" t="s">
        <v>356</v>
      </c>
      <c r="HP887" s="5" t="s">
        <v>272</v>
      </c>
      <c r="HQ887" s="5" t="s">
        <v>272</v>
      </c>
      <c r="HR887" s="5" t="s">
        <v>238</v>
      </c>
      <c r="HS887" s="5" t="s">
        <v>238</v>
      </c>
      <c r="HT887" s="5" t="s">
        <v>238</v>
      </c>
      <c r="HU887" s="5" t="s">
        <v>238</v>
      </c>
      <c r="HV887" s="5" t="s">
        <v>238</v>
      </c>
      <c r="HW887" s="5" t="s">
        <v>238</v>
      </c>
      <c r="HX887" s="5" t="s">
        <v>238</v>
      </c>
      <c r="HY887" s="5" t="s">
        <v>238</v>
      </c>
      <c r="HZ887" s="5" t="s">
        <v>238</v>
      </c>
      <c r="IA887" s="5" t="s">
        <v>238</v>
      </c>
      <c r="IB887" s="5" t="s">
        <v>238</v>
      </c>
      <c r="IC887" s="5" t="s">
        <v>238</v>
      </c>
      <c r="ID887" s="5" t="s">
        <v>238</v>
      </c>
    </row>
    <row r="888" spans="1:238" x14ac:dyDescent="0.4">
      <c r="A888" s="5">
        <v>984</v>
      </c>
      <c r="B888" s="5">
        <v>1</v>
      </c>
      <c r="C888" s="5">
        <v>4</v>
      </c>
      <c r="D888" s="5" t="s">
        <v>1154</v>
      </c>
      <c r="E888" s="5" t="s">
        <v>277</v>
      </c>
      <c r="F888" s="5" t="s">
        <v>282</v>
      </c>
      <c r="G888" s="5" t="s">
        <v>2485</v>
      </c>
      <c r="H888" s="6" t="s">
        <v>1156</v>
      </c>
      <c r="I888" s="5" t="s">
        <v>2638</v>
      </c>
      <c r="J888" s="7">
        <f>0</f>
        <v>0</v>
      </c>
      <c r="K888" s="5" t="s">
        <v>270</v>
      </c>
      <c r="L888" s="8">
        <f>36934374</f>
        <v>36934374</v>
      </c>
      <c r="M888" s="8">
        <f>39544296</f>
        <v>39544296</v>
      </c>
      <c r="N888" s="6" t="s">
        <v>2639</v>
      </c>
      <c r="O888" s="5" t="s">
        <v>898</v>
      </c>
      <c r="P888" s="5" t="s">
        <v>271</v>
      </c>
      <c r="Q888" s="8">
        <f>869974</f>
        <v>869974</v>
      </c>
      <c r="R888" s="8">
        <f>2609922</f>
        <v>2609922</v>
      </c>
      <c r="S888" s="5" t="s">
        <v>240</v>
      </c>
      <c r="T888" s="5" t="s">
        <v>287</v>
      </c>
      <c r="U888" s="5" t="s">
        <v>238</v>
      </c>
      <c r="V888" s="5" t="s">
        <v>238</v>
      </c>
      <c r="W888" s="5" t="s">
        <v>241</v>
      </c>
      <c r="X888" s="5" t="s">
        <v>276</v>
      </c>
      <c r="Y888" s="5" t="s">
        <v>238</v>
      </c>
      <c r="AB888" s="5" t="s">
        <v>238</v>
      </c>
      <c r="AC888" s="6" t="s">
        <v>238</v>
      </c>
      <c r="AD888" s="6" t="s">
        <v>238</v>
      </c>
      <c r="AF888" s="6" t="s">
        <v>238</v>
      </c>
      <c r="AG888" s="6" t="s">
        <v>246</v>
      </c>
      <c r="AH888" s="5" t="s">
        <v>247</v>
      </c>
      <c r="AI888" s="5" t="s">
        <v>248</v>
      </c>
      <c r="AO888" s="5" t="s">
        <v>238</v>
      </c>
      <c r="AP888" s="5" t="s">
        <v>238</v>
      </c>
      <c r="AQ888" s="5" t="s">
        <v>238</v>
      </c>
      <c r="AR888" s="6" t="s">
        <v>238</v>
      </c>
      <c r="AS888" s="6" t="s">
        <v>238</v>
      </c>
      <c r="AT888" s="6" t="s">
        <v>238</v>
      </c>
      <c r="AW888" s="5" t="s">
        <v>304</v>
      </c>
      <c r="AX888" s="5" t="s">
        <v>304</v>
      </c>
      <c r="AY888" s="5" t="s">
        <v>250</v>
      </c>
      <c r="AZ888" s="5" t="s">
        <v>305</v>
      </c>
      <c r="BA888" s="5" t="s">
        <v>251</v>
      </c>
      <c r="BB888" s="5" t="s">
        <v>238</v>
      </c>
      <c r="BC888" s="5" t="s">
        <v>253</v>
      </c>
      <c r="BD888" s="5" t="s">
        <v>238</v>
      </c>
      <c r="BF888" s="5" t="s">
        <v>238</v>
      </c>
      <c r="BH888" s="5" t="s">
        <v>283</v>
      </c>
      <c r="BI888" s="6" t="s">
        <v>293</v>
      </c>
      <c r="BJ888" s="5" t="s">
        <v>294</v>
      </c>
      <c r="BK888" s="5" t="s">
        <v>294</v>
      </c>
      <c r="BL888" s="5" t="s">
        <v>238</v>
      </c>
      <c r="BM888" s="7">
        <f>0</f>
        <v>0</v>
      </c>
      <c r="BN888" s="8">
        <f>-869974</f>
        <v>-869974</v>
      </c>
      <c r="BO888" s="5" t="s">
        <v>257</v>
      </c>
      <c r="BP888" s="5" t="s">
        <v>258</v>
      </c>
      <c r="BQ888" s="5" t="s">
        <v>238</v>
      </c>
      <c r="BR888" s="5" t="s">
        <v>238</v>
      </c>
      <c r="BS888" s="5" t="s">
        <v>238</v>
      </c>
      <c r="BT888" s="5" t="s">
        <v>238</v>
      </c>
      <c r="CC888" s="5" t="s">
        <v>258</v>
      </c>
      <c r="CD888" s="5" t="s">
        <v>238</v>
      </c>
      <c r="CE888" s="5" t="s">
        <v>238</v>
      </c>
      <c r="CI888" s="5" t="s">
        <v>259</v>
      </c>
      <c r="CJ888" s="5" t="s">
        <v>260</v>
      </c>
      <c r="CK888" s="5" t="s">
        <v>238</v>
      </c>
      <c r="CM888" s="5" t="s">
        <v>291</v>
      </c>
      <c r="CN888" s="6" t="s">
        <v>262</v>
      </c>
      <c r="CO888" s="5" t="s">
        <v>263</v>
      </c>
      <c r="CP888" s="5" t="s">
        <v>264</v>
      </c>
      <c r="CQ888" s="5" t="s">
        <v>285</v>
      </c>
      <c r="CR888" s="5" t="s">
        <v>238</v>
      </c>
      <c r="CS888" s="5">
        <v>2.1999999999999999E-2</v>
      </c>
      <c r="CT888" s="5" t="s">
        <v>265</v>
      </c>
      <c r="CU888" s="5" t="s">
        <v>1360</v>
      </c>
      <c r="CV888" s="5" t="s">
        <v>308</v>
      </c>
      <c r="CW888" s="7">
        <f>0</f>
        <v>0</v>
      </c>
      <c r="CX888" s="8">
        <f>39544296</f>
        <v>39544296</v>
      </c>
      <c r="CY888" s="8">
        <f>37804348</f>
        <v>37804348</v>
      </c>
      <c r="DA888" s="5" t="s">
        <v>238</v>
      </c>
      <c r="DB888" s="5" t="s">
        <v>238</v>
      </c>
      <c r="DD888" s="5" t="s">
        <v>238</v>
      </c>
      <c r="DE888" s="8">
        <f>0</f>
        <v>0</v>
      </c>
      <c r="DG888" s="5" t="s">
        <v>238</v>
      </c>
      <c r="DH888" s="5" t="s">
        <v>238</v>
      </c>
      <c r="DI888" s="5" t="s">
        <v>238</v>
      </c>
      <c r="DJ888" s="5" t="s">
        <v>238</v>
      </c>
      <c r="DK888" s="5" t="s">
        <v>272</v>
      </c>
      <c r="DL888" s="5" t="s">
        <v>272</v>
      </c>
      <c r="DM888" s="8" t="s">
        <v>238</v>
      </c>
      <c r="DN888" s="5" t="s">
        <v>238</v>
      </c>
      <c r="DO888" s="5" t="s">
        <v>238</v>
      </c>
      <c r="DP888" s="5" t="s">
        <v>238</v>
      </c>
      <c r="DQ888" s="5" t="s">
        <v>238</v>
      </c>
      <c r="DT888" s="5" t="s">
        <v>1157</v>
      </c>
      <c r="DU888" s="5" t="s">
        <v>389</v>
      </c>
      <c r="GL888" s="5" t="s">
        <v>2640</v>
      </c>
      <c r="HM888" s="5" t="s">
        <v>356</v>
      </c>
      <c r="HP888" s="5" t="s">
        <v>272</v>
      </c>
      <c r="HQ888" s="5" t="s">
        <v>272</v>
      </c>
      <c r="HR888" s="5" t="s">
        <v>238</v>
      </c>
      <c r="HS888" s="5" t="s">
        <v>238</v>
      </c>
      <c r="HT888" s="5" t="s">
        <v>238</v>
      </c>
      <c r="HU888" s="5" t="s">
        <v>238</v>
      </c>
      <c r="HV888" s="5" t="s">
        <v>238</v>
      </c>
      <c r="HW888" s="5" t="s">
        <v>238</v>
      </c>
      <c r="HX888" s="5" t="s">
        <v>238</v>
      </c>
      <c r="HY888" s="5" t="s">
        <v>238</v>
      </c>
      <c r="HZ888" s="5" t="s">
        <v>238</v>
      </c>
      <c r="IA888" s="5" t="s">
        <v>238</v>
      </c>
      <c r="IB888" s="5" t="s">
        <v>238</v>
      </c>
      <c r="IC888" s="5" t="s">
        <v>238</v>
      </c>
      <c r="ID888" s="5" t="s">
        <v>238</v>
      </c>
    </row>
    <row r="889" spans="1:238" x14ac:dyDescent="0.4">
      <c r="A889" s="5">
        <v>985</v>
      </c>
      <c r="B889" s="5">
        <v>1</v>
      </c>
      <c r="C889" s="5">
        <v>4</v>
      </c>
      <c r="D889" s="5" t="s">
        <v>693</v>
      </c>
      <c r="E889" s="5" t="s">
        <v>277</v>
      </c>
      <c r="F889" s="5" t="s">
        <v>282</v>
      </c>
      <c r="G889" s="5" t="s">
        <v>2485</v>
      </c>
      <c r="H889" s="6" t="s">
        <v>696</v>
      </c>
      <c r="I889" s="5" t="s">
        <v>2505</v>
      </c>
      <c r="J889" s="7">
        <f>883.06</f>
        <v>883.06</v>
      </c>
      <c r="K889" s="5" t="s">
        <v>270</v>
      </c>
      <c r="L889" s="8">
        <f>10402472</f>
        <v>10402472</v>
      </c>
      <c r="M889" s="8">
        <f>136874300</f>
        <v>136874300</v>
      </c>
      <c r="N889" s="6" t="s">
        <v>694</v>
      </c>
      <c r="O889" s="5" t="s">
        <v>898</v>
      </c>
      <c r="P889" s="5" t="s">
        <v>915</v>
      </c>
      <c r="Q889" s="8">
        <f>3011234</f>
        <v>3011234</v>
      </c>
      <c r="R889" s="8">
        <f>126471828</f>
        <v>126471828</v>
      </c>
      <c r="S889" s="5" t="s">
        <v>240</v>
      </c>
      <c r="T889" s="5" t="s">
        <v>237</v>
      </c>
      <c r="U889" s="5" t="s">
        <v>238</v>
      </c>
      <c r="V889" s="5" t="s">
        <v>238</v>
      </c>
      <c r="W889" s="5" t="s">
        <v>241</v>
      </c>
      <c r="X889" s="5" t="s">
        <v>276</v>
      </c>
      <c r="Y889" s="5" t="s">
        <v>238</v>
      </c>
      <c r="AB889" s="5" t="s">
        <v>238</v>
      </c>
      <c r="AC889" s="6" t="s">
        <v>238</v>
      </c>
      <c r="AD889" s="6" t="s">
        <v>238</v>
      </c>
      <c r="AF889" s="6" t="s">
        <v>238</v>
      </c>
      <c r="AG889" s="6" t="s">
        <v>246</v>
      </c>
      <c r="AH889" s="5" t="s">
        <v>247</v>
      </c>
      <c r="AI889" s="5" t="s">
        <v>248</v>
      </c>
      <c r="AO889" s="5" t="s">
        <v>238</v>
      </c>
      <c r="AP889" s="5" t="s">
        <v>238</v>
      </c>
      <c r="AQ889" s="5" t="s">
        <v>238</v>
      </c>
      <c r="AR889" s="6" t="s">
        <v>238</v>
      </c>
      <c r="AS889" s="6" t="s">
        <v>238</v>
      </c>
      <c r="AT889" s="6" t="s">
        <v>238</v>
      </c>
      <c r="AW889" s="5" t="s">
        <v>304</v>
      </c>
      <c r="AX889" s="5" t="s">
        <v>304</v>
      </c>
      <c r="AY889" s="5" t="s">
        <v>250</v>
      </c>
      <c r="AZ889" s="5" t="s">
        <v>305</v>
      </c>
      <c r="BA889" s="5" t="s">
        <v>251</v>
      </c>
      <c r="BB889" s="5" t="s">
        <v>238</v>
      </c>
      <c r="BC889" s="5" t="s">
        <v>253</v>
      </c>
      <c r="BD889" s="5" t="s">
        <v>238</v>
      </c>
      <c r="BF889" s="5" t="s">
        <v>238</v>
      </c>
      <c r="BH889" s="5" t="s">
        <v>283</v>
      </c>
      <c r="BI889" s="6" t="s">
        <v>293</v>
      </c>
      <c r="BJ889" s="5" t="s">
        <v>294</v>
      </c>
      <c r="BK889" s="5" t="s">
        <v>294</v>
      </c>
      <c r="BL889" s="5" t="s">
        <v>238</v>
      </c>
      <c r="BM889" s="7">
        <f>0</f>
        <v>0</v>
      </c>
      <c r="BN889" s="8">
        <f>-3011234</f>
        <v>-3011234</v>
      </c>
      <c r="BO889" s="5" t="s">
        <v>257</v>
      </c>
      <c r="BP889" s="5" t="s">
        <v>258</v>
      </c>
      <c r="BQ889" s="5" t="s">
        <v>238</v>
      </c>
      <c r="BR889" s="5" t="s">
        <v>238</v>
      </c>
      <c r="BS889" s="5" t="s">
        <v>238</v>
      </c>
      <c r="BT889" s="5" t="s">
        <v>238</v>
      </c>
      <c r="CC889" s="5" t="s">
        <v>258</v>
      </c>
      <c r="CD889" s="5" t="s">
        <v>238</v>
      </c>
      <c r="CE889" s="5" t="s">
        <v>238</v>
      </c>
      <c r="CI889" s="5" t="s">
        <v>527</v>
      </c>
      <c r="CJ889" s="5" t="s">
        <v>260</v>
      </c>
      <c r="CK889" s="5" t="s">
        <v>238</v>
      </c>
      <c r="CM889" s="5" t="s">
        <v>699</v>
      </c>
      <c r="CN889" s="6" t="s">
        <v>262</v>
      </c>
      <c r="CO889" s="5" t="s">
        <v>263</v>
      </c>
      <c r="CP889" s="5" t="s">
        <v>264</v>
      </c>
      <c r="CQ889" s="5" t="s">
        <v>285</v>
      </c>
      <c r="CR889" s="5" t="s">
        <v>238</v>
      </c>
      <c r="CS889" s="5">
        <v>2.1999999999999999E-2</v>
      </c>
      <c r="CT889" s="5" t="s">
        <v>265</v>
      </c>
      <c r="CU889" s="5" t="s">
        <v>1360</v>
      </c>
      <c r="CV889" s="5" t="s">
        <v>308</v>
      </c>
      <c r="CW889" s="7">
        <f>0</f>
        <v>0</v>
      </c>
      <c r="CX889" s="8">
        <f>136874300</f>
        <v>136874300</v>
      </c>
      <c r="CY889" s="8">
        <f>13413706</f>
        <v>13413706</v>
      </c>
      <c r="DA889" s="5" t="s">
        <v>238</v>
      </c>
      <c r="DB889" s="5" t="s">
        <v>238</v>
      </c>
      <c r="DD889" s="5" t="s">
        <v>238</v>
      </c>
      <c r="DE889" s="8">
        <f>0</f>
        <v>0</v>
      </c>
      <c r="DG889" s="5" t="s">
        <v>238</v>
      </c>
      <c r="DH889" s="5" t="s">
        <v>238</v>
      </c>
      <c r="DI889" s="5" t="s">
        <v>238</v>
      </c>
      <c r="DJ889" s="5" t="s">
        <v>238</v>
      </c>
      <c r="DK889" s="5" t="s">
        <v>379</v>
      </c>
      <c r="DL889" s="5" t="s">
        <v>272</v>
      </c>
      <c r="DM889" s="7">
        <f>883.06</f>
        <v>883.06</v>
      </c>
      <c r="DN889" s="5" t="s">
        <v>238</v>
      </c>
      <c r="DO889" s="5" t="s">
        <v>238</v>
      </c>
      <c r="DP889" s="5" t="s">
        <v>238</v>
      </c>
      <c r="DQ889" s="5" t="s">
        <v>238</v>
      </c>
      <c r="DT889" s="5" t="s">
        <v>700</v>
      </c>
      <c r="DU889" s="5" t="s">
        <v>271</v>
      </c>
      <c r="GL889" s="5" t="s">
        <v>2637</v>
      </c>
      <c r="HM889" s="5" t="s">
        <v>313</v>
      </c>
      <c r="HP889" s="5" t="s">
        <v>272</v>
      </c>
      <c r="HQ889" s="5" t="s">
        <v>272</v>
      </c>
      <c r="HR889" s="5" t="s">
        <v>238</v>
      </c>
      <c r="HS889" s="5" t="s">
        <v>238</v>
      </c>
      <c r="HT889" s="5" t="s">
        <v>238</v>
      </c>
      <c r="HU889" s="5" t="s">
        <v>238</v>
      </c>
      <c r="HV889" s="5" t="s">
        <v>238</v>
      </c>
      <c r="HW889" s="5" t="s">
        <v>238</v>
      </c>
      <c r="HX889" s="5" t="s">
        <v>238</v>
      </c>
      <c r="HY889" s="5" t="s">
        <v>238</v>
      </c>
      <c r="HZ889" s="5" t="s">
        <v>238</v>
      </c>
      <c r="IA889" s="5" t="s">
        <v>238</v>
      </c>
      <c r="IB889" s="5" t="s">
        <v>238</v>
      </c>
      <c r="IC889" s="5" t="s">
        <v>238</v>
      </c>
      <c r="ID889" s="5" t="s">
        <v>238</v>
      </c>
    </row>
    <row r="890" spans="1:238" x14ac:dyDescent="0.4">
      <c r="A890" s="5">
        <v>986</v>
      </c>
      <c r="B890" s="5">
        <v>1</v>
      </c>
      <c r="C890" s="5">
        <v>1</v>
      </c>
      <c r="D890" s="5" t="s">
        <v>693</v>
      </c>
      <c r="E890" s="5" t="s">
        <v>277</v>
      </c>
      <c r="F890" s="5" t="s">
        <v>282</v>
      </c>
      <c r="G890" s="5" t="s">
        <v>695</v>
      </c>
      <c r="H890" s="6" t="s">
        <v>696</v>
      </c>
      <c r="I890" s="5" t="s">
        <v>692</v>
      </c>
      <c r="J890" s="7">
        <f>10</f>
        <v>10</v>
      </c>
      <c r="K890" s="5" t="s">
        <v>270</v>
      </c>
      <c r="L890" s="8">
        <f>1</f>
        <v>1</v>
      </c>
      <c r="M890" s="8">
        <f>1300000</f>
        <v>1300000</v>
      </c>
      <c r="N890" s="6" t="s">
        <v>694</v>
      </c>
      <c r="O890" s="5" t="s">
        <v>639</v>
      </c>
      <c r="P890" s="5" t="s">
        <v>639</v>
      </c>
      <c r="R890" s="8">
        <f>1299999</f>
        <v>1299999</v>
      </c>
      <c r="S890" s="5" t="s">
        <v>240</v>
      </c>
      <c r="T890" s="5" t="s">
        <v>237</v>
      </c>
      <c r="U890" s="5" t="s">
        <v>238</v>
      </c>
      <c r="V890" s="5" t="s">
        <v>238</v>
      </c>
      <c r="W890" s="5" t="s">
        <v>241</v>
      </c>
      <c r="X890" s="5" t="s">
        <v>276</v>
      </c>
      <c r="Y890" s="5" t="s">
        <v>238</v>
      </c>
      <c r="AB890" s="5" t="s">
        <v>238</v>
      </c>
      <c r="AD890" s="6" t="s">
        <v>238</v>
      </c>
      <c r="AG890" s="6" t="s">
        <v>246</v>
      </c>
      <c r="AH890" s="5" t="s">
        <v>247</v>
      </c>
      <c r="AI890" s="5" t="s">
        <v>248</v>
      </c>
      <c r="AY890" s="5" t="s">
        <v>250</v>
      </c>
      <c r="AZ890" s="5" t="s">
        <v>238</v>
      </c>
      <c r="BA890" s="5" t="s">
        <v>251</v>
      </c>
      <c r="BB890" s="5" t="s">
        <v>238</v>
      </c>
      <c r="BC890" s="5" t="s">
        <v>253</v>
      </c>
      <c r="BD890" s="5" t="s">
        <v>238</v>
      </c>
      <c r="BF890" s="5" t="s">
        <v>238</v>
      </c>
      <c r="BH890" s="5" t="s">
        <v>697</v>
      </c>
      <c r="BI890" s="6" t="s">
        <v>698</v>
      </c>
      <c r="BJ890" s="5" t="s">
        <v>255</v>
      </c>
      <c r="BK890" s="5" t="s">
        <v>294</v>
      </c>
      <c r="BL890" s="5" t="s">
        <v>238</v>
      </c>
      <c r="BM890" s="7">
        <f>0</f>
        <v>0</v>
      </c>
      <c r="BN890" s="8">
        <f>0</f>
        <v>0</v>
      </c>
      <c r="BO890" s="5" t="s">
        <v>257</v>
      </c>
      <c r="BP890" s="5" t="s">
        <v>258</v>
      </c>
      <c r="CD890" s="5" t="s">
        <v>238</v>
      </c>
      <c r="CE890" s="5" t="s">
        <v>238</v>
      </c>
      <c r="CI890" s="5" t="s">
        <v>527</v>
      </c>
      <c r="CJ890" s="5" t="s">
        <v>260</v>
      </c>
      <c r="CK890" s="5" t="s">
        <v>238</v>
      </c>
      <c r="CM890" s="5" t="s">
        <v>699</v>
      </c>
      <c r="CN890" s="6" t="s">
        <v>262</v>
      </c>
      <c r="CO890" s="5" t="s">
        <v>263</v>
      </c>
      <c r="CP890" s="5" t="s">
        <v>264</v>
      </c>
      <c r="CQ890" s="5" t="s">
        <v>238</v>
      </c>
      <c r="CR890" s="5" t="s">
        <v>238</v>
      </c>
      <c r="CS890" s="5">
        <v>0</v>
      </c>
      <c r="CT890" s="5" t="s">
        <v>265</v>
      </c>
      <c r="CU890" s="5" t="s">
        <v>266</v>
      </c>
      <c r="CV890" s="5" t="s">
        <v>308</v>
      </c>
      <c r="CX890" s="8">
        <f>1300000</f>
        <v>1300000</v>
      </c>
      <c r="CY890" s="8">
        <f>0</f>
        <v>0</v>
      </c>
      <c r="DA890" s="5" t="s">
        <v>238</v>
      </c>
      <c r="DB890" s="5" t="s">
        <v>238</v>
      </c>
      <c r="DD890" s="5" t="s">
        <v>238</v>
      </c>
      <c r="DG890" s="5" t="s">
        <v>238</v>
      </c>
      <c r="DH890" s="5" t="s">
        <v>238</v>
      </c>
      <c r="DI890" s="5" t="s">
        <v>238</v>
      </c>
      <c r="DJ890" s="5" t="s">
        <v>238</v>
      </c>
      <c r="DK890" s="5" t="s">
        <v>271</v>
      </c>
      <c r="DL890" s="5" t="s">
        <v>272</v>
      </c>
      <c r="DM890" s="7">
        <f>10</f>
        <v>10</v>
      </c>
      <c r="DN890" s="5" t="s">
        <v>238</v>
      </c>
      <c r="DO890" s="5" t="s">
        <v>238</v>
      </c>
      <c r="DP890" s="5" t="s">
        <v>238</v>
      </c>
      <c r="DQ890" s="5" t="s">
        <v>238</v>
      </c>
      <c r="DT890" s="5" t="s">
        <v>700</v>
      </c>
      <c r="DU890" s="5" t="s">
        <v>274</v>
      </c>
      <c r="HM890" s="5" t="s">
        <v>310</v>
      </c>
      <c r="HP890" s="5" t="s">
        <v>272</v>
      </c>
      <c r="HQ890" s="5" t="s">
        <v>272</v>
      </c>
    </row>
    <row r="891" spans="1:238" x14ac:dyDescent="0.4">
      <c r="A891" s="5">
        <v>987</v>
      </c>
      <c r="B891" s="5">
        <v>1</v>
      </c>
      <c r="C891" s="5">
        <v>1</v>
      </c>
      <c r="D891" s="5" t="s">
        <v>693</v>
      </c>
      <c r="E891" s="5" t="s">
        <v>277</v>
      </c>
      <c r="F891" s="5" t="s">
        <v>282</v>
      </c>
      <c r="G891" s="5" t="s">
        <v>695</v>
      </c>
      <c r="H891" s="6" t="s">
        <v>696</v>
      </c>
      <c r="I891" s="5" t="s">
        <v>2380</v>
      </c>
      <c r="J891" s="7">
        <f>21</f>
        <v>21</v>
      </c>
      <c r="K891" s="5" t="s">
        <v>270</v>
      </c>
      <c r="L891" s="8">
        <f>1</f>
        <v>1</v>
      </c>
      <c r="M891" s="8">
        <f>2730000</f>
        <v>2730000</v>
      </c>
      <c r="N891" s="6" t="s">
        <v>694</v>
      </c>
      <c r="O891" s="5" t="s">
        <v>639</v>
      </c>
      <c r="P891" s="5" t="s">
        <v>639</v>
      </c>
      <c r="R891" s="8">
        <f>2729999</f>
        <v>2729999</v>
      </c>
      <c r="S891" s="5" t="s">
        <v>240</v>
      </c>
      <c r="T891" s="5" t="s">
        <v>237</v>
      </c>
      <c r="U891" s="5" t="s">
        <v>238</v>
      </c>
      <c r="V891" s="5" t="s">
        <v>238</v>
      </c>
      <c r="W891" s="5" t="s">
        <v>241</v>
      </c>
      <c r="X891" s="5" t="s">
        <v>276</v>
      </c>
      <c r="Y891" s="5" t="s">
        <v>238</v>
      </c>
      <c r="AB891" s="5" t="s">
        <v>238</v>
      </c>
      <c r="AD891" s="6" t="s">
        <v>238</v>
      </c>
      <c r="AG891" s="6" t="s">
        <v>246</v>
      </c>
      <c r="AH891" s="5" t="s">
        <v>247</v>
      </c>
      <c r="AI891" s="5" t="s">
        <v>248</v>
      </c>
      <c r="AY891" s="5" t="s">
        <v>250</v>
      </c>
      <c r="AZ891" s="5" t="s">
        <v>238</v>
      </c>
      <c r="BA891" s="5" t="s">
        <v>251</v>
      </c>
      <c r="BB891" s="5" t="s">
        <v>238</v>
      </c>
      <c r="BC891" s="5" t="s">
        <v>253</v>
      </c>
      <c r="BD891" s="5" t="s">
        <v>238</v>
      </c>
      <c r="BF891" s="5" t="s">
        <v>238</v>
      </c>
      <c r="BH891" s="5" t="s">
        <v>798</v>
      </c>
      <c r="BI891" s="6" t="s">
        <v>799</v>
      </c>
      <c r="BJ891" s="5" t="s">
        <v>255</v>
      </c>
      <c r="BK891" s="5" t="s">
        <v>294</v>
      </c>
      <c r="BL891" s="5" t="s">
        <v>238</v>
      </c>
      <c r="BM891" s="7">
        <f>0</f>
        <v>0</v>
      </c>
      <c r="BN891" s="8">
        <f>0</f>
        <v>0</v>
      </c>
      <c r="BO891" s="5" t="s">
        <v>257</v>
      </c>
      <c r="BP891" s="5" t="s">
        <v>258</v>
      </c>
      <c r="CD891" s="5" t="s">
        <v>238</v>
      </c>
      <c r="CE891" s="5" t="s">
        <v>238</v>
      </c>
      <c r="CI891" s="5" t="s">
        <v>527</v>
      </c>
      <c r="CJ891" s="5" t="s">
        <v>260</v>
      </c>
      <c r="CK891" s="5" t="s">
        <v>238</v>
      </c>
      <c r="CM891" s="5" t="s">
        <v>699</v>
      </c>
      <c r="CN891" s="6" t="s">
        <v>262</v>
      </c>
      <c r="CO891" s="5" t="s">
        <v>263</v>
      </c>
      <c r="CP891" s="5" t="s">
        <v>264</v>
      </c>
      <c r="CQ891" s="5" t="s">
        <v>238</v>
      </c>
      <c r="CR891" s="5" t="s">
        <v>238</v>
      </c>
      <c r="CS891" s="5">
        <v>0</v>
      </c>
      <c r="CT891" s="5" t="s">
        <v>265</v>
      </c>
      <c r="CU891" s="5" t="s">
        <v>2381</v>
      </c>
      <c r="CV891" s="5" t="s">
        <v>308</v>
      </c>
      <c r="CX891" s="8">
        <f>2730000</f>
        <v>2730000</v>
      </c>
      <c r="CY891" s="8">
        <f>0</f>
        <v>0</v>
      </c>
      <c r="DA891" s="5" t="s">
        <v>238</v>
      </c>
      <c r="DB891" s="5" t="s">
        <v>238</v>
      </c>
      <c r="DD891" s="5" t="s">
        <v>238</v>
      </c>
      <c r="DG891" s="5" t="s">
        <v>238</v>
      </c>
      <c r="DH891" s="5" t="s">
        <v>238</v>
      </c>
      <c r="DI891" s="5" t="s">
        <v>238</v>
      </c>
      <c r="DJ891" s="5" t="s">
        <v>238</v>
      </c>
      <c r="DK891" s="5" t="s">
        <v>271</v>
      </c>
      <c r="DL891" s="5" t="s">
        <v>272</v>
      </c>
      <c r="DM891" s="7">
        <f>21</f>
        <v>21</v>
      </c>
      <c r="DN891" s="5" t="s">
        <v>238</v>
      </c>
      <c r="DO891" s="5" t="s">
        <v>238</v>
      </c>
      <c r="DP891" s="5" t="s">
        <v>238</v>
      </c>
      <c r="DQ891" s="5" t="s">
        <v>238</v>
      </c>
      <c r="DT891" s="5" t="s">
        <v>700</v>
      </c>
      <c r="DU891" s="5" t="s">
        <v>356</v>
      </c>
      <c r="HM891" s="5" t="s">
        <v>310</v>
      </c>
      <c r="HP891" s="5" t="s">
        <v>272</v>
      </c>
      <c r="HQ891" s="5" t="s">
        <v>272</v>
      </c>
    </row>
    <row r="892" spans="1:238" x14ac:dyDescent="0.4">
      <c r="A892" s="5">
        <v>988</v>
      </c>
      <c r="B892" s="5">
        <v>1</v>
      </c>
      <c r="C892" s="5">
        <v>4</v>
      </c>
      <c r="D892" s="5" t="s">
        <v>693</v>
      </c>
      <c r="E892" s="5" t="s">
        <v>277</v>
      </c>
      <c r="F892" s="5" t="s">
        <v>282</v>
      </c>
      <c r="G892" s="5" t="s">
        <v>2485</v>
      </c>
      <c r="H892" s="6" t="s">
        <v>696</v>
      </c>
      <c r="I892" s="5" t="s">
        <v>2495</v>
      </c>
      <c r="J892" s="7">
        <f>1172.32</f>
        <v>1172.32</v>
      </c>
      <c r="K892" s="5" t="s">
        <v>270</v>
      </c>
      <c r="L892" s="8">
        <f>13809938</f>
        <v>13809938</v>
      </c>
      <c r="M892" s="8">
        <f>181709600</f>
        <v>181709600</v>
      </c>
      <c r="N892" s="6" t="s">
        <v>694</v>
      </c>
      <c r="O892" s="5" t="s">
        <v>898</v>
      </c>
      <c r="P892" s="5" t="s">
        <v>915</v>
      </c>
      <c r="Q892" s="8">
        <f>3997611</f>
        <v>3997611</v>
      </c>
      <c r="R892" s="8">
        <f>167899662</f>
        <v>167899662</v>
      </c>
      <c r="S892" s="5" t="s">
        <v>240</v>
      </c>
      <c r="T892" s="5" t="s">
        <v>237</v>
      </c>
      <c r="U892" s="5" t="s">
        <v>238</v>
      </c>
      <c r="V892" s="5" t="s">
        <v>238</v>
      </c>
      <c r="W892" s="5" t="s">
        <v>241</v>
      </c>
      <c r="X892" s="5" t="s">
        <v>276</v>
      </c>
      <c r="Y892" s="5" t="s">
        <v>238</v>
      </c>
      <c r="AB892" s="5" t="s">
        <v>238</v>
      </c>
      <c r="AC892" s="6" t="s">
        <v>238</v>
      </c>
      <c r="AD892" s="6" t="s">
        <v>238</v>
      </c>
      <c r="AF892" s="6" t="s">
        <v>238</v>
      </c>
      <c r="AG892" s="6" t="s">
        <v>246</v>
      </c>
      <c r="AH892" s="5" t="s">
        <v>247</v>
      </c>
      <c r="AI892" s="5" t="s">
        <v>248</v>
      </c>
      <c r="AO892" s="5" t="s">
        <v>238</v>
      </c>
      <c r="AP892" s="5" t="s">
        <v>238</v>
      </c>
      <c r="AQ892" s="5" t="s">
        <v>238</v>
      </c>
      <c r="AR892" s="6" t="s">
        <v>238</v>
      </c>
      <c r="AS892" s="6" t="s">
        <v>238</v>
      </c>
      <c r="AT892" s="6" t="s">
        <v>238</v>
      </c>
      <c r="AW892" s="5" t="s">
        <v>304</v>
      </c>
      <c r="AX892" s="5" t="s">
        <v>304</v>
      </c>
      <c r="AY892" s="5" t="s">
        <v>250</v>
      </c>
      <c r="AZ892" s="5" t="s">
        <v>305</v>
      </c>
      <c r="BA892" s="5" t="s">
        <v>251</v>
      </c>
      <c r="BB892" s="5" t="s">
        <v>238</v>
      </c>
      <c r="BC892" s="5" t="s">
        <v>253</v>
      </c>
      <c r="BD892" s="5" t="s">
        <v>238</v>
      </c>
      <c r="BF892" s="5" t="s">
        <v>238</v>
      </c>
      <c r="BH892" s="5" t="s">
        <v>283</v>
      </c>
      <c r="BI892" s="6" t="s">
        <v>293</v>
      </c>
      <c r="BJ892" s="5" t="s">
        <v>294</v>
      </c>
      <c r="BK892" s="5" t="s">
        <v>294</v>
      </c>
      <c r="BL892" s="5" t="s">
        <v>238</v>
      </c>
      <c r="BM892" s="7">
        <f>0</f>
        <v>0</v>
      </c>
      <c r="BN892" s="8">
        <f>-3997611</f>
        <v>-3997611</v>
      </c>
      <c r="BO892" s="5" t="s">
        <v>257</v>
      </c>
      <c r="BP892" s="5" t="s">
        <v>258</v>
      </c>
      <c r="BQ892" s="5" t="s">
        <v>238</v>
      </c>
      <c r="BR892" s="5" t="s">
        <v>238</v>
      </c>
      <c r="BS892" s="5" t="s">
        <v>238</v>
      </c>
      <c r="BT892" s="5" t="s">
        <v>238</v>
      </c>
      <c r="CC892" s="5" t="s">
        <v>258</v>
      </c>
      <c r="CD892" s="5" t="s">
        <v>238</v>
      </c>
      <c r="CE892" s="5" t="s">
        <v>238</v>
      </c>
      <c r="CI892" s="5" t="s">
        <v>527</v>
      </c>
      <c r="CJ892" s="5" t="s">
        <v>260</v>
      </c>
      <c r="CK892" s="5" t="s">
        <v>238</v>
      </c>
      <c r="CM892" s="5" t="s">
        <v>699</v>
      </c>
      <c r="CN892" s="6" t="s">
        <v>262</v>
      </c>
      <c r="CO892" s="5" t="s">
        <v>263</v>
      </c>
      <c r="CP892" s="5" t="s">
        <v>264</v>
      </c>
      <c r="CQ892" s="5" t="s">
        <v>285</v>
      </c>
      <c r="CR892" s="5" t="s">
        <v>238</v>
      </c>
      <c r="CS892" s="5">
        <v>2.1999999999999999E-2</v>
      </c>
      <c r="CT892" s="5" t="s">
        <v>265</v>
      </c>
      <c r="CU892" s="5" t="s">
        <v>1360</v>
      </c>
      <c r="CV892" s="5" t="s">
        <v>308</v>
      </c>
      <c r="CW892" s="7">
        <f>0</f>
        <v>0</v>
      </c>
      <c r="CX892" s="8">
        <f>181709600</f>
        <v>181709600</v>
      </c>
      <c r="CY892" s="8">
        <f>17807549</f>
        <v>17807549</v>
      </c>
      <c r="DA892" s="5" t="s">
        <v>238</v>
      </c>
      <c r="DB892" s="5" t="s">
        <v>238</v>
      </c>
      <c r="DD892" s="5" t="s">
        <v>238</v>
      </c>
      <c r="DE892" s="8">
        <f>0</f>
        <v>0</v>
      </c>
      <c r="DG892" s="5" t="s">
        <v>238</v>
      </c>
      <c r="DH892" s="5" t="s">
        <v>238</v>
      </c>
      <c r="DI892" s="5" t="s">
        <v>238</v>
      </c>
      <c r="DJ892" s="5" t="s">
        <v>238</v>
      </c>
      <c r="DK892" s="5" t="s">
        <v>379</v>
      </c>
      <c r="DL892" s="5" t="s">
        <v>272</v>
      </c>
      <c r="DM892" s="7">
        <f>1172.32</f>
        <v>1172.32</v>
      </c>
      <c r="DN892" s="5" t="s">
        <v>238</v>
      </c>
      <c r="DO892" s="5" t="s">
        <v>238</v>
      </c>
      <c r="DP892" s="5" t="s">
        <v>238</v>
      </c>
      <c r="DQ892" s="5" t="s">
        <v>238</v>
      </c>
      <c r="DT892" s="5" t="s">
        <v>700</v>
      </c>
      <c r="DU892" s="5" t="s">
        <v>310</v>
      </c>
      <c r="GL892" s="5" t="s">
        <v>2636</v>
      </c>
      <c r="HM892" s="5" t="s">
        <v>313</v>
      </c>
      <c r="HP892" s="5" t="s">
        <v>272</v>
      </c>
      <c r="HQ892" s="5" t="s">
        <v>272</v>
      </c>
      <c r="HR892" s="5" t="s">
        <v>238</v>
      </c>
      <c r="HS892" s="5" t="s">
        <v>238</v>
      </c>
      <c r="HT892" s="5" t="s">
        <v>238</v>
      </c>
      <c r="HU892" s="5" t="s">
        <v>238</v>
      </c>
      <c r="HV892" s="5" t="s">
        <v>238</v>
      </c>
      <c r="HW892" s="5" t="s">
        <v>238</v>
      </c>
      <c r="HX892" s="5" t="s">
        <v>238</v>
      </c>
      <c r="HY892" s="5" t="s">
        <v>238</v>
      </c>
      <c r="HZ892" s="5" t="s">
        <v>238</v>
      </c>
      <c r="IA892" s="5" t="s">
        <v>238</v>
      </c>
      <c r="IB892" s="5" t="s">
        <v>238</v>
      </c>
      <c r="IC892" s="5" t="s">
        <v>238</v>
      </c>
      <c r="ID892" s="5" t="s">
        <v>238</v>
      </c>
    </row>
    <row r="893" spans="1:238" x14ac:dyDescent="0.4">
      <c r="A893" s="5">
        <v>989</v>
      </c>
      <c r="B893" s="5">
        <v>1</v>
      </c>
      <c r="C893" s="5">
        <v>4</v>
      </c>
      <c r="D893" s="5" t="s">
        <v>693</v>
      </c>
      <c r="E893" s="5" t="s">
        <v>277</v>
      </c>
      <c r="F893" s="5" t="s">
        <v>282</v>
      </c>
      <c r="G893" s="5" t="s">
        <v>3099</v>
      </c>
      <c r="H893" s="6" t="s">
        <v>696</v>
      </c>
      <c r="I893" s="5" t="s">
        <v>3096</v>
      </c>
      <c r="J893" s="7">
        <f>0</f>
        <v>0</v>
      </c>
      <c r="K893" s="5" t="s">
        <v>270</v>
      </c>
      <c r="L893" s="8">
        <f>37920960</f>
        <v>37920960</v>
      </c>
      <c r="M893" s="8">
        <f>57024000</f>
        <v>57024000</v>
      </c>
      <c r="N893" s="6" t="s">
        <v>1498</v>
      </c>
      <c r="O893" s="5" t="s">
        <v>268</v>
      </c>
      <c r="P893" s="5" t="s">
        <v>356</v>
      </c>
      <c r="Q893" s="8">
        <f>3820608</f>
        <v>3820608</v>
      </c>
      <c r="R893" s="8">
        <f>19103040</f>
        <v>19103040</v>
      </c>
      <c r="S893" s="5" t="s">
        <v>240</v>
      </c>
      <c r="T893" s="5" t="s">
        <v>287</v>
      </c>
      <c r="U893" s="5" t="s">
        <v>238</v>
      </c>
      <c r="V893" s="5" t="s">
        <v>238</v>
      </c>
      <c r="W893" s="5" t="s">
        <v>241</v>
      </c>
      <c r="X893" s="5" t="s">
        <v>276</v>
      </c>
      <c r="Y893" s="5" t="s">
        <v>238</v>
      </c>
      <c r="AB893" s="5" t="s">
        <v>238</v>
      </c>
      <c r="AC893" s="6" t="s">
        <v>238</v>
      </c>
      <c r="AD893" s="6" t="s">
        <v>238</v>
      </c>
      <c r="AF893" s="6" t="s">
        <v>238</v>
      </c>
      <c r="AG893" s="6" t="s">
        <v>246</v>
      </c>
      <c r="AH893" s="5" t="s">
        <v>247</v>
      </c>
      <c r="AI893" s="5" t="s">
        <v>248</v>
      </c>
      <c r="AO893" s="5" t="s">
        <v>238</v>
      </c>
      <c r="AP893" s="5" t="s">
        <v>238</v>
      </c>
      <c r="AQ893" s="5" t="s">
        <v>238</v>
      </c>
      <c r="AR893" s="6" t="s">
        <v>238</v>
      </c>
      <c r="AS893" s="6" t="s">
        <v>238</v>
      </c>
      <c r="AT893" s="6" t="s">
        <v>238</v>
      </c>
      <c r="AW893" s="5" t="s">
        <v>304</v>
      </c>
      <c r="AX893" s="5" t="s">
        <v>304</v>
      </c>
      <c r="AY893" s="5" t="s">
        <v>250</v>
      </c>
      <c r="AZ893" s="5" t="s">
        <v>305</v>
      </c>
      <c r="BA893" s="5" t="s">
        <v>251</v>
      </c>
      <c r="BB893" s="5" t="s">
        <v>238</v>
      </c>
      <c r="BC893" s="5" t="s">
        <v>253</v>
      </c>
      <c r="BD893" s="5" t="s">
        <v>238</v>
      </c>
      <c r="BF893" s="5" t="s">
        <v>238</v>
      </c>
      <c r="BH893" s="5" t="s">
        <v>283</v>
      </c>
      <c r="BI893" s="6" t="s">
        <v>293</v>
      </c>
      <c r="BJ893" s="5" t="s">
        <v>294</v>
      </c>
      <c r="BK893" s="5" t="s">
        <v>294</v>
      </c>
      <c r="BL893" s="5" t="s">
        <v>238</v>
      </c>
      <c r="BM893" s="7">
        <f>0</f>
        <v>0</v>
      </c>
      <c r="BN893" s="8">
        <f>-3820608</f>
        <v>-3820608</v>
      </c>
      <c r="BO893" s="5" t="s">
        <v>257</v>
      </c>
      <c r="BP893" s="5" t="s">
        <v>258</v>
      </c>
      <c r="BQ893" s="5" t="s">
        <v>238</v>
      </c>
      <c r="BR893" s="5" t="s">
        <v>238</v>
      </c>
      <c r="BS893" s="5" t="s">
        <v>238</v>
      </c>
      <c r="BT893" s="5" t="s">
        <v>238</v>
      </c>
      <c r="CC893" s="5" t="s">
        <v>258</v>
      </c>
      <c r="CD893" s="5" t="s">
        <v>238</v>
      </c>
      <c r="CE893" s="5" t="s">
        <v>238</v>
      </c>
      <c r="CI893" s="5" t="s">
        <v>259</v>
      </c>
      <c r="CJ893" s="5" t="s">
        <v>260</v>
      </c>
      <c r="CK893" s="5" t="s">
        <v>238</v>
      </c>
      <c r="CM893" s="5" t="s">
        <v>376</v>
      </c>
      <c r="CN893" s="6" t="s">
        <v>262</v>
      </c>
      <c r="CO893" s="5" t="s">
        <v>263</v>
      </c>
      <c r="CP893" s="5" t="s">
        <v>264</v>
      </c>
      <c r="CQ893" s="5" t="s">
        <v>285</v>
      </c>
      <c r="CR893" s="5" t="s">
        <v>238</v>
      </c>
      <c r="CS893" s="5">
        <v>6.7000000000000004E-2</v>
      </c>
      <c r="CT893" s="5" t="s">
        <v>265</v>
      </c>
      <c r="CU893" s="5" t="s">
        <v>351</v>
      </c>
      <c r="CV893" s="5" t="s">
        <v>394</v>
      </c>
      <c r="CW893" s="7">
        <f>0</f>
        <v>0</v>
      </c>
      <c r="CX893" s="8">
        <f>57024000</f>
        <v>57024000</v>
      </c>
      <c r="CY893" s="8">
        <f>41741568</f>
        <v>41741568</v>
      </c>
      <c r="DA893" s="5" t="s">
        <v>238</v>
      </c>
      <c r="DB893" s="5" t="s">
        <v>238</v>
      </c>
      <c r="DD893" s="5" t="s">
        <v>238</v>
      </c>
      <c r="DE893" s="8">
        <f>0</f>
        <v>0</v>
      </c>
      <c r="DG893" s="5" t="s">
        <v>238</v>
      </c>
      <c r="DH893" s="5" t="s">
        <v>238</v>
      </c>
      <c r="DI893" s="5" t="s">
        <v>238</v>
      </c>
      <c r="DJ893" s="5" t="s">
        <v>238</v>
      </c>
      <c r="DK893" s="5" t="s">
        <v>272</v>
      </c>
      <c r="DL893" s="5" t="s">
        <v>272</v>
      </c>
      <c r="DM893" s="8" t="s">
        <v>238</v>
      </c>
      <c r="DN893" s="5" t="s">
        <v>238</v>
      </c>
      <c r="DO893" s="5" t="s">
        <v>238</v>
      </c>
      <c r="DP893" s="5" t="s">
        <v>238</v>
      </c>
      <c r="DQ893" s="5" t="s">
        <v>238</v>
      </c>
      <c r="DT893" s="5" t="s">
        <v>700</v>
      </c>
      <c r="DU893" s="5" t="s">
        <v>379</v>
      </c>
      <c r="GL893" s="5" t="s">
        <v>3100</v>
      </c>
      <c r="HM893" s="5" t="s">
        <v>379</v>
      </c>
      <c r="HP893" s="5" t="s">
        <v>272</v>
      </c>
      <c r="HQ893" s="5" t="s">
        <v>272</v>
      </c>
      <c r="HR893" s="5" t="s">
        <v>238</v>
      </c>
      <c r="HS893" s="5" t="s">
        <v>238</v>
      </c>
      <c r="HT893" s="5" t="s">
        <v>238</v>
      </c>
      <c r="HU893" s="5" t="s">
        <v>238</v>
      </c>
      <c r="HV893" s="5" t="s">
        <v>238</v>
      </c>
      <c r="HW893" s="5" t="s">
        <v>238</v>
      </c>
      <c r="HX893" s="5" t="s">
        <v>238</v>
      </c>
      <c r="HY893" s="5" t="s">
        <v>238</v>
      </c>
      <c r="HZ893" s="5" t="s">
        <v>238</v>
      </c>
      <c r="IA893" s="5" t="s">
        <v>238</v>
      </c>
      <c r="IB893" s="5" t="s">
        <v>238</v>
      </c>
      <c r="IC893" s="5" t="s">
        <v>238</v>
      </c>
      <c r="ID893" s="5" t="s">
        <v>238</v>
      </c>
    </row>
    <row r="894" spans="1:238" x14ac:dyDescent="0.4">
      <c r="A894" s="5">
        <v>990</v>
      </c>
      <c r="B894" s="5">
        <v>1</v>
      </c>
      <c r="C894" s="5">
        <v>4</v>
      </c>
      <c r="D894" s="5" t="s">
        <v>836</v>
      </c>
      <c r="E894" s="5" t="s">
        <v>277</v>
      </c>
      <c r="F894" s="5" t="s">
        <v>282</v>
      </c>
      <c r="G894" s="5" t="s">
        <v>2485</v>
      </c>
      <c r="H894" s="6" t="s">
        <v>838</v>
      </c>
      <c r="I894" s="5" t="s">
        <v>2495</v>
      </c>
      <c r="J894" s="7">
        <f>1838.81</f>
        <v>1838.81</v>
      </c>
      <c r="K894" s="5" t="s">
        <v>270</v>
      </c>
      <c r="L894" s="8">
        <f>29378812</f>
        <v>29378812</v>
      </c>
      <c r="M894" s="8">
        <f>99252700</f>
        <v>99252700</v>
      </c>
      <c r="N894" s="6" t="s">
        <v>837</v>
      </c>
      <c r="O894" s="5" t="s">
        <v>898</v>
      </c>
      <c r="P894" s="5" t="s">
        <v>332</v>
      </c>
      <c r="Q894" s="8">
        <f>2183559</f>
        <v>2183559</v>
      </c>
      <c r="R894" s="8">
        <f>69873888</f>
        <v>69873888</v>
      </c>
      <c r="S894" s="5" t="s">
        <v>240</v>
      </c>
      <c r="T894" s="5" t="s">
        <v>237</v>
      </c>
      <c r="U894" s="5" t="s">
        <v>238</v>
      </c>
      <c r="V894" s="5" t="s">
        <v>238</v>
      </c>
      <c r="W894" s="5" t="s">
        <v>241</v>
      </c>
      <c r="X894" s="5" t="s">
        <v>276</v>
      </c>
      <c r="Y894" s="5" t="s">
        <v>238</v>
      </c>
      <c r="AB894" s="5" t="s">
        <v>238</v>
      </c>
      <c r="AC894" s="6" t="s">
        <v>238</v>
      </c>
      <c r="AD894" s="6" t="s">
        <v>238</v>
      </c>
      <c r="AF894" s="6" t="s">
        <v>238</v>
      </c>
      <c r="AG894" s="6" t="s">
        <v>246</v>
      </c>
      <c r="AH894" s="5" t="s">
        <v>247</v>
      </c>
      <c r="AI894" s="5" t="s">
        <v>248</v>
      </c>
      <c r="AO894" s="5" t="s">
        <v>238</v>
      </c>
      <c r="AP894" s="5" t="s">
        <v>238</v>
      </c>
      <c r="AQ894" s="5" t="s">
        <v>238</v>
      </c>
      <c r="AR894" s="6" t="s">
        <v>238</v>
      </c>
      <c r="AS894" s="6" t="s">
        <v>238</v>
      </c>
      <c r="AT894" s="6" t="s">
        <v>238</v>
      </c>
      <c r="AW894" s="5" t="s">
        <v>304</v>
      </c>
      <c r="AX894" s="5" t="s">
        <v>304</v>
      </c>
      <c r="AY894" s="5" t="s">
        <v>250</v>
      </c>
      <c r="AZ894" s="5" t="s">
        <v>305</v>
      </c>
      <c r="BA894" s="5" t="s">
        <v>251</v>
      </c>
      <c r="BB894" s="5" t="s">
        <v>238</v>
      </c>
      <c r="BC894" s="5" t="s">
        <v>253</v>
      </c>
      <c r="BD894" s="5" t="s">
        <v>238</v>
      </c>
      <c r="BF894" s="5" t="s">
        <v>238</v>
      </c>
      <c r="BH894" s="5" t="s">
        <v>283</v>
      </c>
      <c r="BI894" s="6" t="s">
        <v>293</v>
      </c>
      <c r="BJ894" s="5" t="s">
        <v>294</v>
      </c>
      <c r="BK894" s="5" t="s">
        <v>294</v>
      </c>
      <c r="BL894" s="5" t="s">
        <v>238</v>
      </c>
      <c r="BM894" s="7">
        <f>0</f>
        <v>0</v>
      </c>
      <c r="BN894" s="8">
        <f>-2183559</f>
        <v>-2183559</v>
      </c>
      <c r="BO894" s="5" t="s">
        <v>257</v>
      </c>
      <c r="BP894" s="5" t="s">
        <v>258</v>
      </c>
      <c r="BQ894" s="5" t="s">
        <v>238</v>
      </c>
      <c r="BR894" s="5" t="s">
        <v>238</v>
      </c>
      <c r="BS894" s="5" t="s">
        <v>238</v>
      </c>
      <c r="BT894" s="5" t="s">
        <v>238</v>
      </c>
      <c r="CC894" s="5" t="s">
        <v>258</v>
      </c>
      <c r="CD894" s="5" t="s">
        <v>238</v>
      </c>
      <c r="CE894" s="5" t="s">
        <v>238</v>
      </c>
      <c r="CI894" s="5" t="s">
        <v>259</v>
      </c>
      <c r="CJ894" s="5" t="s">
        <v>260</v>
      </c>
      <c r="CK894" s="5" t="s">
        <v>238</v>
      </c>
      <c r="CM894" s="5" t="s">
        <v>342</v>
      </c>
      <c r="CN894" s="6" t="s">
        <v>262</v>
      </c>
      <c r="CO894" s="5" t="s">
        <v>263</v>
      </c>
      <c r="CP894" s="5" t="s">
        <v>264</v>
      </c>
      <c r="CQ894" s="5" t="s">
        <v>285</v>
      </c>
      <c r="CR894" s="5" t="s">
        <v>238</v>
      </c>
      <c r="CS894" s="5">
        <v>2.1999999999999999E-2</v>
      </c>
      <c r="CT894" s="5" t="s">
        <v>265</v>
      </c>
      <c r="CU894" s="5" t="s">
        <v>1360</v>
      </c>
      <c r="CV894" s="5" t="s">
        <v>308</v>
      </c>
      <c r="CW894" s="7">
        <f>0</f>
        <v>0</v>
      </c>
      <c r="CX894" s="8">
        <f>99252700</f>
        <v>99252700</v>
      </c>
      <c r="CY894" s="8">
        <f>31562371</f>
        <v>31562371</v>
      </c>
      <c r="DA894" s="5" t="s">
        <v>238</v>
      </c>
      <c r="DB894" s="5" t="s">
        <v>238</v>
      </c>
      <c r="DD894" s="5" t="s">
        <v>238</v>
      </c>
      <c r="DE894" s="8">
        <f>0</f>
        <v>0</v>
      </c>
      <c r="DG894" s="5" t="s">
        <v>238</v>
      </c>
      <c r="DH894" s="5" t="s">
        <v>238</v>
      </c>
      <c r="DI894" s="5" t="s">
        <v>238</v>
      </c>
      <c r="DJ894" s="5" t="s">
        <v>238</v>
      </c>
      <c r="DK894" s="5" t="s">
        <v>379</v>
      </c>
      <c r="DL894" s="5" t="s">
        <v>272</v>
      </c>
      <c r="DM894" s="7">
        <f>1838.81</f>
        <v>1838.81</v>
      </c>
      <c r="DN894" s="5" t="s">
        <v>238</v>
      </c>
      <c r="DO894" s="5" t="s">
        <v>238</v>
      </c>
      <c r="DP894" s="5" t="s">
        <v>238</v>
      </c>
      <c r="DQ894" s="5" t="s">
        <v>238</v>
      </c>
      <c r="DT894" s="5" t="s">
        <v>839</v>
      </c>
      <c r="DU894" s="5" t="s">
        <v>271</v>
      </c>
      <c r="GL894" s="5" t="s">
        <v>2635</v>
      </c>
      <c r="HM894" s="5" t="s">
        <v>313</v>
      </c>
      <c r="HP894" s="5" t="s">
        <v>272</v>
      </c>
      <c r="HQ894" s="5" t="s">
        <v>272</v>
      </c>
      <c r="HR894" s="5" t="s">
        <v>238</v>
      </c>
      <c r="HS894" s="5" t="s">
        <v>238</v>
      </c>
      <c r="HT894" s="5" t="s">
        <v>238</v>
      </c>
      <c r="HU894" s="5" t="s">
        <v>238</v>
      </c>
      <c r="HV894" s="5" t="s">
        <v>238</v>
      </c>
      <c r="HW894" s="5" t="s">
        <v>238</v>
      </c>
      <c r="HX894" s="5" t="s">
        <v>238</v>
      </c>
      <c r="HY894" s="5" t="s">
        <v>238</v>
      </c>
      <c r="HZ894" s="5" t="s">
        <v>238</v>
      </c>
      <c r="IA894" s="5" t="s">
        <v>238</v>
      </c>
      <c r="IB894" s="5" t="s">
        <v>238</v>
      </c>
      <c r="IC894" s="5" t="s">
        <v>238</v>
      </c>
      <c r="ID894" s="5" t="s">
        <v>238</v>
      </c>
    </row>
    <row r="895" spans="1:238" x14ac:dyDescent="0.4">
      <c r="A895" s="5">
        <v>991</v>
      </c>
      <c r="B895" s="5">
        <v>1</v>
      </c>
      <c r="C895" s="5">
        <v>1</v>
      </c>
      <c r="D895" s="5" t="s">
        <v>836</v>
      </c>
      <c r="E895" s="5" t="s">
        <v>277</v>
      </c>
      <c r="F895" s="5" t="s">
        <v>282</v>
      </c>
      <c r="G895" s="5" t="s">
        <v>1158</v>
      </c>
      <c r="H895" s="6" t="s">
        <v>838</v>
      </c>
      <c r="I895" s="5" t="s">
        <v>1158</v>
      </c>
      <c r="J895" s="7">
        <f>100.6</f>
        <v>100.6</v>
      </c>
      <c r="K895" s="5" t="s">
        <v>270</v>
      </c>
      <c r="L895" s="8">
        <f>1</f>
        <v>1</v>
      </c>
      <c r="M895" s="8">
        <f>795434</f>
        <v>795434</v>
      </c>
      <c r="N895" s="6" t="s">
        <v>837</v>
      </c>
      <c r="O895" s="5" t="s">
        <v>651</v>
      </c>
      <c r="P895" s="5" t="s">
        <v>640</v>
      </c>
      <c r="R895" s="8">
        <f>795433</f>
        <v>795433</v>
      </c>
      <c r="S895" s="5" t="s">
        <v>240</v>
      </c>
      <c r="T895" s="5" t="s">
        <v>237</v>
      </c>
      <c r="U895" s="5" t="s">
        <v>238</v>
      </c>
      <c r="V895" s="5" t="s">
        <v>238</v>
      </c>
      <c r="W895" s="5" t="s">
        <v>241</v>
      </c>
      <c r="X895" s="5" t="s">
        <v>276</v>
      </c>
      <c r="Y895" s="5" t="s">
        <v>238</v>
      </c>
      <c r="AB895" s="5" t="s">
        <v>238</v>
      </c>
      <c r="AD895" s="6" t="s">
        <v>238</v>
      </c>
      <c r="AG895" s="6" t="s">
        <v>246</v>
      </c>
      <c r="AH895" s="5" t="s">
        <v>247</v>
      </c>
      <c r="AI895" s="5" t="s">
        <v>248</v>
      </c>
      <c r="AY895" s="5" t="s">
        <v>250</v>
      </c>
      <c r="AZ895" s="5" t="s">
        <v>238</v>
      </c>
      <c r="BA895" s="5" t="s">
        <v>251</v>
      </c>
      <c r="BB895" s="5" t="s">
        <v>238</v>
      </c>
      <c r="BC895" s="5" t="s">
        <v>253</v>
      </c>
      <c r="BD895" s="5" t="s">
        <v>238</v>
      </c>
      <c r="BF895" s="5" t="s">
        <v>238</v>
      </c>
      <c r="BH895" s="5" t="s">
        <v>798</v>
      </c>
      <c r="BI895" s="6" t="s">
        <v>799</v>
      </c>
      <c r="BJ895" s="5" t="s">
        <v>255</v>
      </c>
      <c r="BK895" s="5" t="s">
        <v>256</v>
      </c>
      <c r="BL895" s="5" t="s">
        <v>238</v>
      </c>
      <c r="BM895" s="7">
        <f>0</f>
        <v>0</v>
      </c>
      <c r="BN895" s="8">
        <f>0</f>
        <v>0</v>
      </c>
      <c r="BO895" s="5" t="s">
        <v>257</v>
      </c>
      <c r="BP895" s="5" t="s">
        <v>258</v>
      </c>
      <c r="CD895" s="5" t="s">
        <v>238</v>
      </c>
      <c r="CE895" s="5" t="s">
        <v>238</v>
      </c>
      <c r="CI895" s="5" t="s">
        <v>259</v>
      </c>
      <c r="CJ895" s="5" t="s">
        <v>260</v>
      </c>
      <c r="CK895" s="5" t="s">
        <v>238</v>
      </c>
      <c r="CM895" s="5" t="s">
        <v>342</v>
      </c>
      <c r="CN895" s="6" t="s">
        <v>262</v>
      </c>
      <c r="CO895" s="5" t="s">
        <v>263</v>
      </c>
      <c r="CP895" s="5" t="s">
        <v>264</v>
      </c>
      <c r="CQ895" s="5" t="s">
        <v>238</v>
      </c>
      <c r="CR895" s="5" t="s">
        <v>238</v>
      </c>
      <c r="CS895" s="5">
        <v>0</v>
      </c>
      <c r="CT895" s="5" t="s">
        <v>265</v>
      </c>
      <c r="CU895" s="5" t="s">
        <v>1159</v>
      </c>
      <c r="CV895" s="5" t="s">
        <v>331</v>
      </c>
      <c r="CX895" s="8">
        <f>795434</f>
        <v>795434</v>
      </c>
      <c r="CY895" s="8">
        <f>0</f>
        <v>0</v>
      </c>
      <c r="DA895" s="5" t="s">
        <v>238</v>
      </c>
      <c r="DB895" s="5" t="s">
        <v>238</v>
      </c>
      <c r="DD895" s="5" t="s">
        <v>238</v>
      </c>
      <c r="DG895" s="5" t="s">
        <v>238</v>
      </c>
      <c r="DH895" s="5" t="s">
        <v>238</v>
      </c>
      <c r="DI895" s="5" t="s">
        <v>238</v>
      </c>
      <c r="DJ895" s="5" t="s">
        <v>238</v>
      </c>
      <c r="DK895" s="5" t="s">
        <v>271</v>
      </c>
      <c r="DL895" s="5" t="s">
        <v>272</v>
      </c>
      <c r="DM895" s="7">
        <f>100.6</f>
        <v>100.6</v>
      </c>
      <c r="DN895" s="5" t="s">
        <v>238</v>
      </c>
      <c r="DO895" s="5" t="s">
        <v>238</v>
      </c>
      <c r="DP895" s="5" t="s">
        <v>238</v>
      </c>
      <c r="DQ895" s="5" t="s">
        <v>238</v>
      </c>
      <c r="DT895" s="5" t="s">
        <v>839</v>
      </c>
      <c r="DU895" s="5" t="s">
        <v>274</v>
      </c>
      <c r="HM895" s="5" t="s">
        <v>271</v>
      </c>
      <c r="HP895" s="5" t="s">
        <v>272</v>
      </c>
      <c r="HQ895" s="5" t="s">
        <v>272</v>
      </c>
    </row>
    <row r="896" spans="1:238" x14ac:dyDescent="0.4">
      <c r="A896" s="5">
        <v>992</v>
      </c>
      <c r="B896" s="5">
        <v>1</v>
      </c>
      <c r="C896" s="5">
        <v>1</v>
      </c>
      <c r="D896" s="5" t="s">
        <v>836</v>
      </c>
      <c r="E896" s="5" t="s">
        <v>277</v>
      </c>
      <c r="F896" s="5" t="s">
        <v>282</v>
      </c>
      <c r="G896" s="5" t="s">
        <v>633</v>
      </c>
      <c r="H896" s="6" t="s">
        <v>838</v>
      </c>
      <c r="I896" s="5" t="s">
        <v>797</v>
      </c>
      <c r="J896" s="7">
        <f>11.49</f>
        <v>11.49</v>
      </c>
      <c r="K896" s="5" t="s">
        <v>270</v>
      </c>
      <c r="L896" s="8">
        <f>1</f>
        <v>1</v>
      </c>
      <c r="M896" s="8">
        <f>119860</f>
        <v>119860</v>
      </c>
      <c r="N896" s="6" t="s">
        <v>837</v>
      </c>
      <c r="O896" s="5" t="s">
        <v>651</v>
      </c>
      <c r="P896" s="5" t="s">
        <v>640</v>
      </c>
      <c r="R896" s="8">
        <f>119859</f>
        <v>119859</v>
      </c>
      <c r="S896" s="5" t="s">
        <v>240</v>
      </c>
      <c r="T896" s="5" t="s">
        <v>237</v>
      </c>
      <c r="U896" s="5" t="s">
        <v>238</v>
      </c>
      <c r="V896" s="5" t="s">
        <v>238</v>
      </c>
      <c r="W896" s="5" t="s">
        <v>241</v>
      </c>
      <c r="X896" s="5" t="s">
        <v>276</v>
      </c>
      <c r="Y896" s="5" t="s">
        <v>238</v>
      </c>
      <c r="AB896" s="5" t="s">
        <v>238</v>
      </c>
      <c r="AD896" s="6" t="s">
        <v>238</v>
      </c>
      <c r="AG896" s="6" t="s">
        <v>246</v>
      </c>
      <c r="AH896" s="5" t="s">
        <v>247</v>
      </c>
      <c r="AI896" s="5" t="s">
        <v>248</v>
      </c>
      <c r="AY896" s="5" t="s">
        <v>250</v>
      </c>
      <c r="AZ896" s="5" t="s">
        <v>238</v>
      </c>
      <c r="BA896" s="5" t="s">
        <v>251</v>
      </c>
      <c r="BB896" s="5" t="s">
        <v>238</v>
      </c>
      <c r="BC896" s="5" t="s">
        <v>253</v>
      </c>
      <c r="BD896" s="5" t="s">
        <v>238</v>
      </c>
      <c r="BF896" s="5" t="s">
        <v>238</v>
      </c>
      <c r="BH896" s="5" t="s">
        <v>254</v>
      </c>
      <c r="BI896" s="6" t="s">
        <v>246</v>
      </c>
      <c r="BJ896" s="5" t="s">
        <v>255</v>
      </c>
      <c r="BK896" s="5" t="s">
        <v>256</v>
      </c>
      <c r="BL896" s="5" t="s">
        <v>238</v>
      </c>
      <c r="BM896" s="7">
        <f>0</f>
        <v>0</v>
      </c>
      <c r="BN896" s="8">
        <f>0</f>
        <v>0</v>
      </c>
      <c r="BO896" s="5" t="s">
        <v>257</v>
      </c>
      <c r="BP896" s="5" t="s">
        <v>258</v>
      </c>
      <c r="CD896" s="5" t="s">
        <v>238</v>
      </c>
      <c r="CE896" s="5" t="s">
        <v>238</v>
      </c>
      <c r="CI896" s="5" t="s">
        <v>259</v>
      </c>
      <c r="CJ896" s="5" t="s">
        <v>260</v>
      </c>
      <c r="CK896" s="5" t="s">
        <v>238</v>
      </c>
      <c r="CM896" s="5" t="s">
        <v>342</v>
      </c>
      <c r="CN896" s="6" t="s">
        <v>262</v>
      </c>
      <c r="CO896" s="5" t="s">
        <v>263</v>
      </c>
      <c r="CP896" s="5" t="s">
        <v>264</v>
      </c>
      <c r="CQ896" s="5" t="s">
        <v>238</v>
      </c>
      <c r="CR896" s="5" t="s">
        <v>238</v>
      </c>
      <c r="CS896" s="5">
        <v>0</v>
      </c>
      <c r="CT896" s="5" t="s">
        <v>265</v>
      </c>
      <c r="CU896" s="5" t="s">
        <v>266</v>
      </c>
      <c r="CV896" s="5" t="s">
        <v>331</v>
      </c>
      <c r="CX896" s="8">
        <f>119860</f>
        <v>119860</v>
      </c>
      <c r="CY896" s="8">
        <f>0</f>
        <v>0</v>
      </c>
      <c r="DA896" s="5" t="s">
        <v>238</v>
      </c>
      <c r="DB896" s="5" t="s">
        <v>238</v>
      </c>
      <c r="DD896" s="5" t="s">
        <v>238</v>
      </c>
      <c r="DG896" s="5" t="s">
        <v>238</v>
      </c>
      <c r="DH896" s="5" t="s">
        <v>238</v>
      </c>
      <c r="DI896" s="5" t="s">
        <v>238</v>
      </c>
      <c r="DJ896" s="5" t="s">
        <v>238</v>
      </c>
      <c r="DK896" s="5" t="s">
        <v>271</v>
      </c>
      <c r="DL896" s="5" t="s">
        <v>272</v>
      </c>
      <c r="DM896" s="7">
        <f>11.49</f>
        <v>11.49</v>
      </c>
      <c r="DN896" s="5" t="s">
        <v>238</v>
      </c>
      <c r="DO896" s="5" t="s">
        <v>238</v>
      </c>
      <c r="DP896" s="5" t="s">
        <v>238</v>
      </c>
      <c r="DQ896" s="5" t="s">
        <v>238</v>
      </c>
      <c r="DT896" s="5" t="s">
        <v>839</v>
      </c>
      <c r="DU896" s="5" t="s">
        <v>356</v>
      </c>
      <c r="HM896" s="5" t="s">
        <v>271</v>
      </c>
      <c r="HP896" s="5" t="s">
        <v>272</v>
      </c>
      <c r="HQ896" s="5" t="s">
        <v>272</v>
      </c>
    </row>
    <row r="897" spans="1:238" x14ac:dyDescent="0.4">
      <c r="A897" s="5">
        <v>993</v>
      </c>
      <c r="B897" s="5">
        <v>1</v>
      </c>
      <c r="C897" s="5">
        <v>4</v>
      </c>
      <c r="D897" s="5" t="s">
        <v>836</v>
      </c>
      <c r="E897" s="5" t="s">
        <v>277</v>
      </c>
      <c r="F897" s="5" t="s">
        <v>282</v>
      </c>
      <c r="G897" s="5" t="s">
        <v>2485</v>
      </c>
      <c r="H897" s="6" t="s">
        <v>838</v>
      </c>
      <c r="I897" s="5" t="s">
        <v>2505</v>
      </c>
      <c r="J897" s="7">
        <f>1830.13</f>
        <v>1830.13</v>
      </c>
      <c r="K897" s="5" t="s">
        <v>270</v>
      </c>
      <c r="L897" s="8">
        <f>29378812</f>
        <v>29378812</v>
      </c>
      <c r="M897" s="8">
        <f>99252700</f>
        <v>99252700</v>
      </c>
      <c r="N897" s="6" t="s">
        <v>837</v>
      </c>
      <c r="O897" s="5" t="s">
        <v>898</v>
      </c>
      <c r="P897" s="5" t="s">
        <v>332</v>
      </c>
      <c r="Q897" s="8">
        <f>2183559</f>
        <v>2183559</v>
      </c>
      <c r="R897" s="8">
        <f>69873888</f>
        <v>69873888</v>
      </c>
      <c r="S897" s="5" t="s">
        <v>240</v>
      </c>
      <c r="T897" s="5" t="s">
        <v>237</v>
      </c>
      <c r="U897" s="5" t="s">
        <v>238</v>
      </c>
      <c r="V897" s="5" t="s">
        <v>238</v>
      </c>
      <c r="W897" s="5" t="s">
        <v>241</v>
      </c>
      <c r="X897" s="5" t="s">
        <v>276</v>
      </c>
      <c r="Y897" s="5" t="s">
        <v>238</v>
      </c>
      <c r="AB897" s="5" t="s">
        <v>238</v>
      </c>
      <c r="AC897" s="6" t="s">
        <v>238</v>
      </c>
      <c r="AD897" s="6" t="s">
        <v>238</v>
      </c>
      <c r="AF897" s="6" t="s">
        <v>238</v>
      </c>
      <c r="AG897" s="6" t="s">
        <v>246</v>
      </c>
      <c r="AH897" s="5" t="s">
        <v>247</v>
      </c>
      <c r="AI897" s="5" t="s">
        <v>248</v>
      </c>
      <c r="AO897" s="5" t="s">
        <v>238</v>
      </c>
      <c r="AP897" s="5" t="s">
        <v>238</v>
      </c>
      <c r="AQ897" s="5" t="s">
        <v>238</v>
      </c>
      <c r="AR897" s="6" t="s">
        <v>238</v>
      </c>
      <c r="AS897" s="6" t="s">
        <v>238</v>
      </c>
      <c r="AT897" s="6" t="s">
        <v>238</v>
      </c>
      <c r="AW897" s="5" t="s">
        <v>304</v>
      </c>
      <c r="AX897" s="5" t="s">
        <v>304</v>
      </c>
      <c r="AY897" s="5" t="s">
        <v>250</v>
      </c>
      <c r="AZ897" s="5" t="s">
        <v>305</v>
      </c>
      <c r="BA897" s="5" t="s">
        <v>251</v>
      </c>
      <c r="BB897" s="5" t="s">
        <v>238</v>
      </c>
      <c r="BC897" s="5" t="s">
        <v>253</v>
      </c>
      <c r="BD897" s="5" t="s">
        <v>238</v>
      </c>
      <c r="BF897" s="5" t="s">
        <v>238</v>
      </c>
      <c r="BH897" s="5" t="s">
        <v>283</v>
      </c>
      <c r="BI897" s="6" t="s">
        <v>293</v>
      </c>
      <c r="BJ897" s="5" t="s">
        <v>294</v>
      </c>
      <c r="BK897" s="5" t="s">
        <v>294</v>
      </c>
      <c r="BL897" s="5" t="s">
        <v>238</v>
      </c>
      <c r="BM897" s="7">
        <f>0</f>
        <v>0</v>
      </c>
      <c r="BN897" s="8">
        <f>-2183559</f>
        <v>-2183559</v>
      </c>
      <c r="BO897" s="5" t="s">
        <v>257</v>
      </c>
      <c r="BP897" s="5" t="s">
        <v>258</v>
      </c>
      <c r="BQ897" s="5" t="s">
        <v>238</v>
      </c>
      <c r="BR897" s="5" t="s">
        <v>238</v>
      </c>
      <c r="BS897" s="5" t="s">
        <v>238</v>
      </c>
      <c r="BT897" s="5" t="s">
        <v>238</v>
      </c>
      <c r="CC897" s="5" t="s">
        <v>258</v>
      </c>
      <c r="CD897" s="5" t="s">
        <v>238</v>
      </c>
      <c r="CE897" s="5" t="s">
        <v>238</v>
      </c>
      <c r="CI897" s="5" t="s">
        <v>259</v>
      </c>
      <c r="CJ897" s="5" t="s">
        <v>260</v>
      </c>
      <c r="CK897" s="5" t="s">
        <v>238</v>
      </c>
      <c r="CM897" s="5" t="s">
        <v>342</v>
      </c>
      <c r="CN897" s="6" t="s">
        <v>262</v>
      </c>
      <c r="CO897" s="5" t="s">
        <v>263</v>
      </c>
      <c r="CP897" s="5" t="s">
        <v>264</v>
      </c>
      <c r="CQ897" s="5" t="s">
        <v>285</v>
      </c>
      <c r="CR897" s="5" t="s">
        <v>238</v>
      </c>
      <c r="CS897" s="5">
        <v>2.1999999999999999E-2</v>
      </c>
      <c r="CT897" s="5" t="s">
        <v>265</v>
      </c>
      <c r="CU897" s="5" t="s">
        <v>1360</v>
      </c>
      <c r="CV897" s="5" t="s">
        <v>308</v>
      </c>
      <c r="CW897" s="7">
        <f>0</f>
        <v>0</v>
      </c>
      <c r="CX897" s="8">
        <f>99252700</f>
        <v>99252700</v>
      </c>
      <c r="CY897" s="8">
        <f>31562371</f>
        <v>31562371</v>
      </c>
      <c r="DA897" s="5" t="s">
        <v>238</v>
      </c>
      <c r="DB897" s="5" t="s">
        <v>238</v>
      </c>
      <c r="DD897" s="5" t="s">
        <v>238</v>
      </c>
      <c r="DE897" s="8">
        <f>0</f>
        <v>0</v>
      </c>
      <c r="DG897" s="5" t="s">
        <v>238</v>
      </c>
      <c r="DH897" s="5" t="s">
        <v>238</v>
      </c>
      <c r="DI897" s="5" t="s">
        <v>238</v>
      </c>
      <c r="DJ897" s="5" t="s">
        <v>238</v>
      </c>
      <c r="DK897" s="5" t="s">
        <v>379</v>
      </c>
      <c r="DL897" s="5" t="s">
        <v>272</v>
      </c>
      <c r="DM897" s="7">
        <f>1830.13</f>
        <v>1830.13</v>
      </c>
      <c r="DN897" s="5" t="s">
        <v>238</v>
      </c>
      <c r="DO897" s="5" t="s">
        <v>238</v>
      </c>
      <c r="DP897" s="5" t="s">
        <v>238</v>
      </c>
      <c r="DQ897" s="5" t="s">
        <v>238</v>
      </c>
      <c r="DT897" s="5" t="s">
        <v>839</v>
      </c>
      <c r="DU897" s="5" t="s">
        <v>310</v>
      </c>
      <c r="GL897" s="5" t="s">
        <v>2634</v>
      </c>
      <c r="HM897" s="5" t="s">
        <v>313</v>
      </c>
      <c r="HP897" s="5" t="s">
        <v>272</v>
      </c>
      <c r="HQ897" s="5" t="s">
        <v>272</v>
      </c>
      <c r="HR897" s="5" t="s">
        <v>238</v>
      </c>
      <c r="HS897" s="5" t="s">
        <v>238</v>
      </c>
      <c r="HT897" s="5" t="s">
        <v>238</v>
      </c>
      <c r="HU897" s="5" t="s">
        <v>238</v>
      </c>
      <c r="HV897" s="5" t="s">
        <v>238</v>
      </c>
      <c r="HW897" s="5" t="s">
        <v>238</v>
      </c>
      <c r="HX897" s="5" t="s">
        <v>238</v>
      </c>
      <c r="HY897" s="5" t="s">
        <v>238</v>
      </c>
      <c r="HZ897" s="5" t="s">
        <v>238</v>
      </c>
      <c r="IA897" s="5" t="s">
        <v>238</v>
      </c>
      <c r="IB897" s="5" t="s">
        <v>238</v>
      </c>
      <c r="IC897" s="5" t="s">
        <v>238</v>
      </c>
      <c r="ID897" s="5" t="s">
        <v>238</v>
      </c>
    </row>
    <row r="898" spans="1:238" x14ac:dyDescent="0.4">
      <c r="A898" s="5">
        <v>994</v>
      </c>
      <c r="B898" s="5">
        <v>1</v>
      </c>
      <c r="C898" s="5">
        <v>4</v>
      </c>
      <c r="D898" s="5" t="s">
        <v>836</v>
      </c>
      <c r="E898" s="5" t="s">
        <v>277</v>
      </c>
      <c r="F898" s="5" t="s">
        <v>282</v>
      </c>
      <c r="G898" s="5" t="s">
        <v>781</v>
      </c>
      <c r="H898" s="6" t="s">
        <v>838</v>
      </c>
      <c r="I898" s="5" t="s">
        <v>692</v>
      </c>
      <c r="J898" s="7">
        <f>15.96</f>
        <v>15.96</v>
      </c>
      <c r="K898" s="5" t="s">
        <v>270</v>
      </c>
      <c r="L898" s="8">
        <f>76787</f>
        <v>76787</v>
      </c>
      <c r="M898" s="8">
        <f>564595</f>
        <v>564595</v>
      </c>
      <c r="N898" s="6" t="s">
        <v>837</v>
      </c>
      <c r="O898" s="5" t="s">
        <v>639</v>
      </c>
      <c r="P898" s="5" t="s">
        <v>332</v>
      </c>
      <c r="Q898" s="8">
        <f>15244</f>
        <v>15244</v>
      </c>
      <c r="R898" s="8">
        <f>487808</f>
        <v>487808</v>
      </c>
      <c r="S898" s="5" t="s">
        <v>240</v>
      </c>
      <c r="T898" s="5" t="s">
        <v>237</v>
      </c>
      <c r="U898" s="5" t="s">
        <v>238</v>
      </c>
      <c r="V898" s="5" t="s">
        <v>238</v>
      </c>
      <c r="W898" s="5" t="s">
        <v>241</v>
      </c>
      <c r="X898" s="5" t="s">
        <v>276</v>
      </c>
      <c r="Y898" s="5" t="s">
        <v>238</v>
      </c>
      <c r="AB898" s="5" t="s">
        <v>238</v>
      </c>
      <c r="AC898" s="6" t="s">
        <v>238</v>
      </c>
      <c r="AD898" s="6" t="s">
        <v>238</v>
      </c>
      <c r="AF898" s="6" t="s">
        <v>238</v>
      </c>
      <c r="AG898" s="6" t="s">
        <v>246</v>
      </c>
      <c r="AH898" s="5" t="s">
        <v>247</v>
      </c>
      <c r="AI898" s="5" t="s">
        <v>248</v>
      </c>
      <c r="AO898" s="5" t="s">
        <v>238</v>
      </c>
      <c r="AP898" s="5" t="s">
        <v>238</v>
      </c>
      <c r="AQ898" s="5" t="s">
        <v>238</v>
      </c>
      <c r="AR898" s="6" t="s">
        <v>238</v>
      </c>
      <c r="AS898" s="6" t="s">
        <v>238</v>
      </c>
      <c r="AT898" s="6" t="s">
        <v>238</v>
      </c>
      <c r="AW898" s="5" t="s">
        <v>304</v>
      </c>
      <c r="AX898" s="5" t="s">
        <v>304</v>
      </c>
      <c r="AY898" s="5" t="s">
        <v>250</v>
      </c>
      <c r="AZ898" s="5" t="s">
        <v>305</v>
      </c>
      <c r="BA898" s="5" t="s">
        <v>251</v>
      </c>
      <c r="BB898" s="5" t="s">
        <v>238</v>
      </c>
      <c r="BC898" s="5" t="s">
        <v>253</v>
      </c>
      <c r="BD898" s="5" t="s">
        <v>238</v>
      </c>
      <c r="BF898" s="5" t="s">
        <v>238</v>
      </c>
      <c r="BH898" s="5" t="s">
        <v>283</v>
      </c>
      <c r="BI898" s="6" t="s">
        <v>293</v>
      </c>
      <c r="BJ898" s="5" t="s">
        <v>294</v>
      </c>
      <c r="BK898" s="5" t="s">
        <v>294</v>
      </c>
      <c r="BL898" s="5" t="s">
        <v>238</v>
      </c>
      <c r="BM898" s="7">
        <f>0</f>
        <v>0</v>
      </c>
      <c r="BN898" s="8">
        <f>-15244</f>
        <v>-15244</v>
      </c>
      <c r="BO898" s="5" t="s">
        <v>257</v>
      </c>
      <c r="BP898" s="5" t="s">
        <v>258</v>
      </c>
      <c r="BQ898" s="5" t="s">
        <v>238</v>
      </c>
      <c r="BR898" s="5" t="s">
        <v>238</v>
      </c>
      <c r="BS898" s="5" t="s">
        <v>238</v>
      </c>
      <c r="BT898" s="5" t="s">
        <v>238</v>
      </c>
      <c r="CC898" s="5" t="s">
        <v>258</v>
      </c>
      <c r="CD898" s="5" t="s">
        <v>238</v>
      </c>
      <c r="CE898" s="5" t="s">
        <v>238</v>
      </c>
      <c r="CI898" s="5" t="s">
        <v>259</v>
      </c>
      <c r="CJ898" s="5" t="s">
        <v>260</v>
      </c>
      <c r="CK898" s="5" t="s">
        <v>238</v>
      </c>
      <c r="CM898" s="5" t="s">
        <v>342</v>
      </c>
      <c r="CN898" s="6" t="s">
        <v>262</v>
      </c>
      <c r="CO898" s="5" t="s">
        <v>263</v>
      </c>
      <c r="CP898" s="5" t="s">
        <v>264</v>
      </c>
      <c r="CQ898" s="5" t="s">
        <v>285</v>
      </c>
      <c r="CR898" s="5" t="s">
        <v>238</v>
      </c>
      <c r="CS898" s="5">
        <v>2.7E-2</v>
      </c>
      <c r="CT898" s="5" t="s">
        <v>265</v>
      </c>
      <c r="CU898" s="5" t="s">
        <v>266</v>
      </c>
      <c r="CV898" s="5" t="s">
        <v>308</v>
      </c>
      <c r="CW898" s="7">
        <f>0</f>
        <v>0</v>
      </c>
      <c r="CX898" s="8">
        <f>564595</f>
        <v>564595</v>
      </c>
      <c r="CY898" s="8">
        <f>92031</f>
        <v>92031</v>
      </c>
      <c r="DA898" s="5" t="s">
        <v>238</v>
      </c>
      <c r="DB898" s="5" t="s">
        <v>238</v>
      </c>
      <c r="DD898" s="5" t="s">
        <v>238</v>
      </c>
      <c r="DE898" s="8">
        <f>0</f>
        <v>0</v>
      </c>
      <c r="DG898" s="5" t="s">
        <v>238</v>
      </c>
      <c r="DH898" s="5" t="s">
        <v>238</v>
      </c>
      <c r="DI898" s="5" t="s">
        <v>238</v>
      </c>
      <c r="DJ898" s="5" t="s">
        <v>238</v>
      </c>
      <c r="DK898" s="5" t="s">
        <v>271</v>
      </c>
      <c r="DL898" s="5" t="s">
        <v>272</v>
      </c>
      <c r="DM898" s="7">
        <f>15.96</f>
        <v>15.96</v>
      </c>
      <c r="DN898" s="5" t="s">
        <v>238</v>
      </c>
      <c r="DO898" s="5" t="s">
        <v>238</v>
      </c>
      <c r="DP898" s="5" t="s">
        <v>238</v>
      </c>
      <c r="DQ898" s="5" t="s">
        <v>238</v>
      </c>
      <c r="DT898" s="5" t="s">
        <v>839</v>
      </c>
      <c r="DU898" s="5" t="s">
        <v>379</v>
      </c>
      <c r="GL898" s="5" t="s">
        <v>840</v>
      </c>
      <c r="HM898" s="5" t="s">
        <v>313</v>
      </c>
      <c r="HP898" s="5" t="s">
        <v>272</v>
      </c>
      <c r="HQ898" s="5" t="s">
        <v>272</v>
      </c>
      <c r="HR898" s="5" t="s">
        <v>238</v>
      </c>
      <c r="HS898" s="5" t="s">
        <v>238</v>
      </c>
      <c r="HT898" s="5" t="s">
        <v>238</v>
      </c>
      <c r="HU898" s="5" t="s">
        <v>238</v>
      </c>
      <c r="HV898" s="5" t="s">
        <v>238</v>
      </c>
      <c r="HW898" s="5" t="s">
        <v>238</v>
      </c>
      <c r="HX898" s="5" t="s">
        <v>238</v>
      </c>
      <c r="HY898" s="5" t="s">
        <v>238</v>
      </c>
      <c r="HZ898" s="5" t="s">
        <v>238</v>
      </c>
      <c r="IA898" s="5" t="s">
        <v>238</v>
      </c>
      <c r="IB898" s="5" t="s">
        <v>238</v>
      </c>
      <c r="IC898" s="5" t="s">
        <v>238</v>
      </c>
      <c r="ID898" s="5" t="s">
        <v>238</v>
      </c>
    </row>
    <row r="899" spans="1:238" x14ac:dyDescent="0.4">
      <c r="A899" s="5">
        <v>995</v>
      </c>
      <c r="B899" s="5">
        <v>1</v>
      </c>
      <c r="C899" s="5">
        <v>4</v>
      </c>
      <c r="D899" s="5" t="s">
        <v>836</v>
      </c>
      <c r="E899" s="5" t="s">
        <v>277</v>
      </c>
      <c r="F899" s="5" t="s">
        <v>282</v>
      </c>
      <c r="G899" s="5" t="s">
        <v>781</v>
      </c>
      <c r="H899" s="6" t="s">
        <v>838</v>
      </c>
      <c r="I899" s="5" t="s">
        <v>2457</v>
      </c>
      <c r="J899" s="7">
        <f>49</f>
        <v>49</v>
      </c>
      <c r="K899" s="5" t="s">
        <v>270</v>
      </c>
      <c r="L899" s="8">
        <f>590224</f>
        <v>590224</v>
      </c>
      <c r="M899" s="8">
        <f>4339760</f>
        <v>4339760</v>
      </c>
      <c r="N899" s="6" t="s">
        <v>837</v>
      </c>
      <c r="O899" s="5" t="s">
        <v>639</v>
      </c>
      <c r="P899" s="5" t="s">
        <v>332</v>
      </c>
      <c r="Q899" s="8">
        <f>117173</f>
        <v>117173</v>
      </c>
      <c r="R899" s="8">
        <f>3749536</f>
        <v>3749536</v>
      </c>
      <c r="S899" s="5" t="s">
        <v>240</v>
      </c>
      <c r="T899" s="5" t="s">
        <v>237</v>
      </c>
      <c r="U899" s="5" t="s">
        <v>238</v>
      </c>
      <c r="V899" s="5" t="s">
        <v>238</v>
      </c>
      <c r="W899" s="5" t="s">
        <v>241</v>
      </c>
      <c r="X899" s="5" t="s">
        <v>276</v>
      </c>
      <c r="Y899" s="5" t="s">
        <v>238</v>
      </c>
      <c r="AB899" s="5" t="s">
        <v>238</v>
      </c>
      <c r="AC899" s="6" t="s">
        <v>238</v>
      </c>
      <c r="AD899" s="6" t="s">
        <v>238</v>
      </c>
      <c r="AF899" s="6" t="s">
        <v>238</v>
      </c>
      <c r="AG899" s="6" t="s">
        <v>246</v>
      </c>
      <c r="AH899" s="5" t="s">
        <v>247</v>
      </c>
      <c r="AI899" s="5" t="s">
        <v>248</v>
      </c>
      <c r="AO899" s="5" t="s">
        <v>238</v>
      </c>
      <c r="AP899" s="5" t="s">
        <v>238</v>
      </c>
      <c r="AQ899" s="5" t="s">
        <v>238</v>
      </c>
      <c r="AR899" s="6" t="s">
        <v>238</v>
      </c>
      <c r="AS899" s="6" t="s">
        <v>238</v>
      </c>
      <c r="AT899" s="6" t="s">
        <v>238</v>
      </c>
      <c r="AW899" s="5" t="s">
        <v>304</v>
      </c>
      <c r="AX899" s="5" t="s">
        <v>304</v>
      </c>
      <c r="AY899" s="5" t="s">
        <v>250</v>
      </c>
      <c r="AZ899" s="5" t="s">
        <v>305</v>
      </c>
      <c r="BA899" s="5" t="s">
        <v>251</v>
      </c>
      <c r="BB899" s="5" t="s">
        <v>238</v>
      </c>
      <c r="BC899" s="5" t="s">
        <v>253</v>
      </c>
      <c r="BD899" s="5" t="s">
        <v>238</v>
      </c>
      <c r="BF899" s="5" t="s">
        <v>238</v>
      </c>
      <c r="BH899" s="5" t="s">
        <v>283</v>
      </c>
      <c r="BI899" s="6" t="s">
        <v>293</v>
      </c>
      <c r="BJ899" s="5" t="s">
        <v>294</v>
      </c>
      <c r="BK899" s="5" t="s">
        <v>294</v>
      </c>
      <c r="BL899" s="5" t="s">
        <v>238</v>
      </c>
      <c r="BM899" s="7">
        <f>0</f>
        <v>0</v>
      </c>
      <c r="BN899" s="8">
        <f>-117173</f>
        <v>-117173</v>
      </c>
      <c r="BO899" s="5" t="s">
        <v>257</v>
      </c>
      <c r="BP899" s="5" t="s">
        <v>258</v>
      </c>
      <c r="BQ899" s="5" t="s">
        <v>238</v>
      </c>
      <c r="BR899" s="5" t="s">
        <v>238</v>
      </c>
      <c r="BS899" s="5" t="s">
        <v>238</v>
      </c>
      <c r="BT899" s="5" t="s">
        <v>238</v>
      </c>
      <c r="CC899" s="5" t="s">
        <v>258</v>
      </c>
      <c r="CD899" s="5" t="s">
        <v>238</v>
      </c>
      <c r="CE899" s="5" t="s">
        <v>238</v>
      </c>
      <c r="CI899" s="5" t="s">
        <v>259</v>
      </c>
      <c r="CJ899" s="5" t="s">
        <v>260</v>
      </c>
      <c r="CK899" s="5" t="s">
        <v>238</v>
      </c>
      <c r="CM899" s="5" t="s">
        <v>342</v>
      </c>
      <c r="CN899" s="6" t="s">
        <v>262</v>
      </c>
      <c r="CO899" s="5" t="s">
        <v>263</v>
      </c>
      <c r="CP899" s="5" t="s">
        <v>264</v>
      </c>
      <c r="CQ899" s="5" t="s">
        <v>285</v>
      </c>
      <c r="CR899" s="5" t="s">
        <v>238</v>
      </c>
      <c r="CS899" s="5">
        <v>2.7E-2</v>
      </c>
      <c r="CT899" s="5" t="s">
        <v>265</v>
      </c>
      <c r="CU899" s="5" t="s">
        <v>2381</v>
      </c>
      <c r="CV899" s="5" t="s">
        <v>308</v>
      </c>
      <c r="CW899" s="7">
        <f>0</f>
        <v>0</v>
      </c>
      <c r="CX899" s="8">
        <f>4339760</f>
        <v>4339760</v>
      </c>
      <c r="CY899" s="8">
        <f>707397</f>
        <v>707397</v>
      </c>
      <c r="DA899" s="5" t="s">
        <v>238</v>
      </c>
      <c r="DB899" s="5" t="s">
        <v>238</v>
      </c>
      <c r="DD899" s="5" t="s">
        <v>238</v>
      </c>
      <c r="DE899" s="8">
        <f>0</f>
        <v>0</v>
      </c>
      <c r="DG899" s="5" t="s">
        <v>238</v>
      </c>
      <c r="DH899" s="5" t="s">
        <v>238</v>
      </c>
      <c r="DI899" s="5" t="s">
        <v>238</v>
      </c>
      <c r="DJ899" s="5" t="s">
        <v>238</v>
      </c>
      <c r="DK899" s="5" t="s">
        <v>271</v>
      </c>
      <c r="DL899" s="5" t="s">
        <v>272</v>
      </c>
      <c r="DM899" s="7">
        <f>49</f>
        <v>49</v>
      </c>
      <c r="DN899" s="5" t="s">
        <v>238</v>
      </c>
      <c r="DO899" s="5" t="s">
        <v>238</v>
      </c>
      <c r="DP899" s="5" t="s">
        <v>238</v>
      </c>
      <c r="DQ899" s="5" t="s">
        <v>238</v>
      </c>
      <c r="DT899" s="5" t="s">
        <v>839</v>
      </c>
      <c r="DU899" s="5" t="s">
        <v>313</v>
      </c>
      <c r="GL899" s="5" t="s">
        <v>2458</v>
      </c>
      <c r="HM899" s="5" t="s">
        <v>313</v>
      </c>
      <c r="HP899" s="5" t="s">
        <v>272</v>
      </c>
      <c r="HQ899" s="5" t="s">
        <v>272</v>
      </c>
      <c r="HR899" s="5" t="s">
        <v>238</v>
      </c>
      <c r="HS899" s="5" t="s">
        <v>238</v>
      </c>
      <c r="HT899" s="5" t="s">
        <v>238</v>
      </c>
      <c r="HU899" s="5" t="s">
        <v>238</v>
      </c>
      <c r="HV899" s="5" t="s">
        <v>238</v>
      </c>
      <c r="HW899" s="5" t="s">
        <v>238</v>
      </c>
      <c r="HX899" s="5" t="s">
        <v>238</v>
      </c>
      <c r="HY899" s="5" t="s">
        <v>238</v>
      </c>
      <c r="HZ899" s="5" t="s">
        <v>238</v>
      </c>
      <c r="IA899" s="5" t="s">
        <v>238</v>
      </c>
      <c r="IB899" s="5" t="s">
        <v>238</v>
      </c>
      <c r="IC899" s="5" t="s">
        <v>238</v>
      </c>
      <c r="ID899" s="5" t="s">
        <v>238</v>
      </c>
    </row>
    <row r="900" spans="1:238" x14ac:dyDescent="0.4">
      <c r="A900" s="5">
        <v>996</v>
      </c>
      <c r="B900" s="5">
        <v>1</v>
      </c>
      <c r="C900" s="5">
        <v>4</v>
      </c>
      <c r="D900" s="5" t="s">
        <v>836</v>
      </c>
      <c r="E900" s="5" t="s">
        <v>277</v>
      </c>
      <c r="F900" s="5" t="s">
        <v>282</v>
      </c>
      <c r="G900" s="5" t="s">
        <v>1161</v>
      </c>
      <c r="H900" s="6" t="s">
        <v>838</v>
      </c>
      <c r="I900" s="5" t="s">
        <v>1158</v>
      </c>
      <c r="J900" s="7">
        <f>100.6</f>
        <v>100.6</v>
      </c>
      <c r="K900" s="5" t="s">
        <v>270</v>
      </c>
      <c r="L900" s="8">
        <f>108202</f>
        <v>108202</v>
      </c>
      <c r="M900" s="8">
        <f>795434</f>
        <v>795434</v>
      </c>
      <c r="N900" s="6" t="s">
        <v>837</v>
      </c>
      <c r="O900" s="5" t="s">
        <v>639</v>
      </c>
      <c r="P900" s="5" t="s">
        <v>332</v>
      </c>
      <c r="Q900" s="8">
        <f>21476</f>
        <v>21476</v>
      </c>
      <c r="R900" s="8">
        <f>687232</f>
        <v>687232</v>
      </c>
      <c r="S900" s="5" t="s">
        <v>240</v>
      </c>
      <c r="T900" s="5" t="s">
        <v>237</v>
      </c>
      <c r="U900" s="5" t="s">
        <v>238</v>
      </c>
      <c r="V900" s="5" t="s">
        <v>238</v>
      </c>
      <c r="W900" s="5" t="s">
        <v>241</v>
      </c>
      <c r="X900" s="5" t="s">
        <v>276</v>
      </c>
      <c r="Y900" s="5" t="s">
        <v>238</v>
      </c>
      <c r="AB900" s="5" t="s">
        <v>238</v>
      </c>
      <c r="AC900" s="6" t="s">
        <v>238</v>
      </c>
      <c r="AD900" s="6" t="s">
        <v>238</v>
      </c>
      <c r="AF900" s="6" t="s">
        <v>238</v>
      </c>
      <c r="AG900" s="6" t="s">
        <v>246</v>
      </c>
      <c r="AH900" s="5" t="s">
        <v>247</v>
      </c>
      <c r="AI900" s="5" t="s">
        <v>248</v>
      </c>
      <c r="AO900" s="5" t="s">
        <v>238</v>
      </c>
      <c r="AP900" s="5" t="s">
        <v>238</v>
      </c>
      <c r="AQ900" s="5" t="s">
        <v>238</v>
      </c>
      <c r="AR900" s="6" t="s">
        <v>238</v>
      </c>
      <c r="AS900" s="6" t="s">
        <v>238</v>
      </c>
      <c r="AT900" s="6" t="s">
        <v>238</v>
      </c>
      <c r="AW900" s="5" t="s">
        <v>304</v>
      </c>
      <c r="AX900" s="5" t="s">
        <v>304</v>
      </c>
      <c r="AY900" s="5" t="s">
        <v>250</v>
      </c>
      <c r="AZ900" s="5" t="s">
        <v>305</v>
      </c>
      <c r="BA900" s="5" t="s">
        <v>251</v>
      </c>
      <c r="BB900" s="5" t="s">
        <v>238</v>
      </c>
      <c r="BC900" s="5" t="s">
        <v>253</v>
      </c>
      <c r="BD900" s="5" t="s">
        <v>238</v>
      </c>
      <c r="BF900" s="5" t="s">
        <v>238</v>
      </c>
      <c r="BH900" s="5" t="s">
        <v>283</v>
      </c>
      <c r="BI900" s="6" t="s">
        <v>293</v>
      </c>
      <c r="BJ900" s="5" t="s">
        <v>294</v>
      </c>
      <c r="BK900" s="5" t="s">
        <v>294</v>
      </c>
      <c r="BL900" s="5" t="s">
        <v>238</v>
      </c>
      <c r="BM900" s="7">
        <f>0</f>
        <v>0</v>
      </c>
      <c r="BN900" s="8">
        <f>-21476</f>
        <v>-21476</v>
      </c>
      <c r="BO900" s="5" t="s">
        <v>257</v>
      </c>
      <c r="BP900" s="5" t="s">
        <v>258</v>
      </c>
      <c r="BQ900" s="5" t="s">
        <v>238</v>
      </c>
      <c r="BR900" s="5" t="s">
        <v>238</v>
      </c>
      <c r="BS900" s="5" t="s">
        <v>238</v>
      </c>
      <c r="BT900" s="5" t="s">
        <v>238</v>
      </c>
      <c r="CC900" s="5" t="s">
        <v>258</v>
      </c>
      <c r="CD900" s="5" t="s">
        <v>238</v>
      </c>
      <c r="CE900" s="5" t="s">
        <v>238</v>
      </c>
      <c r="CI900" s="5" t="s">
        <v>259</v>
      </c>
      <c r="CJ900" s="5" t="s">
        <v>260</v>
      </c>
      <c r="CK900" s="5" t="s">
        <v>238</v>
      </c>
      <c r="CM900" s="5" t="s">
        <v>342</v>
      </c>
      <c r="CN900" s="6" t="s">
        <v>262</v>
      </c>
      <c r="CO900" s="5" t="s">
        <v>263</v>
      </c>
      <c r="CP900" s="5" t="s">
        <v>264</v>
      </c>
      <c r="CQ900" s="5" t="s">
        <v>285</v>
      </c>
      <c r="CR900" s="5" t="s">
        <v>238</v>
      </c>
      <c r="CS900" s="5">
        <v>2.7E-2</v>
      </c>
      <c r="CT900" s="5" t="s">
        <v>265</v>
      </c>
      <c r="CU900" s="5" t="s">
        <v>1159</v>
      </c>
      <c r="CV900" s="5" t="s">
        <v>308</v>
      </c>
      <c r="CW900" s="7">
        <f>0</f>
        <v>0</v>
      </c>
      <c r="CX900" s="8">
        <f>795434</f>
        <v>795434</v>
      </c>
      <c r="CY900" s="8">
        <f>129678</f>
        <v>129678</v>
      </c>
      <c r="DA900" s="5" t="s">
        <v>238</v>
      </c>
      <c r="DB900" s="5" t="s">
        <v>238</v>
      </c>
      <c r="DD900" s="5" t="s">
        <v>238</v>
      </c>
      <c r="DE900" s="8">
        <f>0</f>
        <v>0</v>
      </c>
      <c r="DG900" s="5" t="s">
        <v>238</v>
      </c>
      <c r="DH900" s="5" t="s">
        <v>238</v>
      </c>
      <c r="DI900" s="5" t="s">
        <v>238</v>
      </c>
      <c r="DJ900" s="5" t="s">
        <v>238</v>
      </c>
      <c r="DK900" s="5" t="s">
        <v>271</v>
      </c>
      <c r="DL900" s="5" t="s">
        <v>272</v>
      </c>
      <c r="DM900" s="7">
        <f>100.6</f>
        <v>100.6</v>
      </c>
      <c r="DN900" s="5" t="s">
        <v>238</v>
      </c>
      <c r="DO900" s="5" t="s">
        <v>238</v>
      </c>
      <c r="DP900" s="5" t="s">
        <v>238</v>
      </c>
      <c r="DQ900" s="5" t="s">
        <v>238</v>
      </c>
      <c r="DT900" s="5" t="s">
        <v>839</v>
      </c>
      <c r="DU900" s="5" t="s">
        <v>389</v>
      </c>
      <c r="GL900" s="5" t="s">
        <v>1169</v>
      </c>
      <c r="HM900" s="5" t="s">
        <v>313</v>
      </c>
      <c r="HP900" s="5" t="s">
        <v>272</v>
      </c>
      <c r="HQ900" s="5" t="s">
        <v>272</v>
      </c>
      <c r="HR900" s="5" t="s">
        <v>238</v>
      </c>
      <c r="HS900" s="5" t="s">
        <v>238</v>
      </c>
      <c r="HT900" s="5" t="s">
        <v>238</v>
      </c>
      <c r="HU900" s="5" t="s">
        <v>238</v>
      </c>
      <c r="HV900" s="5" t="s">
        <v>238</v>
      </c>
      <c r="HW900" s="5" t="s">
        <v>238</v>
      </c>
      <c r="HX900" s="5" t="s">
        <v>238</v>
      </c>
      <c r="HY900" s="5" t="s">
        <v>238</v>
      </c>
      <c r="HZ900" s="5" t="s">
        <v>238</v>
      </c>
      <c r="IA900" s="5" t="s">
        <v>238</v>
      </c>
      <c r="IB900" s="5" t="s">
        <v>238</v>
      </c>
      <c r="IC900" s="5" t="s">
        <v>238</v>
      </c>
      <c r="ID900" s="5" t="s">
        <v>238</v>
      </c>
    </row>
    <row r="901" spans="1:238" x14ac:dyDescent="0.4">
      <c r="A901" s="5">
        <v>997</v>
      </c>
      <c r="B901" s="5">
        <v>1</v>
      </c>
      <c r="C901" s="5">
        <v>4</v>
      </c>
      <c r="D901" s="5" t="s">
        <v>836</v>
      </c>
      <c r="E901" s="5" t="s">
        <v>277</v>
      </c>
      <c r="F901" s="5" t="s">
        <v>282</v>
      </c>
      <c r="G901" s="5" t="s">
        <v>1807</v>
      </c>
      <c r="H901" s="6" t="s">
        <v>838</v>
      </c>
      <c r="I901" s="5" t="s">
        <v>1860</v>
      </c>
      <c r="J901" s="7">
        <f>78.45</f>
        <v>78.45</v>
      </c>
      <c r="K901" s="5" t="s">
        <v>270</v>
      </c>
      <c r="L901" s="8">
        <f>2906924</f>
        <v>2906924</v>
      </c>
      <c r="M901" s="8">
        <f>9820620</f>
        <v>9820620</v>
      </c>
      <c r="N901" s="6" t="s">
        <v>837</v>
      </c>
      <c r="O901" s="5" t="s">
        <v>898</v>
      </c>
      <c r="P901" s="5" t="s">
        <v>332</v>
      </c>
      <c r="Q901" s="8">
        <f>216053</f>
        <v>216053</v>
      </c>
      <c r="R901" s="8">
        <f>6913696</f>
        <v>6913696</v>
      </c>
      <c r="S901" s="5" t="s">
        <v>240</v>
      </c>
      <c r="T901" s="5" t="s">
        <v>237</v>
      </c>
      <c r="U901" s="5" t="s">
        <v>238</v>
      </c>
      <c r="V901" s="5" t="s">
        <v>238</v>
      </c>
      <c r="W901" s="5" t="s">
        <v>241</v>
      </c>
      <c r="X901" s="5" t="s">
        <v>276</v>
      </c>
      <c r="Y901" s="5" t="s">
        <v>238</v>
      </c>
      <c r="AB901" s="5" t="s">
        <v>238</v>
      </c>
      <c r="AC901" s="6" t="s">
        <v>238</v>
      </c>
      <c r="AD901" s="6" t="s">
        <v>238</v>
      </c>
      <c r="AF901" s="6" t="s">
        <v>238</v>
      </c>
      <c r="AG901" s="6" t="s">
        <v>246</v>
      </c>
      <c r="AH901" s="5" t="s">
        <v>247</v>
      </c>
      <c r="AI901" s="5" t="s">
        <v>248</v>
      </c>
      <c r="AO901" s="5" t="s">
        <v>238</v>
      </c>
      <c r="AP901" s="5" t="s">
        <v>238</v>
      </c>
      <c r="AQ901" s="5" t="s">
        <v>238</v>
      </c>
      <c r="AR901" s="6" t="s">
        <v>238</v>
      </c>
      <c r="AS901" s="6" t="s">
        <v>238</v>
      </c>
      <c r="AT901" s="6" t="s">
        <v>238</v>
      </c>
      <c r="AW901" s="5" t="s">
        <v>304</v>
      </c>
      <c r="AX901" s="5" t="s">
        <v>304</v>
      </c>
      <c r="AY901" s="5" t="s">
        <v>250</v>
      </c>
      <c r="AZ901" s="5" t="s">
        <v>305</v>
      </c>
      <c r="BA901" s="5" t="s">
        <v>251</v>
      </c>
      <c r="BB901" s="5" t="s">
        <v>238</v>
      </c>
      <c r="BC901" s="5" t="s">
        <v>253</v>
      </c>
      <c r="BD901" s="5" t="s">
        <v>238</v>
      </c>
      <c r="BF901" s="5" t="s">
        <v>238</v>
      </c>
      <c r="BH901" s="5" t="s">
        <v>283</v>
      </c>
      <c r="BI901" s="6" t="s">
        <v>293</v>
      </c>
      <c r="BJ901" s="5" t="s">
        <v>294</v>
      </c>
      <c r="BK901" s="5" t="s">
        <v>294</v>
      </c>
      <c r="BL901" s="5" t="s">
        <v>238</v>
      </c>
      <c r="BM901" s="7">
        <f>0</f>
        <v>0</v>
      </c>
      <c r="BN901" s="8">
        <f>-216053</f>
        <v>-216053</v>
      </c>
      <c r="BO901" s="5" t="s">
        <v>257</v>
      </c>
      <c r="BP901" s="5" t="s">
        <v>258</v>
      </c>
      <c r="BQ901" s="5" t="s">
        <v>238</v>
      </c>
      <c r="BR901" s="5" t="s">
        <v>238</v>
      </c>
      <c r="BS901" s="5" t="s">
        <v>238</v>
      </c>
      <c r="BT901" s="5" t="s">
        <v>238</v>
      </c>
      <c r="CC901" s="5" t="s">
        <v>258</v>
      </c>
      <c r="CD901" s="5" t="s">
        <v>238</v>
      </c>
      <c r="CE901" s="5" t="s">
        <v>238</v>
      </c>
      <c r="CI901" s="5" t="s">
        <v>259</v>
      </c>
      <c r="CJ901" s="5" t="s">
        <v>260</v>
      </c>
      <c r="CK901" s="5" t="s">
        <v>238</v>
      </c>
      <c r="CM901" s="5" t="s">
        <v>342</v>
      </c>
      <c r="CN901" s="6" t="s">
        <v>262</v>
      </c>
      <c r="CO901" s="5" t="s">
        <v>263</v>
      </c>
      <c r="CP901" s="5" t="s">
        <v>264</v>
      </c>
      <c r="CQ901" s="5" t="s">
        <v>285</v>
      </c>
      <c r="CR901" s="5" t="s">
        <v>238</v>
      </c>
      <c r="CS901" s="5">
        <v>2.1999999999999999E-2</v>
      </c>
      <c r="CT901" s="5" t="s">
        <v>265</v>
      </c>
      <c r="CU901" s="5" t="s">
        <v>1803</v>
      </c>
      <c r="CV901" s="5" t="s">
        <v>308</v>
      </c>
      <c r="CW901" s="7">
        <f>0</f>
        <v>0</v>
      </c>
      <c r="CX901" s="8">
        <f>9820620</f>
        <v>9820620</v>
      </c>
      <c r="CY901" s="8">
        <f>3122977</f>
        <v>3122977</v>
      </c>
      <c r="DA901" s="5" t="s">
        <v>238</v>
      </c>
      <c r="DB901" s="5" t="s">
        <v>238</v>
      </c>
      <c r="DD901" s="5" t="s">
        <v>238</v>
      </c>
      <c r="DE901" s="8">
        <f>0</f>
        <v>0</v>
      </c>
      <c r="DG901" s="5" t="s">
        <v>238</v>
      </c>
      <c r="DH901" s="5" t="s">
        <v>238</v>
      </c>
      <c r="DI901" s="5" t="s">
        <v>238</v>
      </c>
      <c r="DJ901" s="5" t="s">
        <v>238</v>
      </c>
      <c r="DK901" s="5" t="s">
        <v>271</v>
      </c>
      <c r="DL901" s="5" t="s">
        <v>272</v>
      </c>
      <c r="DM901" s="7">
        <f>78.45</f>
        <v>78.45</v>
      </c>
      <c r="DN901" s="5" t="s">
        <v>238</v>
      </c>
      <c r="DO901" s="5" t="s">
        <v>238</v>
      </c>
      <c r="DP901" s="5" t="s">
        <v>238</v>
      </c>
      <c r="DQ901" s="5" t="s">
        <v>238</v>
      </c>
      <c r="DT901" s="5" t="s">
        <v>839</v>
      </c>
      <c r="DU901" s="5" t="s">
        <v>354</v>
      </c>
      <c r="GL901" s="5" t="s">
        <v>1861</v>
      </c>
      <c r="HM901" s="5" t="s">
        <v>313</v>
      </c>
      <c r="HP901" s="5" t="s">
        <v>272</v>
      </c>
      <c r="HQ901" s="5" t="s">
        <v>272</v>
      </c>
      <c r="HR901" s="5" t="s">
        <v>238</v>
      </c>
      <c r="HS901" s="5" t="s">
        <v>238</v>
      </c>
      <c r="HT901" s="5" t="s">
        <v>238</v>
      </c>
      <c r="HU901" s="5" t="s">
        <v>238</v>
      </c>
      <c r="HV901" s="5" t="s">
        <v>238</v>
      </c>
      <c r="HW901" s="5" t="s">
        <v>238</v>
      </c>
      <c r="HX901" s="5" t="s">
        <v>238</v>
      </c>
      <c r="HY901" s="5" t="s">
        <v>238</v>
      </c>
      <c r="HZ901" s="5" t="s">
        <v>238</v>
      </c>
      <c r="IA901" s="5" t="s">
        <v>238</v>
      </c>
      <c r="IB901" s="5" t="s">
        <v>238</v>
      </c>
      <c r="IC901" s="5" t="s">
        <v>238</v>
      </c>
      <c r="ID901" s="5" t="s">
        <v>238</v>
      </c>
    </row>
    <row r="902" spans="1:238" x14ac:dyDescent="0.4">
      <c r="A902" s="5">
        <v>998</v>
      </c>
      <c r="B902" s="5">
        <v>1</v>
      </c>
      <c r="C902" s="5">
        <v>4</v>
      </c>
      <c r="D902" s="5" t="s">
        <v>836</v>
      </c>
      <c r="E902" s="5" t="s">
        <v>277</v>
      </c>
      <c r="F902" s="5" t="s">
        <v>282</v>
      </c>
      <c r="G902" s="5" t="s">
        <v>3097</v>
      </c>
      <c r="H902" s="6" t="s">
        <v>838</v>
      </c>
      <c r="I902" s="5" t="s">
        <v>3096</v>
      </c>
      <c r="J902" s="7">
        <f>0</f>
        <v>0</v>
      </c>
      <c r="K902" s="5" t="s">
        <v>270</v>
      </c>
      <c r="L902" s="8">
        <f>3345793</f>
        <v>3345793</v>
      </c>
      <c r="M902" s="8">
        <f>5031263</f>
        <v>5031263</v>
      </c>
      <c r="N902" s="6" t="s">
        <v>326</v>
      </c>
      <c r="O902" s="5" t="s">
        <v>268</v>
      </c>
      <c r="P902" s="5" t="s">
        <v>356</v>
      </c>
      <c r="Q902" s="8">
        <f>337094</f>
        <v>337094</v>
      </c>
      <c r="R902" s="8">
        <f>1685470</f>
        <v>1685470</v>
      </c>
      <c r="S902" s="5" t="s">
        <v>240</v>
      </c>
      <c r="T902" s="5" t="s">
        <v>287</v>
      </c>
      <c r="U902" s="5" t="s">
        <v>238</v>
      </c>
      <c r="V902" s="5" t="s">
        <v>238</v>
      </c>
      <c r="W902" s="5" t="s">
        <v>241</v>
      </c>
      <c r="X902" s="5" t="s">
        <v>276</v>
      </c>
      <c r="Y902" s="5" t="s">
        <v>238</v>
      </c>
      <c r="AB902" s="5" t="s">
        <v>238</v>
      </c>
      <c r="AC902" s="6" t="s">
        <v>238</v>
      </c>
      <c r="AD902" s="6" t="s">
        <v>238</v>
      </c>
      <c r="AF902" s="6" t="s">
        <v>238</v>
      </c>
      <c r="AG902" s="6" t="s">
        <v>246</v>
      </c>
      <c r="AH902" s="5" t="s">
        <v>247</v>
      </c>
      <c r="AI902" s="5" t="s">
        <v>248</v>
      </c>
      <c r="AO902" s="5" t="s">
        <v>238</v>
      </c>
      <c r="AP902" s="5" t="s">
        <v>238</v>
      </c>
      <c r="AQ902" s="5" t="s">
        <v>238</v>
      </c>
      <c r="AR902" s="6" t="s">
        <v>238</v>
      </c>
      <c r="AS902" s="6" t="s">
        <v>238</v>
      </c>
      <c r="AT902" s="6" t="s">
        <v>238</v>
      </c>
      <c r="AW902" s="5" t="s">
        <v>304</v>
      </c>
      <c r="AX902" s="5" t="s">
        <v>304</v>
      </c>
      <c r="AY902" s="5" t="s">
        <v>250</v>
      </c>
      <c r="AZ902" s="5" t="s">
        <v>305</v>
      </c>
      <c r="BA902" s="5" t="s">
        <v>251</v>
      </c>
      <c r="BB902" s="5" t="s">
        <v>238</v>
      </c>
      <c r="BC902" s="5" t="s">
        <v>253</v>
      </c>
      <c r="BD902" s="5" t="s">
        <v>238</v>
      </c>
      <c r="BF902" s="5" t="s">
        <v>238</v>
      </c>
      <c r="BH902" s="5" t="s">
        <v>283</v>
      </c>
      <c r="BI902" s="6" t="s">
        <v>293</v>
      </c>
      <c r="BJ902" s="5" t="s">
        <v>294</v>
      </c>
      <c r="BK902" s="5" t="s">
        <v>294</v>
      </c>
      <c r="BL902" s="5" t="s">
        <v>238</v>
      </c>
      <c r="BM902" s="7">
        <f>0</f>
        <v>0</v>
      </c>
      <c r="BN902" s="8">
        <f>-337094</f>
        <v>-337094</v>
      </c>
      <c r="BO902" s="5" t="s">
        <v>257</v>
      </c>
      <c r="BP902" s="5" t="s">
        <v>258</v>
      </c>
      <c r="BQ902" s="5" t="s">
        <v>238</v>
      </c>
      <c r="BR902" s="5" t="s">
        <v>238</v>
      </c>
      <c r="BS902" s="5" t="s">
        <v>238</v>
      </c>
      <c r="BT902" s="5" t="s">
        <v>238</v>
      </c>
      <c r="CC902" s="5" t="s">
        <v>258</v>
      </c>
      <c r="CD902" s="5" t="s">
        <v>238</v>
      </c>
      <c r="CE902" s="5" t="s">
        <v>238</v>
      </c>
      <c r="CI902" s="5" t="s">
        <v>259</v>
      </c>
      <c r="CJ902" s="5" t="s">
        <v>260</v>
      </c>
      <c r="CK902" s="5" t="s">
        <v>238</v>
      </c>
      <c r="CM902" s="5" t="s">
        <v>376</v>
      </c>
      <c r="CN902" s="6" t="s">
        <v>262</v>
      </c>
      <c r="CO902" s="5" t="s">
        <v>263</v>
      </c>
      <c r="CP902" s="5" t="s">
        <v>264</v>
      </c>
      <c r="CQ902" s="5" t="s">
        <v>285</v>
      </c>
      <c r="CR902" s="5" t="s">
        <v>238</v>
      </c>
      <c r="CS902" s="5">
        <v>6.7000000000000004E-2</v>
      </c>
      <c r="CT902" s="5" t="s">
        <v>265</v>
      </c>
      <c r="CU902" s="5" t="s">
        <v>351</v>
      </c>
      <c r="CV902" s="5" t="s">
        <v>394</v>
      </c>
      <c r="CW902" s="7">
        <f>0</f>
        <v>0</v>
      </c>
      <c r="CX902" s="8">
        <f>5031263</f>
        <v>5031263</v>
      </c>
      <c r="CY902" s="8">
        <f>3682887</f>
        <v>3682887</v>
      </c>
      <c r="DA902" s="5" t="s">
        <v>238</v>
      </c>
      <c r="DB902" s="5" t="s">
        <v>238</v>
      </c>
      <c r="DD902" s="5" t="s">
        <v>238</v>
      </c>
      <c r="DE902" s="8">
        <f>0</f>
        <v>0</v>
      </c>
      <c r="DG902" s="5" t="s">
        <v>238</v>
      </c>
      <c r="DH902" s="5" t="s">
        <v>238</v>
      </c>
      <c r="DI902" s="5" t="s">
        <v>238</v>
      </c>
      <c r="DJ902" s="5" t="s">
        <v>238</v>
      </c>
      <c r="DK902" s="5" t="s">
        <v>272</v>
      </c>
      <c r="DL902" s="5" t="s">
        <v>272</v>
      </c>
      <c r="DM902" s="8" t="s">
        <v>238</v>
      </c>
      <c r="DN902" s="5" t="s">
        <v>238</v>
      </c>
      <c r="DO902" s="5" t="s">
        <v>238</v>
      </c>
      <c r="DP902" s="5" t="s">
        <v>238</v>
      </c>
      <c r="DQ902" s="5" t="s">
        <v>238</v>
      </c>
      <c r="DT902" s="5" t="s">
        <v>839</v>
      </c>
      <c r="DU902" s="5" t="s">
        <v>361</v>
      </c>
      <c r="GL902" s="5" t="s">
        <v>3098</v>
      </c>
      <c r="HM902" s="5" t="s">
        <v>379</v>
      </c>
      <c r="HP902" s="5" t="s">
        <v>272</v>
      </c>
      <c r="HQ902" s="5" t="s">
        <v>272</v>
      </c>
      <c r="HR902" s="5" t="s">
        <v>238</v>
      </c>
      <c r="HS902" s="5" t="s">
        <v>238</v>
      </c>
      <c r="HT902" s="5" t="s">
        <v>238</v>
      </c>
      <c r="HU902" s="5" t="s">
        <v>238</v>
      </c>
      <c r="HV902" s="5" t="s">
        <v>238</v>
      </c>
      <c r="HW902" s="5" t="s">
        <v>238</v>
      </c>
      <c r="HX902" s="5" t="s">
        <v>238</v>
      </c>
      <c r="HY902" s="5" t="s">
        <v>238</v>
      </c>
      <c r="HZ902" s="5" t="s">
        <v>238</v>
      </c>
      <c r="IA902" s="5" t="s">
        <v>238</v>
      </c>
      <c r="IB902" s="5" t="s">
        <v>238</v>
      </c>
      <c r="IC902" s="5" t="s">
        <v>238</v>
      </c>
      <c r="ID902" s="5" t="s">
        <v>238</v>
      </c>
    </row>
    <row r="903" spans="1:238" x14ac:dyDescent="0.4">
      <c r="A903" s="5">
        <v>999</v>
      </c>
      <c r="B903" s="5">
        <v>1</v>
      </c>
      <c r="C903" s="5">
        <v>4</v>
      </c>
      <c r="D903" s="5" t="s">
        <v>779</v>
      </c>
      <c r="E903" s="5" t="s">
        <v>277</v>
      </c>
      <c r="F903" s="5" t="s">
        <v>282</v>
      </c>
      <c r="G903" s="5" t="s">
        <v>2485</v>
      </c>
      <c r="H903" s="6" t="s">
        <v>782</v>
      </c>
      <c r="I903" s="5" t="s">
        <v>2495</v>
      </c>
      <c r="J903" s="7">
        <f>1869.78</f>
        <v>1869.78</v>
      </c>
      <c r="K903" s="5" t="s">
        <v>270</v>
      </c>
      <c r="L903" s="8">
        <f>35197255</f>
        <v>35197255</v>
      </c>
      <c r="M903" s="8">
        <f>97229908</f>
        <v>97229908</v>
      </c>
      <c r="N903" s="6" t="s">
        <v>780</v>
      </c>
      <c r="O903" s="5" t="s">
        <v>898</v>
      </c>
      <c r="P903" s="5" t="s">
        <v>784</v>
      </c>
      <c r="Q903" s="8">
        <f>2139057</f>
        <v>2139057</v>
      </c>
      <c r="R903" s="8">
        <f>62032653</f>
        <v>62032653</v>
      </c>
      <c r="S903" s="5" t="s">
        <v>240</v>
      </c>
      <c r="T903" s="5" t="s">
        <v>237</v>
      </c>
      <c r="U903" s="5" t="s">
        <v>238</v>
      </c>
      <c r="V903" s="5" t="s">
        <v>238</v>
      </c>
      <c r="W903" s="5" t="s">
        <v>241</v>
      </c>
      <c r="X903" s="5" t="s">
        <v>276</v>
      </c>
      <c r="Y903" s="5" t="s">
        <v>238</v>
      </c>
      <c r="AB903" s="5" t="s">
        <v>238</v>
      </c>
      <c r="AC903" s="6" t="s">
        <v>238</v>
      </c>
      <c r="AD903" s="6" t="s">
        <v>238</v>
      </c>
      <c r="AF903" s="6" t="s">
        <v>238</v>
      </c>
      <c r="AG903" s="6" t="s">
        <v>246</v>
      </c>
      <c r="AH903" s="5" t="s">
        <v>247</v>
      </c>
      <c r="AI903" s="5" t="s">
        <v>248</v>
      </c>
      <c r="AO903" s="5" t="s">
        <v>238</v>
      </c>
      <c r="AP903" s="5" t="s">
        <v>238</v>
      </c>
      <c r="AQ903" s="5" t="s">
        <v>238</v>
      </c>
      <c r="AR903" s="6" t="s">
        <v>238</v>
      </c>
      <c r="AS903" s="6" t="s">
        <v>238</v>
      </c>
      <c r="AT903" s="6" t="s">
        <v>238</v>
      </c>
      <c r="AW903" s="5" t="s">
        <v>304</v>
      </c>
      <c r="AX903" s="5" t="s">
        <v>304</v>
      </c>
      <c r="AY903" s="5" t="s">
        <v>250</v>
      </c>
      <c r="AZ903" s="5" t="s">
        <v>305</v>
      </c>
      <c r="BA903" s="5" t="s">
        <v>251</v>
      </c>
      <c r="BB903" s="5" t="s">
        <v>238</v>
      </c>
      <c r="BC903" s="5" t="s">
        <v>253</v>
      </c>
      <c r="BD903" s="5" t="s">
        <v>238</v>
      </c>
      <c r="BF903" s="5" t="s">
        <v>238</v>
      </c>
      <c r="BH903" s="5" t="s">
        <v>283</v>
      </c>
      <c r="BI903" s="6" t="s">
        <v>293</v>
      </c>
      <c r="BJ903" s="5" t="s">
        <v>294</v>
      </c>
      <c r="BK903" s="5" t="s">
        <v>294</v>
      </c>
      <c r="BL903" s="5" t="s">
        <v>238</v>
      </c>
      <c r="BM903" s="7">
        <f>0</f>
        <v>0</v>
      </c>
      <c r="BN903" s="8">
        <f>-2139057</f>
        <v>-2139057</v>
      </c>
      <c r="BO903" s="5" t="s">
        <v>257</v>
      </c>
      <c r="BP903" s="5" t="s">
        <v>258</v>
      </c>
      <c r="BQ903" s="5" t="s">
        <v>238</v>
      </c>
      <c r="BR903" s="5" t="s">
        <v>238</v>
      </c>
      <c r="BS903" s="5" t="s">
        <v>238</v>
      </c>
      <c r="BT903" s="5" t="s">
        <v>238</v>
      </c>
      <c r="CC903" s="5" t="s">
        <v>258</v>
      </c>
      <c r="CD903" s="5" t="s">
        <v>238</v>
      </c>
      <c r="CE903" s="5" t="s">
        <v>238</v>
      </c>
      <c r="CI903" s="5" t="s">
        <v>259</v>
      </c>
      <c r="CJ903" s="5" t="s">
        <v>260</v>
      </c>
      <c r="CK903" s="5" t="s">
        <v>238</v>
      </c>
      <c r="CM903" s="5" t="s">
        <v>783</v>
      </c>
      <c r="CN903" s="6" t="s">
        <v>262</v>
      </c>
      <c r="CO903" s="5" t="s">
        <v>263</v>
      </c>
      <c r="CP903" s="5" t="s">
        <v>264</v>
      </c>
      <c r="CQ903" s="5" t="s">
        <v>285</v>
      </c>
      <c r="CR903" s="5" t="s">
        <v>238</v>
      </c>
      <c r="CS903" s="5">
        <v>2.1999999999999999E-2</v>
      </c>
      <c r="CT903" s="5" t="s">
        <v>265</v>
      </c>
      <c r="CU903" s="5" t="s">
        <v>1360</v>
      </c>
      <c r="CV903" s="5" t="s">
        <v>308</v>
      </c>
      <c r="CW903" s="7">
        <f>0</f>
        <v>0</v>
      </c>
      <c r="CX903" s="8">
        <f>97229908</f>
        <v>97229908</v>
      </c>
      <c r="CY903" s="8">
        <f>37336312</f>
        <v>37336312</v>
      </c>
      <c r="DA903" s="5" t="s">
        <v>238</v>
      </c>
      <c r="DB903" s="5" t="s">
        <v>238</v>
      </c>
      <c r="DD903" s="5" t="s">
        <v>238</v>
      </c>
      <c r="DE903" s="8">
        <f>0</f>
        <v>0</v>
      </c>
      <c r="DG903" s="5" t="s">
        <v>238</v>
      </c>
      <c r="DH903" s="5" t="s">
        <v>238</v>
      </c>
      <c r="DI903" s="5" t="s">
        <v>238</v>
      </c>
      <c r="DJ903" s="5" t="s">
        <v>238</v>
      </c>
      <c r="DK903" s="5" t="s">
        <v>379</v>
      </c>
      <c r="DL903" s="5" t="s">
        <v>272</v>
      </c>
      <c r="DM903" s="7">
        <f>1869.78</f>
        <v>1869.78</v>
      </c>
      <c r="DN903" s="5" t="s">
        <v>238</v>
      </c>
      <c r="DO903" s="5" t="s">
        <v>238</v>
      </c>
      <c r="DP903" s="5" t="s">
        <v>238</v>
      </c>
      <c r="DQ903" s="5" t="s">
        <v>238</v>
      </c>
      <c r="DT903" s="5" t="s">
        <v>785</v>
      </c>
      <c r="DU903" s="5" t="s">
        <v>271</v>
      </c>
      <c r="GL903" s="5" t="s">
        <v>2633</v>
      </c>
      <c r="HM903" s="5" t="s">
        <v>313</v>
      </c>
      <c r="HP903" s="5" t="s">
        <v>272</v>
      </c>
      <c r="HQ903" s="5" t="s">
        <v>272</v>
      </c>
      <c r="HR903" s="5" t="s">
        <v>238</v>
      </c>
      <c r="HS903" s="5" t="s">
        <v>238</v>
      </c>
      <c r="HT903" s="5" t="s">
        <v>238</v>
      </c>
      <c r="HU903" s="5" t="s">
        <v>238</v>
      </c>
      <c r="HV903" s="5" t="s">
        <v>238</v>
      </c>
      <c r="HW903" s="5" t="s">
        <v>238</v>
      </c>
      <c r="HX903" s="5" t="s">
        <v>238</v>
      </c>
      <c r="HY903" s="5" t="s">
        <v>238</v>
      </c>
      <c r="HZ903" s="5" t="s">
        <v>238</v>
      </c>
      <c r="IA903" s="5" t="s">
        <v>238</v>
      </c>
      <c r="IB903" s="5" t="s">
        <v>238</v>
      </c>
      <c r="IC903" s="5" t="s">
        <v>238</v>
      </c>
      <c r="ID903" s="5" t="s">
        <v>238</v>
      </c>
    </row>
    <row r="904" spans="1:238" x14ac:dyDescent="0.4">
      <c r="A904" s="5">
        <v>1000</v>
      </c>
      <c r="B904" s="5">
        <v>1</v>
      </c>
      <c r="C904" s="5">
        <v>4</v>
      </c>
      <c r="D904" s="5" t="s">
        <v>779</v>
      </c>
      <c r="E904" s="5" t="s">
        <v>277</v>
      </c>
      <c r="F904" s="5" t="s">
        <v>282</v>
      </c>
      <c r="G904" s="5" t="s">
        <v>2485</v>
      </c>
      <c r="H904" s="6" t="s">
        <v>782</v>
      </c>
      <c r="I904" s="5" t="s">
        <v>2505</v>
      </c>
      <c r="J904" s="7">
        <f>1861.1</f>
        <v>1861.1</v>
      </c>
      <c r="K904" s="5" t="s">
        <v>270</v>
      </c>
      <c r="L904" s="8">
        <f>35457331</f>
        <v>35457331</v>
      </c>
      <c r="M904" s="8">
        <f>97948358</f>
        <v>97948358</v>
      </c>
      <c r="N904" s="6" t="s">
        <v>780</v>
      </c>
      <c r="O904" s="5" t="s">
        <v>898</v>
      </c>
      <c r="P904" s="5" t="s">
        <v>784</v>
      </c>
      <c r="Q904" s="8">
        <f>2154863</f>
        <v>2154863</v>
      </c>
      <c r="R904" s="8">
        <f>62491027</f>
        <v>62491027</v>
      </c>
      <c r="S904" s="5" t="s">
        <v>240</v>
      </c>
      <c r="T904" s="5" t="s">
        <v>237</v>
      </c>
      <c r="U904" s="5" t="s">
        <v>238</v>
      </c>
      <c r="V904" s="5" t="s">
        <v>238</v>
      </c>
      <c r="W904" s="5" t="s">
        <v>241</v>
      </c>
      <c r="X904" s="5" t="s">
        <v>276</v>
      </c>
      <c r="Y904" s="5" t="s">
        <v>238</v>
      </c>
      <c r="AB904" s="5" t="s">
        <v>238</v>
      </c>
      <c r="AC904" s="6" t="s">
        <v>238</v>
      </c>
      <c r="AD904" s="6" t="s">
        <v>238</v>
      </c>
      <c r="AF904" s="6" t="s">
        <v>238</v>
      </c>
      <c r="AG904" s="6" t="s">
        <v>246</v>
      </c>
      <c r="AH904" s="5" t="s">
        <v>247</v>
      </c>
      <c r="AI904" s="5" t="s">
        <v>248</v>
      </c>
      <c r="AO904" s="5" t="s">
        <v>238</v>
      </c>
      <c r="AP904" s="5" t="s">
        <v>238</v>
      </c>
      <c r="AQ904" s="5" t="s">
        <v>238</v>
      </c>
      <c r="AR904" s="6" t="s">
        <v>238</v>
      </c>
      <c r="AS904" s="6" t="s">
        <v>238</v>
      </c>
      <c r="AT904" s="6" t="s">
        <v>238</v>
      </c>
      <c r="AW904" s="5" t="s">
        <v>304</v>
      </c>
      <c r="AX904" s="5" t="s">
        <v>304</v>
      </c>
      <c r="AY904" s="5" t="s">
        <v>250</v>
      </c>
      <c r="AZ904" s="5" t="s">
        <v>305</v>
      </c>
      <c r="BA904" s="5" t="s">
        <v>251</v>
      </c>
      <c r="BB904" s="5" t="s">
        <v>238</v>
      </c>
      <c r="BC904" s="5" t="s">
        <v>253</v>
      </c>
      <c r="BD904" s="5" t="s">
        <v>238</v>
      </c>
      <c r="BF904" s="5" t="s">
        <v>238</v>
      </c>
      <c r="BH904" s="5" t="s">
        <v>283</v>
      </c>
      <c r="BI904" s="6" t="s">
        <v>293</v>
      </c>
      <c r="BJ904" s="5" t="s">
        <v>294</v>
      </c>
      <c r="BK904" s="5" t="s">
        <v>294</v>
      </c>
      <c r="BL904" s="5" t="s">
        <v>238</v>
      </c>
      <c r="BM904" s="7">
        <f>0</f>
        <v>0</v>
      </c>
      <c r="BN904" s="8">
        <f>-2154863</f>
        <v>-2154863</v>
      </c>
      <c r="BO904" s="5" t="s">
        <v>257</v>
      </c>
      <c r="BP904" s="5" t="s">
        <v>258</v>
      </c>
      <c r="BQ904" s="5" t="s">
        <v>238</v>
      </c>
      <c r="BR904" s="5" t="s">
        <v>238</v>
      </c>
      <c r="BS904" s="5" t="s">
        <v>238</v>
      </c>
      <c r="BT904" s="5" t="s">
        <v>238</v>
      </c>
      <c r="CC904" s="5" t="s">
        <v>258</v>
      </c>
      <c r="CD904" s="5" t="s">
        <v>238</v>
      </c>
      <c r="CE904" s="5" t="s">
        <v>238</v>
      </c>
      <c r="CI904" s="5" t="s">
        <v>259</v>
      </c>
      <c r="CJ904" s="5" t="s">
        <v>260</v>
      </c>
      <c r="CK904" s="5" t="s">
        <v>238</v>
      </c>
      <c r="CM904" s="5" t="s">
        <v>783</v>
      </c>
      <c r="CN904" s="6" t="s">
        <v>262</v>
      </c>
      <c r="CO904" s="5" t="s">
        <v>263</v>
      </c>
      <c r="CP904" s="5" t="s">
        <v>264</v>
      </c>
      <c r="CQ904" s="5" t="s">
        <v>285</v>
      </c>
      <c r="CR904" s="5" t="s">
        <v>238</v>
      </c>
      <c r="CS904" s="5">
        <v>2.1999999999999999E-2</v>
      </c>
      <c r="CT904" s="5" t="s">
        <v>265</v>
      </c>
      <c r="CU904" s="5" t="s">
        <v>1360</v>
      </c>
      <c r="CV904" s="5" t="s">
        <v>308</v>
      </c>
      <c r="CW904" s="7">
        <f>0</f>
        <v>0</v>
      </c>
      <c r="CX904" s="8">
        <f>97948358</f>
        <v>97948358</v>
      </c>
      <c r="CY904" s="8">
        <f>37612194</f>
        <v>37612194</v>
      </c>
      <c r="DA904" s="5" t="s">
        <v>238</v>
      </c>
      <c r="DB904" s="5" t="s">
        <v>238</v>
      </c>
      <c r="DD904" s="5" t="s">
        <v>238</v>
      </c>
      <c r="DE904" s="8">
        <f>0</f>
        <v>0</v>
      </c>
      <c r="DG904" s="5" t="s">
        <v>238</v>
      </c>
      <c r="DH904" s="5" t="s">
        <v>238</v>
      </c>
      <c r="DI904" s="5" t="s">
        <v>238</v>
      </c>
      <c r="DJ904" s="5" t="s">
        <v>238</v>
      </c>
      <c r="DK904" s="5" t="s">
        <v>379</v>
      </c>
      <c r="DL904" s="5" t="s">
        <v>272</v>
      </c>
      <c r="DM904" s="7">
        <f>1861.1</f>
        <v>1861.1</v>
      </c>
      <c r="DN904" s="5" t="s">
        <v>238</v>
      </c>
      <c r="DO904" s="5" t="s">
        <v>238</v>
      </c>
      <c r="DP904" s="5" t="s">
        <v>238</v>
      </c>
      <c r="DQ904" s="5" t="s">
        <v>238</v>
      </c>
      <c r="DT904" s="5" t="s">
        <v>785</v>
      </c>
      <c r="DU904" s="5" t="s">
        <v>274</v>
      </c>
      <c r="GL904" s="5" t="s">
        <v>2632</v>
      </c>
      <c r="HM904" s="5" t="s">
        <v>313</v>
      </c>
      <c r="HP904" s="5" t="s">
        <v>272</v>
      </c>
      <c r="HQ904" s="5" t="s">
        <v>272</v>
      </c>
      <c r="HR904" s="5" t="s">
        <v>238</v>
      </c>
      <c r="HS904" s="5" t="s">
        <v>238</v>
      </c>
      <c r="HT904" s="5" t="s">
        <v>238</v>
      </c>
      <c r="HU904" s="5" t="s">
        <v>238</v>
      </c>
      <c r="HV904" s="5" t="s">
        <v>238</v>
      </c>
      <c r="HW904" s="5" t="s">
        <v>238</v>
      </c>
      <c r="HX904" s="5" t="s">
        <v>238</v>
      </c>
      <c r="HY904" s="5" t="s">
        <v>238</v>
      </c>
      <c r="HZ904" s="5" t="s">
        <v>238</v>
      </c>
      <c r="IA904" s="5" t="s">
        <v>238</v>
      </c>
      <c r="IB904" s="5" t="s">
        <v>238</v>
      </c>
      <c r="IC904" s="5" t="s">
        <v>238</v>
      </c>
      <c r="ID904" s="5" t="s">
        <v>238</v>
      </c>
    </row>
    <row r="905" spans="1:238" x14ac:dyDescent="0.4">
      <c r="A905" s="5">
        <v>1001</v>
      </c>
      <c r="B905" s="5">
        <v>1</v>
      </c>
      <c r="C905" s="5">
        <v>4</v>
      </c>
      <c r="D905" s="5" t="s">
        <v>779</v>
      </c>
      <c r="E905" s="5" t="s">
        <v>277</v>
      </c>
      <c r="F905" s="5" t="s">
        <v>282</v>
      </c>
      <c r="G905" s="5" t="s">
        <v>1807</v>
      </c>
      <c r="H905" s="6" t="s">
        <v>782</v>
      </c>
      <c r="I905" s="5" t="s">
        <v>1860</v>
      </c>
      <c r="J905" s="7">
        <f>77.4</f>
        <v>77.400000000000006</v>
      </c>
      <c r="K905" s="5" t="s">
        <v>270</v>
      </c>
      <c r="L905" s="8">
        <f>2111354</f>
        <v>2111354</v>
      </c>
      <c r="M905" s="8">
        <f>5832460</f>
        <v>5832460</v>
      </c>
      <c r="N905" s="6" t="s">
        <v>780</v>
      </c>
      <c r="O905" s="5" t="s">
        <v>898</v>
      </c>
      <c r="P905" s="5" t="s">
        <v>784</v>
      </c>
      <c r="Q905" s="8">
        <f>128314</f>
        <v>128314</v>
      </c>
      <c r="R905" s="8">
        <f>3721106</f>
        <v>3721106</v>
      </c>
      <c r="S905" s="5" t="s">
        <v>240</v>
      </c>
      <c r="T905" s="5" t="s">
        <v>237</v>
      </c>
      <c r="U905" s="5" t="s">
        <v>238</v>
      </c>
      <c r="V905" s="5" t="s">
        <v>238</v>
      </c>
      <c r="W905" s="5" t="s">
        <v>241</v>
      </c>
      <c r="X905" s="5" t="s">
        <v>276</v>
      </c>
      <c r="Y905" s="5" t="s">
        <v>238</v>
      </c>
      <c r="AB905" s="5" t="s">
        <v>238</v>
      </c>
      <c r="AC905" s="6" t="s">
        <v>238</v>
      </c>
      <c r="AD905" s="6" t="s">
        <v>238</v>
      </c>
      <c r="AF905" s="6" t="s">
        <v>238</v>
      </c>
      <c r="AG905" s="6" t="s">
        <v>246</v>
      </c>
      <c r="AH905" s="5" t="s">
        <v>247</v>
      </c>
      <c r="AI905" s="5" t="s">
        <v>248</v>
      </c>
      <c r="AO905" s="5" t="s">
        <v>238</v>
      </c>
      <c r="AP905" s="5" t="s">
        <v>238</v>
      </c>
      <c r="AQ905" s="5" t="s">
        <v>238</v>
      </c>
      <c r="AR905" s="6" t="s">
        <v>238</v>
      </c>
      <c r="AS905" s="6" t="s">
        <v>238</v>
      </c>
      <c r="AT905" s="6" t="s">
        <v>238</v>
      </c>
      <c r="AW905" s="5" t="s">
        <v>304</v>
      </c>
      <c r="AX905" s="5" t="s">
        <v>304</v>
      </c>
      <c r="AY905" s="5" t="s">
        <v>250</v>
      </c>
      <c r="AZ905" s="5" t="s">
        <v>305</v>
      </c>
      <c r="BA905" s="5" t="s">
        <v>251</v>
      </c>
      <c r="BB905" s="5" t="s">
        <v>238</v>
      </c>
      <c r="BC905" s="5" t="s">
        <v>253</v>
      </c>
      <c r="BD905" s="5" t="s">
        <v>238</v>
      </c>
      <c r="BF905" s="5" t="s">
        <v>238</v>
      </c>
      <c r="BH905" s="5" t="s">
        <v>283</v>
      </c>
      <c r="BI905" s="6" t="s">
        <v>293</v>
      </c>
      <c r="BJ905" s="5" t="s">
        <v>294</v>
      </c>
      <c r="BK905" s="5" t="s">
        <v>294</v>
      </c>
      <c r="BL905" s="5" t="s">
        <v>238</v>
      </c>
      <c r="BM905" s="7">
        <f>0</f>
        <v>0</v>
      </c>
      <c r="BN905" s="8">
        <f>-128314</f>
        <v>-128314</v>
      </c>
      <c r="BO905" s="5" t="s">
        <v>257</v>
      </c>
      <c r="BP905" s="5" t="s">
        <v>258</v>
      </c>
      <c r="BQ905" s="5" t="s">
        <v>238</v>
      </c>
      <c r="BR905" s="5" t="s">
        <v>238</v>
      </c>
      <c r="BS905" s="5" t="s">
        <v>238</v>
      </c>
      <c r="BT905" s="5" t="s">
        <v>238</v>
      </c>
      <c r="CC905" s="5" t="s">
        <v>258</v>
      </c>
      <c r="CD905" s="5" t="s">
        <v>238</v>
      </c>
      <c r="CE905" s="5" t="s">
        <v>238</v>
      </c>
      <c r="CI905" s="5" t="s">
        <v>259</v>
      </c>
      <c r="CJ905" s="5" t="s">
        <v>260</v>
      </c>
      <c r="CK905" s="5" t="s">
        <v>238</v>
      </c>
      <c r="CM905" s="5" t="s">
        <v>783</v>
      </c>
      <c r="CN905" s="6" t="s">
        <v>262</v>
      </c>
      <c r="CO905" s="5" t="s">
        <v>263</v>
      </c>
      <c r="CP905" s="5" t="s">
        <v>264</v>
      </c>
      <c r="CQ905" s="5" t="s">
        <v>285</v>
      </c>
      <c r="CR905" s="5" t="s">
        <v>238</v>
      </c>
      <c r="CS905" s="5">
        <v>2.1999999999999999E-2</v>
      </c>
      <c r="CT905" s="5" t="s">
        <v>265</v>
      </c>
      <c r="CU905" s="5" t="s">
        <v>1803</v>
      </c>
      <c r="CV905" s="5" t="s">
        <v>308</v>
      </c>
      <c r="CW905" s="7">
        <f>0</f>
        <v>0</v>
      </c>
      <c r="CX905" s="8">
        <f>5832460</f>
        <v>5832460</v>
      </c>
      <c r="CY905" s="8">
        <f>2239668</f>
        <v>2239668</v>
      </c>
      <c r="DA905" s="5" t="s">
        <v>238</v>
      </c>
      <c r="DB905" s="5" t="s">
        <v>238</v>
      </c>
      <c r="DD905" s="5" t="s">
        <v>238</v>
      </c>
      <c r="DE905" s="8">
        <f>0</f>
        <v>0</v>
      </c>
      <c r="DG905" s="5" t="s">
        <v>238</v>
      </c>
      <c r="DH905" s="5" t="s">
        <v>238</v>
      </c>
      <c r="DI905" s="5" t="s">
        <v>238</v>
      </c>
      <c r="DJ905" s="5" t="s">
        <v>238</v>
      </c>
      <c r="DK905" s="5" t="s">
        <v>271</v>
      </c>
      <c r="DL905" s="5" t="s">
        <v>272</v>
      </c>
      <c r="DM905" s="7">
        <f>77.4</f>
        <v>77.400000000000006</v>
      </c>
      <c r="DN905" s="5" t="s">
        <v>238</v>
      </c>
      <c r="DO905" s="5" t="s">
        <v>238</v>
      </c>
      <c r="DP905" s="5" t="s">
        <v>238</v>
      </c>
      <c r="DQ905" s="5" t="s">
        <v>238</v>
      </c>
      <c r="DT905" s="5" t="s">
        <v>785</v>
      </c>
      <c r="DU905" s="5" t="s">
        <v>356</v>
      </c>
      <c r="GL905" s="5" t="s">
        <v>1863</v>
      </c>
      <c r="HM905" s="5" t="s">
        <v>313</v>
      </c>
      <c r="HP905" s="5" t="s">
        <v>272</v>
      </c>
      <c r="HQ905" s="5" t="s">
        <v>272</v>
      </c>
      <c r="HR905" s="5" t="s">
        <v>238</v>
      </c>
      <c r="HS905" s="5" t="s">
        <v>238</v>
      </c>
      <c r="HT905" s="5" t="s">
        <v>238</v>
      </c>
      <c r="HU905" s="5" t="s">
        <v>238</v>
      </c>
      <c r="HV905" s="5" t="s">
        <v>238</v>
      </c>
      <c r="HW905" s="5" t="s">
        <v>238</v>
      </c>
      <c r="HX905" s="5" t="s">
        <v>238</v>
      </c>
      <c r="HY905" s="5" t="s">
        <v>238</v>
      </c>
      <c r="HZ905" s="5" t="s">
        <v>238</v>
      </c>
      <c r="IA905" s="5" t="s">
        <v>238</v>
      </c>
      <c r="IB905" s="5" t="s">
        <v>238</v>
      </c>
      <c r="IC905" s="5" t="s">
        <v>238</v>
      </c>
      <c r="ID905" s="5" t="s">
        <v>238</v>
      </c>
    </row>
    <row r="906" spans="1:238" x14ac:dyDescent="0.4">
      <c r="A906" s="5">
        <v>1002</v>
      </c>
      <c r="B906" s="5">
        <v>1</v>
      </c>
      <c r="C906" s="5">
        <v>1</v>
      </c>
      <c r="D906" s="5" t="s">
        <v>779</v>
      </c>
      <c r="E906" s="5" t="s">
        <v>277</v>
      </c>
      <c r="F906" s="5" t="s">
        <v>282</v>
      </c>
      <c r="G906" s="5" t="s">
        <v>1158</v>
      </c>
      <c r="H906" s="6" t="s">
        <v>782</v>
      </c>
      <c r="I906" s="5" t="s">
        <v>1158</v>
      </c>
      <c r="J906" s="7">
        <f>100.6</f>
        <v>100.6</v>
      </c>
      <c r="K906" s="5" t="s">
        <v>270</v>
      </c>
      <c r="L906" s="8">
        <f>1</f>
        <v>1</v>
      </c>
      <c r="M906" s="8">
        <f>1553147</f>
        <v>1553147</v>
      </c>
      <c r="N906" s="6" t="s">
        <v>780</v>
      </c>
      <c r="O906" s="5" t="s">
        <v>651</v>
      </c>
      <c r="P906" s="5" t="s">
        <v>651</v>
      </c>
      <c r="R906" s="8">
        <f>1553146</f>
        <v>1553146</v>
      </c>
      <c r="S906" s="5" t="s">
        <v>240</v>
      </c>
      <c r="T906" s="5" t="s">
        <v>237</v>
      </c>
      <c r="U906" s="5" t="s">
        <v>238</v>
      </c>
      <c r="V906" s="5" t="s">
        <v>238</v>
      </c>
      <c r="W906" s="5" t="s">
        <v>241</v>
      </c>
      <c r="X906" s="5" t="s">
        <v>276</v>
      </c>
      <c r="Y906" s="5" t="s">
        <v>238</v>
      </c>
      <c r="AB906" s="5" t="s">
        <v>238</v>
      </c>
      <c r="AD906" s="6" t="s">
        <v>238</v>
      </c>
      <c r="AG906" s="6" t="s">
        <v>246</v>
      </c>
      <c r="AH906" s="5" t="s">
        <v>247</v>
      </c>
      <c r="AI906" s="5" t="s">
        <v>248</v>
      </c>
      <c r="AY906" s="5" t="s">
        <v>250</v>
      </c>
      <c r="AZ906" s="5" t="s">
        <v>238</v>
      </c>
      <c r="BA906" s="5" t="s">
        <v>251</v>
      </c>
      <c r="BB906" s="5" t="s">
        <v>238</v>
      </c>
      <c r="BC906" s="5" t="s">
        <v>253</v>
      </c>
      <c r="BD906" s="5" t="s">
        <v>238</v>
      </c>
      <c r="BF906" s="5" t="s">
        <v>238</v>
      </c>
      <c r="BH906" s="5" t="s">
        <v>254</v>
      </c>
      <c r="BI906" s="6" t="s">
        <v>246</v>
      </c>
      <c r="BJ906" s="5" t="s">
        <v>255</v>
      </c>
      <c r="BK906" s="5" t="s">
        <v>294</v>
      </c>
      <c r="BL906" s="5" t="s">
        <v>238</v>
      </c>
      <c r="BM906" s="7">
        <f>0</f>
        <v>0</v>
      </c>
      <c r="BN906" s="8">
        <f>0</f>
        <v>0</v>
      </c>
      <c r="BO906" s="5" t="s">
        <v>257</v>
      </c>
      <c r="BP906" s="5" t="s">
        <v>258</v>
      </c>
      <c r="CD906" s="5" t="s">
        <v>238</v>
      </c>
      <c r="CE906" s="5" t="s">
        <v>238</v>
      </c>
      <c r="CI906" s="5" t="s">
        <v>259</v>
      </c>
      <c r="CJ906" s="5" t="s">
        <v>260</v>
      </c>
      <c r="CK906" s="5" t="s">
        <v>238</v>
      </c>
      <c r="CM906" s="5" t="s">
        <v>783</v>
      </c>
      <c r="CN906" s="6" t="s">
        <v>262</v>
      </c>
      <c r="CO906" s="5" t="s">
        <v>263</v>
      </c>
      <c r="CP906" s="5" t="s">
        <v>264</v>
      </c>
      <c r="CQ906" s="5" t="s">
        <v>238</v>
      </c>
      <c r="CR906" s="5" t="s">
        <v>238</v>
      </c>
      <c r="CS906" s="5">
        <v>0</v>
      </c>
      <c r="CT906" s="5" t="s">
        <v>265</v>
      </c>
      <c r="CU906" s="5" t="s">
        <v>1159</v>
      </c>
      <c r="CV906" s="5" t="s">
        <v>331</v>
      </c>
      <c r="CX906" s="8">
        <f>1553147</f>
        <v>1553147</v>
      </c>
      <c r="CY906" s="8">
        <f>0</f>
        <v>0</v>
      </c>
      <c r="DA906" s="5" t="s">
        <v>238</v>
      </c>
      <c r="DB906" s="5" t="s">
        <v>238</v>
      </c>
      <c r="DD906" s="5" t="s">
        <v>238</v>
      </c>
      <c r="DG906" s="5" t="s">
        <v>238</v>
      </c>
      <c r="DH906" s="5" t="s">
        <v>238</v>
      </c>
      <c r="DI906" s="5" t="s">
        <v>238</v>
      </c>
      <c r="DJ906" s="5" t="s">
        <v>238</v>
      </c>
      <c r="DK906" s="5" t="s">
        <v>271</v>
      </c>
      <c r="DL906" s="5" t="s">
        <v>272</v>
      </c>
      <c r="DM906" s="7">
        <f>100.6</f>
        <v>100.6</v>
      </c>
      <c r="DN906" s="5" t="s">
        <v>238</v>
      </c>
      <c r="DO906" s="5" t="s">
        <v>238</v>
      </c>
      <c r="DP906" s="5" t="s">
        <v>238</v>
      </c>
      <c r="DQ906" s="5" t="s">
        <v>238</v>
      </c>
      <c r="DT906" s="5" t="s">
        <v>785</v>
      </c>
      <c r="DU906" s="5" t="s">
        <v>310</v>
      </c>
      <c r="HM906" s="5" t="s">
        <v>356</v>
      </c>
      <c r="HP906" s="5" t="s">
        <v>272</v>
      </c>
      <c r="HQ906" s="5" t="s">
        <v>272</v>
      </c>
    </row>
    <row r="907" spans="1:238" x14ac:dyDescent="0.4">
      <c r="A907" s="5">
        <v>1003</v>
      </c>
      <c r="B907" s="5">
        <v>1</v>
      </c>
      <c r="C907" s="5">
        <v>1</v>
      </c>
      <c r="D907" s="5" t="s">
        <v>779</v>
      </c>
      <c r="E907" s="5" t="s">
        <v>277</v>
      </c>
      <c r="F907" s="5" t="s">
        <v>282</v>
      </c>
      <c r="G907" s="5" t="s">
        <v>695</v>
      </c>
      <c r="H907" s="6" t="s">
        <v>782</v>
      </c>
      <c r="I907" s="5" t="s">
        <v>3094</v>
      </c>
      <c r="J907" s="7">
        <f>49</f>
        <v>49</v>
      </c>
      <c r="K907" s="5" t="s">
        <v>270</v>
      </c>
      <c r="L907" s="8">
        <f>1</f>
        <v>1</v>
      </c>
      <c r="M907" s="8">
        <f>2413598</f>
        <v>2413598</v>
      </c>
      <c r="N907" s="6" t="s">
        <v>780</v>
      </c>
      <c r="O907" s="5" t="s">
        <v>268</v>
      </c>
      <c r="P907" s="5" t="s">
        <v>286</v>
      </c>
      <c r="R907" s="8">
        <f>2413597</f>
        <v>2413597</v>
      </c>
      <c r="S907" s="5" t="s">
        <v>240</v>
      </c>
      <c r="T907" s="5" t="s">
        <v>237</v>
      </c>
      <c r="U907" s="5" t="s">
        <v>238</v>
      </c>
      <c r="V907" s="5" t="s">
        <v>238</v>
      </c>
      <c r="W907" s="5" t="s">
        <v>241</v>
      </c>
      <c r="X907" s="5" t="s">
        <v>276</v>
      </c>
      <c r="Y907" s="5" t="s">
        <v>238</v>
      </c>
      <c r="AB907" s="5" t="s">
        <v>238</v>
      </c>
      <c r="AD907" s="6" t="s">
        <v>238</v>
      </c>
      <c r="AG907" s="6" t="s">
        <v>246</v>
      </c>
      <c r="AH907" s="5" t="s">
        <v>247</v>
      </c>
      <c r="AI907" s="5" t="s">
        <v>248</v>
      </c>
      <c r="AY907" s="5" t="s">
        <v>250</v>
      </c>
      <c r="AZ907" s="5" t="s">
        <v>238</v>
      </c>
      <c r="BA907" s="5" t="s">
        <v>251</v>
      </c>
      <c r="BB907" s="5" t="s">
        <v>238</v>
      </c>
      <c r="BC907" s="5" t="s">
        <v>253</v>
      </c>
      <c r="BD907" s="5" t="s">
        <v>238</v>
      </c>
      <c r="BF907" s="5" t="s">
        <v>238</v>
      </c>
      <c r="BH907" s="5" t="s">
        <v>859</v>
      </c>
      <c r="BI907" s="6" t="s">
        <v>368</v>
      </c>
      <c r="BJ907" s="5" t="s">
        <v>255</v>
      </c>
      <c r="BK907" s="5" t="s">
        <v>256</v>
      </c>
      <c r="BL907" s="5" t="s">
        <v>238</v>
      </c>
      <c r="BM907" s="7">
        <f>0</f>
        <v>0</v>
      </c>
      <c r="BN907" s="8">
        <f>0</f>
        <v>0</v>
      </c>
      <c r="BO907" s="5" t="s">
        <v>257</v>
      </c>
      <c r="BP907" s="5" t="s">
        <v>258</v>
      </c>
      <c r="CD907" s="5" t="s">
        <v>238</v>
      </c>
      <c r="CE907" s="5" t="s">
        <v>238</v>
      </c>
      <c r="CI907" s="5" t="s">
        <v>259</v>
      </c>
      <c r="CJ907" s="5" t="s">
        <v>260</v>
      </c>
      <c r="CK907" s="5" t="s">
        <v>238</v>
      </c>
      <c r="CM907" s="5" t="s">
        <v>783</v>
      </c>
      <c r="CN907" s="6" t="s">
        <v>262</v>
      </c>
      <c r="CO907" s="5" t="s">
        <v>263</v>
      </c>
      <c r="CP907" s="5" t="s">
        <v>264</v>
      </c>
      <c r="CQ907" s="5" t="s">
        <v>238</v>
      </c>
      <c r="CR907" s="5" t="s">
        <v>238</v>
      </c>
      <c r="CS907" s="5">
        <v>0</v>
      </c>
      <c r="CT907" s="5" t="s">
        <v>265</v>
      </c>
      <c r="CU907" s="5" t="s">
        <v>351</v>
      </c>
      <c r="CV907" s="5" t="s">
        <v>394</v>
      </c>
      <c r="CX907" s="8">
        <f>2413598</f>
        <v>2413598</v>
      </c>
      <c r="CY907" s="8">
        <f>0</f>
        <v>0</v>
      </c>
      <c r="DA907" s="5" t="s">
        <v>238</v>
      </c>
      <c r="DB907" s="5" t="s">
        <v>238</v>
      </c>
      <c r="DD907" s="5" t="s">
        <v>238</v>
      </c>
      <c r="DG907" s="5" t="s">
        <v>238</v>
      </c>
      <c r="DH907" s="5" t="s">
        <v>238</v>
      </c>
      <c r="DI907" s="5" t="s">
        <v>238</v>
      </c>
      <c r="DJ907" s="5" t="s">
        <v>238</v>
      </c>
      <c r="DK907" s="5" t="s">
        <v>271</v>
      </c>
      <c r="DL907" s="5" t="s">
        <v>272</v>
      </c>
      <c r="DM907" s="7">
        <f>49</f>
        <v>49</v>
      </c>
      <c r="DN907" s="5" t="s">
        <v>238</v>
      </c>
      <c r="DO907" s="5" t="s">
        <v>238</v>
      </c>
      <c r="DP907" s="5" t="s">
        <v>238</v>
      </c>
      <c r="DQ907" s="5" t="s">
        <v>238</v>
      </c>
      <c r="DT907" s="5" t="s">
        <v>785</v>
      </c>
      <c r="DU907" s="5" t="s">
        <v>379</v>
      </c>
      <c r="HM907" s="5" t="s">
        <v>271</v>
      </c>
      <c r="HP907" s="5" t="s">
        <v>272</v>
      </c>
      <c r="HQ907" s="5" t="s">
        <v>272</v>
      </c>
    </row>
    <row r="908" spans="1:238" x14ac:dyDescent="0.4">
      <c r="A908" s="5">
        <v>1004</v>
      </c>
      <c r="B908" s="5">
        <v>1</v>
      </c>
      <c r="C908" s="5">
        <v>4</v>
      </c>
      <c r="D908" s="5" t="s">
        <v>779</v>
      </c>
      <c r="E908" s="5" t="s">
        <v>277</v>
      </c>
      <c r="F908" s="5" t="s">
        <v>282</v>
      </c>
      <c r="G908" s="5" t="s">
        <v>781</v>
      </c>
      <c r="H908" s="6" t="s">
        <v>782</v>
      </c>
      <c r="I908" s="5" t="s">
        <v>692</v>
      </c>
      <c r="J908" s="7">
        <f>15.96</f>
        <v>15.96</v>
      </c>
      <c r="K908" s="5" t="s">
        <v>270</v>
      </c>
      <c r="L908" s="8">
        <f>152592</f>
        <v>152592</v>
      </c>
      <c r="M908" s="8">
        <f>703186</f>
        <v>703186</v>
      </c>
      <c r="N908" s="6" t="s">
        <v>780</v>
      </c>
      <c r="O908" s="5" t="s">
        <v>639</v>
      </c>
      <c r="P908" s="5" t="s">
        <v>784</v>
      </c>
      <c r="Q908" s="8">
        <f>18986</f>
        <v>18986</v>
      </c>
      <c r="R908" s="8">
        <f>550594</f>
        <v>550594</v>
      </c>
      <c r="S908" s="5" t="s">
        <v>240</v>
      </c>
      <c r="T908" s="5" t="s">
        <v>237</v>
      </c>
      <c r="U908" s="5" t="s">
        <v>238</v>
      </c>
      <c r="V908" s="5" t="s">
        <v>238</v>
      </c>
      <c r="W908" s="5" t="s">
        <v>241</v>
      </c>
      <c r="X908" s="5" t="s">
        <v>276</v>
      </c>
      <c r="Y908" s="5" t="s">
        <v>238</v>
      </c>
      <c r="AB908" s="5" t="s">
        <v>238</v>
      </c>
      <c r="AC908" s="6" t="s">
        <v>238</v>
      </c>
      <c r="AD908" s="6" t="s">
        <v>238</v>
      </c>
      <c r="AF908" s="6" t="s">
        <v>238</v>
      </c>
      <c r="AG908" s="6" t="s">
        <v>246</v>
      </c>
      <c r="AH908" s="5" t="s">
        <v>247</v>
      </c>
      <c r="AI908" s="5" t="s">
        <v>248</v>
      </c>
      <c r="AO908" s="5" t="s">
        <v>238</v>
      </c>
      <c r="AP908" s="5" t="s">
        <v>238</v>
      </c>
      <c r="AQ908" s="5" t="s">
        <v>238</v>
      </c>
      <c r="AR908" s="6" t="s">
        <v>238</v>
      </c>
      <c r="AS908" s="6" t="s">
        <v>238</v>
      </c>
      <c r="AT908" s="6" t="s">
        <v>238</v>
      </c>
      <c r="AW908" s="5" t="s">
        <v>304</v>
      </c>
      <c r="AX908" s="5" t="s">
        <v>304</v>
      </c>
      <c r="AY908" s="5" t="s">
        <v>250</v>
      </c>
      <c r="AZ908" s="5" t="s">
        <v>305</v>
      </c>
      <c r="BA908" s="5" t="s">
        <v>251</v>
      </c>
      <c r="BB908" s="5" t="s">
        <v>238</v>
      </c>
      <c r="BC908" s="5" t="s">
        <v>253</v>
      </c>
      <c r="BD908" s="5" t="s">
        <v>238</v>
      </c>
      <c r="BF908" s="5" t="s">
        <v>238</v>
      </c>
      <c r="BH908" s="5" t="s">
        <v>283</v>
      </c>
      <c r="BI908" s="6" t="s">
        <v>293</v>
      </c>
      <c r="BJ908" s="5" t="s">
        <v>294</v>
      </c>
      <c r="BK908" s="5" t="s">
        <v>294</v>
      </c>
      <c r="BL908" s="5" t="s">
        <v>238</v>
      </c>
      <c r="BM908" s="7">
        <f>0</f>
        <v>0</v>
      </c>
      <c r="BN908" s="8">
        <f>-18986</f>
        <v>-18986</v>
      </c>
      <c r="BO908" s="5" t="s">
        <v>257</v>
      </c>
      <c r="BP908" s="5" t="s">
        <v>258</v>
      </c>
      <c r="BQ908" s="5" t="s">
        <v>238</v>
      </c>
      <c r="BR908" s="5" t="s">
        <v>238</v>
      </c>
      <c r="BS908" s="5" t="s">
        <v>238</v>
      </c>
      <c r="BT908" s="5" t="s">
        <v>238</v>
      </c>
      <c r="CC908" s="5" t="s">
        <v>258</v>
      </c>
      <c r="CD908" s="5" t="s">
        <v>238</v>
      </c>
      <c r="CE908" s="5" t="s">
        <v>238</v>
      </c>
      <c r="CI908" s="5" t="s">
        <v>259</v>
      </c>
      <c r="CJ908" s="5" t="s">
        <v>260</v>
      </c>
      <c r="CK908" s="5" t="s">
        <v>238</v>
      </c>
      <c r="CM908" s="5" t="s">
        <v>783</v>
      </c>
      <c r="CN908" s="6" t="s">
        <v>262</v>
      </c>
      <c r="CO908" s="5" t="s">
        <v>263</v>
      </c>
      <c r="CP908" s="5" t="s">
        <v>264</v>
      </c>
      <c r="CQ908" s="5" t="s">
        <v>285</v>
      </c>
      <c r="CR908" s="5" t="s">
        <v>238</v>
      </c>
      <c r="CS908" s="5">
        <v>2.7E-2</v>
      </c>
      <c r="CT908" s="5" t="s">
        <v>265</v>
      </c>
      <c r="CU908" s="5" t="s">
        <v>266</v>
      </c>
      <c r="CV908" s="5" t="s">
        <v>308</v>
      </c>
      <c r="CW908" s="7">
        <f>0</f>
        <v>0</v>
      </c>
      <c r="CX908" s="8">
        <f>703186</f>
        <v>703186</v>
      </c>
      <c r="CY908" s="8">
        <f>171578</f>
        <v>171578</v>
      </c>
      <c r="DA908" s="5" t="s">
        <v>238</v>
      </c>
      <c r="DB908" s="5" t="s">
        <v>238</v>
      </c>
      <c r="DD908" s="5" t="s">
        <v>238</v>
      </c>
      <c r="DE908" s="8">
        <f>0</f>
        <v>0</v>
      </c>
      <c r="DG908" s="5" t="s">
        <v>238</v>
      </c>
      <c r="DH908" s="5" t="s">
        <v>238</v>
      </c>
      <c r="DI908" s="5" t="s">
        <v>238</v>
      </c>
      <c r="DJ908" s="5" t="s">
        <v>238</v>
      </c>
      <c r="DK908" s="5" t="s">
        <v>271</v>
      </c>
      <c r="DL908" s="5" t="s">
        <v>272</v>
      </c>
      <c r="DM908" s="7">
        <f>15.96</f>
        <v>15.96</v>
      </c>
      <c r="DN908" s="5" t="s">
        <v>238</v>
      </c>
      <c r="DO908" s="5" t="s">
        <v>238</v>
      </c>
      <c r="DP908" s="5" t="s">
        <v>238</v>
      </c>
      <c r="DQ908" s="5" t="s">
        <v>238</v>
      </c>
      <c r="DT908" s="5" t="s">
        <v>785</v>
      </c>
      <c r="DU908" s="5" t="s">
        <v>313</v>
      </c>
      <c r="GL908" s="5" t="s">
        <v>786</v>
      </c>
      <c r="HM908" s="5" t="s">
        <v>313</v>
      </c>
      <c r="HP908" s="5" t="s">
        <v>272</v>
      </c>
      <c r="HQ908" s="5" t="s">
        <v>272</v>
      </c>
      <c r="HR908" s="5" t="s">
        <v>238</v>
      </c>
      <c r="HS908" s="5" t="s">
        <v>238</v>
      </c>
      <c r="HT908" s="5" t="s">
        <v>238</v>
      </c>
      <c r="HU908" s="5" t="s">
        <v>238</v>
      </c>
      <c r="HV908" s="5" t="s">
        <v>238</v>
      </c>
      <c r="HW908" s="5" t="s">
        <v>238</v>
      </c>
      <c r="HX908" s="5" t="s">
        <v>238</v>
      </c>
      <c r="HY908" s="5" t="s">
        <v>238</v>
      </c>
      <c r="HZ908" s="5" t="s">
        <v>238</v>
      </c>
      <c r="IA908" s="5" t="s">
        <v>238</v>
      </c>
      <c r="IB908" s="5" t="s">
        <v>238</v>
      </c>
      <c r="IC908" s="5" t="s">
        <v>238</v>
      </c>
      <c r="ID908" s="5" t="s">
        <v>238</v>
      </c>
    </row>
    <row r="909" spans="1:238" x14ac:dyDescent="0.4">
      <c r="A909" s="5">
        <v>1005</v>
      </c>
      <c r="B909" s="5">
        <v>1</v>
      </c>
      <c r="C909" s="5">
        <v>1</v>
      </c>
      <c r="D909" s="5" t="s">
        <v>779</v>
      </c>
      <c r="E909" s="5" t="s">
        <v>277</v>
      </c>
      <c r="F909" s="5" t="s">
        <v>282</v>
      </c>
      <c r="G909" s="5" t="s">
        <v>633</v>
      </c>
      <c r="H909" s="6" t="s">
        <v>782</v>
      </c>
      <c r="I909" s="5" t="s">
        <v>797</v>
      </c>
      <c r="J909" s="7">
        <f>12.23</f>
        <v>12.23</v>
      </c>
      <c r="K909" s="5" t="s">
        <v>270</v>
      </c>
      <c r="L909" s="8">
        <f>1</f>
        <v>1</v>
      </c>
      <c r="M909" s="8">
        <f>310225</f>
        <v>310225</v>
      </c>
      <c r="N909" s="6" t="s">
        <v>780</v>
      </c>
      <c r="O909" s="5" t="s">
        <v>651</v>
      </c>
      <c r="P909" s="5" t="s">
        <v>651</v>
      </c>
      <c r="R909" s="8">
        <f>310224</f>
        <v>310224</v>
      </c>
      <c r="S909" s="5" t="s">
        <v>240</v>
      </c>
      <c r="T909" s="5" t="s">
        <v>237</v>
      </c>
      <c r="U909" s="5" t="s">
        <v>238</v>
      </c>
      <c r="V909" s="5" t="s">
        <v>238</v>
      </c>
      <c r="W909" s="5" t="s">
        <v>241</v>
      </c>
      <c r="X909" s="5" t="s">
        <v>276</v>
      </c>
      <c r="Y909" s="5" t="s">
        <v>238</v>
      </c>
      <c r="AB909" s="5" t="s">
        <v>238</v>
      </c>
      <c r="AD909" s="6" t="s">
        <v>238</v>
      </c>
      <c r="AG909" s="6" t="s">
        <v>246</v>
      </c>
      <c r="AH909" s="5" t="s">
        <v>247</v>
      </c>
      <c r="AI909" s="5" t="s">
        <v>248</v>
      </c>
      <c r="AY909" s="5" t="s">
        <v>250</v>
      </c>
      <c r="AZ909" s="5" t="s">
        <v>238</v>
      </c>
      <c r="BA909" s="5" t="s">
        <v>251</v>
      </c>
      <c r="BB909" s="5" t="s">
        <v>238</v>
      </c>
      <c r="BC909" s="5" t="s">
        <v>253</v>
      </c>
      <c r="BD909" s="5" t="s">
        <v>238</v>
      </c>
      <c r="BF909" s="5" t="s">
        <v>238</v>
      </c>
      <c r="BH909" s="5" t="s">
        <v>798</v>
      </c>
      <c r="BI909" s="6" t="s">
        <v>799</v>
      </c>
      <c r="BJ909" s="5" t="s">
        <v>255</v>
      </c>
      <c r="BK909" s="5" t="s">
        <v>294</v>
      </c>
      <c r="BL909" s="5" t="s">
        <v>238</v>
      </c>
      <c r="BM909" s="7">
        <f>0</f>
        <v>0</v>
      </c>
      <c r="BN909" s="8">
        <f>0</f>
        <v>0</v>
      </c>
      <c r="BO909" s="5" t="s">
        <v>257</v>
      </c>
      <c r="BP909" s="5" t="s">
        <v>258</v>
      </c>
      <c r="CD909" s="5" t="s">
        <v>238</v>
      </c>
      <c r="CE909" s="5" t="s">
        <v>238</v>
      </c>
      <c r="CI909" s="5" t="s">
        <v>259</v>
      </c>
      <c r="CJ909" s="5" t="s">
        <v>260</v>
      </c>
      <c r="CK909" s="5" t="s">
        <v>238</v>
      </c>
      <c r="CM909" s="5" t="s">
        <v>783</v>
      </c>
      <c r="CN909" s="6" t="s">
        <v>262</v>
      </c>
      <c r="CO909" s="5" t="s">
        <v>263</v>
      </c>
      <c r="CP909" s="5" t="s">
        <v>264</v>
      </c>
      <c r="CQ909" s="5" t="s">
        <v>238</v>
      </c>
      <c r="CR909" s="5" t="s">
        <v>238</v>
      </c>
      <c r="CS909" s="5">
        <v>0</v>
      </c>
      <c r="CT909" s="5" t="s">
        <v>265</v>
      </c>
      <c r="CU909" s="5" t="s">
        <v>266</v>
      </c>
      <c r="CV909" s="5" t="s">
        <v>331</v>
      </c>
      <c r="CX909" s="8">
        <f>310225</f>
        <v>310225</v>
      </c>
      <c r="CY909" s="8">
        <f>0</f>
        <v>0</v>
      </c>
      <c r="DA909" s="5" t="s">
        <v>238</v>
      </c>
      <c r="DB909" s="5" t="s">
        <v>238</v>
      </c>
      <c r="DD909" s="5" t="s">
        <v>238</v>
      </c>
      <c r="DG909" s="5" t="s">
        <v>238</v>
      </c>
      <c r="DH909" s="5" t="s">
        <v>238</v>
      </c>
      <c r="DI909" s="5" t="s">
        <v>238</v>
      </c>
      <c r="DJ909" s="5" t="s">
        <v>238</v>
      </c>
      <c r="DK909" s="5" t="s">
        <v>271</v>
      </c>
      <c r="DL909" s="5" t="s">
        <v>272</v>
      </c>
      <c r="DM909" s="7">
        <f>12.23</f>
        <v>12.23</v>
      </c>
      <c r="DN909" s="5" t="s">
        <v>238</v>
      </c>
      <c r="DO909" s="5" t="s">
        <v>238</v>
      </c>
      <c r="DP909" s="5" t="s">
        <v>238</v>
      </c>
      <c r="DQ909" s="5" t="s">
        <v>238</v>
      </c>
      <c r="DT909" s="5" t="s">
        <v>785</v>
      </c>
      <c r="DU909" s="5" t="s">
        <v>389</v>
      </c>
      <c r="HM909" s="5" t="s">
        <v>356</v>
      </c>
      <c r="HP909" s="5" t="s">
        <v>272</v>
      </c>
      <c r="HQ909" s="5" t="s">
        <v>272</v>
      </c>
    </row>
    <row r="910" spans="1:238" x14ac:dyDescent="0.4">
      <c r="A910" s="5">
        <v>1006</v>
      </c>
      <c r="B910" s="5">
        <v>1</v>
      </c>
      <c r="C910" s="5">
        <v>1</v>
      </c>
      <c r="D910" s="5" t="s">
        <v>779</v>
      </c>
      <c r="E910" s="5" t="s">
        <v>277</v>
      </c>
      <c r="F910" s="5" t="s">
        <v>282</v>
      </c>
      <c r="G910" s="5" t="s">
        <v>1158</v>
      </c>
      <c r="H910" s="6" t="s">
        <v>782</v>
      </c>
      <c r="I910" s="5" t="s">
        <v>1158</v>
      </c>
      <c r="J910" s="7">
        <f>151.05</f>
        <v>151.05000000000001</v>
      </c>
      <c r="K910" s="5" t="s">
        <v>270</v>
      </c>
      <c r="L910" s="8">
        <f>1</f>
        <v>1</v>
      </c>
      <c r="M910" s="8">
        <f>2279908</f>
        <v>2279908</v>
      </c>
      <c r="N910" s="6" t="s">
        <v>780</v>
      </c>
      <c r="O910" s="5" t="s">
        <v>651</v>
      </c>
      <c r="P910" s="5" t="s">
        <v>651</v>
      </c>
      <c r="R910" s="8">
        <f>2279907</f>
        <v>2279907</v>
      </c>
      <c r="S910" s="5" t="s">
        <v>240</v>
      </c>
      <c r="T910" s="5" t="s">
        <v>237</v>
      </c>
      <c r="U910" s="5" t="s">
        <v>238</v>
      </c>
      <c r="V910" s="5" t="s">
        <v>238</v>
      </c>
      <c r="W910" s="5" t="s">
        <v>241</v>
      </c>
      <c r="X910" s="5" t="s">
        <v>276</v>
      </c>
      <c r="Y910" s="5" t="s">
        <v>238</v>
      </c>
      <c r="AB910" s="5" t="s">
        <v>238</v>
      </c>
      <c r="AD910" s="6" t="s">
        <v>238</v>
      </c>
      <c r="AG910" s="6" t="s">
        <v>246</v>
      </c>
      <c r="AH910" s="5" t="s">
        <v>247</v>
      </c>
      <c r="AI910" s="5" t="s">
        <v>248</v>
      </c>
      <c r="AY910" s="5" t="s">
        <v>250</v>
      </c>
      <c r="AZ910" s="5" t="s">
        <v>238</v>
      </c>
      <c r="BA910" s="5" t="s">
        <v>251</v>
      </c>
      <c r="BB910" s="5" t="s">
        <v>238</v>
      </c>
      <c r="BC910" s="5" t="s">
        <v>253</v>
      </c>
      <c r="BD910" s="5" t="s">
        <v>238</v>
      </c>
      <c r="BF910" s="5" t="s">
        <v>238</v>
      </c>
      <c r="BH910" s="5" t="s">
        <v>254</v>
      </c>
      <c r="BI910" s="6" t="s">
        <v>246</v>
      </c>
      <c r="BJ910" s="5" t="s">
        <v>255</v>
      </c>
      <c r="BK910" s="5" t="s">
        <v>294</v>
      </c>
      <c r="BL910" s="5" t="s">
        <v>238</v>
      </c>
      <c r="BM910" s="7">
        <f>0</f>
        <v>0</v>
      </c>
      <c r="BN910" s="8">
        <f>0</f>
        <v>0</v>
      </c>
      <c r="BO910" s="5" t="s">
        <v>257</v>
      </c>
      <c r="BP910" s="5" t="s">
        <v>258</v>
      </c>
      <c r="CD910" s="5" t="s">
        <v>238</v>
      </c>
      <c r="CE910" s="5" t="s">
        <v>238</v>
      </c>
      <c r="CI910" s="5" t="s">
        <v>259</v>
      </c>
      <c r="CJ910" s="5" t="s">
        <v>260</v>
      </c>
      <c r="CK910" s="5" t="s">
        <v>238</v>
      </c>
      <c r="CM910" s="5" t="s">
        <v>783</v>
      </c>
      <c r="CN910" s="6" t="s">
        <v>262</v>
      </c>
      <c r="CO910" s="5" t="s">
        <v>263</v>
      </c>
      <c r="CP910" s="5" t="s">
        <v>264</v>
      </c>
      <c r="CQ910" s="5" t="s">
        <v>238</v>
      </c>
      <c r="CR910" s="5" t="s">
        <v>238</v>
      </c>
      <c r="CS910" s="5">
        <v>0</v>
      </c>
      <c r="CT910" s="5" t="s">
        <v>265</v>
      </c>
      <c r="CU910" s="5" t="s">
        <v>1159</v>
      </c>
      <c r="CV910" s="5" t="s">
        <v>331</v>
      </c>
      <c r="CX910" s="8">
        <f>2279908</f>
        <v>2279908</v>
      </c>
      <c r="CY910" s="8">
        <f>0</f>
        <v>0</v>
      </c>
      <c r="DA910" s="5" t="s">
        <v>238</v>
      </c>
      <c r="DB910" s="5" t="s">
        <v>238</v>
      </c>
      <c r="DD910" s="5" t="s">
        <v>238</v>
      </c>
      <c r="DG910" s="5" t="s">
        <v>238</v>
      </c>
      <c r="DH910" s="5" t="s">
        <v>238</v>
      </c>
      <c r="DI910" s="5" t="s">
        <v>238</v>
      </c>
      <c r="DJ910" s="5" t="s">
        <v>238</v>
      </c>
      <c r="DK910" s="5" t="s">
        <v>271</v>
      </c>
      <c r="DL910" s="5" t="s">
        <v>272</v>
      </c>
      <c r="DM910" s="7">
        <f>151.05</f>
        <v>151.05000000000001</v>
      </c>
      <c r="DN910" s="5" t="s">
        <v>238</v>
      </c>
      <c r="DO910" s="5" t="s">
        <v>238</v>
      </c>
      <c r="DP910" s="5" t="s">
        <v>238</v>
      </c>
      <c r="DQ910" s="5" t="s">
        <v>238</v>
      </c>
      <c r="DT910" s="5" t="s">
        <v>785</v>
      </c>
      <c r="DU910" s="5" t="s">
        <v>354</v>
      </c>
      <c r="HM910" s="5" t="s">
        <v>356</v>
      </c>
      <c r="HP910" s="5" t="s">
        <v>272</v>
      </c>
      <c r="HQ910" s="5" t="s">
        <v>272</v>
      </c>
    </row>
    <row r="911" spans="1:238" x14ac:dyDescent="0.4">
      <c r="A911" s="5">
        <v>1007</v>
      </c>
      <c r="B911" s="5">
        <v>1</v>
      </c>
      <c r="C911" s="5">
        <v>4</v>
      </c>
      <c r="D911" s="5" t="s">
        <v>634</v>
      </c>
      <c r="E911" s="5" t="s">
        <v>277</v>
      </c>
      <c r="F911" s="5" t="s">
        <v>282</v>
      </c>
      <c r="G911" s="5" t="s">
        <v>2485</v>
      </c>
      <c r="H911" s="6" t="s">
        <v>637</v>
      </c>
      <c r="I911" s="5" t="s">
        <v>2495</v>
      </c>
      <c r="J911" s="7">
        <f>1866.06</f>
        <v>1866.06</v>
      </c>
      <c r="K911" s="5" t="s">
        <v>270</v>
      </c>
      <c r="L911" s="8">
        <f>40918296</f>
        <v>40918296</v>
      </c>
      <c r="M911" s="8">
        <f>100783965</f>
        <v>100783965</v>
      </c>
      <c r="N911" s="6" t="s">
        <v>635</v>
      </c>
      <c r="O911" s="5" t="s">
        <v>898</v>
      </c>
      <c r="P911" s="5" t="s">
        <v>640</v>
      </c>
      <c r="Q911" s="8">
        <f>2217247</f>
        <v>2217247</v>
      </c>
      <c r="R911" s="8">
        <f>59865669</f>
        <v>59865669</v>
      </c>
      <c r="S911" s="5" t="s">
        <v>240</v>
      </c>
      <c r="T911" s="5" t="s">
        <v>237</v>
      </c>
      <c r="U911" s="5" t="s">
        <v>238</v>
      </c>
      <c r="V911" s="5" t="s">
        <v>238</v>
      </c>
      <c r="W911" s="5" t="s">
        <v>241</v>
      </c>
      <c r="X911" s="5" t="s">
        <v>276</v>
      </c>
      <c r="Y911" s="5" t="s">
        <v>238</v>
      </c>
      <c r="AB911" s="5" t="s">
        <v>238</v>
      </c>
      <c r="AC911" s="6" t="s">
        <v>238</v>
      </c>
      <c r="AD911" s="6" t="s">
        <v>238</v>
      </c>
      <c r="AF911" s="6" t="s">
        <v>238</v>
      </c>
      <c r="AG911" s="6" t="s">
        <v>246</v>
      </c>
      <c r="AH911" s="5" t="s">
        <v>247</v>
      </c>
      <c r="AI911" s="5" t="s">
        <v>248</v>
      </c>
      <c r="AO911" s="5" t="s">
        <v>238</v>
      </c>
      <c r="AP911" s="5" t="s">
        <v>238</v>
      </c>
      <c r="AQ911" s="5" t="s">
        <v>238</v>
      </c>
      <c r="AR911" s="6" t="s">
        <v>238</v>
      </c>
      <c r="AS911" s="6" t="s">
        <v>238</v>
      </c>
      <c r="AT911" s="6" t="s">
        <v>238</v>
      </c>
      <c r="AW911" s="5" t="s">
        <v>304</v>
      </c>
      <c r="AX911" s="5" t="s">
        <v>304</v>
      </c>
      <c r="AY911" s="5" t="s">
        <v>250</v>
      </c>
      <c r="AZ911" s="5" t="s">
        <v>305</v>
      </c>
      <c r="BA911" s="5" t="s">
        <v>251</v>
      </c>
      <c r="BB911" s="5" t="s">
        <v>238</v>
      </c>
      <c r="BC911" s="5" t="s">
        <v>253</v>
      </c>
      <c r="BD911" s="5" t="s">
        <v>238</v>
      </c>
      <c r="BF911" s="5" t="s">
        <v>238</v>
      </c>
      <c r="BH911" s="5" t="s">
        <v>283</v>
      </c>
      <c r="BI911" s="6" t="s">
        <v>293</v>
      </c>
      <c r="BJ911" s="5" t="s">
        <v>294</v>
      </c>
      <c r="BK911" s="5" t="s">
        <v>294</v>
      </c>
      <c r="BL911" s="5" t="s">
        <v>238</v>
      </c>
      <c r="BM911" s="7">
        <f>0</f>
        <v>0</v>
      </c>
      <c r="BN911" s="8">
        <f>-2217247</f>
        <v>-2217247</v>
      </c>
      <c r="BO911" s="5" t="s">
        <v>257</v>
      </c>
      <c r="BP911" s="5" t="s">
        <v>258</v>
      </c>
      <c r="BQ911" s="5" t="s">
        <v>238</v>
      </c>
      <c r="BR911" s="5" t="s">
        <v>238</v>
      </c>
      <c r="BS911" s="5" t="s">
        <v>238</v>
      </c>
      <c r="BT911" s="5" t="s">
        <v>238</v>
      </c>
      <c r="CC911" s="5" t="s">
        <v>258</v>
      </c>
      <c r="CD911" s="5" t="s">
        <v>238</v>
      </c>
      <c r="CE911" s="5" t="s">
        <v>238</v>
      </c>
      <c r="CI911" s="5" t="s">
        <v>259</v>
      </c>
      <c r="CJ911" s="5" t="s">
        <v>260</v>
      </c>
      <c r="CK911" s="5" t="s">
        <v>238</v>
      </c>
      <c r="CM911" s="5" t="s">
        <v>638</v>
      </c>
      <c r="CN911" s="6" t="s">
        <v>262</v>
      </c>
      <c r="CO911" s="5" t="s">
        <v>263</v>
      </c>
      <c r="CP911" s="5" t="s">
        <v>264</v>
      </c>
      <c r="CQ911" s="5" t="s">
        <v>285</v>
      </c>
      <c r="CR911" s="5" t="s">
        <v>238</v>
      </c>
      <c r="CS911" s="5">
        <v>2.1999999999999999E-2</v>
      </c>
      <c r="CT911" s="5" t="s">
        <v>265</v>
      </c>
      <c r="CU911" s="5" t="s">
        <v>1360</v>
      </c>
      <c r="CV911" s="5" t="s">
        <v>308</v>
      </c>
      <c r="CW911" s="7">
        <f>0</f>
        <v>0</v>
      </c>
      <c r="CX911" s="8">
        <f>100783965</f>
        <v>100783965</v>
      </c>
      <c r="CY911" s="8">
        <f>43135543</f>
        <v>43135543</v>
      </c>
      <c r="DA911" s="5" t="s">
        <v>238</v>
      </c>
      <c r="DB911" s="5" t="s">
        <v>238</v>
      </c>
      <c r="DD911" s="5" t="s">
        <v>238</v>
      </c>
      <c r="DE911" s="8">
        <f>0</f>
        <v>0</v>
      </c>
      <c r="DG911" s="5" t="s">
        <v>238</v>
      </c>
      <c r="DH911" s="5" t="s">
        <v>238</v>
      </c>
      <c r="DI911" s="5" t="s">
        <v>238</v>
      </c>
      <c r="DJ911" s="5" t="s">
        <v>238</v>
      </c>
      <c r="DK911" s="5" t="s">
        <v>379</v>
      </c>
      <c r="DL911" s="5" t="s">
        <v>272</v>
      </c>
      <c r="DM911" s="7">
        <f>1866.06</f>
        <v>1866.06</v>
      </c>
      <c r="DN911" s="5" t="s">
        <v>238</v>
      </c>
      <c r="DO911" s="5" t="s">
        <v>238</v>
      </c>
      <c r="DP911" s="5" t="s">
        <v>238</v>
      </c>
      <c r="DQ911" s="5" t="s">
        <v>238</v>
      </c>
      <c r="DT911" s="5" t="s">
        <v>641</v>
      </c>
      <c r="DU911" s="5" t="s">
        <v>271</v>
      </c>
      <c r="GL911" s="5" t="s">
        <v>2631</v>
      </c>
      <c r="HM911" s="5" t="s">
        <v>313</v>
      </c>
      <c r="HP911" s="5" t="s">
        <v>272</v>
      </c>
      <c r="HQ911" s="5" t="s">
        <v>272</v>
      </c>
      <c r="HR911" s="5" t="s">
        <v>238</v>
      </c>
      <c r="HS911" s="5" t="s">
        <v>238</v>
      </c>
      <c r="HT911" s="5" t="s">
        <v>238</v>
      </c>
      <c r="HU911" s="5" t="s">
        <v>238</v>
      </c>
      <c r="HV911" s="5" t="s">
        <v>238</v>
      </c>
      <c r="HW911" s="5" t="s">
        <v>238</v>
      </c>
      <c r="HX911" s="5" t="s">
        <v>238</v>
      </c>
      <c r="HY911" s="5" t="s">
        <v>238</v>
      </c>
      <c r="HZ911" s="5" t="s">
        <v>238</v>
      </c>
      <c r="IA911" s="5" t="s">
        <v>238</v>
      </c>
      <c r="IB911" s="5" t="s">
        <v>238</v>
      </c>
      <c r="IC911" s="5" t="s">
        <v>238</v>
      </c>
      <c r="ID911" s="5" t="s">
        <v>238</v>
      </c>
    </row>
    <row r="912" spans="1:238" x14ac:dyDescent="0.4">
      <c r="A912" s="5">
        <v>1008</v>
      </c>
      <c r="B912" s="5">
        <v>1</v>
      </c>
      <c r="C912" s="5">
        <v>4</v>
      </c>
      <c r="D912" s="5" t="s">
        <v>634</v>
      </c>
      <c r="E912" s="5" t="s">
        <v>277</v>
      </c>
      <c r="F912" s="5" t="s">
        <v>282</v>
      </c>
      <c r="G912" s="5" t="s">
        <v>2485</v>
      </c>
      <c r="H912" s="6" t="s">
        <v>637</v>
      </c>
      <c r="I912" s="5" t="s">
        <v>2505</v>
      </c>
      <c r="J912" s="7">
        <f>1857.67</f>
        <v>1857.67</v>
      </c>
      <c r="K912" s="5" t="s">
        <v>270</v>
      </c>
      <c r="L912" s="8">
        <f>40671863</f>
        <v>40671863</v>
      </c>
      <c r="M912" s="8">
        <f>100176974</f>
        <v>100176974</v>
      </c>
      <c r="N912" s="6" t="s">
        <v>635</v>
      </c>
      <c r="O912" s="5" t="s">
        <v>898</v>
      </c>
      <c r="P912" s="5" t="s">
        <v>640</v>
      </c>
      <c r="Q912" s="8">
        <f>2203893</f>
        <v>2203893</v>
      </c>
      <c r="R912" s="8">
        <f>59505111</f>
        <v>59505111</v>
      </c>
      <c r="S912" s="5" t="s">
        <v>240</v>
      </c>
      <c r="T912" s="5" t="s">
        <v>237</v>
      </c>
      <c r="U912" s="5" t="s">
        <v>238</v>
      </c>
      <c r="V912" s="5" t="s">
        <v>238</v>
      </c>
      <c r="W912" s="5" t="s">
        <v>241</v>
      </c>
      <c r="X912" s="5" t="s">
        <v>276</v>
      </c>
      <c r="Y912" s="5" t="s">
        <v>238</v>
      </c>
      <c r="AB912" s="5" t="s">
        <v>238</v>
      </c>
      <c r="AC912" s="6" t="s">
        <v>238</v>
      </c>
      <c r="AD912" s="6" t="s">
        <v>238</v>
      </c>
      <c r="AF912" s="6" t="s">
        <v>238</v>
      </c>
      <c r="AG912" s="6" t="s">
        <v>246</v>
      </c>
      <c r="AH912" s="5" t="s">
        <v>247</v>
      </c>
      <c r="AI912" s="5" t="s">
        <v>248</v>
      </c>
      <c r="AO912" s="5" t="s">
        <v>238</v>
      </c>
      <c r="AP912" s="5" t="s">
        <v>238</v>
      </c>
      <c r="AQ912" s="5" t="s">
        <v>238</v>
      </c>
      <c r="AR912" s="6" t="s">
        <v>238</v>
      </c>
      <c r="AS912" s="6" t="s">
        <v>238</v>
      </c>
      <c r="AT912" s="6" t="s">
        <v>238</v>
      </c>
      <c r="AW912" s="5" t="s">
        <v>304</v>
      </c>
      <c r="AX912" s="5" t="s">
        <v>304</v>
      </c>
      <c r="AY912" s="5" t="s">
        <v>250</v>
      </c>
      <c r="AZ912" s="5" t="s">
        <v>305</v>
      </c>
      <c r="BA912" s="5" t="s">
        <v>251</v>
      </c>
      <c r="BB912" s="5" t="s">
        <v>238</v>
      </c>
      <c r="BC912" s="5" t="s">
        <v>253</v>
      </c>
      <c r="BD912" s="5" t="s">
        <v>238</v>
      </c>
      <c r="BF912" s="5" t="s">
        <v>238</v>
      </c>
      <c r="BH912" s="5" t="s">
        <v>283</v>
      </c>
      <c r="BI912" s="6" t="s">
        <v>293</v>
      </c>
      <c r="BJ912" s="5" t="s">
        <v>294</v>
      </c>
      <c r="BK912" s="5" t="s">
        <v>294</v>
      </c>
      <c r="BL912" s="5" t="s">
        <v>238</v>
      </c>
      <c r="BM912" s="7">
        <f>0</f>
        <v>0</v>
      </c>
      <c r="BN912" s="8">
        <f>-2203893</f>
        <v>-2203893</v>
      </c>
      <c r="BO912" s="5" t="s">
        <v>257</v>
      </c>
      <c r="BP912" s="5" t="s">
        <v>258</v>
      </c>
      <c r="BQ912" s="5" t="s">
        <v>238</v>
      </c>
      <c r="BR912" s="5" t="s">
        <v>238</v>
      </c>
      <c r="BS912" s="5" t="s">
        <v>238</v>
      </c>
      <c r="BT912" s="5" t="s">
        <v>238</v>
      </c>
      <c r="CC912" s="5" t="s">
        <v>258</v>
      </c>
      <c r="CD912" s="5" t="s">
        <v>238</v>
      </c>
      <c r="CE912" s="5" t="s">
        <v>238</v>
      </c>
      <c r="CI912" s="5" t="s">
        <v>259</v>
      </c>
      <c r="CJ912" s="5" t="s">
        <v>260</v>
      </c>
      <c r="CK912" s="5" t="s">
        <v>238</v>
      </c>
      <c r="CM912" s="5" t="s">
        <v>638</v>
      </c>
      <c r="CN912" s="6" t="s">
        <v>262</v>
      </c>
      <c r="CO912" s="5" t="s">
        <v>263</v>
      </c>
      <c r="CP912" s="5" t="s">
        <v>264</v>
      </c>
      <c r="CQ912" s="5" t="s">
        <v>285</v>
      </c>
      <c r="CR912" s="5" t="s">
        <v>238</v>
      </c>
      <c r="CS912" s="5">
        <v>2.1999999999999999E-2</v>
      </c>
      <c r="CT912" s="5" t="s">
        <v>265</v>
      </c>
      <c r="CU912" s="5" t="s">
        <v>1360</v>
      </c>
      <c r="CV912" s="5" t="s">
        <v>308</v>
      </c>
      <c r="CW912" s="7">
        <f>0</f>
        <v>0</v>
      </c>
      <c r="CX912" s="8">
        <f>100176974</f>
        <v>100176974</v>
      </c>
      <c r="CY912" s="8">
        <f>42875756</f>
        <v>42875756</v>
      </c>
      <c r="DA912" s="5" t="s">
        <v>238</v>
      </c>
      <c r="DB912" s="5" t="s">
        <v>238</v>
      </c>
      <c r="DD912" s="5" t="s">
        <v>238</v>
      </c>
      <c r="DE912" s="8">
        <f>0</f>
        <v>0</v>
      </c>
      <c r="DG912" s="5" t="s">
        <v>238</v>
      </c>
      <c r="DH912" s="5" t="s">
        <v>238</v>
      </c>
      <c r="DI912" s="5" t="s">
        <v>238</v>
      </c>
      <c r="DJ912" s="5" t="s">
        <v>238</v>
      </c>
      <c r="DK912" s="5" t="s">
        <v>379</v>
      </c>
      <c r="DL912" s="5" t="s">
        <v>272</v>
      </c>
      <c r="DM912" s="7">
        <f>1857.67</f>
        <v>1857.67</v>
      </c>
      <c r="DN912" s="5" t="s">
        <v>238</v>
      </c>
      <c r="DO912" s="5" t="s">
        <v>238</v>
      </c>
      <c r="DP912" s="5" t="s">
        <v>238</v>
      </c>
      <c r="DQ912" s="5" t="s">
        <v>238</v>
      </c>
      <c r="DT912" s="5" t="s">
        <v>641</v>
      </c>
      <c r="DU912" s="5" t="s">
        <v>274</v>
      </c>
      <c r="GL912" s="5" t="s">
        <v>2630</v>
      </c>
      <c r="HM912" s="5" t="s">
        <v>313</v>
      </c>
      <c r="HP912" s="5" t="s">
        <v>272</v>
      </c>
      <c r="HQ912" s="5" t="s">
        <v>272</v>
      </c>
      <c r="HR912" s="5" t="s">
        <v>238</v>
      </c>
      <c r="HS912" s="5" t="s">
        <v>238</v>
      </c>
      <c r="HT912" s="5" t="s">
        <v>238</v>
      </c>
      <c r="HU912" s="5" t="s">
        <v>238</v>
      </c>
      <c r="HV912" s="5" t="s">
        <v>238</v>
      </c>
      <c r="HW912" s="5" t="s">
        <v>238</v>
      </c>
      <c r="HX912" s="5" t="s">
        <v>238</v>
      </c>
      <c r="HY912" s="5" t="s">
        <v>238</v>
      </c>
      <c r="HZ912" s="5" t="s">
        <v>238</v>
      </c>
      <c r="IA912" s="5" t="s">
        <v>238</v>
      </c>
      <c r="IB912" s="5" t="s">
        <v>238</v>
      </c>
      <c r="IC912" s="5" t="s">
        <v>238</v>
      </c>
      <c r="ID912" s="5" t="s">
        <v>238</v>
      </c>
    </row>
    <row r="913" spans="1:238" x14ac:dyDescent="0.4">
      <c r="A913" s="5">
        <v>1009</v>
      </c>
      <c r="B913" s="5">
        <v>1</v>
      </c>
      <c r="C913" s="5">
        <v>4</v>
      </c>
      <c r="D913" s="5" t="s">
        <v>634</v>
      </c>
      <c r="E913" s="5" t="s">
        <v>277</v>
      </c>
      <c r="F913" s="5" t="s">
        <v>282</v>
      </c>
      <c r="G913" s="5" t="s">
        <v>1807</v>
      </c>
      <c r="H913" s="6" t="s">
        <v>637</v>
      </c>
      <c r="I913" s="5" t="s">
        <v>1860</v>
      </c>
      <c r="J913" s="7">
        <f>77.61</f>
        <v>77.61</v>
      </c>
      <c r="K913" s="5" t="s">
        <v>270</v>
      </c>
      <c r="L913" s="8">
        <f>2726766</f>
        <v>2726766</v>
      </c>
      <c r="M913" s="8">
        <f>6716151</f>
        <v>6716151</v>
      </c>
      <c r="N913" s="6" t="s">
        <v>635</v>
      </c>
      <c r="O913" s="5" t="s">
        <v>898</v>
      </c>
      <c r="P913" s="5" t="s">
        <v>640</v>
      </c>
      <c r="Q913" s="8">
        <f>147755</f>
        <v>147755</v>
      </c>
      <c r="R913" s="8">
        <f>3989385</f>
        <v>3989385</v>
      </c>
      <c r="S913" s="5" t="s">
        <v>240</v>
      </c>
      <c r="T913" s="5" t="s">
        <v>237</v>
      </c>
      <c r="U913" s="5" t="s">
        <v>238</v>
      </c>
      <c r="V913" s="5" t="s">
        <v>238</v>
      </c>
      <c r="W913" s="5" t="s">
        <v>241</v>
      </c>
      <c r="X913" s="5" t="s">
        <v>276</v>
      </c>
      <c r="Y913" s="5" t="s">
        <v>238</v>
      </c>
      <c r="AB913" s="5" t="s">
        <v>238</v>
      </c>
      <c r="AC913" s="6" t="s">
        <v>238</v>
      </c>
      <c r="AD913" s="6" t="s">
        <v>238</v>
      </c>
      <c r="AF913" s="6" t="s">
        <v>238</v>
      </c>
      <c r="AG913" s="6" t="s">
        <v>401</v>
      </c>
      <c r="AH913" s="5" t="s">
        <v>247</v>
      </c>
      <c r="AI913" s="5" t="s">
        <v>248</v>
      </c>
      <c r="AO913" s="5" t="s">
        <v>238</v>
      </c>
      <c r="AP913" s="5" t="s">
        <v>238</v>
      </c>
      <c r="AQ913" s="5" t="s">
        <v>238</v>
      </c>
      <c r="AR913" s="6" t="s">
        <v>238</v>
      </c>
      <c r="AS913" s="6" t="s">
        <v>238</v>
      </c>
      <c r="AT913" s="6" t="s">
        <v>238</v>
      </c>
      <c r="AW913" s="5" t="s">
        <v>304</v>
      </c>
      <c r="AX913" s="5" t="s">
        <v>304</v>
      </c>
      <c r="AY913" s="5" t="s">
        <v>250</v>
      </c>
      <c r="AZ913" s="5" t="s">
        <v>305</v>
      </c>
      <c r="BA913" s="5" t="s">
        <v>251</v>
      </c>
      <c r="BB913" s="5" t="s">
        <v>238</v>
      </c>
      <c r="BC913" s="5" t="s">
        <v>253</v>
      </c>
      <c r="BD913" s="5" t="s">
        <v>238</v>
      </c>
      <c r="BF913" s="5" t="s">
        <v>238</v>
      </c>
      <c r="BH913" s="5" t="s">
        <v>283</v>
      </c>
      <c r="BI913" s="6" t="s">
        <v>293</v>
      </c>
      <c r="BJ913" s="5" t="s">
        <v>294</v>
      </c>
      <c r="BK913" s="5" t="s">
        <v>294</v>
      </c>
      <c r="BL913" s="5" t="s">
        <v>238</v>
      </c>
      <c r="BM913" s="7">
        <f>0</f>
        <v>0</v>
      </c>
      <c r="BN913" s="8">
        <f>-147755</f>
        <v>-147755</v>
      </c>
      <c r="BO913" s="5" t="s">
        <v>257</v>
      </c>
      <c r="BP913" s="5" t="s">
        <v>258</v>
      </c>
      <c r="BQ913" s="5" t="s">
        <v>238</v>
      </c>
      <c r="BR913" s="5" t="s">
        <v>238</v>
      </c>
      <c r="BS913" s="5" t="s">
        <v>238</v>
      </c>
      <c r="BT913" s="5" t="s">
        <v>238</v>
      </c>
      <c r="CC913" s="5" t="s">
        <v>258</v>
      </c>
      <c r="CD913" s="5" t="s">
        <v>238</v>
      </c>
      <c r="CE913" s="5" t="s">
        <v>238</v>
      </c>
      <c r="CI913" s="5" t="s">
        <v>259</v>
      </c>
      <c r="CJ913" s="5" t="s">
        <v>260</v>
      </c>
      <c r="CK913" s="5" t="s">
        <v>238</v>
      </c>
      <c r="CM913" s="5" t="s">
        <v>638</v>
      </c>
      <c r="CN913" s="6" t="s">
        <v>262</v>
      </c>
      <c r="CO913" s="5" t="s">
        <v>263</v>
      </c>
      <c r="CP913" s="5" t="s">
        <v>264</v>
      </c>
      <c r="CQ913" s="5" t="s">
        <v>285</v>
      </c>
      <c r="CR913" s="5" t="s">
        <v>238</v>
      </c>
      <c r="CS913" s="5">
        <v>2.1999999999999999E-2</v>
      </c>
      <c r="CT913" s="5" t="s">
        <v>265</v>
      </c>
      <c r="CU913" s="5" t="s">
        <v>1803</v>
      </c>
      <c r="CV913" s="5" t="s">
        <v>308</v>
      </c>
      <c r="CW913" s="7">
        <f>0</f>
        <v>0</v>
      </c>
      <c r="CX913" s="8">
        <f>6716151</f>
        <v>6716151</v>
      </c>
      <c r="CY913" s="8">
        <f>2874521</f>
        <v>2874521</v>
      </c>
      <c r="DA913" s="5" t="s">
        <v>238</v>
      </c>
      <c r="DB913" s="5" t="s">
        <v>238</v>
      </c>
      <c r="DD913" s="5" t="s">
        <v>238</v>
      </c>
      <c r="DE913" s="8">
        <f>0</f>
        <v>0</v>
      </c>
      <c r="DG913" s="5" t="s">
        <v>238</v>
      </c>
      <c r="DH913" s="5" t="s">
        <v>238</v>
      </c>
      <c r="DI913" s="5" t="s">
        <v>238</v>
      </c>
      <c r="DJ913" s="5" t="s">
        <v>238</v>
      </c>
      <c r="DK913" s="5" t="s">
        <v>271</v>
      </c>
      <c r="DL913" s="5" t="s">
        <v>272</v>
      </c>
      <c r="DM913" s="7">
        <f>77.61</f>
        <v>77.61</v>
      </c>
      <c r="DN913" s="5" t="s">
        <v>238</v>
      </c>
      <c r="DO913" s="5" t="s">
        <v>238</v>
      </c>
      <c r="DP913" s="5" t="s">
        <v>238</v>
      </c>
      <c r="DQ913" s="5" t="s">
        <v>238</v>
      </c>
      <c r="DT913" s="5" t="s">
        <v>641</v>
      </c>
      <c r="DU913" s="5" t="s">
        <v>356</v>
      </c>
      <c r="GL913" s="5" t="s">
        <v>1871</v>
      </c>
      <c r="HM913" s="5" t="s">
        <v>313</v>
      </c>
      <c r="HP913" s="5" t="s">
        <v>272</v>
      </c>
      <c r="HQ913" s="5" t="s">
        <v>272</v>
      </c>
      <c r="HR913" s="5" t="s">
        <v>238</v>
      </c>
      <c r="HS913" s="5" t="s">
        <v>238</v>
      </c>
      <c r="HT913" s="5" t="s">
        <v>238</v>
      </c>
      <c r="HU913" s="5" t="s">
        <v>238</v>
      </c>
      <c r="HV913" s="5" t="s">
        <v>238</v>
      </c>
      <c r="HW913" s="5" t="s">
        <v>238</v>
      </c>
      <c r="HX913" s="5" t="s">
        <v>238</v>
      </c>
      <c r="HY913" s="5" t="s">
        <v>238</v>
      </c>
      <c r="HZ913" s="5" t="s">
        <v>238</v>
      </c>
      <c r="IA913" s="5" t="s">
        <v>238</v>
      </c>
      <c r="IB913" s="5" t="s">
        <v>238</v>
      </c>
      <c r="IC913" s="5" t="s">
        <v>238</v>
      </c>
      <c r="ID913" s="5" t="s">
        <v>238</v>
      </c>
    </row>
    <row r="914" spans="1:238" x14ac:dyDescent="0.4">
      <c r="A914" s="5">
        <v>1010</v>
      </c>
      <c r="B914" s="5">
        <v>1</v>
      </c>
      <c r="C914" s="5">
        <v>1</v>
      </c>
      <c r="D914" s="5" t="s">
        <v>634</v>
      </c>
      <c r="E914" s="5" t="s">
        <v>277</v>
      </c>
      <c r="F914" s="5" t="s">
        <v>282</v>
      </c>
      <c r="G914" s="5" t="s">
        <v>695</v>
      </c>
      <c r="H914" s="6" t="s">
        <v>637</v>
      </c>
      <c r="I914" s="5" t="s">
        <v>695</v>
      </c>
      <c r="J914" s="7">
        <f>49</f>
        <v>49</v>
      </c>
      <c r="K914" s="5" t="s">
        <v>270</v>
      </c>
      <c r="L914" s="8">
        <f>1</f>
        <v>1</v>
      </c>
      <c r="M914" s="8">
        <f>2690297</f>
        <v>2690297</v>
      </c>
      <c r="N914" s="6" t="s">
        <v>635</v>
      </c>
      <c r="O914" s="5" t="s">
        <v>268</v>
      </c>
      <c r="P914" s="5" t="s">
        <v>712</v>
      </c>
      <c r="R914" s="8">
        <f>2690296</f>
        <v>2690296</v>
      </c>
      <c r="S914" s="5" t="s">
        <v>240</v>
      </c>
      <c r="T914" s="5" t="s">
        <v>237</v>
      </c>
      <c r="U914" s="5" t="s">
        <v>238</v>
      </c>
      <c r="V914" s="5" t="s">
        <v>238</v>
      </c>
      <c r="W914" s="5" t="s">
        <v>241</v>
      </c>
      <c r="X914" s="5" t="s">
        <v>276</v>
      </c>
      <c r="Y914" s="5" t="s">
        <v>238</v>
      </c>
      <c r="AB914" s="5" t="s">
        <v>238</v>
      </c>
      <c r="AD914" s="6" t="s">
        <v>238</v>
      </c>
      <c r="AG914" s="6" t="s">
        <v>401</v>
      </c>
      <c r="AH914" s="5" t="s">
        <v>247</v>
      </c>
      <c r="AI914" s="5" t="s">
        <v>248</v>
      </c>
      <c r="AY914" s="5" t="s">
        <v>250</v>
      </c>
      <c r="AZ914" s="5" t="s">
        <v>238</v>
      </c>
      <c r="BA914" s="5" t="s">
        <v>251</v>
      </c>
      <c r="BB914" s="5" t="s">
        <v>238</v>
      </c>
      <c r="BC914" s="5" t="s">
        <v>253</v>
      </c>
      <c r="BD914" s="5" t="s">
        <v>238</v>
      </c>
      <c r="BF914" s="5" t="s">
        <v>238</v>
      </c>
      <c r="BH914" s="5" t="s">
        <v>798</v>
      </c>
      <c r="BI914" s="6" t="s">
        <v>799</v>
      </c>
      <c r="BJ914" s="5" t="s">
        <v>255</v>
      </c>
      <c r="BK914" s="5" t="s">
        <v>256</v>
      </c>
      <c r="BL914" s="5" t="s">
        <v>238</v>
      </c>
      <c r="BM914" s="7">
        <f>0</f>
        <v>0</v>
      </c>
      <c r="BN914" s="8">
        <f>0</f>
        <v>0</v>
      </c>
      <c r="BO914" s="5" t="s">
        <v>257</v>
      </c>
      <c r="BP914" s="5" t="s">
        <v>258</v>
      </c>
      <c r="CD914" s="5" t="s">
        <v>238</v>
      </c>
      <c r="CE914" s="5" t="s">
        <v>238</v>
      </c>
      <c r="CI914" s="5" t="s">
        <v>259</v>
      </c>
      <c r="CJ914" s="5" t="s">
        <v>260</v>
      </c>
      <c r="CK914" s="5" t="s">
        <v>238</v>
      </c>
      <c r="CM914" s="5" t="s">
        <v>638</v>
      </c>
      <c r="CN914" s="6" t="s">
        <v>262</v>
      </c>
      <c r="CO914" s="5" t="s">
        <v>263</v>
      </c>
      <c r="CP914" s="5" t="s">
        <v>264</v>
      </c>
      <c r="CQ914" s="5" t="s">
        <v>238</v>
      </c>
      <c r="CR914" s="5" t="s">
        <v>238</v>
      </c>
      <c r="CS914" s="5">
        <v>0</v>
      </c>
      <c r="CT914" s="5" t="s">
        <v>265</v>
      </c>
      <c r="CU914" s="5" t="s">
        <v>351</v>
      </c>
      <c r="CV914" s="5" t="s">
        <v>394</v>
      </c>
      <c r="CX914" s="8">
        <f>2690297</f>
        <v>2690297</v>
      </c>
      <c r="CY914" s="8">
        <f>0</f>
        <v>0</v>
      </c>
      <c r="DA914" s="5" t="s">
        <v>238</v>
      </c>
      <c r="DB914" s="5" t="s">
        <v>238</v>
      </c>
      <c r="DD914" s="5" t="s">
        <v>238</v>
      </c>
      <c r="DG914" s="5" t="s">
        <v>238</v>
      </c>
      <c r="DH914" s="5" t="s">
        <v>238</v>
      </c>
      <c r="DI914" s="5" t="s">
        <v>238</v>
      </c>
      <c r="DJ914" s="5" t="s">
        <v>238</v>
      </c>
      <c r="DK914" s="5" t="s">
        <v>271</v>
      </c>
      <c r="DL914" s="5" t="s">
        <v>272</v>
      </c>
      <c r="DM914" s="7">
        <f>49</f>
        <v>49</v>
      </c>
      <c r="DN914" s="5" t="s">
        <v>238</v>
      </c>
      <c r="DO914" s="5" t="s">
        <v>238</v>
      </c>
      <c r="DP914" s="5" t="s">
        <v>238</v>
      </c>
      <c r="DQ914" s="5" t="s">
        <v>238</v>
      </c>
      <c r="DT914" s="5" t="s">
        <v>641</v>
      </c>
      <c r="DU914" s="5" t="s">
        <v>310</v>
      </c>
      <c r="HM914" s="5" t="s">
        <v>271</v>
      </c>
      <c r="HP914" s="5" t="s">
        <v>272</v>
      </c>
      <c r="HQ914" s="5" t="s">
        <v>272</v>
      </c>
    </row>
    <row r="915" spans="1:238" x14ac:dyDescent="0.4">
      <c r="A915" s="5">
        <v>1011</v>
      </c>
      <c r="B915" s="5">
        <v>1</v>
      </c>
      <c r="C915" s="5">
        <v>1</v>
      </c>
      <c r="D915" s="5" t="s">
        <v>634</v>
      </c>
      <c r="E915" s="5" t="s">
        <v>277</v>
      </c>
      <c r="F915" s="5" t="s">
        <v>282</v>
      </c>
      <c r="G915" s="5" t="s">
        <v>1158</v>
      </c>
      <c r="H915" s="6" t="s">
        <v>637</v>
      </c>
      <c r="I915" s="5" t="s">
        <v>1163</v>
      </c>
      <c r="J915" s="7">
        <f>153.58</f>
        <v>153.58000000000001</v>
      </c>
      <c r="K915" s="5" t="s">
        <v>270</v>
      </c>
      <c r="L915" s="8">
        <f>1</f>
        <v>1</v>
      </c>
      <c r="M915" s="8">
        <f>1575879</f>
        <v>1575879</v>
      </c>
      <c r="N915" s="6" t="s">
        <v>635</v>
      </c>
      <c r="O915" s="5" t="s">
        <v>651</v>
      </c>
      <c r="P915" s="5" t="s">
        <v>651</v>
      </c>
      <c r="R915" s="8">
        <f>1575878</f>
        <v>1575878</v>
      </c>
      <c r="S915" s="5" t="s">
        <v>240</v>
      </c>
      <c r="T915" s="5" t="s">
        <v>237</v>
      </c>
      <c r="U915" s="5" t="s">
        <v>238</v>
      </c>
      <c r="V915" s="5" t="s">
        <v>238</v>
      </c>
      <c r="W915" s="5" t="s">
        <v>241</v>
      </c>
      <c r="X915" s="5" t="s">
        <v>276</v>
      </c>
      <c r="Y915" s="5" t="s">
        <v>238</v>
      </c>
      <c r="AB915" s="5" t="s">
        <v>238</v>
      </c>
      <c r="AD915" s="6" t="s">
        <v>238</v>
      </c>
      <c r="AG915" s="6" t="s">
        <v>246</v>
      </c>
      <c r="AH915" s="5" t="s">
        <v>247</v>
      </c>
      <c r="AI915" s="5" t="s">
        <v>248</v>
      </c>
      <c r="AY915" s="5" t="s">
        <v>250</v>
      </c>
      <c r="AZ915" s="5" t="s">
        <v>238</v>
      </c>
      <c r="BA915" s="5" t="s">
        <v>251</v>
      </c>
      <c r="BB915" s="5" t="s">
        <v>238</v>
      </c>
      <c r="BC915" s="5" t="s">
        <v>253</v>
      </c>
      <c r="BD915" s="5" t="s">
        <v>238</v>
      </c>
      <c r="BF915" s="5" t="s">
        <v>238</v>
      </c>
      <c r="BH915" s="5" t="s">
        <v>254</v>
      </c>
      <c r="BI915" s="6" t="s">
        <v>246</v>
      </c>
      <c r="BJ915" s="5" t="s">
        <v>255</v>
      </c>
      <c r="BK915" s="5" t="s">
        <v>294</v>
      </c>
      <c r="BL915" s="5" t="s">
        <v>238</v>
      </c>
      <c r="BM915" s="7">
        <f>0</f>
        <v>0</v>
      </c>
      <c r="BN915" s="8">
        <f>0</f>
        <v>0</v>
      </c>
      <c r="BO915" s="5" t="s">
        <v>257</v>
      </c>
      <c r="BP915" s="5" t="s">
        <v>258</v>
      </c>
      <c r="CD915" s="5" t="s">
        <v>238</v>
      </c>
      <c r="CE915" s="5" t="s">
        <v>238</v>
      </c>
      <c r="CI915" s="5" t="s">
        <v>259</v>
      </c>
      <c r="CJ915" s="5" t="s">
        <v>260</v>
      </c>
      <c r="CK915" s="5" t="s">
        <v>238</v>
      </c>
      <c r="CM915" s="5" t="s">
        <v>638</v>
      </c>
      <c r="CN915" s="6" t="s">
        <v>262</v>
      </c>
      <c r="CO915" s="5" t="s">
        <v>263</v>
      </c>
      <c r="CP915" s="5" t="s">
        <v>264</v>
      </c>
      <c r="CQ915" s="5" t="s">
        <v>238</v>
      </c>
      <c r="CR915" s="5" t="s">
        <v>238</v>
      </c>
      <c r="CS915" s="5">
        <v>0</v>
      </c>
      <c r="CT915" s="5" t="s">
        <v>265</v>
      </c>
      <c r="CU915" s="5" t="s">
        <v>1159</v>
      </c>
      <c r="CV915" s="5" t="s">
        <v>331</v>
      </c>
      <c r="CX915" s="8">
        <f>1575879</f>
        <v>1575879</v>
      </c>
      <c r="CY915" s="8">
        <f>0</f>
        <v>0</v>
      </c>
      <c r="DA915" s="5" t="s">
        <v>238</v>
      </c>
      <c r="DB915" s="5" t="s">
        <v>238</v>
      </c>
      <c r="DD915" s="5" t="s">
        <v>238</v>
      </c>
      <c r="DG915" s="5" t="s">
        <v>238</v>
      </c>
      <c r="DH915" s="5" t="s">
        <v>238</v>
      </c>
      <c r="DI915" s="5" t="s">
        <v>238</v>
      </c>
      <c r="DJ915" s="5" t="s">
        <v>238</v>
      </c>
      <c r="DK915" s="5" t="s">
        <v>271</v>
      </c>
      <c r="DL915" s="5" t="s">
        <v>272</v>
      </c>
      <c r="DM915" s="7">
        <f>153.58</f>
        <v>153.58000000000001</v>
      </c>
      <c r="DN915" s="5" t="s">
        <v>238</v>
      </c>
      <c r="DO915" s="5" t="s">
        <v>238</v>
      </c>
      <c r="DP915" s="5" t="s">
        <v>238</v>
      </c>
      <c r="DQ915" s="5" t="s">
        <v>238</v>
      </c>
      <c r="DT915" s="5" t="s">
        <v>641</v>
      </c>
      <c r="DU915" s="5" t="s">
        <v>379</v>
      </c>
      <c r="HM915" s="5" t="s">
        <v>379</v>
      </c>
      <c r="HP915" s="5" t="s">
        <v>272</v>
      </c>
      <c r="HQ915" s="5" t="s">
        <v>272</v>
      </c>
    </row>
    <row r="916" spans="1:238" x14ac:dyDescent="0.4">
      <c r="A916" s="5">
        <v>1012</v>
      </c>
      <c r="B916" s="5">
        <v>1</v>
      </c>
      <c r="C916" s="5">
        <v>4</v>
      </c>
      <c r="D916" s="5" t="s">
        <v>634</v>
      </c>
      <c r="E916" s="5" t="s">
        <v>277</v>
      </c>
      <c r="F916" s="5" t="s">
        <v>282</v>
      </c>
      <c r="G916" s="5" t="s">
        <v>1161</v>
      </c>
      <c r="H916" s="6" t="s">
        <v>637</v>
      </c>
      <c r="I916" s="5" t="s">
        <v>1160</v>
      </c>
      <c r="J916" s="7">
        <f>102.25</f>
        <v>102.25</v>
      </c>
      <c r="K916" s="5" t="s">
        <v>270</v>
      </c>
      <c r="L916" s="8">
        <f>290039</f>
        <v>290039</v>
      </c>
      <c r="M916" s="8">
        <f>1070177</f>
        <v>1070177</v>
      </c>
      <c r="N916" s="6" t="s">
        <v>635</v>
      </c>
      <c r="O916" s="5" t="s">
        <v>639</v>
      </c>
      <c r="P916" s="5" t="s">
        <v>640</v>
      </c>
      <c r="Q916" s="8">
        <f>28894</f>
        <v>28894</v>
      </c>
      <c r="R916" s="8">
        <f>780138</f>
        <v>780138</v>
      </c>
      <c r="S916" s="5" t="s">
        <v>240</v>
      </c>
      <c r="T916" s="5" t="s">
        <v>237</v>
      </c>
      <c r="U916" s="5" t="s">
        <v>238</v>
      </c>
      <c r="V916" s="5" t="s">
        <v>238</v>
      </c>
      <c r="W916" s="5" t="s">
        <v>241</v>
      </c>
      <c r="X916" s="5" t="s">
        <v>276</v>
      </c>
      <c r="Y916" s="5" t="s">
        <v>238</v>
      </c>
      <c r="AB916" s="5" t="s">
        <v>238</v>
      </c>
      <c r="AC916" s="6" t="s">
        <v>238</v>
      </c>
      <c r="AD916" s="6" t="s">
        <v>238</v>
      </c>
      <c r="AF916" s="6" t="s">
        <v>238</v>
      </c>
      <c r="AG916" s="6" t="s">
        <v>246</v>
      </c>
      <c r="AH916" s="5" t="s">
        <v>247</v>
      </c>
      <c r="AI916" s="5" t="s">
        <v>248</v>
      </c>
      <c r="AO916" s="5" t="s">
        <v>238</v>
      </c>
      <c r="AP916" s="5" t="s">
        <v>238</v>
      </c>
      <c r="AQ916" s="5" t="s">
        <v>238</v>
      </c>
      <c r="AR916" s="6" t="s">
        <v>238</v>
      </c>
      <c r="AS916" s="6" t="s">
        <v>238</v>
      </c>
      <c r="AT916" s="6" t="s">
        <v>238</v>
      </c>
      <c r="AW916" s="5" t="s">
        <v>304</v>
      </c>
      <c r="AX916" s="5" t="s">
        <v>304</v>
      </c>
      <c r="AY916" s="5" t="s">
        <v>250</v>
      </c>
      <c r="AZ916" s="5" t="s">
        <v>305</v>
      </c>
      <c r="BA916" s="5" t="s">
        <v>251</v>
      </c>
      <c r="BB916" s="5" t="s">
        <v>238</v>
      </c>
      <c r="BC916" s="5" t="s">
        <v>253</v>
      </c>
      <c r="BD916" s="5" t="s">
        <v>238</v>
      </c>
      <c r="BF916" s="5" t="s">
        <v>238</v>
      </c>
      <c r="BH916" s="5" t="s">
        <v>283</v>
      </c>
      <c r="BI916" s="6" t="s">
        <v>293</v>
      </c>
      <c r="BJ916" s="5" t="s">
        <v>294</v>
      </c>
      <c r="BK916" s="5" t="s">
        <v>294</v>
      </c>
      <c r="BL916" s="5" t="s">
        <v>238</v>
      </c>
      <c r="BM916" s="7">
        <f>0</f>
        <v>0</v>
      </c>
      <c r="BN916" s="8">
        <f>-28894</f>
        <v>-28894</v>
      </c>
      <c r="BO916" s="5" t="s">
        <v>257</v>
      </c>
      <c r="BP916" s="5" t="s">
        <v>258</v>
      </c>
      <c r="BQ916" s="5" t="s">
        <v>238</v>
      </c>
      <c r="BR916" s="5" t="s">
        <v>238</v>
      </c>
      <c r="BS916" s="5" t="s">
        <v>238</v>
      </c>
      <c r="BT916" s="5" t="s">
        <v>238</v>
      </c>
      <c r="CC916" s="5" t="s">
        <v>258</v>
      </c>
      <c r="CD916" s="5" t="s">
        <v>238</v>
      </c>
      <c r="CE916" s="5" t="s">
        <v>238</v>
      </c>
      <c r="CI916" s="5" t="s">
        <v>259</v>
      </c>
      <c r="CJ916" s="5" t="s">
        <v>260</v>
      </c>
      <c r="CK916" s="5" t="s">
        <v>238</v>
      </c>
      <c r="CM916" s="5" t="s">
        <v>638</v>
      </c>
      <c r="CN916" s="6" t="s">
        <v>262</v>
      </c>
      <c r="CO916" s="5" t="s">
        <v>263</v>
      </c>
      <c r="CP916" s="5" t="s">
        <v>264</v>
      </c>
      <c r="CQ916" s="5" t="s">
        <v>285</v>
      </c>
      <c r="CR916" s="5" t="s">
        <v>238</v>
      </c>
      <c r="CS916" s="5">
        <v>2.7E-2</v>
      </c>
      <c r="CT916" s="5" t="s">
        <v>265</v>
      </c>
      <c r="CU916" s="5" t="s">
        <v>1159</v>
      </c>
      <c r="CV916" s="5" t="s">
        <v>308</v>
      </c>
      <c r="CW916" s="7">
        <f>0</f>
        <v>0</v>
      </c>
      <c r="CX916" s="8">
        <f>1070177</f>
        <v>1070177</v>
      </c>
      <c r="CY916" s="8">
        <f>318933</f>
        <v>318933</v>
      </c>
      <c r="DA916" s="5" t="s">
        <v>238</v>
      </c>
      <c r="DB916" s="5" t="s">
        <v>238</v>
      </c>
      <c r="DD916" s="5" t="s">
        <v>238</v>
      </c>
      <c r="DE916" s="8">
        <f>0</f>
        <v>0</v>
      </c>
      <c r="DG916" s="5" t="s">
        <v>238</v>
      </c>
      <c r="DH916" s="5" t="s">
        <v>238</v>
      </c>
      <c r="DI916" s="5" t="s">
        <v>238</v>
      </c>
      <c r="DJ916" s="5" t="s">
        <v>238</v>
      </c>
      <c r="DK916" s="5" t="s">
        <v>271</v>
      </c>
      <c r="DL916" s="5" t="s">
        <v>272</v>
      </c>
      <c r="DM916" s="7">
        <f>102.25</f>
        <v>102.25</v>
      </c>
      <c r="DN916" s="5" t="s">
        <v>238</v>
      </c>
      <c r="DO916" s="5" t="s">
        <v>238</v>
      </c>
      <c r="DP916" s="5" t="s">
        <v>238</v>
      </c>
      <c r="DQ916" s="5" t="s">
        <v>238</v>
      </c>
      <c r="DT916" s="5" t="s">
        <v>641</v>
      </c>
      <c r="DU916" s="5" t="s">
        <v>313</v>
      </c>
      <c r="GL916" s="5" t="s">
        <v>1162</v>
      </c>
      <c r="HM916" s="5" t="s">
        <v>313</v>
      </c>
      <c r="HP916" s="5" t="s">
        <v>272</v>
      </c>
      <c r="HQ916" s="5" t="s">
        <v>272</v>
      </c>
      <c r="HR916" s="5" t="s">
        <v>238</v>
      </c>
      <c r="HS916" s="5" t="s">
        <v>238</v>
      </c>
      <c r="HT916" s="5" t="s">
        <v>238</v>
      </c>
      <c r="HU916" s="5" t="s">
        <v>238</v>
      </c>
      <c r="HV916" s="5" t="s">
        <v>238</v>
      </c>
      <c r="HW916" s="5" t="s">
        <v>238</v>
      </c>
      <c r="HX916" s="5" t="s">
        <v>238</v>
      </c>
      <c r="HY916" s="5" t="s">
        <v>238</v>
      </c>
      <c r="HZ916" s="5" t="s">
        <v>238</v>
      </c>
      <c r="IA916" s="5" t="s">
        <v>238</v>
      </c>
      <c r="IB916" s="5" t="s">
        <v>238</v>
      </c>
      <c r="IC916" s="5" t="s">
        <v>238</v>
      </c>
      <c r="ID916" s="5" t="s">
        <v>238</v>
      </c>
    </row>
    <row r="917" spans="1:238" x14ac:dyDescent="0.4">
      <c r="A917" s="5">
        <v>1013</v>
      </c>
      <c r="B917" s="5">
        <v>1</v>
      </c>
      <c r="C917" s="5">
        <v>4</v>
      </c>
      <c r="D917" s="5" t="s">
        <v>634</v>
      </c>
      <c r="E917" s="5" t="s">
        <v>277</v>
      </c>
      <c r="F917" s="5" t="s">
        <v>282</v>
      </c>
      <c r="G917" s="5" t="s">
        <v>636</v>
      </c>
      <c r="H917" s="6" t="s">
        <v>637</v>
      </c>
      <c r="I917" s="5" t="s">
        <v>633</v>
      </c>
      <c r="J917" s="7">
        <f>15.87</f>
        <v>15.87</v>
      </c>
      <c r="K917" s="5" t="s">
        <v>270</v>
      </c>
      <c r="L917" s="8">
        <f>202546</f>
        <v>202546</v>
      </c>
      <c r="M917" s="8">
        <f>747379</f>
        <v>747379</v>
      </c>
      <c r="N917" s="6" t="s">
        <v>635</v>
      </c>
      <c r="O917" s="5" t="s">
        <v>639</v>
      </c>
      <c r="P917" s="5" t="s">
        <v>640</v>
      </c>
      <c r="Q917" s="8">
        <f>20179</f>
        <v>20179</v>
      </c>
      <c r="R917" s="8">
        <f>544833</f>
        <v>544833</v>
      </c>
      <c r="S917" s="5" t="s">
        <v>240</v>
      </c>
      <c r="T917" s="5" t="s">
        <v>237</v>
      </c>
      <c r="U917" s="5" t="s">
        <v>238</v>
      </c>
      <c r="V917" s="5" t="s">
        <v>238</v>
      </c>
      <c r="W917" s="5" t="s">
        <v>241</v>
      </c>
      <c r="X917" s="5" t="s">
        <v>276</v>
      </c>
      <c r="Y917" s="5" t="s">
        <v>238</v>
      </c>
      <c r="AB917" s="5" t="s">
        <v>238</v>
      </c>
      <c r="AC917" s="6" t="s">
        <v>238</v>
      </c>
      <c r="AD917" s="6" t="s">
        <v>238</v>
      </c>
      <c r="AF917" s="6" t="s">
        <v>238</v>
      </c>
      <c r="AG917" s="6" t="s">
        <v>246</v>
      </c>
      <c r="AH917" s="5" t="s">
        <v>247</v>
      </c>
      <c r="AI917" s="5" t="s">
        <v>248</v>
      </c>
      <c r="AO917" s="5" t="s">
        <v>238</v>
      </c>
      <c r="AP917" s="5" t="s">
        <v>238</v>
      </c>
      <c r="AQ917" s="5" t="s">
        <v>238</v>
      </c>
      <c r="AR917" s="6" t="s">
        <v>238</v>
      </c>
      <c r="AS917" s="6" t="s">
        <v>238</v>
      </c>
      <c r="AT917" s="6" t="s">
        <v>238</v>
      </c>
      <c r="AW917" s="5" t="s">
        <v>304</v>
      </c>
      <c r="AX917" s="5" t="s">
        <v>304</v>
      </c>
      <c r="AY917" s="5" t="s">
        <v>250</v>
      </c>
      <c r="AZ917" s="5" t="s">
        <v>305</v>
      </c>
      <c r="BA917" s="5" t="s">
        <v>251</v>
      </c>
      <c r="BB917" s="5" t="s">
        <v>238</v>
      </c>
      <c r="BC917" s="5" t="s">
        <v>253</v>
      </c>
      <c r="BD917" s="5" t="s">
        <v>238</v>
      </c>
      <c r="BF917" s="5" t="s">
        <v>238</v>
      </c>
      <c r="BH917" s="5" t="s">
        <v>283</v>
      </c>
      <c r="BI917" s="6" t="s">
        <v>293</v>
      </c>
      <c r="BJ917" s="5" t="s">
        <v>294</v>
      </c>
      <c r="BK917" s="5" t="s">
        <v>294</v>
      </c>
      <c r="BL917" s="5" t="s">
        <v>238</v>
      </c>
      <c r="BM917" s="7">
        <f>0</f>
        <v>0</v>
      </c>
      <c r="BN917" s="8">
        <f>-20179</f>
        <v>-20179</v>
      </c>
      <c r="BO917" s="5" t="s">
        <v>257</v>
      </c>
      <c r="BP917" s="5" t="s">
        <v>258</v>
      </c>
      <c r="BQ917" s="5" t="s">
        <v>238</v>
      </c>
      <c r="BR917" s="5" t="s">
        <v>238</v>
      </c>
      <c r="BS917" s="5" t="s">
        <v>238</v>
      </c>
      <c r="BT917" s="5" t="s">
        <v>238</v>
      </c>
      <c r="CC917" s="5" t="s">
        <v>258</v>
      </c>
      <c r="CD917" s="5" t="s">
        <v>238</v>
      </c>
      <c r="CE917" s="5" t="s">
        <v>238</v>
      </c>
      <c r="CI917" s="5" t="s">
        <v>259</v>
      </c>
      <c r="CJ917" s="5" t="s">
        <v>260</v>
      </c>
      <c r="CK917" s="5" t="s">
        <v>238</v>
      </c>
      <c r="CM917" s="5" t="s">
        <v>638</v>
      </c>
      <c r="CN917" s="6" t="s">
        <v>262</v>
      </c>
      <c r="CO917" s="5" t="s">
        <v>263</v>
      </c>
      <c r="CP917" s="5" t="s">
        <v>264</v>
      </c>
      <c r="CQ917" s="5" t="s">
        <v>285</v>
      </c>
      <c r="CR917" s="5" t="s">
        <v>238</v>
      </c>
      <c r="CS917" s="5">
        <v>2.7E-2</v>
      </c>
      <c r="CT917" s="5" t="s">
        <v>265</v>
      </c>
      <c r="CU917" s="5" t="s">
        <v>266</v>
      </c>
      <c r="CV917" s="5" t="s">
        <v>308</v>
      </c>
      <c r="CW917" s="7">
        <f>0</f>
        <v>0</v>
      </c>
      <c r="CX917" s="8">
        <f>747379</f>
        <v>747379</v>
      </c>
      <c r="CY917" s="8">
        <f>222725</f>
        <v>222725</v>
      </c>
      <c r="DA917" s="5" t="s">
        <v>238</v>
      </c>
      <c r="DB917" s="5" t="s">
        <v>238</v>
      </c>
      <c r="DD917" s="5" t="s">
        <v>238</v>
      </c>
      <c r="DE917" s="8">
        <f>0</f>
        <v>0</v>
      </c>
      <c r="DG917" s="5" t="s">
        <v>238</v>
      </c>
      <c r="DH917" s="5" t="s">
        <v>238</v>
      </c>
      <c r="DI917" s="5" t="s">
        <v>238</v>
      </c>
      <c r="DJ917" s="5" t="s">
        <v>238</v>
      </c>
      <c r="DK917" s="5" t="s">
        <v>271</v>
      </c>
      <c r="DL917" s="5" t="s">
        <v>272</v>
      </c>
      <c r="DM917" s="7">
        <f>15.87</f>
        <v>15.87</v>
      </c>
      <c r="DN917" s="5" t="s">
        <v>238</v>
      </c>
      <c r="DO917" s="5" t="s">
        <v>238</v>
      </c>
      <c r="DP917" s="5" t="s">
        <v>238</v>
      </c>
      <c r="DQ917" s="5" t="s">
        <v>238</v>
      </c>
      <c r="DT917" s="5" t="s">
        <v>641</v>
      </c>
      <c r="DU917" s="5" t="s">
        <v>389</v>
      </c>
      <c r="GL917" s="5" t="s">
        <v>642</v>
      </c>
      <c r="HM917" s="5" t="s">
        <v>313</v>
      </c>
      <c r="HP917" s="5" t="s">
        <v>272</v>
      </c>
      <c r="HQ917" s="5" t="s">
        <v>272</v>
      </c>
      <c r="HR917" s="5" t="s">
        <v>238</v>
      </c>
      <c r="HS917" s="5" t="s">
        <v>238</v>
      </c>
      <c r="HT917" s="5" t="s">
        <v>238</v>
      </c>
      <c r="HU917" s="5" t="s">
        <v>238</v>
      </c>
      <c r="HV917" s="5" t="s">
        <v>238</v>
      </c>
      <c r="HW917" s="5" t="s">
        <v>238</v>
      </c>
      <c r="HX917" s="5" t="s">
        <v>238</v>
      </c>
      <c r="HY917" s="5" t="s">
        <v>238</v>
      </c>
      <c r="HZ917" s="5" t="s">
        <v>238</v>
      </c>
      <c r="IA917" s="5" t="s">
        <v>238</v>
      </c>
      <c r="IB917" s="5" t="s">
        <v>238</v>
      </c>
      <c r="IC917" s="5" t="s">
        <v>238</v>
      </c>
      <c r="ID917" s="5" t="s">
        <v>238</v>
      </c>
    </row>
    <row r="918" spans="1:238" x14ac:dyDescent="0.4">
      <c r="A918" s="5">
        <v>1014</v>
      </c>
      <c r="B918" s="5">
        <v>1</v>
      </c>
      <c r="C918" s="5">
        <v>4</v>
      </c>
      <c r="D918" s="5" t="s">
        <v>634</v>
      </c>
      <c r="E918" s="5" t="s">
        <v>277</v>
      </c>
      <c r="F918" s="5" t="s">
        <v>282</v>
      </c>
      <c r="G918" s="5" t="s">
        <v>636</v>
      </c>
      <c r="H918" s="6" t="s">
        <v>637</v>
      </c>
      <c r="I918" s="5" t="s">
        <v>633</v>
      </c>
      <c r="J918" s="7">
        <f>11.75</f>
        <v>11.75</v>
      </c>
      <c r="K918" s="5" t="s">
        <v>270</v>
      </c>
      <c r="L918" s="8">
        <f>104449</f>
        <v>104449</v>
      </c>
      <c r="M918" s="8">
        <f>385411</f>
        <v>385411</v>
      </c>
      <c r="N918" s="6" t="s">
        <v>635</v>
      </c>
      <c r="O918" s="5" t="s">
        <v>639</v>
      </c>
      <c r="P918" s="5" t="s">
        <v>640</v>
      </c>
      <c r="Q918" s="8">
        <f>10406</f>
        <v>10406</v>
      </c>
      <c r="R918" s="8">
        <f>280962</f>
        <v>280962</v>
      </c>
      <c r="S918" s="5" t="s">
        <v>240</v>
      </c>
      <c r="T918" s="5" t="s">
        <v>237</v>
      </c>
      <c r="U918" s="5" t="s">
        <v>238</v>
      </c>
      <c r="V918" s="5" t="s">
        <v>238</v>
      </c>
      <c r="W918" s="5" t="s">
        <v>241</v>
      </c>
      <c r="X918" s="5" t="s">
        <v>276</v>
      </c>
      <c r="Y918" s="5" t="s">
        <v>238</v>
      </c>
      <c r="AB918" s="5" t="s">
        <v>238</v>
      </c>
      <c r="AC918" s="6" t="s">
        <v>238</v>
      </c>
      <c r="AD918" s="6" t="s">
        <v>238</v>
      </c>
      <c r="AF918" s="6" t="s">
        <v>238</v>
      </c>
      <c r="AG918" s="6" t="s">
        <v>246</v>
      </c>
      <c r="AH918" s="5" t="s">
        <v>247</v>
      </c>
      <c r="AI918" s="5" t="s">
        <v>248</v>
      </c>
      <c r="AO918" s="5" t="s">
        <v>238</v>
      </c>
      <c r="AP918" s="5" t="s">
        <v>238</v>
      </c>
      <c r="AQ918" s="5" t="s">
        <v>238</v>
      </c>
      <c r="AR918" s="6" t="s">
        <v>238</v>
      </c>
      <c r="AS918" s="6" t="s">
        <v>238</v>
      </c>
      <c r="AT918" s="6" t="s">
        <v>238</v>
      </c>
      <c r="AW918" s="5" t="s">
        <v>304</v>
      </c>
      <c r="AX918" s="5" t="s">
        <v>304</v>
      </c>
      <c r="AY918" s="5" t="s">
        <v>250</v>
      </c>
      <c r="AZ918" s="5" t="s">
        <v>305</v>
      </c>
      <c r="BA918" s="5" t="s">
        <v>251</v>
      </c>
      <c r="BB918" s="5" t="s">
        <v>238</v>
      </c>
      <c r="BC918" s="5" t="s">
        <v>253</v>
      </c>
      <c r="BD918" s="5" t="s">
        <v>238</v>
      </c>
      <c r="BF918" s="5" t="s">
        <v>238</v>
      </c>
      <c r="BH918" s="5" t="s">
        <v>283</v>
      </c>
      <c r="BI918" s="6" t="s">
        <v>293</v>
      </c>
      <c r="BJ918" s="5" t="s">
        <v>294</v>
      </c>
      <c r="BK918" s="5" t="s">
        <v>294</v>
      </c>
      <c r="BL918" s="5" t="s">
        <v>238</v>
      </c>
      <c r="BM918" s="7">
        <f>0</f>
        <v>0</v>
      </c>
      <c r="BN918" s="8">
        <f>-10406</f>
        <v>-10406</v>
      </c>
      <c r="BO918" s="5" t="s">
        <v>257</v>
      </c>
      <c r="BP918" s="5" t="s">
        <v>258</v>
      </c>
      <c r="BQ918" s="5" t="s">
        <v>238</v>
      </c>
      <c r="BR918" s="5" t="s">
        <v>238</v>
      </c>
      <c r="BS918" s="5" t="s">
        <v>238</v>
      </c>
      <c r="BT918" s="5" t="s">
        <v>238</v>
      </c>
      <c r="CC918" s="5" t="s">
        <v>258</v>
      </c>
      <c r="CD918" s="5" t="s">
        <v>238</v>
      </c>
      <c r="CE918" s="5" t="s">
        <v>238</v>
      </c>
      <c r="CI918" s="5" t="s">
        <v>259</v>
      </c>
      <c r="CJ918" s="5" t="s">
        <v>260</v>
      </c>
      <c r="CK918" s="5" t="s">
        <v>238</v>
      </c>
      <c r="CM918" s="5" t="s">
        <v>638</v>
      </c>
      <c r="CN918" s="6" t="s">
        <v>262</v>
      </c>
      <c r="CO918" s="5" t="s">
        <v>263</v>
      </c>
      <c r="CP918" s="5" t="s">
        <v>264</v>
      </c>
      <c r="CQ918" s="5" t="s">
        <v>285</v>
      </c>
      <c r="CR918" s="5" t="s">
        <v>238</v>
      </c>
      <c r="CS918" s="5">
        <v>2.7E-2</v>
      </c>
      <c r="CT918" s="5" t="s">
        <v>265</v>
      </c>
      <c r="CU918" s="5" t="s">
        <v>266</v>
      </c>
      <c r="CV918" s="5" t="s">
        <v>308</v>
      </c>
      <c r="CW918" s="7">
        <f>0</f>
        <v>0</v>
      </c>
      <c r="CX918" s="8">
        <f>385411</f>
        <v>385411</v>
      </c>
      <c r="CY918" s="8">
        <f>114855</f>
        <v>114855</v>
      </c>
      <c r="DA918" s="5" t="s">
        <v>238</v>
      </c>
      <c r="DB918" s="5" t="s">
        <v>238</v>
      </c>
      <c r="DD918" s="5" t="s">
        <v>238</v>
      </c>
      <c r="DE918" s="8">
        <f>0</f>
        <v>0</v>
      </c>
      <c r="DG918" s="5" t="s">
        <v>238</v>
      </c>
      <c r="DH918" s="5" t="s">
        <v>238</v>
      </c>
      <c r="DI918" s="5" t="s">
        <v>238</v>
      </c>
      <c r="DJ918" s="5" t="s">
        <v>238</v>
      </c>
      <c r="DK918" s="5" t="s">
        <v>271</v>
      </c>
      <c r="DL918" s="5" t="s">
        <v>272</v>
      </c>
      <c r="DM918" s="7">
        <f>11.75</f>
        <v>11.75</v>
      </c>
      <c r="DN918" s="5" t="s">
        <v>238</v>
      </c>
      <c r="DO918" s="5" t="s">
        <v>238</v>
      </c>
      <c r="DP918" s="5" t="s">
        <v>238</v>
      </c>
      <c r="DQ918" s="5" t="s">
        <v>238</v>
      </c>
      <c r="DT918" s="5" t="s">
        <v>641</v>
      </c>
      <c r="DU918" s="5" t="s">
        <v>354</v>
      </c>
      <c r="GL918" s="5" t="s">
        <v>747</v>
      </c>
      <c r="HM918" s="5" t="s">
        <v>313</v>
      </c>
      <c r="HP918" s="5" t="s">
        <v>272</v>
      </c>
      <c r="HQ918" s="5" t="s">
        <v>272</v>
      </c>
      <c r="HR918" s="5" t="s">
        <v>238</v>
      </c>
      <c r="HS918" s="5" t="s">
        <v>238</v>
      </c>
      <c r="HT918" s="5" t="s">
        <v>238</v>
      </c>
      <c r="HU918" s="5" t="s">
        <v>238</v>
      </c>
      <c r="HV918" s="5" t="s">
        <v>238</v>
      </c>
      <c r="HW918" s="5" t="s">
        <v>238</v>
      </c>
      <c r="HX918" s="5" t="s">
        <v>238</v>
      </c>
      <c r="HY918" s="5" t="s">
        <v>238</v>
      </c>
      <c r="HZ918" s="5" t="s">
        <v>238</v>
      </c>
      <c r="IA918" s="5" t="s">
        <v>238</v>
      </c>
      <c r="IB918" s="5" t="s">
        <v>238</v>
      </c>
      <c r="IC918" s="5" t="s">
        <v>238</v>
      </c>
      <c r="ID918" s="5" t="s">
        <v>238</v>
      </c>
    </row>
    <row r="919" spans="1:238" x14ac:dyDescent="0.4">
      <c r="A919" s="5">
        <v>1015</v>
      </c>
      <c r="B919" s="5">
        <v>1</v>
      </c>
      <c r="C919" s="5">
        <v>4</v>
      </c>
      <c r="D919" s="5" t="s">
        <v>2483</v>
      </c>
      <c r="E919" s="5" t="s">
        <v>277</v>
      </c>
      <c r="F919" s="5" t="s">
        <v>282</v>
      </c>
      <c r="G919" s="5" t="s">
        <v>2485</v>
      </c>
      <c r="H919" s="6" t="s">
        <v>2486</v>
      </c>
      <c r="I919" s="5" t="s">
        <v>2482</v>
      </c>
      <c r="J919" s="7">
        <f t="shared" ref="J919:J934" si="60">81.14</f>
        <v>81.14</v>
      </c>
      <c r="K919" s="5" t="s">
        <v>270</v>
      </c>
      <c r="L919" s="8">
        <f t="shared" ref="L919:L934" si="61">9771984</f>
        <v>9771984</v>
      </c>
      <c r="M919" s="8">
        <f t="shared" ref="M919:M934" si="62">15462000</f>
        <v>15462000</v>
      </c>
      <c r="N919" s="6" t="s">
        <v>2484</v>
      </c>
      <c r="O919" s="5" t="s">
        <v>286</v>
      </c>
      <c r="P919" s="5" t="s">
        <v>313</v>
      </c>
      <c r="Q919" s="8">
        <f t="shared" ref="Q919:Q934" si="63">711252</f>
        <v>711252</v>
      </c>
      <c r="R919" s="8">
        <f t="shared" ref="R919:R934" si="64">5690016</f>
        <v>5690016</v>
      </c>
      <c r="S919" s="5" t="s">
        <v>240</v>
      </c>
      <c r="T919" s="5" t="s">
        <v>237</v>
      </c>
      <c r="U919" s="5" t="s">
        <v>238</v>
      </c>
      <c r="V919" s="5" t="s">
        <v>238</v>
      </c>
      <c r="W919" s="5" t="s">
        <v>241</v>
      </c>
      <c r="X919" s="5" t="s">
        <v>276</v>
      </c>
      <c r="Y919" s="5" t="s">
        <v>238</v>
      </c>
      <c r="AB919" s="5" t="s">
        <v>238</v>
      </c>
      <c r="AC919" s="6" t="s">
        <v>238</v>
      </c>
      <c r="AD919" s="6" t="s">
        <v>238</v>
      </c>
      <c r="AF919" s="6" t="s">
        <v>238</v>
      </c>
      <c r="AG919" s="6" t="s">
        <v>246</v>
      </c>
      <c r="AH919" s="5" t="s">
        <v>247</v>
      </c>
      <c r="AI919" s="5" t="s">
        <v>248</v>
      </c>
      <c r="AO919" s="5" t="s">
        <v>238</v>
      </c>
      <c r="AP919" s="5" t="s">
        <v>238</v>
      </c>
      <c r="AQ919" s="5" t="s">
        <v>238</v>
      </c>
      <c r="AR919" s="6" t="s">
        <v>238</v>
      </c>
      <c r="AS919" s="6" t="s">
        <v>238</v>
      </c>
      <c r="AT919" s="6" t="s">
        <v>238</v>
      </c>
      <c r="AW919" s="5" t="s">
        <v>304</v>
      </c>
      <c r="AX919" s="5" t="s">
        <v>304</v>
      </c>
      <c r="AY919" s="5" t="s">
        <v>250</v>
      </c>
      <c r="AZ919" s="5" t="s">
        <v>305</v>
      </c>
      <c r="BA919" s="5" t="s">
        <v>251</v>
      </c>
      <c r="BB919" s="5" t="s">
        <v>238</v>
      </c>
      <c r="BC919" s="5" t="s">
        <v>253</v>
      </c>
      <c r="BD919" s="5" t="s">
        <v>238</v>
      </c>
      <c r="BF919" s="5" t="s">
        <v>238</v>
      </c>
      <c r="BH919" s="5" t="s">
        <v>283</v>
      </c>
      <c r="BI919" s="6" t="s">
        <v>293</v>
      </c>
      <c r="BJ919" s="5" t="s">
        <v>294</v>
      </c>
      <c r="BK919" s="5" t="s">
        <v>294</v>
      </c>
      <c r="BL919" s="5" t="s">
        <v>238</v>
      </c>
      <c r="BM919" s="7">
        <f>0</f>
        <v>0</v>
      </c>
      <c r="BN919" s="8">
        <f t="shared" ref="BN919:BN934" si="65">-711252</f>
        <v>-711252</v>
      </c>
      <c r="BO919" s="5" t="s">
        <v>257</v>
      </c>
      <c r="BP919" s="5" t="s">
        <v>258</v>
      </c>
      <c r="BQ919" s="5" t="s">
        <v>238</v>
      </c>
      <c r="BR919" s="5" t="s">
        <v>238</v>
      </c>
      <c r="BS919" s="5" t="s">
        <v>238</v>
      </c>
      <c r="BT919" s="5" t="s">
        <v>238</v>
      </c>
      <c r="CC919" s="5" t="s">
        <v>258</v>
      </c>
      <c r="CD919" s="5" t="s">
        <v>238</v>
      </c>
      <c r="CE919" s="5" t="s">
        <v>238</v>
      </c>
      <c r="CI919" s="5" t="s">
        <v>259</v>
      </c>
      <c r="CJ919" s="5" t="s">
        <v>260</v>
      </c>
      <c r="CK919" s="5" t="s">
        <v>238</v>
      </c>
      <c r="CM919" s="5" t="s">
        <v>723</v>
      </c>
      <c r="CN919" s="6" t="s">
        <v>262</v>
      </c>
      <c r="CO919" s="5" t="s">
        <v>263</v>
      </c>
      <c r="CP919" s="5" t="s">
        <v>264</v>
      </c>
      <c r="CQ919" s="5" t="s">
        <v>285</v>
      </c>
      <c r="CR919" s="5" t="s">
        <v>238</v>
      </c>
      <c r="CS919" s="5">
        <v>4.5999999999999999E-2</v>
      </c>
      <c r="CT919" s="5" t="s">
        <v>265</v>
      </c>
      <c r="CU919" s="5" t="s">
        <v>1360</v>
      </c>
      <c r="CV919" s="5" t="s">
        <v>267</v>
      </c>
      <c r="CW919" s="7">
        <f>0</f>
        <v>0</v>
      </c>
      <c r="CX919" s="8">
        <f t="shared" ref="CX919:CX934" si="66">15462000</f>
        <v>15462000</v>
      </c>
      <c r="CY919" s="8">
        <f t="shared" ref="CY919:CY934" si="67">10483236</f>
        <v>10483236</v>
      </c>
      <c r="DA919" s="5" t="s">
        <v>238</v>
      </c>
      <c r="DB919" s="5" t="s">
        <v>238</v>
      </c>
      <c r="DD919" s="5" t="s">
        <v>238</v>
      </c>
      <c r="DE919" s="8">
        <f>0</f>
        <v>0</v>
      </c>
      <c r="DG919" s="5" t="s">
        <v>238</v>
      </c>
      <c r="DH919" s="5" t="s">
        <v>238</v>
      </c>
      <c r="DI919" s="5" t="s">
        <v>238</v>
      </c>
      <c r="DJ919" s="5" t="s">
        <v>238</v>
      </c>
      <c r="DK919" s="5" t="s">
        <v>274</v>
      </c>
      <c r="DL919" s="5" t="s">
        <v>272</v>
      </c>
      <c r="DM919" s="7">
        <f t="shared" ref="DM919:DM934" si="68">81.14</f>
        <v>81.14</v>
      </c>
      <c r="DN919" s="5" t="s">
        <v>238</v>
      </c>
      <c r="DO919" s="5" t="s">
        <v>238</v>
      </c>
      <c r="DP919" s="5" t="s">
        <v>238</v>
      </c>
      <c r="DQ919" s="5" t="s">
        <v>238</v>
      </c>
      <c r="DT919" s="5" t="s">
        <v>2487</v>
      </c>
      <c r="DU919" s="5" t="s">
        <v>271</v>
      </c>
      <c r="GL919" s="5" t="s">
        <v>2629</v>
      </c>
      <c r="HM919" s="5" t="s">
        <v>313</v>
      </c>
      <c r="HP919" s="5" t="s">
        <v>272</v>
      </c>
      <c r="HQ919" s="5" t="s">
        <v>272</v>
      </c>
      <c r="HR919" s="5" t="s">
        <v>238</v>
      </c>
      <c r="HS919" s="5" t="s">
        <v>238</v>
      </c>
      <c r="HT919" s="5" t="s">
        <v>238</v>
      </c>
      <c r="HU919" s="5" t="s">
        <v>238</v>
      </c>
      <c r="HV919" s="5" t="s">
        <v>238</v>
      </c>
      <c r="HW919" s="5" t="s">
        <v>238</v>
      </c>
      <c r="HX919" s="5" t="s">
        <v>238</v>
      </c>
      <c r="HY919" s="5" t="s">
        <v>238</v>
      </c>
      <c r="HZ919" s="5" t="s">
        <v>238</v>
      </c>
      <c r="IA919" s="5" t="s">
        <v>238</v>
      </c>
      <c r="IB919" s="5" t="s">
        <v>238</v>
      </c>
      <c r="IC919" s="5" t="s">
        <v>238</v>
      </c>
      <c r="ID919" s="5" t="s">
        <v>238</v>
      </c>
    </row>
    <row r="920" spans="1:238" x14ac:dyDescent="0.4">
      <c r="A920" s="5">
        <v>1016</v>
      </c>
      <c r="B920" s="5">
        <v>1</v>
      </c>
      <c r="C920" s="5">
        <v>4</v>
      </c>
      <c r="D920" s="5" t="s">
        <v>2483</v>
      </c>
      <c r="E920" s="5" t="s">
        <v>277</v>
      </c>
      <c r="F920" s="5" t="s">
        <v>282</v>
      </c>
      <c r="G920" s="5" t="s">
        <v>2485</v>
      </c>
      <c r="H920" s="6" t="s">
        <v>2486</v>
      </c>
      <c r="I920" s="5" t="s">
        <v>2482</v>
      </c>
      <c r="J920" s="7">
        <f t="shared" si="60"/>
        <v>81.14</v>
      </c>
      <c r="K920" s="5" t="s">
        <v>270</v>
      </c>
      <c r="L920" s="8">
        <f t="shared" si="61"/>
        <v>9771984</v>
      </c>
      <c r="M920" s="8">
        <f t="shared" si="62"/>
        <v>15462000</v>
      </c>
      <c r="N920" s="6" t="s">
        <v>2484</v>
      </c>
      <c r="O920" s="5" t="s">
        <v>286</v>
      </c>
      <c r="P920" s="5" t="s">
        <v>313</v>
      </c>
      <c r="Q920" s="8">
        <f t="shared" si="63"/>
        <v>711252</v>
      </c>
      <c r="R920" s="8">
        <f t="shared" si="64"/>
        <v>5690016</v>
      </c>
      <c r="S920" s="5" t="s">
        <v>240</v>
      </c>
      <c r="T920" s="5" t="s">
        <v>237</v>
      </c>
      <c r="U920" s="5" t="s">
        <v>238</v>
      </c>
      <c r="V920" s="5" t="s">
        <v>238</v>
      </c>
      <c r="W920" s="5" t="s">
        <v>241</v>
      </c>
      <c r="X920" s="5" t="s">
        <v>276</v>
      </c>
      <c r="Y920" s="5" t="s">
        <v>238</v>
      </c>
      <c r="AB920" s="5" t="s">
        <v>238</v>
      </c>
      <c r="AC920" s="6" t="s">
        <v>238</v>
      </c>
      <c r="AD920" s="6" t="s">
        <v>238</v>
      </c>
      <c r="AF920" s="6" t="s">
        <v>238</v>
      </c>
      <c r="AG920" s="6" t="s">
        <v>246</v>
      </c>
      <c r="AH920" s="5" t="s">
        <v>247</v>
      </c>
      <c r="AI920" s="5" t="s">
        <v>248</v>
      </c>
      <c r="AO920" s="5" t="s">
        <v>238</v>
      </c>
      <c r="AP920" s="5" t="s">
        <v>238</v>
      </c>
      <c r="AQ920" s="5" t="s">
        <v>238</v>
      </c>
      <c r="AR920" s="6" t="s">
        <v>238</v>
      </c>
      <c r="AS920" s="6" t="s">
        <v>238</v>
      </c>
      <c r="AT920" s="6" t="s">
        <v>238</v>
      </c>
      <c r="AW920" s="5" t="s">
        <v>304</v>
      </c>
      <c r="AX920" s="5" t="s">
        <v>304</v>
      </c>
      <c r="AY920" s="5" t="s">
        <v>250</v>
      </c>
      <c r="AZ920" s="5" t="s">
        <v>305</v>
      </c>
      <c r="BA920" s="5" t="s">
        <v>251</v>
      </c>
      <c r="BB920" s="5" t="s">
        <v>238</v>
      </c>
      <c r="BC920" s="5" t="s">
        <v>253</v>
      </c>
      <c r="BD920" s="5" t="s">
        <v>238</v>
      </c>
      <c r="BF920" s="5" t="s">
        <v>238</v>
      </c>
      <c r="BH920" s="5" t="s">
        <v>283</v>
      </c>
      <c r="BI920" s="6" t="s">
        <v>293</v>
      </c>
      <c r="BJ920" s="5" t="s">
        <v>294</v>
      </c>
      <c r="BK920" s="5" t="s">
        <v>294</v>
      </c>
      <c r="BL920" s="5" t="s">
        <v>238</v>
      </c>
      <c r="BM920" s="7">
        <f>0</f>
        <v>0</v>
      </c>
      <c r="BN920" s="8">
        <f t="shared" si="65"/>
        <v>-711252</v>
      </c>
      <c r="BO920" s="5" t="s">
        <v>257</v>
      </c>
      <c r="BP920" s="5" t="s">
        <v>258</v>
      </c>
      <c r="BQ920" s="5" t="s">
        <v>238</v>
      </c>
      <c r="BR920" s="5" t="s">
        <v>238</v>
      </c>
      <c r="BS920" s="5" t="s">
        <v>238</v>
      </c>
      <c r="BT920" s="5" t="s">
        <v>238</v>
      </c>
      <c r="CC920" s="5" t="s">
        <v>258</v>
      </c>
      <c r="CD920" s="5" t="s">
        <v>238</v>
      </c>
      <c r="CE920" s="5" t="s">
        <v>238</v>
      </c>
      <c r="CI920" s="5" t="s">
        <v>259</v>
      </c>
      <c r="CJ920" s="5" t="s">
        <v>260</v>
      </c>
      <c r="CK920" s="5" t="s">
        <v>238</v>
      </c>
      <c r="CM920" s="5" t="s">
        <v>723</v>
      </c>
      <c r="CN920" s="6" t="s">
        <v>262</v>
      </c>
      <c r="CO920" s="5" t="s">
        <v>263</v>
      </c>
      <c r="CP920" s="5" t="s">
        <v>264</v>
      </c>
      <c r="CQ920" s="5" t="s">
        <v>285</v>
      </c>
      <c r="CR920" s="5" t="s">
        <v>238</v>
      </c>
      <c r="CS920" s="5">
        <v>4.5999999999999999E-2</v>
      </c>
      <c r="CT920" s="5" t="s">
        <v>265</v>
      </c>
      <c r="CU920" s="5" t="s">
        <v>1360</v>
      </c>
      <c r="CV920" s="5" t="s">
        <v>267</v>
      </c>
      <c r="CW920" s="7">
        <f>0</f>
        <v>0</v>
      </c>
      <c r="CX920" s="8">
        <f t="shared" si="66"/>
        <v>15462000</v>
      </c>
      <c r="CY920" s="8">
        <f t="shared" si="67"/>
        <v>10483236</v>
      </c>
      <c r="DA920" s="5" t="s">
        <v>238</v>
      </c>
      <c r="DB920" s="5" t="s">
        <v>238</v>
      </c>
      <c r="DD920" s="5" t="s">
        <v>238</v>
      </c>
      <c r="DE920" s="8">
        <f>0</f>
        <v>0</v>
      </c>
      <c r="DG920" s="5" t="s">
        <v>238</v>
      </c>
      <c r="DH920" s="5" t="s">
        <v>238</v>
      </c>
      <c r="DI920" s="5" t="s">
        <v>238</v>
      </c>
      <c r="DJ920" s="5" t="s">
        <v>238</v>
      </c>
      <c r="DK920" s="5" t="s">
        <v>274</v>
      </c>
      <c r="DL920" s="5" t="s">
        <v>272</v>
      </c>
      <c r="DM920" s="7">
        <f t="shared" si="68"/>
        <v>81.14</v>
      </c>
      <c r="DN920" s="5" t="s">
        <v>238</v>
      </c>
      <c r="DO920" s="5" t="s">
        <v>238</v>
      </c>
      <c r="DP920" s="5" t="s">
        <v>238</v>
      </c>
      <c r="DQ920" s="5" t="s">
        <v>238</v>
      </c>
      <c r="DT920" s="5" t="s">
        <v>2487</v>
      </c>
      <c r="DU920" s="5" t="s">
        <v>274</v>
      </c>
      <c r="GL920" s="5" t="s">
        <v>2628</v>
      </c>
      <c r="HM920" s="5" t="s">
        <v>313</v>
      </c>
      <c r="HP920" s="5" t="s">
        <v>272</v>
      </c>
      <c r="HQ920" s="5" t="s">
        <v>272</v>
      </c>
      <c r="HR920" s="5" t="s">
        <v>238</v>
      </c>
      <c r="HS920" s="5" t="s">
        <v>238</v>
      </c>
      <c r="HT920" s="5" t="s">
        <v>238</v>
      </c>
      <c r="HU920" s="5" t="s">
        <v>238</v>
      </c>
      <c r="HV920" s="5" t="s">
        <v>238</v>
      </c>
      <c r="HW920" s="5" t="s">
        <v>238</v>
      </c>
      <c r="HX920" s="5" t="s">
        <v>238</v>
      </c>
      <c r="HY920" s="5" t="s">
        <v>238</v>
      </c>
      <c r="HZ920" s="5" t="s">
        <v>238</v>
      </c>
      <c r="IA920" s="5" t="s">
        <v>238</v>
      </c>
      <c r="IB920" s="5" t="s">
        <v>238</v>
      </c>
      <c r="IC920" s="5" t="s">
        <v>238</v>
      </c>
      <c r="ID920" s="5" t="s">
        <v>238</v>
      </c>
    </row>
    <row r="921" spans="1:238" x14ac:dyDescent="0.4">
      <c r="A921" s="5">
        <v>1017</v>
      </c>
      <c r="B921" s="5">
        <v>1</v>
      </c>
      <c r="C921" s="5">
        <v>4</v>
      </c>
      <c r="D921" s="5" t="s">
        <v>2483</v>
      </c>
      <c r="E921" s="5" t="s">
        <v>277</v>
      </c>
      <c r="F921" s="5" t="s">
        <v>282</v>
      </c>
      <c r="G921" s="5" t="s">
        <v>2485</v>
      </c>
      <c r="H921" s="6" t="s">
        <v>2486</v>
      </c>
      <c r="I921" s="5" t="s">
        <v>2482</v>
      </c>
      <c r="J921" s="7">
        <f t="shared" si="60"/>
        <v>81.14</v>
      </c>
      <c r="K921" s="5" t="s">
        <v>270</v>
      </c>
      <c r="L921" s="8">
        <f t="shared" si="61"/>
        <v>9771984</v>
      </c>
      <c r="M921" s="8">
        <f t="shared" si="62"/>
        <v>15462000</v>
      </c>
      <c r="N921" s="6" t="s">
        <v>2484</v>
      </c>
      <c r="O921" s="5" t="s">
        <v>286</v>
      </c>
      <c r="P921" s="5" t="s">
        <v>313</v>
      </c>
      <c r="Q921" s="8">
        <f t="shared" si="63"/>
        <v>711252</v>
      </c>
      <c r="R921" s="8">
        <f t="shared" si="64"/>
        <v>5690016</v>
      </c>
      <c r="S921" s="5" t="s">
        <v>240</v>
      </c>
      <c r="T921" s="5" t="s">
        <v>237</v>
      </c>
      <c r="U921" s="5" t="s">
        <v>238</v>
      </c>
      <c r="V921" s="5" t="s">
        <v>238</v>
      </c>
      <c r="W921" s="5" t="s">
        <v>241</v>
      </c>
      <c r="X921" s="5" t="s">
        <v>276</v>
      </c>
      <c r="Y921" s="5" t="s">
        <v>238</v>
      </c>
      <c r="AB921" s="5" t="s">
        <v>238</v>
      </c>
      <c r="AC921" s="6" t="s">
        <v>238</v>
      </c>
      <c r="AD921" s="6" t="s">
        <v>238</v>
      </c>
      <c r="AF921" s="6" t="s">
        <v>238</v>
      </c>
      <c r="AG921" s="6" t="s">
        <v>246</v>
      </c>
      <c r="AH921" s="5" t="s">
        <v>247</v>
      </c>
      <c r="AI921" s="5" t="s">
        <v>248</v>
      </c>
      <c r="AO921" s="5" t="s">
        <v>238</v>
      </c>
      <c r="AP921" s="5" t="s">
        <v>238</v>
      </c>
      <c r="AQ921" s="5" t="s">
        <v>238</v>
      </c>
      <c r="AR921" s="6" t="s">
        <v>238</v>
      </c>
      <c r="AS921" s="6" t="s">
        <v>238</v>
      </c>
      <c r="AT921" s="6" t="s">
        <v>238</v>
      </c>
      <c r="AW921" s="5" t="s">
        <v>304</v>
      </c>
      <c r="AX921" s="5" t="s">
        <v>304</v>
      </c>
      <c r="AY921" s="5" t="s">
        <v>250</v>
      </c>
      <c r="AZ921" s="5" t="s">
        <v>305</v>
      </c>
      <c r="BA921" s="5" t="s">
        <v>251</v>
      </c>
      <c r="BB921" s="5" t="s">
        <v>238</v>
      </c>
      <c r="BC921" s="5" t="s">
        <v>253</v>
      </c>
      <c r="BD921" s="5" t="s">
        <v>238</v>
      </c>
      <c r="BF921" s="5" t="s">
        <v>238</v>
      </c>
      <c r="BH921" s="5" t="s">
        <v>283</v>
      </c>
      <c r="BI921" s="6" t="s">
        <v>293</v>
      </c>
      <c r="BJ921" s="5" t="s">
        <v>294</v>
      </c>
      <c r="BK921" s="5" t="s">
        <v>294</v>
      </c>
      <c r="BL921" s="5" t="s">
        <v>238</v>
      </c>
      <c r="BM921" s="7">
        <f>0</f>
        <v>0</v>
      </c>
      <c r="BN921" s="8">
        <f t="shared" si="65"/>
        <v>-711252</v>
      </c>
      <c r="BO921" s="5" t="s">
        <v>257</v>
      </c>
      <c r="BP921" s="5" t="s">
        <v>258</v>
      </c>
      <c r="BQ921" s="5" t="s">
        <v>238</v>
      </c>
      <c r="BR921" s="5" t="s">
        <v>238</v>
      </c>
      <c r="BS921" s="5" t="s">
        <v>238</v>
      </c>
      <c r="BT921" s="5" t="s">
        <v>238</v>
      </c>
      <c r="CC921" s="5" t="s">
        <v>258</v>
      </c>
      <c r="CD921" s="5" t="s">
        <v>238</v>
      </c>
      <c r="CE921" s="5" t="s">
        <v>238</v>
      </c>
      <c r="CI921" s="5" t="s">
        <v>259</v>
      </c>
      <c r="CJ921" s="5" t="s">
        <v>260</v>
      </c>
      <c r="CK921" s="5" t="s">
        <v>238</v>
      </c>
      <c r="CM921" s="5" t="s">
        <v>723</v>
      </c>
      <c r="CN921" s="6" t="s">
        <v>262</v>
      </c>
      <c r="CO921" s="5" t="s">
        <v>263</v>
      </c>
      <c r="CP921" s="5" t="s">
        <v>264</v>
      </c>
      <c r="CQ921" s="5" t="s">
        <v>285</v>
      </c>
      <c r="CR921" s="5" t="s">
        <v>238</v>
      </c>
      <c r="CS921" s="5">
        <v>4.5999999999999999E-2</v>
      </c>
      <c r="CT921" s="5" t="s">
        <v>265</v>
      </c>
      <c r="CU921" s="5" t="s">
        <v>1360</v>
      </c>
      <c r="CV921" s="5" t="s">
        <v>267</v>
      </c>
      <c r="CW921" s="7">
        <f>0</f>
        <v>0</v>
      </c>
      <c r="CX921" s="8">
        <f t="shared" si="66"/>
        <v>15462000</v>
      </c>
      <c r="CY921" s="8">
        <f t="shared" si="67"/>
        <v>10483236</v>
      </c>
      <c r="DA921" s="5" t="s">
        <v>238</v>
      </c>
      <c r="DB921" s="5" t="s">
        <v>238</v>
      </c>
      <c r="DD921" s="5" t="s">
        <v>238</v>
      </c>
      <c r="DE921" s="8">
        <f>0</f>
        <v>0</v>
      </c>
      <c r="DG921" s="5" t="s">
        <v>238</v>
      </c>
      <c r="DH921" s="5" t="s">
        <v>238</v>
      </c>
      <c r="DI921" s="5" t="s">
        <v>238</v>
      </c>
      <c r="DJ921" s="5" t="s">
        <v>238</v>
      </c>
      <c r="DK921" s="5" t="s">
        <v>274</v>
      </c>
      <c r="DL921" s="5" t="s">
        <v>272</v>
      </c>
      <c r="DM921" s="7">
        <f t="shared" si="68"/>
        <v>81.14</v>
      </c>
      <c r="DN921" s="5" t="s">
        <v>238</v>
      </c>
      <c r="DO921" s="5" t="s">
        <v>238</v>
      </c>
      <c r="DP921" s="5" t="s">
        <v>238</v>
      </c>
      <c r="DQ921" s="5" t="s">
        <v>238</v>
      </c>
      <c r="DT921" s="5" t="s">
        <v>2487</v>
      </c>
      <c r="DU921" s="5" t="s">
        <v>356</v>
      </c>
      <c r="GL921" s="5" t="s">
        <v>2627</v>
      </c>
      <c r="HM921" s="5" t="s">
        <v>313</v>
      </c>
      <c r="HP921" s="5" t="s">
        <v>272</v>
      </c>
      <c r="HQ921" s="5" t="s">
        <v>272</v>
      </c>
      <c r="HR921" s="5" t="s">
        <v>238</v>
      </c>
      <c r="HS921" s="5" t="s">
        <v>238</v>
      </c>
      <c r="HT921" s="5" t="s">
        <v>238</v>
      </c>
      <c r="HU921" s="5" t="s">
        <v>238</v>
      </c>
      <c r="HV921" s="5" t="s">
        <v>238</v>
      </c>
      <c r="HW921" s="5" t="s">
        <v>238</v>
      </c>
      <c r="HX921" s="5" t="s">
        <v>238</v>
      </c>
      <c r="HY921" s="5" t="s">
        <v>238</v>
      </c>
      <c r="HZ921" s="5" t="s">
        <v>238</v>
      </c>
      <c r="IA921" s="5" t="s">
        <v>238</v>
      </c>
      <c r="IB921" s="5" t="s">
        <v>238</v>
      </c>
      <c r="IC921" s="5" t="s">
        <v>238</v>
      </c>
      <c r="ID921" s="5" t="s">
        <v>238</v>
      </c>
    </row>
    <row r="922" spans="1:238" x14ac:dyDescent="0.4">
      <c r="A922" s="5">
        <v>1018</v>
      </c>
      <c r="B922" s="5">
        <v>1</v>
      </c>
      <c r="C922" s="5">
        <v>4</v>
      </c>
      <c r="D922" s="5" t="s">
        <v>2483</v>
      </c>
      <c r="E922" s="5" t="s">
        <v>277</v>
      </c>
      <c r="F922" s="5" t="s">
        <v>282</v>
      </c>
      <c r="G922" s="5" t="s">
        <v>2485</v>
      </c>
      <c r="H922" s="6" t="s">
        <v>2486</v>
      </c>
      <c r="I922" s="5" t="s">
        <v>2482</v>
      </c>
      <c r="J922" s="7">
        <f t="shared" si="60"/>
        <v>81.14</v>
      </c>
      <c r="K922" s="5" t="s">
        <v>270</v>
      </c>
      <c r="L922" s="8">
        <f t="shared" si="61"/>
        <v>9771984</v>
      </c>
      <c r="M922" s="8">
        <f t="shared" si="62"/>
        <v>15462000</v>
      </c>
      <c r="N922" s="6" t="s">
        <v>2484</v>
      </c>
      <c r="O922" s="5" t="s">
        <v>286</v>
      </c>
      <c r="P922" s="5" t="s">
        <v>313</v>
      </c>
      <c r="Q922" s="8">
        <f t="shared" si="63"/>
        <v>711252</v>
      </c>
      <c r="R922" s="8">
        <f t="shared" si="64"/>
        <v>5690016</v>
      </c>
      <c r="S922" s="5" t="s">
        <v>240</v>
      </c>
      <c r="T922" s="5" t="s">
        <v>237</v>
      </c>
      <c r="U922" s="5" t="s">
        <v>238</v>
      </c>
      <c r="V922" s="5" t="s">
        <v>238</v>
      </c>
      <c r="W922" s="5" t="s">
        <v>241</v>
      </c>
      <c r="X922" s="5" t="s">
        <v>276</v>
      </c>
      <c r="Y922" s="5" t="s">
        <v>238</v>
      </c>
      <c r="AB922" s="5" t="s">
        <v>238</v>
      </c>
      <c r="AC922" s="6" t="s">
        <v>238</v>
      </c>
      <c r="AD922" s="6" t="s">
        <v>238</v>
      </c>
      <c r="AF922" s="6" t="s">
        <v>238</v>
      </c>
      <c r="AG922" s="6" t="s">
        <v>246</v>
      </c>
      <c r="AH922" s="5" t="s">
        <v>247</v>
      </c>
      <c r="AI922" s="5" t="s">
        <v>248</v>
      </c>
      <c r="AO922" s="5" t="s">
        <v>238</v>
      </c>
      <c r="AP922" s="5" t="s">
        <v>238</v>
      </c>
      <c r="AQ922" s="5" t="s">
        <v>238</v>
      </c>
      <c r="AR922" s="6" t="s">
        <v>238</v>
      </c>
      <c r="AS922" s="6" t="s">
        <v>238</v>
      </c>
      <c r="AT922" s="6" t="s">
        <v>238</v>
      </c>
      <c r="AW922" s="5" t="s">
        <v>304</v>
      </c>
      <c r="AX922" s="5" t="s">
        <v>304</v>
      </c>
      <c r="AY922" s="5" t="s">
        <v>250</v>
      </c>
      <c r="AZ922" s="5" t="s">
        <v>305</v>
      </c>
      <c r="BA922" s="5" t="s">
        <v>251</v>
      </c>
      <c r="BB922" s="5" t="s">
        <v>238</v>
      </c>
      <c r="BC922" s="5" t="s">
        <v>253</v>
      </c>
      <c r="BD922" s="5" t="s">
        <v>238</v>
      </c>
      <c r="BF922" s="5" t="s">
        <v>238</v>
      </c>
      <c r="BH922" s="5" t="s">
        <v>283</v>
      </c>
      <c r="BI922" s="6" t="s">
        <v>293</v>
      </c>
      <c r="BJ922" s="5" t="s">
        <v>294</v>
      </c>
      <c r="BK922" s="5" t="s">
        <v>294</v>
      </c>
      <c r="BL922" s="5" t="s">
        <v>238</v>
      </c>
      <c r="BM922" s="7">
        <f>0</f>
        <v>0</v>
      </c>
      <c r="BN922" s="8">
        <f t="shared" si="65"/>
        <v>-711252</v>
      </c>
      <c r="BO922" s="5" t="s">
        <v>257</v>
      </c>
      <c r="BP922" s="5" t="s">
        <v>258</v>
      </c>
      <c r="BQ922" s="5" t="s">
        <v>238</v>
      </c>
      <c r="BR922" s="5" t="s">
        <v>238</v>
      </c>
      <c r="BS922" s="5" t="s">
        <v>238</v>
      </c>
      <c r="BT922" s="5" t="s">
        <v>238</v>
      </c>
      <c r="CC922" s="5" t="s">
        <v>258</v>
      </c>
      <c r="CD922" s="5" t="s">
        <v>238</v>
      </c>
      <c r="CE922" s="5" t="s">
        <v>238</v>
      </c>
      <c r="CI922" s="5" t="s">
        <v>259</v>
      </c>
      <c r="CJ922" s="5" t="s">
        <v>260</v>
      </c>
      <c r="CK922" s="5" t="s">
        <v>238</v>
      </c>
      <c r="CM922" s="5" t="s">
        <v>723</v>
      </c>
      <c r="CN922" s="6" t="s">
        <v>262</v>
      </c>
      <c r="CO922" s="5" t="s">
        <v>263</v>
      </c>
      <c r="CP922" s="5" t="s">
        <v>264</v>
      </c>
      <c r="CQ922" s="5" t="s">
        <v>285</v>
      </c>
      <c r="CR922" s="5" t="s">
        <v>238</v>
      </c>
      <c r="CS922" s="5">
        <v>4.5999999999999999E-2</v>
      </c>
      <c r="CT922" s="5" t="s">
        <v>265</v>
      </c>
      <c r="CU922" s="5" t="s">
        <v>1360</v>
      </c>
      <c r="CV922" s="5" t="s">
        <v>267</v>
      </c>
      <c r="CW922" s="7">
        <f>0</f>
        <v>0</v>
      </c>
      <c r="CX922" s="8">
        <f t="shared" si="66"/>
        <v>15462000</v>
      </c>
      <c r="CY922" s="8">
        <f t="shared" si="67"/>
        <v>10483236</v>
      </c>
      <c r="DA922" s="5" t="s">
        <v>238</v>
      </c>
      <c r="DB922" s="5" t="s">
        <v>238</v>
      </c>
      <c r="DD922" s="5" t="s">
        <v>238</v>
      </c>
      <c r="DE922" s="8">
        <f>0</f>
        <v>0</v>
      </c>
      <c r="DG922" s="5" t="s">
        <v>238</v>
      </c>
      <c r="DH922" s="5" t="s">
        <v>238</v>
      </c>
      <c r="DI922" s="5" t="s">
        <v>238</v>
      </c>
      <c r="DJ922" s="5" t="s">
        <v>238</v>
      </c>
      <c r="DK922" s="5" t="s">
        <v>274</v>
      </c>
      <c r="DL922" s="5" t="s">
        <v>272</v>
      </c>
      <c r="DM922" s="7">
        <f t="shared" si="68"/>
        <v>81.14</v>
      </c>
      <c r="DN922" s="5" t="s">
        <v>238</v>
      </c>
      <c r="DO922" s="5" t="s">
        <v>238</v>
      </c>
      <c r="DP922" s="5" t="s">
        <v>238</v>
      </c>
      <c r="DQ922" s="5" t="s">
        <v>238</v>
      </c>
      <c r="DT922" s="5" t="s">
        <v>2487</v>
      </c>
      <c r="DU922" s="5" t="s">
        <v>310</v>
      </c>
      <c r="GL922" s="5" t="s">
        <v>2626</v>
      </c>
      <c r="HM922" s="5" t="s">
        <v>313</v>
      </c>
      <c r="HP922" s="5" t="s">
        <v>272</v>
      </c>
      <c r="HQ922" s="5" t="s">
        <v>272</v>
      </c>
      <c r="HR922" s="5" t="s">
        <v>238</v>
      </c>
      <c r="HS922" s="5" t="s">
        <v>238</v>
      </c>
      <c r="HT922" s="5" t="s">
        <v>238</v>
      </c>
      <c r="HU922" s="5" t="s">
        <v>238</v>
      </c>
      <c r="HV922" s="5" t="s">
        <v>238</v>
      </c>
      <c r="HW922" s="5" t="s">
        <v>238</v>
      </c>
      <c r="HX922" s="5" t="s">
        <v>238</v>
      </c>
      <c r="HY922" s="5" t="s">
        <v>238</v>
      </c>
      <c r="HZ922" s="5" t="s">
        <v>238</v>
      </c>
      <c r="IA922" s="5" t="s">
        <v>238</v>
      </c>
      <c r="IB922" s="5" t="s">
        <v>238</v>
      </c>
      <c r="IC922" s="5" t="s">
        <v>238</v>
      </c>
      <c r="ID922" s="5" t="s">
        <v>238</v>
      </c>
    </row>
    <row r="923" spans="1:238" x14ac:dyDescent="0.4">
      <c r="A923" s="5">
        <v>1019</v>
      </c>
      <c r="B923" s="5">
        <v>1</v>
      </c>
      <c r="C923" s="5">
        <v>4</v>
      </c>
      <c r="D923" s="5" t="s">
        <v>2483</v>
      </c>
      <c r="E923" s="5" t="s">
        <v>277</v>
      </c>
      <c r="F923" s="5" t="s">
        <v>282</v>
      </c>
      <c r="G923" s="5" t="s">
        <v>2485</v>
      </c>
      <c r="H923" s="6" t="s">
        <v>2486</v>
      </c>
      <c r="I923" s="5" t="s">
        <v>2482</v>
      </c>
      <c r="J923" s="7">
        <f t="shared" si="60"/>
        <v>81.14</v>
      </c>
      <c r="K923" s="5" t="s">
        <v>270</v>
      </c>
      <c r="L923" s="8">
        <f t="shared" si="61"/>
        <v>9771984</v>
      </c>
      <c r="M923" s="8">
        <f t="shared" si="62"/>
        <v>15462000</v>
      </c>
      <c r="N923" s="6" t="s">
        <v>2484</v>
      </c>
      <c r="O923" s="5" t="s">
        <v>286</v>
      </c>
      <c r="P923" s="5" t="s">
        <v>313</v>
      </c>
      <c r="Q923" s="8">
        <f t="shared" si="63"/>
        <v>711252</v>
      </c>
      <c r="R923" s="8">
        <f t="shared" si="64"/>
        <v>5690016</v>
      </c>
      <c r="S923" s="5" t="s">
        <v>240</v>
      </c>
      <c r="T923" s="5" t="s">
        <v>237</v>
      </c>
      <c r="U923" s="5" t="s">
        <v>238</v>
      </c>
      <c r="V923" s="5" t="s">
        <v>238</v>
      </c>
      <c r="W923" s="5" t="s">
        <v>241</v>
      </c>
      <c r="X923" s="5" t="s">
        <v>276</v>
      </c>
      <c r="Y923" s="5" t="s">
        <v>238</v>
      </c>
      <c r="AB923" s="5" t="s">
        <v>238</v>
      </c>
      <c r="AC923" s="6" t="s">
        <v>238</v>
      </c>
      <c r="AD923" s="6" t="s">
        <v>238</v>
      </c>
      <c r="AF923" s="6" t="s">
        <v>238</v>
      </c>
      <c r="AG923" s="6" t="s">
        <v>246</v>
      </c>
      <c r="AH923" s="5" t="s">
        <v>247</v>
      </c>
      <c r="AI923" s="5" t="s">
        <v>248</v>
      </c>
      <c r="AO923" s="5" t="s">
        <v>238</v>
      </c>
      <c r="AP923" s="5" t="s">
        <v>238</v>
      </c>
      <c r="AQ923" s="5" t="s">
        <v>238</v>
      </c>
      <c r="AR923" s="6" t="s">
        <v>238</v>
      </c>
      <c r="AS923" s="6" t="s">
        <v>238</v>
      </c>
      <c r="AT923" s="6" t="s">
        <v>238</v>
      </c>
      <c r="AW923" s="5" t="s">
        <v>304</v>
      </c>
      <c r="AX923" s="5" t="s">
        <v>304</v>
      </c>
      <c r="AY923" s="5" t="s">
        <v>250</v>
      </c>
      <c r="AZ923" s="5" t="s">
        <v>305</v>
      </c>
      <c r="BA923" s="5" t="s">
        <v>251</v>
      </c>
      <c r="BB923" s="5" t="s">
        <v>238</v>
      </c>
      <c r="BC923" s="5" t="s">
        <v>253</v>
      </c>
      <c r="BD923" s="5" t="s">
        <v>238</v>
      </c>
      <c r="BF923" s="5" t="s">
        <v>238</v>
      </c>
      <c r="BH923" s="5" t="s">
        <v>283</v>
      </c>
      <c r="BI923" s="6" t="s">
        <v>293</v>
      </c>
      <c r="BJ923" s="5" t="s">
        <v>294</v>
      </c>
      <c r="BK923" s="5" t="s">
        <v>294</v>
      </c>
      <c r="BL923" s="5" t="s">
        <v>238</v>
      </c>
      <c r="BM923" s="7">
        <f>0</f>
        <v>0</v>
      </c>
      <c r="BN923" s="8">
        <f t="shared" si="65"/>
        <v>-711252</v>
      </c>
      <c r="BO923" s="5" t="s">
        <v>257</v>
      </c>
      <c r="BP923" s="5" t="s">
        <v>258</v>
      </c>
      <c r="BQ923" s="5" t="s">
        <v>238</v>
      </c>
      <c r="BR923" s="5" t="s">
        <v>238</v>
      </c>
      <c r="BS923" s="5" t="s">
        <v>238</v>
      </c>
      <c r="BT923" s="5" t="s">
        <v>238</v>
      </c>
      <c r="CC923" s="5" t="s">
        <v>258</v>
      </c>
      <c r="CD923" s="5" t="s">
        <v>238</v>
      </c>
      <c r="CE923" s="5" t="s">
        <v>238</v>
      </c>
      <c r="CI923" s="5" t="s">
        <v>259</v>
      </c>
      <c r="CJ923" s="5" t="s">
        <v>260</v>
      </c>
      <c r="CK923" s="5" t="s">
        <v>238</v>
      </c>
      <c r="CM923" s="5" t="s">
        <v>723</v>
      </c>
      <c r="CN923" s="6" t="s">
        <v>262</v>
      </c>
      <c r="CO923" s="5" t="s">
        <v>263</v>
      </c>
      <c r="CP923" s="5" t="s">
        <v>264</v>
      </c>
      <c r="CQ923" s="5" t="s">
        <v>285</v>
      </c>
      <c r="CR923" s="5" t="s">
        <v>238</v>
      </c>
      <c r="CS923" s="5">
        <v>4.5999999999999999E-2</v>
      </c>
      <c r="CT923" s="5" t="s">
        <v>265</v>
      </c>
      <c r="CU923" s="5" t="s">
        <v>1360</v>
      </c>
      <c r="CV923" s="5" t="s">
        <v>267</v>
      </c>
      <c r="CW923" s="7">
        <f>0</f>
        <v>0</v>
      </c>
      <c r="CX923" s="8">
        <f t="shared" si="66"/>
        <v>15462000</v>
      </c>
      <c r="CY923" s="8">
        <f t="shared" si="67"/>
        <v>10483236</v>
      </c>
      <c r="DA923" s="5" t="s">
        <v>238</v>
      </c>
      <c r="DB923" s="5" t="s">
        <v>238</v>
      </c>
      <c r="DD923" s="5" t="s">
        <v>238</v>
      </c>
      <c r="DE923" s="8">
        <f>0</f>
        <v>0</v>
      </c>
      <c r="DG923" s="5" t="s">
        <v>238</v>
      </c>
      <c r="DH923" s="5" t="s">
        <v>238</v>
      </c>
      <c r="DI923" s="5" t="s">
        <v>238</v>
      </c>
      <c r="DJ923" s="5" t="s">
        <v>238</v>
      </c>
      <c r="DK923" s="5" t="s">
        <v>274</v>
      </c>
      <c r="DL923" s="5" t="s">
        <v>272</v>
      </c>
      <c r="DM923" s="7">
        <f t="shared" si="68"/>
        <v>81.14</v>
      </c>
      <c r="DN923" s="5" t="s">
        <v>238</v>
      </c>
      <c r="DO923" s="5" t="s">
        <v>238</v>
      </c>
      <c r="DP923" s="5" t="s">
        <v>238</v>
      </c>
      <c r="DQ923" s="5" t="s">
        <v>238</v>
      </c>
      <c r="DT923" s="5" t="s">
        <v>2487</v>
      </c>
      <c r="DU923" s="5" t="s">
        <v>379</v>
      </c>
      <c r="GL923" s="5" t="s">
        <v>2625</v>
      </c>
      <c r="HM923" s="5" t="s">
        <v>313</v>
      </c>
      <c r="HP923" s="5" t="s">
        <v>272</v>
      </c>
      <c r="HQ923" s="5" t="s">
        <v>272</v>
      </c>
      <c r="HR923" s="5" t="s">
        <v>238</v>
      </c>
      <c r="HS923" s="5" t="s">
        <v>238</v>
      </c>
      <c r="HT923" s="5" t="s">
        <v>238</v>
      </c>
      <c r="HU923" s="5" t="s">
        <v>238</v>
      </c>
      <c r="HV923" s="5" t="s">
        <v>238</v>
      </c>
      <c r="HW923" s="5" t="s">
        <v>238</v>
      </c>
      <c r="HX923" s="5" t="s">
        <v>238</v>
      </c>
      <c r="HY923" s="5" t="s">
        <v>238</v>
      </c>
      <c r="HZ923" s="5" t="s">
        <v>238</v>
      </c>
      <c r="IA923" s="5" t="s">
        <v>238</v>
      </c>
      <c r="IB923" s="5" t="s">
        <v>238</v>
      </c>
      <c r="IC923" s="5" t="s">
        <v>238</v>
      </c>
      <c r="ID923" s="5" t="s">
        <v>238</v>
      </c>
    </row>
    <row r="924" spans="1:238" x14ac:dyDescent="0.4">
      <c r="A924" s="5">
        <v>1020</v>
      </c>
      <c r="B924" s="5">
        <v>1</v>
      </c>
      <c r="C924" s="5">
        <v>4</v>
      </c>
      <c r="D924" s="5" t="s">
        <v>2483</v>
      </c>
      <c r="E924" s="5" t="s">
        <v>277</v>
      </c>
      <c r="F924" s="5" t="s">
        <v>282</v>
      </c>
      <c r="G924" s="5" t="s">
        <v>2485</v>
      </c>
      <c r="H924" s="6" t="s">
        <v>2486</v>
      </c>
      <c r="I924" s="5" t="s">
        <v>2482</v>
      </c>
      <c r="J924" s="7">
        <f t="shared" si="60"/>
        <v>81.14</v>
      </c>
      <c r="K924" s="5" t="s">
        <v>270</v>
      </c>
      <c r="L924" s="8">
        <f t="shared" si="61"/>
        <v>9771984</v>
      </c>
      <c r="M924" s="8">
        <f t="shared" si="62"/>
        <v>15462000</v>
      </c>
      <c r="N924" s="6" t="s">
        <v>2484</v>
      </c>
      <c r="O924" s="5" t="s">
        <v>286</v>
      </c>
      <c r="P924" s="5" t="s">
        <v>313</v>
      </c>
      <c r="Q924" s="8">
        <f t="shared" si="63"/>
        <v>711252</v>
      </c>
      <c r="R924" s="8">
        <f t="shared" si="64"/>
        <v>5690016</v>
      </c>
      <c r="S924" s="5" t="s">
        <v>240</v>
      </c>
      <c r="T924" s="5" t="s">
        <v>237</v>
      </c>
      <c r="U924" s="5" t="s">
        <v>238</v>
      </c>
      <c r="V924" s="5" t="s">
        <v>238</v>
      </c>
      <c r="W924" s="5" t="s">
        <v>241</v>
      </c>
      <c r="X924" s="5" t="s">
        <v>276</v>
      </c>
      <c r="Y924" s="5" t="s">
        <v>238</v>
      </c>
      <c r="AB924" s="5" t="s">
        <v>238</v>
      </c>
      <c r="AC924" s="6" t="s">
        <v>238</v>
      </c>
      <c r="AD924" s="6" t="s">
        <v>238</v>
      </c>
      <c r="AF924" s="6" t="s">
        <v>238</v>
      </c>
      <c r="AG924" s="6" t="s">
        <v>246</v>
      </c>
      <c r="AH924" s="5" t="s">
        <v>247</v>
      </c>
      <c r="AI924" s="5" t="s">
        <v>248</v>
      </c>
      <c r="AO924" s="5" t="s">
        <v>238</v>
      </c>
      <c r="AP924" s="5" t="s">
        <v>238</v>
      </c>
      <c r="AQ924" s="5" t="s">
        <v>238</v>
      </c>
      <c r="AR924" s="6" t="s">
        <v>238</v>
      </c>
      <c r="AS924" s="6" t="s">
        <v>238</v>
      </c>
      <c r="AT924" s="6" t="s">
        <v>238</v>
      </c>
      <c r="AW924" s="5" t="s">
        <v>304</v>
      </c>
      <c r="AX924" s="5" t="s">
        <v>304</v>
      </c>
      <c r="AY924" s="5" t="s">
        <v>250</v>
      </c>
      <c r="AZ924" s="5" t="s">
        <v>305</v>
      </c>
      <c r="BA924" s="5" t="s">
        <v>251</v>
      </c>
      <c r="BB924" s="5" t="s">
        <v>238</v>
      </c>
      <c r="BC924" s="5" t="s">
        <v>253</v>
      </c>
      <c r="BD924" s="5" t="s">
        <v>238</v>
      </c>
      <c r="BF924" s="5" t="s">
        <v>238</v>
      </c>
      <c r="BH924" s="5" t="s">
        <v>283</v>
      </c>
      <c r="BI924" s="6" t="s">
        <v>293</v>
      </c>
      <c r="BJ924" s="5" t="s">
        <v>294</v>
      </c>
      <c r="BK924" s="5" t="s">
        <v>294</v>
      </c>
      <c r="BL924" s="5" t="s">
        <v>238</v>
      </c>
      <c r="BM924" s="7">
        <f>0</f>
        <v>0</v>
      </c>
      <c r="BN924" s="8">
        <f t="shared" si="65"/>
        <v>-711252</v>
      </c>
      <c r="BO924" s="5" t="s">
        <v>257</v>
      </c>
      <c r="BP924" s="5" t="s">
        <v>258</v>
      </c>
      <c r="BQ924" s="5" t="s">
        <v>238</v>
      </c>
      <c r="BR924" s="5" t="s">
        <v>238</v>
      </c>
      <c r="BS924" s="5" t="s">
        <v>238</v>
      </c>
      <c r="BT924" s="5" t="s">
        <v>238</v>
      </c>
      <c r="CC924" s="5" t="s">
        <v>258</v>
      </c>
      <c r="CD924" s="5" t="s">
        <v>238</v>
      </c>
      <c r="CE924" s="5" t="s">
        <v>238</v>
      </c>
      <c r="CI924" s="5" t="s">
        <v>259</v>
      </c>
      <c r="CJ924" s="5" t="s">
        <v>260</v>
      </c>
      <c r="CK924" s="5" t="s">
        <v>238</v>
      </c>
      <c r="CM924" s="5" t="s">
        <v>723</v>
      </c>
      <c r="CN924" s="6" t="s">
        <v>262</v>
      </c>
      <c r="CO924" s="5" t="s">
        <v>263</v>
      </c>
      <c r="CP924" s="5" t="s">
        <v>264</v>
      </c>
      <c r="CQ924" s="5" t="s">
        <v>285</v>
      </c>
      <c r="CR924" s="5" t="s">
        <v>238</v>
      </c>
      <c r="CS924" s="5">
        <v>4.5999999999999999E-2</v>
      </c>
      <c r="CT924" s="5" t="s">
        <v>265</v>
      </c>
      <c r="CU924" s="5" t="s">
        <v>1360</v>
      </c>
      <c r="CV924" s="5" t="s">
        <v>267</v>
      </c>
      <c r="CW924" s="7">
        <f>0</f>
        <v>0</v>
      </c>
      <c r="CX924" s="8">
        <f t="shared" si="66"/>
        <v>15462000</v>
      </c>
      <c r="CY924" s="8">
        <f t="shared" si="67"/>
        <v>10483236</v>
      </c>
      <c r="DA924" s="5" t="s">
        <v>238</v>
      </c>
      <c r="DB924" s="5" t="s">
        <v>238</v>
      </c>
      <c r="DD924" s="5" t="s">
        <v>238</v>
      </c>
      <c r="DE924" s="8">
        <f>0</f>
        <v>0</v>
      </c>
      <c r="DG924" s="5" t="s">
        <v>238</v>
      </c>
      <c r="DH924" s="5" t="s">
        <v>238</v>
      </c>
      <c r="DI924" s="5" t="s">
        <v>238</v>
      </c>
      <c r="DJ924" s="5" t="s">
        <v>238</v>
      </c>
      <c r="DK924" s="5" t="s">
        <v>274</v>
      </c>
      <c r="DL924" s="5" t="s">
        <v>272</v>
      </c>
      <c r="DM924" s="7">
        <f t="shared" si="68"/>
        <v>81.14</v>
      </c>
      <c r="DN924" s="5" t="s">
        <v>238</v>
      </c>
      <c r="DO924" s="5" t="s">
        <v>238</v>
      </c>
      <c r="DP924" s="5" t="s">
        <v>238</v>
      </c>
      <c r="DQ924" s="5" t="s">
        <v>238</v>
      </c>
      <c r="DT924" s="5" t="s">
        <v>2487</v>
      </c>
      <c r="DU924" s="5" t="s">
        <v>313</v>
      </c>
      <c r="GL924" s="5" t="s">
        <v>2488</v>
      </c>
      <c r="HM924" s="5" t="s">
        <v>313</v>
      </c>
      <c r="HP924" s="5" t="s">
        <v>272</v>
      </c>
      <c r="HQ924" s="5" t="s">
        <v>272</v>
      </c>
      <c r="HR924" s="5" t="s">
        <v>238</v>
      </c>
      <c r="HS924" s="5" t="s">
        <v>238</v>
      </c>
      <c r="HT924" s="5" t="s">
        <v>238</v>
      </c>
      <c r="HU924" s="5" t="s">
        <v>238</v>
      </c>
      <c r="HV924" s="5" t="s">
        <v>238</v>
      </c>
      <c r="HW924" s="5" t="s">
        <v>238</v>
      </c>
      <c r="HX924" s="5" t="s">
        <v>238</v>
      </c>
      <c r="HY924" s="5" t="s">
        <v>238</v>
      </c>
      <c r="HZ924" s="5" t="s">
        <v>238</v>
      </c>
      <c r="IA924" s="5" t="s">
        <v>238</v>
      </c>
      <c r="IB924" s="5" t="s">
        <v>238</v>
      </c>
      <c r="IC924" s="5" t="s">
        <v>238</v>
      </c>
      <c r="ID924" s="5" t="s">
        <v>238</v>
      </c>
    </row>
    <row r="925" spans="1:238" x14ac:dyDescent="0.4">
      <c r="A925" s="5">
        <v>1021</v>
      </c>
      <c r="B925" s="5">
        <v>1</v>
      </c>
      <c r="C925" s="5">
        <v>4</v>
      </c>
      <c r="D925" s="5" t="s">
        <v>2483</v>
      </c>
      <c r="E925" s="5" t="s">
        <v>277</v>
      </c>
      <c r="F925" s="5" t="s">
        <v>282</v>
      </c>
      <c r="G925" s="5" t="s">
        <v>2485</v>
      </c>
      <c r="H925" s="6" t="s">
        <v>2486</v>
      </c>
      <c r="I925" s="5" t="s">
        <v>2482</v>
      </c>
      <c r="J925" s="7">
        <f t="shared" si="60"/>
        <v>81.14</v>
      </c>
      <c r="K925" s="5" t="s">
        <v>270</v>
      </c>
      <c r="L925" s="8">
        <f t="shared" si="61"/>
        <v>9771984</v>
      </c>
      <c r="M925" s="8">
        <f t="shared" si="62"/>
        <v>15462000</v>
      </c>
      <c r="N925" s="6" t="s">
        <v>2484</v>
      </c>
      <c r="O925" s="5" t="s">
        <v>286</v>
      </c>
      <c r="P925" s="5" t="s">
        <v>313</v>
      </c>
      <c r="Q925" s="8">
        <f t="shared" si="63"/>
        <v>711252</v>
      </c>
      <c r="R925" s="8">
        <f t="shared" si="64"/>
        <v>5690016</v>
      </c>
      <c r="S925" s="5" t="s">
        <v>240</v>
      </c>
      <c r="T925" s="5" t="s">
        <v>237</v>
      </c>
      <c r="U925" s="5" t="s">
        <v>238</v>
      </c>
      <c r="V925" s="5" t="s">
        <v>238</v>
      </c>
      <c r="W925" s="5" t="s">
        <v>241</v>
      </c>
      <c r="X925" s="5" t="s">
        <v>276</v>
      </c>
      <c r="Y925" s="5" t="s">
        <v>238</v>
      </c>
      <c r="AB925" s="5" t="s">
        <v>238</v>
      </c>
      <c r="AC925" s="6" t="s">
        <v>238</v>
      </c>
      <c r="AD925" s="6" t="s">
        <v>238</v>
      </c>
      <c r="AF925" s="6" t="s">
        <v>238</v>
      </c>
      <c r="AG925" s="6" t="s">
        <v>246</v>
      </c>
      <c r="AH925" s="5" t="s">
        <v>247</v>
      </c>
      <c r="AI925" s="5" t="s">
        <v>248</v>
      </c>
      <c r="AO925" s="5" t="s">
        <v>238</v>
      </c>
      <c r="AP925" s="5" t="s">
        <v>238</v>
      </c>
      <c r="AQ925" s="5" t="s">
        <v>238</v>
      </c>
      <c r="AR925" s="6" t="s">
        <v>238</v>
      </c>
      <c r="AS925" s="6" t="s">
        <v>238</v>
      </c>
      <c r="AT925" s="6" t="s">
        <v>238</v>
      </c>
      <c r="AW925" s="5" t="s">
        <v>304</v>
      </c>
      <c r="AX925" s="5" t="s">
        <v>304</v>
      </c>
      <c r="AY925" s="5" t="s">
        <v>250</v>
      </c>
      <c r="AZ925" s="5" t="s">
        <v>305</v>
      </c>
      <c r="BA925" s="5" t="s">
        <v>251</v>
      </c>
      <c r="BB925" s="5" t="s">
        <v>238</v>
      </c>
      <c r="BC925" s="5" t="s">
        <v>253</v>
      </c>
      <c r="BD925" s="5" t="s">
        <v>238</v>
      </c>
      <c r="BF925" s="5" t="s">
        <v>238</v>
      </c>
      <c r="BH925" s="5" t="s">
        <v>283</v>
      </c>
      <c r="BI925" s="6" t="s">
        <v>293</v>
      </c>
      <c r="BJ925" s="5" t="s">
        <v>294</v>
      </c>
      <c r="BK925" s="5" t="s">
        <v>294</v>
      </c>
      <c r="BL925" s="5" t="s">
        <v>238</v>
      </c>
      <c r="BM925" s="7">
        <f>0</f>
        <v>0</v>
      </c>
      <c r="BN925" s="8">
        <f t="shared" si="65"/>
        <v>-711252</v>
      </c>
      <c r="BO925" s="5" t="s">
        <v>257</v>
      </c>
      <c r="BP925" s="5" t="s">
        <v>258</v>
      </c>
      <c r="BQ925" s="5" t="s">
        <v>238</v>
      </c>
      <c r="BR925" s="5" t="s">
        <v>238</v>
      </c>
      <c r="BS925" s="5" t="s">
        <v>238</v>
      </c>
      <c r="BT925" s="5" t="s">
        <v>238</v>
      </c>
      <c r="CC925" s="5" t="s">
        <v>258</v>
      </c>
      <c r="CD925" s="5" t="s">
        <v>238</v>
      </c>
      <c r="CE925" s="5" t="s">
        <v>238</v>
      </c>
      <c r="CI925" s="5" t="s">
        <v>259</v>
      </c>
      <c r="CJ925" s="5" t="s">
        <v>260</v>
      </c>
      <c r="CK925" s="5" t="s">
        <v>238</v>
      </c>
      <c r="CM925" s="5" t="s">
        <v>723</v>
      </c>
      <c r="CN925" s="6" t="s">
        <v>262</v>
      </c>
      <c r="CO925" s="5" t="s">
        <v>263</v>
      </c>
      <c r="CP925" s="5" t="s">
        <v>264</v>
      </c>
      <c r="CQ925" s="5" t="s">
        <v>285</v>
      </c>
      <c r="CR925" s="5" t="s">
        <v>238</v>
      </c>
      <c r="CS925" s="5">
        <v>4.5999999999999999E-2</v>
      </c>
      <c r="CT925" s="5" t="s">
        <v>265</v>
      </c>
      <c r="CU925" s="5" t="s">
        <v>1360</v>
      </c>
      <c r="CV925" s="5" t="s">
        <v>267</v>
      </c>
      <c r="CW925" s="7">
        <f>0</f>
        <v>0</v>
      </c>
      <c r="CX925" s="8">
        <f t="shared" si="66"/>
        <v>15462000</v>
      </c>
      <c r="CY925" s="8">
        <f t="shared" si="67"/>
        <v>10483236</v>
      </c>
      <c r="DA925" s="5" t="s">
        <v>238</v>
      </c>
      <c r="DB925" s="5" t="s">
        <v>238</v>
      </c>
      <c r="DD925" s="5" t="s">
        <v>238</v>
      </c>
      <c r="DE925" s="8">
        <f>0</f>
        <v>0</v>
      </c>
      <c r="DG925" s="5" t="s">
        <v>238</v>
      </c>
      <c r="DH925" s="5" t="s">
        <v>238</v>
      </c>
      <c r="DI925" s="5" t="s">
        <v>238</v>
      </c>
      <c r="DJ925" s="5" t="s">
        <v>238</v>
      </c>
      <c r="DK925" s="5" t="s">
        <v>274</v>
      </c>
      <c r="DL925" s="5" t="s">
        <v>272</v>
      </c>
      <c r="DM925" s="7">
        <f t="shared" si="68"/>
        <v>81.14</v>
      </c>
      <c r="DN925" s="5" t="s">
        <v>238</v>
      </c>
      <c r="DO925" s="5" t="s">
        <v>238</v>
      </c>
      <c r="DP925" s="5" t="s">
        <v>238</v>
      </c>
      <c r="DQ925" s="5" t="s">
        <v>238</v>
      </c>
      <c r="DT925" s="5" t="s">
        <v>2487</v>
      </c>
      <c r="DU925" s="5" t="s">
        <v>389</v>
      </c>
      <c r="GL925" s="5" t="s">
        <v>2624</v>
      </c>
      <c r="HM925" s="5" t="s">
        <v>313</v>
      </c>
      <c r="HP925" s="5" t="s">
        <v>272</v>
      </c>
      <c r="HQ925" s="5" t="s">
        <v>272</v>
      </c>
      <c r="HR925" s="5" t="s">
        <v>238</v>
      </c>
      <c r="HS925" s="5" t="s">
        <v>238</v>
      </c>
      <c r="HT925" s="5" t="s">
        <v>238</v>
      </c>
      <c r="HU925" s="5" t="s">
        <v>238</v>
      </c>
      <c r="HV925" s="5" t="s">
        <v>238</v>
      </c>
      <c r="HW925" s="5" t="s">
        <v>238</v>
      </c>
      <c r="HX925" s="5" t="s">
        <v>238</v>
      </c>
      <c r="HY925" s="5" t="s">
        <v>238</v>
      </c>
      <c r="HZ925" s="5" t="s">
        <v>238</v>
      </c>
      <c r="IA925" s="5" t="s">
        <v>238</v>
      </c>
      <c r="IB925" s="5" t="s">
        <v>238</v>
      </c>
      <c r="IC925" s="5" t="s">
        <v>238</v>
      </c>
      <c r="ID925" s="5" t="s">
        <v>238</v>
      </c>
    </row>
    <row r="926" spans="1:238" x14ac:dyDescent="0.4">
      <c r="A926" s="5">
        <v>1022</v>
      </c>
      <c r="B926" s="5">
        <v>1</v>
      </c>
      <c r="C926" s="5">
        <v>4</v>
      </c>
      <c r="D926" s="5" t="s">
        <v>2483</v>
      </c>
      <c r="E926" s="5" t="s">
        <v>277</v>
      </c>
      <c r="F926" s="5" t="s">
        <v>282</v>
      </c>
      <c r="G926" s="5" t="s">
        <v>2485</v>
      </c>
      <c r="H926" s="6" t="s">
        <v>2486</v>
      </c>
      <c r="I926" s="5" t="s">
        <v>2482</v>
      </c>
      <c r="J926" s="7">
        <f t="shared" si="60"/>
        <v>81.14</v>
      </c>
      <c r="K926" s="5" t="s">
        <v>270</v>
      </c>
      <c r="L926" s="8">
        <f t="shared" si="61"/>
        <v>9771984</v>
      </c>
      <c r="M926" s="8">
        <f t="shared" si="62"/>
        <v>15462000</v>
      </c>
      <c r="N926" s="6" t="s">
        <v>2484</v>
      </c>
      <c r="O926" s="5" t="s">
        <v>286</v>
      </c>
      <c r="P926" s="5" t="s">
        <v>313</v>
      </c>
      <c r="Q926" s="8">
        <f t="shared" si="63"/>
        <v>711252</v>
      </c>
      <c r="R926" s="8">
        <f t="shared" si="64"/>
        <v>5690016</v>
      </c>
      <c r="S926" s="5" t="s">
        <v>240</v>
      </c>
      <c r="T926" s="5" t="s">
        <v>237</v>
      </c>
      <c r="U926" s="5" t="s">
        <v>238</v>
      </c>
      <c r="V926" s="5" t="s">
        <v>238</v>
      </c>
      <c r="W926" s="5" t="s">
        <v>241</v>
      </c>
      <c r="X926" s="5" t="s">
        <v>276</v>
      </c>
      <c r="Y926" s="5" t="s">
        <v>238</v>
      </c>
      <c r="AB926" s="5" t="s">
        <v>238</v>
      </c>
      <c r="AC926" s="6" t="s">
        <v>238</v>
      </c>
      <c r="AD926" s="6" t="s">
        <v>238</v>
      </c>
      <c r="AF926" s="6" t="s">
        <v>238</v>
      </c>
      <c r="AG926" s="6" t="s">
        <v>246</v>
      </c>
      <c r="AH926" s="5" t="s">
        <v>247</v>
      </c>
      <c r="AI926" s="5" t="s">
        <v>248</v>
      </c>
      <c r="AO926" s="5" t="s">
        <v>238</v>
      </c>
      <c r="AP926" s="5" t="s">
        <v>238</v>
      </c>
      <c r="AQ926" s="5" t="s">
        <v>238</v>
      </c>
      <c r="AR926" s="6" t="s">
        <v>238</v>
      </c>
      <c r="AS926" s="6" t="s">
        <v>238</v>
      </c>
      <c r="AT926" s="6" t="s">
        <v>238</v>
      </c>
      <c r="AW926" s="5" t="s">
        <v>304</v>
      </c>
      <c r="AX926" s="5" t="s">
        <v>304</v>
      </c>
      <c r="AY926" s="5" t="s">
        <v>250</v>
      </c>
      <c r="AZ926" s="5" t="s">
        <v>305</v>
      </c>
      <c r="BA926" s="5" t="s">
        <v>251</v>
      </c>
      <c r="BB926" s="5" t="s">
        <v>238</v>
      </c>
      <c r="BC926" s="5" t="s">
        <v>253</v>
      </c>
      <c r="BD926" s="5" t="s">
        <v>238</v>
      </c>
      <c r="BF926" s="5" t="s">
        <v>238</v>
      </c>
      <c r="BH926" s="5" t="s">
        <v>283</v>
      </c>
      <c r="BI926" s="6" t="s">
        <v>293</v>
      </c>
      <c r="BJ926" s="5" t="s">
        <v>294</v>
      </c>
      <c r="BK926" s="5" t="s">
        <v>294</v>
      </c>
      <c r="BL926" s="5" t="s">
        <v>238</v>
      </c>
      <c r="BM926" s="7">
        <f>0</f>
        <v>0</v>
      </c>
      <c r="BN926" s="8">
        <f t="shared" si="65"/>
        <v>-711252</v>
      </c>
      <c r="BO926" s="5" t="s">
        <v>257</v>
      </c>
      <c r="BP926" s="5" t="s">
        <v>258</v>
      </c>
      <c r="BQ926" s="5" t="s">
        <v>238</v>
      </c>
      <c r="BR926" s="5" t="s">
        <v>238</v>
      </c>
      <c r="BS926" s="5" t="s">
        <v>238</v>
      </c>
      <c r="BT926" s="5" t="s">
        <v>238</v>
      </c>
      <c r="CC926" s="5" t="s">
        <v>258</v>
      </c>
      <c r="CD926" s="5" t="s">
        <v>238</v>
      </c>
      <c r="CE926" s="5" t="s">
        <v>238</v>
      </c>
      <c r="CI926" s="5" t="s">
        <v>259</v>
      </c>
      <c r="CJ926" s="5" t="s">
        <v>260</v>
      </c>
      <c r="CK926" s="5" t="s">
        <v>238</v>
      </c>
      <c r="CM926" s="5" t="s">
        <v>723</v>
      </c>
      <c r="CN926" s="6" t="s">
        <v>262</v>
      </c>
      <c r="CO926" s="5" t="s">
        <v>263</v>
      </c>
      <c r="CP926" s="5" t="s">
        <v>264</v>
      </c>
      <c r="CQ926" s="5" t="s">
        <v>285</v>
      </c>
      <c r="CR926" s="5" t="s">
        <v>238</v>
      </c>
      <c r="CS926" s="5">
        <v>4.5999999999999999E-2</v>
      </c>
      <c r="CT926" s="5" t="s">
        <v>265</v>
      </c>
      <c r="CU926" s="5" t="s">
        <v>1360</v>
      </c>
      <c r="CV926" s="5" t="s">
        <v>267</v>
      </c>
      <c r="CW926" s="7">
        <f>0</f>
        <v>0</v>
      </c>
      <c r="CX926" s="8">
        <f t="shared" si="66"/>
        <v>15462000</v>
      </c>
      <c r="CY926" s="8">
        <f t="shared" si="67"/>
        <v>10483236</v>
      </c>
      <c r="DA926" s="5" t="s">
        <v>238</v>
      </c>
      <c r="DB926" s="5" t="s">
        <v>238</v>
      </c>
      <c r="DD926" s="5" t="s">
        <v>238</v>
      </c>
      <c r="DE926" s="8">
        <f>0</f>
        <v>0</v>
      </c>
      <c r="DG926" s="5" t="s">
        <v>238</v>
      </c>
      <c r="DH926" s="5" t="s">
        <v>238</v>
      </c>
      <c r="DI926" s="5" t="s">
        <v>238</v>
      </c>
      <c r="DJ926" s="5" t="s">
        <v>238</v>
      </c>
      <c r="DK926" s="5" t="s">
        <v>274</v>
      </c>
      <c r="DL926" s="5" t="s">
        <v>272</v>
      </c>
      <c r="DM926" s="7">
        <f t="shared" si="68"/>
        <v>81.14</v>
      </c>
      <c r="DN926" s="5" t="s">
        <v>238</v>
      </c>
      <c r="DO926" s="5" t="s">
        <v>238</v>
      </c>
      <c r="DP926" s="5" t="s">
        <v>238</v>
      </c>
      <c r="DQ926" s="5" t="s">
        <v>238</v>
      </c>
      <c r="DT926" s="5" t="s">
        <v>2487</v>
      </c>
      <c r="DU926" s="5" t="s">
        <v>354</v>
      </c>
      <c r="GL926" s="5" t="s">
        <v>2623</v>
      </c>
      <c r="HM926" s="5" t="s">
        <v>313</v>
      </c>
      <c r="HP926" s="5" t="s">
        <v>272</v>
      </c>
      <c r="HQ926" s="5" t="s">
        <v>272</v>
      </c>
      <c r="HR926" s="5" t="s">
        <v>238</v>
      </c>
      <c r="HS926" s="5" t="s">
        <v>238</v>
      </c>
      <c r="HT926" s="5" t="s">
        <v>238</v>
      </c>
      <c r="HU926" s="5" t="s">
        <v>238</v>
      </c>
      <c r="HV926" s="5" t="s">
        <v>238</v>
      </c>
      <c r="HW926" s="5" t="s">
        <v>238</v>
      </c>
      <c r="HX926" s="5" t="s">
        <v>238</v>
      </c>
      <c r="HY926" s="5" t="s">
        <v>238</v>
      </c>
      <c r="HZ926" s="5" t="s">
        <v>238</v>
      </c>
      <c r="IA926" s="5" t="s">
        <v>238</v>
      </c>
      <c r="IB926" s="5" t="s">
        <v>238</v>
      </c>
      <c r="IC926" s="5" t="s">
        <v>238</v>
      </c>
      <c r="ID926" s="5" t="s">
        <v>238</v>
      </c>
    </row>
    <row r="927" spans="1:238" x14ac:dyDescent="0.4">
      <c r="A927" s="5">
        <v>1023</v>
      </c>
      <c r="B927" s="5">
        <v>1</v>
      </c>
      <c r="C927" s="5">
        <v>4</v>
      </c>
      <c r="D927" s="5" t="s">
        <v>2483</v>
      </c>
      <c r="E927" s="5" t="s">
        <v>277</v>
      </c>
      <c r="F927" s="5" t="s">
        <v>282</v>
      </c>
      <c r="G927" s="5" t="s">
        <v>2485</v>
      </c>
      <c r="H927" s="6" t="s">
        <v>2486</v>
      </c>
      <c r="I927" s="5" t="s">
        <v>2482</v>
      </c>
      <c r="J927" s="7">
        <f t="shared" si="60"/>
        <v>81.14</v>
      </c>
      <c r="K927" s="5" t="s">
        <v>270</v>
      </c>
      <c r="L927" s="8">
        <f t="shared" si="61"/>
        <v>9771984</v>
      </c>
      <c r="M927" s="8">
        <f t="shared" si="62"/>
        <v>15462000</v>
      </c>
      <c r="N927" s="6" t="s">
        <v>2484</v>
      </c>
      <c r="O927" s="5" t="s">
        <v>286</v>
      </c>
      <c r="P927" s="5" t="s">
        <v>313</v>
      </c>
      <c r="Q927" s="8">
        <f t="shared" si="63"/>
        <v>711252</v>
      </c>
      <c r="R927" s="8">
        <f t="shared" si="64"/>
        <v>5690016</v>
      </c>
      <c r="S927" s="5" t="s">
        <v>240</v>
      </c>
      <c r="T927" s="5" t="s">
        <v>237</v>
      </c>
      <c r="U927" s="5" t="s">
        <v>238</v>
      </c>
      <c r="V927" s="5" t="s">
        <v>238</v>
      </c>
      <c r="W927" s="5" t="s">
        <v>241</v>
      </c>
      <c r="X927" s="5" t="s">
        <v>276</v>
      </c>
      <c r="Y927" s="5" t="s">
        <v>238</v>
      </c>
      <c r="AB927" s="5" t="s">
        <v>238</v>
      </c>
      <c r="AC927" s="6" t="s">
        <v>238</v>
      </c>
      <c r="AD927" s="6" t="s">
        <v>238</v>
      </c>
      <c r="AF927" s="6" t="s">
        <v>238</v>
      </c>
      <c r="AG927" s="6" t="s">
        <v>246</v>
      </c>
      <c r="AH927" s="5" t="s">
        <v>247</v>
      </c>
      <c r="AI927" s="5" t="s">
        <v>248</v>
      </c>
      <c r="AO927" s="5" t="s">
        <v>238</v>
      </c>
      <c r="AP927" s="5" t="s">
        <v>238</v>
      </c>
      <c r="AQ927" s="5" t="s">
        <v>238</v>
      </c>
      <c r="AR927" s="6" t="s">
        <v>238</v>
      </c>
      <c r="AS927" s="6" t="s">
        <v>238</v>
      </c>
      <c r="AT927" s="6" t="s">
        <v>238</v>
      </c>
      <c r="AW927" s="5" t="s">
        <v>304</v>
      </c>
      <c r="AX927" s="5" t="s">
        <v>304</v>
      </c>
      <c r="AY927" s="5" t="s">
        <v>250</v>
      </c>
      <c r="AZ927" s="5" t="s">
        <v>305</v>
      </c>
      <c r="BA927" s="5" t="s">
        <v>251</v>
      </c>
      <c r="BB927" s="5" t="s">
        <v>238</v>
      </c>
      <c r="BC927" s="5" t="s">
        <v>253</v>
      </c>
      <c r="BD927" s="5" t="s">
        <v>238</v>
      </c>
      <c r="BF927" s="5" t="s">
        <v>238</v>
      </c>
      <c r="BH927" s="5" t="s">
        <v>283</v>
      </c>
      <c r="BI927" s="6" t="s">
        <v>293</v>
      </c>
      <c r="BJ927" s="5" t="s">
        <v>294</v>
      </c>
      <c r="BK927" s="5" t="s">
        <v>294</v>
      </c>
      <c r="BL927" s="5" t="s">
        <v>238</v>
      </c>
      <c r="BM927" s="7">
        <f>0</f>
        <v>0</v>
      </c>
      <c r="BN927" s="8">
        <f t="shared" si="65"/>
        <v>-711252</v>
      </c>
      <c r="BO927" s="5" t="s">
        <v>257</v>
      </c>
      <c r="BP927" s="5" t="s">
        <v>258</v>
      </c>
      <c r="BQ927" s="5" t="s">
        <v>238</v>
      </c>
      <c r="BR927" s="5" t="s">
        <v>238</v>
      </c>
      <c r="BS927" s="5" t="s">
        <v>238</v>
      </c>
      <c r="BT927" s="5" t="s">
        <v>238</v>
      </c>
      <c r="CC927" s="5" t="s">
        <v>258</v>
      </c>
      <c r="CD927" s="5" t="s">
        <v>238</v>
      </c>
      <c r="CE927" s="5" t="s">
        <v>238</v>
      </c>
      <c r="CI927" s="5" t="s">
        <v>259</v>
      </c>
      <c r="CJ927" s="5" t="s">
        <v>260</v>
      </c>
      <c r="CK927" s="5" t="s">
        <v>238</v>
      </c>
      <c r="CM927" s="5" t="s">
        <v>723</v>
      </c>
      <c r="CN927" s="6" t="s">
        <v>262</v>
      </c>
      <c r="CO927" s="5" t="s">
        <v>263</v>
      </c>
      <c r="CP927" s="5" t="s">
        <v>264</v>
      </c>
      <c r="CQ927" s="5" t="s">
        <v>285</v>
      </c>
      <c r="CR927" s="5" t="s">
        <v>238</v>
      </c>
      <c r="CS927" s="5">
        <v>4.5999999999999999E-2</v>
      </c>
      <c r="CT927" s="5" t="s">
        <v>265</v>
      </c>
      <c r="CU927" s="5" t="s">
        <v>1360</v>
      </c>
      <c r="CV927" s="5" t="s">
        <v>267</v>
      </c>
      <c r="CW927" s="7">
        <f>0</f>
        <v>0</v>
      </c>
      <c r="CX927" s="8">
        <f t="shared" si="66"/>
        <v>15462000</v>
      </c>
      <c r="CY927" s="8">
        <f t="shared" si="67"/>
        <v>10483236</v>
      </c>
      <c r="DA927" s="5" t="s">
        <v>238</v>
      </c>
      <c r="DB927" s="5" t="s">
        <v>238</v>
      </c>
      <c r="DD927" s="5" t="s">
        <v>238</v>
      </c>
      <c r="DE927" s="8">
        <f>0</f>
        <v>0</v>
      </c>
      <c r="DG927" s="5" t="s">
        <v>238</v>
      </c>
      <c r="DH927" s="5" t="s">
        <v>238</v>
      </c>
      <c r="DI927" s="5" t="s">
        <v>238</v>
      </c>
      <c r="DJ927" s="5" t="s">
        <v>238</v>
      </c>
      <c r="DK927" s="5" t="s">
        <v>274</v>
      </c>
      <c r="DL927" s="5" t="s">
        <v>272</v>
      </c>
      <c r="DM927" s="7">
        <f t="shared" si="68"/>
        <v>81.14</v>
      </c>
      <c r="DN927" s="5" t="s">
        <v>238</v>
      </c>
      <c r="DO927" s="5" t="s">
        <v>238</v>
      </c>
      <c r="DP927" s="5" t="s">
        <v>238</v>
      </c>
      <c r="DQ927" s="5" t="s">
        <v>238</v>
      </c>
      <c r="DT927" s="5" t="s">
        <v>2487</v>
      </c>
      <c r="DU927" s="5" t="s">
        <v>361</v>
      </c>
      <c r="GL927" s="5" t="s">
        <v>2622</v>
      </c>
      <c r="HM927" s="5" t="s">
        <v>313</v>
      </c>
      <c r="HP927" s="5" t="s">
        <v>272</v>
      </c>
      <c r="HQ927" s="5" t="s">
        <v>272</v>
      </c>
      <c r="HR927" s="5" t="s">
        <v>238</v>
      </c>
      <c r="HS927" s="5" t="s">
        <v>238</v>
      </c>
      <c r="HT927" s="5" t="s">
        <v>238</v>
      </c>
      <c r="HU927" s="5" t="s">
        <v>238</v>
      </c>
      <c r="HV927" s="5" t="s">
        <v>238</v>
      </c>
      <c r="HW927" s="5" t="s">
        <v>238</v>
      </c>
      <c r="HX927" s="5" t="s">
        <v>238</v>
      </c>
      <c r="HY927" s="5" t="s">
        <v>238</v>
      </c>
      <c r="HZ927" s="5" t="s">
        <v>238</v>
      </c>
      <c r="IA927" s="5" t="s">
        <v>238</v>
      </c>
      <c r="IB927" s="5" t="s">
        <v>238</v>
      </c>
      <c r="IC927" s="5" t="s">
        <v>238</v>
      </c>
      <c r="ID927" s="5" t="s">
        <v>238</v>
      </c>
    </row>
    <row r="928" spans="1:238" x14ac:dyDescent="0.4">
      <c r="A928" s="5">
        <v>1024</v>
      </c>
      <c r="B928" s="5">
        <v>1</v>
      </c>
      <c r="C928" s="5">
        <v>4</v>
      </c>
      <c r="D928" s="5" t="s">
        <v>2483</v>
      </c>
      <c r="E928" s="5" t="s">
        <v>277</v>
      </c>
      <c r="F928" s="5" t="s">
        <v>282</v>
      </c>
      <c r="G928" s="5" t="s">
        <v>2485</v>
      </c>
      <c r="H928" s="6" t="s">
        <v>2486</v>
      </c>
      <c r="I928" s="5" t="s">
        <v>2482</v>
      </c>
      <c r="J928" s="7">
        <f t="shared" si="60"/>
        <v>81.14</v>
      </c>
      <c r="K928" s="5" t="s">
        <v>270</v>
      </c>
      <c r="L928" s="8">
        <f t="shared" si="61"/>
        <v>9771984</v>
      </c>
      <c r="M928" s="8">
        <f t="shared" si="62"/>
        <v>15462000</v>
      </c>
      <c r="N928" s="6" t="s">
        <v>2484</v>
      </c>
      <c r="O928" s="5" t="s">
        <v>286</v>
      </c>
      <c r="P928" s="5" t="s">
        <v>313</v>
      </c>
      <c r="Q928" s="8">
        <f t="shared" si="63"/>
        <v>711252</v>
      </c>
      <c r="R928" s="8">
        <f t="shared" si="64"/>
        <v>5690016</v>
      </c>
      <c r="S928" s="5" t="s">
        <v>240</v>
      </c>
      <c r="T928" s="5" t="s">
        <v>237</v>
      </c>
      <c r="U928" s="5" t="s">
        <v>238</v>
      </c>
      <c r="V928" s="5" t="s">
        <v>238</v>
      </c>
      <c r="W928" s="5" t="s">
        <v>241</v>
      </c>
      <c r="X928" s="5" t="s">
        <v>276</v>
      </c>
      <c r="Y928" s="5" t="s">
        <v>238</v>
      </c>
      <c r="AB928" s="5" t="s">
        <v>238</v>
      </c>
      <c r="AC928" s="6" t="s">
        <v>238</v>
      </c>
      <c r="AD928" s="6" t="s">
        <v>238</v>
      </c>
      <c r="AF928" s="6" t="s">
        <v>238</v>
      </c>
      <c r="AG928" s="6" t="s">
        <v>246</v>
      </c>
      <c r="AH928" s="5" t="s">
        <v>247</v>
      </c>
      <c r="AI928" s="5" t="s">
        <v>248</v>
      </c>
      <c r="AO928" s="5" t="s">
        <v>238</v>
      </c>
      <c r="AP928" s="5" t="s">
        <v>238</v>
      </c>
      <c r="AQ928" s="5" t="s">
        <v>238</v>
      </c>
      <c r="AR928" s="6" t="s">
        <v>238</v>
      </c>
      <c r="AS928" s="6" t="s">
        <v>238</v>
      </c>
      <c r="AT928" s="6" t="s">
        <v>238</v>
      </c>
      <c r="AW928" s="5" t="s">
        <v>304</v>
      </c>
      <c r="AX928" s="5" t="s">
        <v>304</v>
      </c>
      <c r="AY928" s="5" t="s">
        <v>250</v>
      </c>
      <c r="AZ928" s="5" t="s">
        <v>305</v>
      </c>
      <c r="BA928" s="5" t="s">
        <v>251</v>
      </c>
      <c r="BB928" s="5" t="s">
        <v>238</v>
      </c>
      <c r="BC928" s="5" t="s">
        <v>253</v>
      </c>
      <c r="BD928" s="5" t="s">
        <v>238</v>
      </c>
      <c r="BF928" s="5" t="s">
        <v>238</v>
      </c>
      <c r="BH928" s="5" t="s">
        <v>283</v>
      </c>
      <c r="BI928" s="6" t="s">
        <v>293</v>
      </c>
      <c r="BJ928" s="5" t="s">
        <v>294</v>
      </c>
      <c r="BK928" s="5" t="s">
        <v>294</v>
      </c>
      <c r="BL928" s="5" t="s">
        <v>238</v>
      </c>
      <c r="BM928" s="7">
        <f>0</f>
        <v>0</v>
      </c>
      <c r="BN928" s="8">
        <f t="shared" si="65"/>
        <v>-711252</v>
      </c>
      <c r="BO928" s="5" t="s">
        <v>257</v>
      </c>
      <c r="BP928" s="5" t="s">
        <v>258</v>
      </c>
      <c r="BQ928" s="5" t="s">
        <v>238</v>
      </c>
      <c r="BR928" s="5" t="s">
        <v>238</v>
      </c>
      <c r="BS928" s="5" t="s">
        <v>238</v>
      </c>
      <c r="BT928" s="5" t="s">
        <v>238</v>
      </c>
      <c r="CC928" s="5" t="s">
        <v>258</v>
      </c>
      <c r="CD928" s="5" t="s">
        <v>238</v>
      </c>
      <c r="CE928" s="5" t="s">
        <v>238</v>
      </c>
      <c r="CI928" s="5" t="s">
        <v>259</v>
      </c>
      <c r="CJ928" s="5" t="s">
        <v>260</v>
      </c>
      <c r="CK928" s="5" t="s">
        <v>238</v>
      </c>
      <c r="CM928" s="5" t="s">
        <v>723</v>
      </c>
      <c r="CN928" s="6" t="s">
        <v>262</v>
      </c>
      <c r="CO928" s="5" t="s">
        <v>263</v>
      </c>
      <c r="CP928" s="5" t="s">
        <v>264</v>
      </c>
      <c r="CQ928" s="5" t="s">
        <v>285</v>
      </c>
      <c r="CR928" s="5" t="s">
        <v>238</v>
      </c>
      <c r="CS928" s="5">
        <v>4.5999999999999999E-2</v>
      </c>
      <c r="CT928" s="5" t="s">
        <v>265</v>
      </c>
      <c r="CU928" s="5" t="s">
        <v>1360</v>
      </c>
      <c r="CV928" s="5" t="s">
        <v>267</v>
      </c>
      <c r="CW928" s="7">
        <f>0</f>
        <v>0</v>
      </c>
      <c r="CX928" s="8">
        <f t="shared" si="66"/>
        <v>15462000</v>
      </c>
      <c r="CY928" s="8">
        <f t="shared" si="67"/>
        <v>10483236</v>
      </c>
      <c r="DA928" s="5" t="s">
        <v>238</v>
      </c>
      <c r="DB928" s="5" t="s">
        <v>238</v>
      </c>
      <c r="DD928" s="5" t="s">
        <v>238</v>
      </c>
      <c r="DE928" s="8">
        <f>0</f>
        <v>0</v>
      </c>
      <c r="DG928" s="5" t="s">
        <v>238</v>
      </c>
      <c r="DH928" s="5" t="s">
        <v>238</v>
      </c>
      <c r="DI928" s="5" t="s">
        <v>238</v>
      </c>
      <c r="DJ928" s="5" t="s">
        <v>238</v>
      </c>
      <c r="DK928" s="5" t="s">
        <v>274</v>
      </c>
      <c r="DL928" s="5" t="s">
        <v>272</v>
      </c>
      <c r="DM928" s="7">
        <f t="shared" si="68"/>
        <v>81.14</v>
      </c>
      <c r="DN928" s="5" t="s">
        <v>238</v>
      </c>
      <c r="DO928" s="5" t="s">
        <v>238</v>
      </c>
      <c r="DP928" s="5" t="s">
        <v>238</v>
      </c>
      <c r="DQ928" s="5" t="s">
        <v>238</v>
      </c>
      <c r="DT928" s="5" t="s">
        <v>2487</v>
      </c>
      <c r="DU928" s="5" t="s">
        <v>377</v>
      </c>
      <c r="GL928" s="5" t="s">
        <v>2621</v>
      </c>
      <c r="HM928" s="5" t="s">
        <v>313</v>
      </c>
      <c r="HP928" s="5" t="s">
        <v>272</v>
      </c>
      <c r="HQ928" s="5" t="s">
        <v>272</v>
      </c>
      <c r="HR928" s="5" t="s">
        <v>238</v>
      </c>
      <c r="HS928" s="5" t="s">
        <v>238</v>
      </c>
      <c r="HT928" s="5" t="s">
        <v>238</v>
      </c>
      <c r="HU928" s="5" t="s">
        <v>238</v>
      </c>
      <c r="HV928" s="5" t="s">
        <v>238</v>
      </c>
      <c r="HW928" s="5" t="s">
        <v>238</v>
      </c>
      <c r="HX928" s="5" t="s">
        <v>238</v>
      </c>
      <c r="HY928" s="5" t="s">
        <v>238</v>
      </c>
      <c r="HZ928" s="5" t="s">
        <v>238</v>
      </c>
      <c r="IA928" s="5" t="s">
        <v>238</v>
      </c>
      <c r="IB928" s="5" t="s">
        <v>238</v>
      </c>
      <c r="IC928" s="5" t="s">
        <v>238</v>
      </c>
      <c r="ID928" s="5" t="s">
        <v>238</v>
      </c>
    </row>
    <row r="929" spans="1:238" x14ac:dyDescent="0.4">
      <c r="A929" s="5">
        <v>1025</v>
      </c>
      <c r="B929" s="5">
        <v>1</v>
      </c>
      <c r="C929" s="5">
        <v>4</v>
      </c>
      <c r="D929" s="5" t="s">
        <v>2483</v>
      </c>
      <c r="E929" s="5" t="s">
        <v>277</v>
      </c>
      <c r="F929" s="5" t="s">
        <v>282</v>
      </c>
      <c r="G929" s="5" t="s">
        <v>2485</v>
      </c>
      <c r="H929" s="6" t="s">
        <v>2486</v>
      </c>
      <c r="I929" s="5" t="s">
        <v>2482</v>
      </c>
      <c r="J929" s="7">
        <f t="shared" si="60"/>
        <v>81.14</v>
      </c>
      <c r="K929" s="5" t="s">
        <v>270</v>
      </c>
      <c r="L929" s="8">
        <f t="shared" si="61"/>
        <v>9771984</v>
      </c>
      <c r="M929" s="8">
        <f t="shared" si="62"/>
        <v>15462000</v>
      </c>
      <c r="N929" s="6" t="s">
        <v>2484</v>
      </c>
      <c r="O929" s="5" t="s">
        <v>286</v>
      </c>
      <c r="P929" s="5" t="s">
        <v>313</v>
      </c>
      <c r="Q929" s="8">
        <f t="shared" si="63"/>
        <v>711252</v>
      </c>
      <c r="R929" s="8">
        <f t="shared" si="64"/>
        <v>5690016</v>
      </c>
      <c r="S929" s="5" t="s">
        <v>240</v>
      </c>
      <c r="T929" s="5" t="s">
        <v>237</v>
      </c>
      <c r="U929" s="5" t="s">
        <v>238</v>
      </c>
      <c r="V929" s="5" t="s">
        <v>238</v>
      </c>
      <c r="W929" s="5" t="s">
        <v>241</v>
      </c>
      <c r="X929" s="5" t="s">
        <v>276</v>
      </c>
      <c r="Y929" s="5" t="s">
        <v>238</v>
      </c>
      <c r="AB929" s="5" t="s">
        <v>238</v>
      </c>
      <c r="AC929" s="6" t="s">
        <v>238</v>
      </c>
      <c r="AD929" s="6" t="s">
        <v>238</v>
      </c>
      <c r="AF929" s="6" t="s">
        <v>238</v>
      </c>
      <c r="AG929" s="6" t="s">
        <v>246</v>
      </c>
      <c r="AH929" s="5" t="s">
        <v>247</v>
      </c>
      <c r="AI929" s="5" t="s">
        <v>248</v>
      </c>
      <c r="AO929" s="5" t="s">
        <v>238</v>
      </c>
      <c r="AP929" s="5" t="s">
        <v>238</v>
      </c>
      <c r="AQ929" s="5" t="s">
        <v>238</v>
      </c>
      <c r="AR929" s="6" t="s">
        <v>238</v>
      </c>
      <c r="AS929" s="6" t="s">
        <v>238</v>
      </c>
      <c r="AT929" s="6" t="s">
        <v>238</v>
      </c>
      <c r="AW929" s="5" t="s">
        <v>304</v>
      </c>
      <c r="AX929" s="5" t="s">
        <v>304</v>
      </c>
      <c r="AY929" s="5" t="s">
        <v>250</v>
      </c>
      <c r="AZ929" s="5" t="s">
        <v>305</v>
      </c>
      <c r="BA929" s="5" t="s">
        <v>251</v>
      </c>
      <c r="BB929" s="5" t="s">
        <v>238</v>
      </c>
      <c r="BC929" s="5" t="s">
        <v>253</v>
      </c>
      <c r="BD929" s="5" t="s">
        <v>238</v>
      </c>
      <c r="BF929" s="5" t="s">
        <v>238</v>
      </c>
      <c r="BH929" s="5" t="s">
        <v>283</v>
      </c>
      <c r="BI929" s="6" t="s">
        <v>293</v>
      </c>
      <c r="BJ929" s="5" t="s">
        <v>294</v>
      </c>
      <c r="BK929" s="5" t="s">
        <v>294</v>
      </c>
      <c r="BL929" s="5" t="s">
        <v>238</v>
      </c>
      <c r="BM929" s="7">
        <f>0</f>
        <v>0</v>
      </c>
      <c r="BN929" s="8">
        <f t="shared" si="65"/>
        <v>-711252</v>
      </c>
      <c r="BO929" s="5" t="s">
        <v>257</v>
      </c>
      <c r="BP929" s="5" t="s">
        <v>258</v>
      </c>
      <c r="BQ929" s="5" t="s">
        <v>238</v>
      </c>
      <c r="BR929" s="5" t="s">
        <v>238</v>
      </c>
      <c r="BS929" s="5" t="s">
        <v>238</v>
      </c>
      <c r="BT929" s="5" t="s">
        <v>238</v>
      </c>
      <c r="CC929" s="5" t="s">
        <v>258</v>
      </c>
      <c r="CD929" s="5" t="s">
        <v>238</v>
      </c>
      <c r="CE929" s="5" t="s">
        <v>238</v>
      </c>
      <c r="CI929" s="5" t="s">
        <v>259</v>
      </c>
      <c r="CJ929" s="5" t="s">
        <v>260</v>
      </c>
      <c r="CK929" s="5" t="s">
        <v>238</v>
      </c>
      <c r="CM929" s="5" t="s">
        <v>723</v>
      </c>
      <c r="CN929" s="6" t="s">
        <v>262</v>
      </c>
      <c r="CO929" s="5" t="s">
        <v>263</v>
      </c>
      <c r="CP929" s="5" t="s">
        <v>264</v>
      </c>
      <c r="CQ929" s="5" t="s">
        <v>285</v>
      </c>
      <c r="CR929" s="5" t="s">
        <v>238</v>
      </c>
      <c r="CS929" s="5">
        <v>4.5999999999999999E-2</v>
      </c>
      <c r="CT929" s="5" t="s">
        <v>265</v>
      </c>
      <c r="CU929" s="5" t="s">
        <v>1360</v>
      </c>
      <c r="CV929" s="5" t="s">
        <v>267</v>
      </c>
      <c r="CW929" s="7">
        <f>0</f>
        <v>0</v>
      </c>
      <c r="CX929" s="8">
        <f t="shared" si="66"/>
        <v>15462000</v>
      </c>
      <c r="CY929" s="8">
        <f t="shared" si="67"/>
        <v>10483236</v>
      </c>
      <c r="DA929" s="5" t="s">
        <v>238</v>
      </c>
      <c r="DB929" s="5" t="s">
        <v>238</v>
      </c>
      <c r="DD929" s="5" t="s">
        <v>238</v>
      </c>
      <c r="DE929" s="8">
        <f>0</f>
        <v>0</v>
      </c>
      <c r="DG929" s="5" t="s">
        <v>238</v>
      </c>
      <c r="DH929" s="5" t="s">
        <v>238</v>
      </c>
      <c r="DI929" s="5" t="s">
        <v>238</v>
      </c>
      <c r="DJ929" s="5" t="s">
        <v>238</v>
      </c>
      <c r="DK929" s="5" t="s">
        <v>274</v>
      </c>
      <c r="DL929" s="5" t="s">
        <v>272</v>
      </c>
      <c r="DM929" s="7">
        <f t="shared" si="68"/>
        <v>81.14</v>
      </c>
      <c r="DN929" s="5" t="s">
        <v>238</v>
      </c>
      <c r="DO929" s="5" t="s">
        <v>238</v>
      </c>
      <c r="DP929" s="5" t="s">
        <v>238</v>
      </c>
      <c r="DQ929" s="5" t="s">
        <v>238</v>
      </c>
      <c r="DT929" s="5" t="s">
        <v>2487</v>
      </c>
      <c r="DU929" s="5" t="s">
        <v>371</v>
      </c>
      <c r="GL929" s="5" t="s">
        <v>2620</v>
      </c>
      <c r="HM929" s="5" t="s">
        <v>313</v>
      </c>
      <c r="HP929" s="5" t="s">
        <v>272</v>
      </c>
      <c r="HQ929" s="5" t="s">
        <v>272</v>
      </c>
      <c r="HR929" s="5" t="s">
        <v>238</v>
      </c>
      <c r="HS929" s="5" t="s">
        <v>238</v>
      </c>
      <c r="HT929" s="5" t="s">
        <v>238</v>
      </c>
      <c r="HU929" s="5" t="s">
        <v>238</v>
      </c>
      <c r="HV929" s="5" t="s">
        <v>238</v>
      </c>
      <c r="HW929" s="5" t="s">
        <v>238</v>
      </c>
      <c r="HX929" s="5" t="s">
        <v>238</v>
      </c>
      <c r="HY929" s="5" t="s">
        <v>238</v>
      </c>
      <c r="HZ929" s="5" t="s">
        <v>238</v>
      </c>
      <c r="IA929" s="5" t="s">
        <v>238</v>
      </c>
      <c r="IB929" s="5" t="s">
        <v>238</v>
      </c>
      <c r="IC929" s="5" t="s">
        <v>238</v>
      </c>
      <c r="ID929" s="5" t="s">
        <v>238</v>
      </c>
    </row>
    <row r="930" spans="1:238" x14ac:dyDescent="0.4">
      <c r="A930" s="5">
        <v>1026</v>
      </c>
      <c r="B930" s="5">
        <v>1</v>
      </c>
      <c r="C930" s="5">
        <v>4</v>
      </c>
      <c r="D930" s="5" t="s">
        <v>2483</v>
      </c>
      <c r="E930" s="5" t="s">
        <v>277</v>
      </c>
      <c r="F930" s="5" t="s">
        <v>282</v>
      </c>
      <c r="G930" s="5" t="s">
        <v>2485</v>
      </c>
      <c r="H930" s="6" t="s">
        <v>2486</v>
      </c>
      <c r="I930" s="5" t="s">
        <v>2482</v>
      </c>
      <c r="J930" s="7">
        <f t="shared" si="60"/>
        <v>81.14</v>
      </c>
      <c r="K930" s="5" t="s">
        <v>270</v>
      </c>
      <c r="L930" s="8">
        <f t="shared" si="61"/>
        <v>9771984</v>
      </c>
      <c r="M930" s="8">
        <f t="shared" si="62"/>
        <v>15462000</v>
      </c>
      <c r="N930" s="6" t="s">
        <v>2484</v>
      </c>
      <c r="O930" s="5" t="s">
        <v>286</v>
      </c>
      <c r="P930" s="5" t="s">
        <v>313</v>
      </c>
      <c r="Q930" s="8">
        <f t="shared" si="63"/>
        <v>711252</v>
      </c>
      <c r="R930" s="8">
        <f t="shared" si="64"/>
        <v>5690016</v>
      </c>
      <c r="S930" s="5" t="s">
        <v>240</v>
      </c>
      <c r="T930" s="5" t="s">
        <v>237</v>
      </c>
      <c r="U930" s="5" t="s">
        <v>238</v>
      </c>
      <c r="V930" s="5" t="s">
        <v>238</v>
      </c>
      <c r="W930" s="5" t="s">
        <v>241</v>
      </c>
      <c r="X930" s="5" t="s">
        <v>276</v>
      </c>
      <c r="Y930" s="5" t="s">
        <v>238</v>
      </c>
      <c r="AB930" s="5" t="s">
        <v>238</v>
      </c>
      <c r="AC930" s="6" t="s">
        <v>238</v>
      </c>
      <c r="AD930" s="6" t="s">
        <v>238</v>
      </c>
      <c r="AF930" s="6" t="s">
        <v>238</v>
      </c>
      <c r="AG930" s="6" t="s">
        <v>246</v>
      </c>
      <c r="AH930" s="5" t="s">
        <v>247</v>
      </c>
      <c r="AI930" s="5" t="s">
        <v>248</v>
      </c>
      <c r="AO930" s="5" t="s">
        <v>238</v>
      </c>
      <c r="AP930" s="5" t="s">
        <v>238</v>
      </c>
      <c r="AQ930" s="5" t="s">
        <v>238</v>
      </c>
      <c r="AR930" s="6" t="s">
        <v>238</v>
      </c>
      <c r="AS930" s="6" t="s">
        <v>238</v>
      </c>
      <c r="AT930" s="6" t="s">
        <v>238</v>
      </c>
      <c r="AW930" s="5" t="s">
        <v>304</v>
      </c>
      <c r="AX930" s="5" t="s">
        <v>304</v>
      </c>
      <c r="AY930" s="5" t="s">
        <v>250</v>
      </c>
      <c r="AZ930" s="5" t="s">
        <v>305</v>
      </c>
      <c r="BA930" s="5" t="s">
        <v>251</v>
      </c>
      <c r="BB930" s="5" t="s">
        <v>238</v>
      </c>
      <c r="BC930" s="5" t="s">
        <v>253</v>
      </c>
      <c r="BD930" s="5" t="s">
        <v>238</v>
      </c>
      <c r="BF930" s="5" t="s">
        <v>238</v>
      </c>
      <c r="BH930" s="5" t="s">
        <v>283</v>
      </c>
      <c r="BI930" s="6" t="s">
        <v>293</v>
      </c>
      <c r="BJ930" s="5" t="s">
        <v>294</v>
      </c>
      <c r="BK930" s="5" t="s">
        <v>294</v>
      </c>
      <c r="BL930" s="5" t="s">
        <v>238</v>
      </c>
      <c r="BM930" s="7">
        <f>0</f>
        <v>0</v>
      </c>
      <c r="BN930" s="8">
        <f t="shared" si="65"/>
        <v>-711252</v>
      </c>
      <c r="BO930" s="5" t="s">
        <v>257</v>
      </c>
      <c r="BP930" s="5" t="s">
        <v>258</v>
      </c>
      <c r="BQ930" s="5" t="s">
        <v>238</v>
      </c>
      <c r="BR930" s="5" t="s">
        <v>238</v>
      </c>
      <c r="BS930" s="5" t="s">
        <v>238</v>
      </c>
      <c r="BT930" s="5" t="s">
        <v>238</v>
      </c>
      <c r="CC930" s="5" t="s">
        <v>258</v>
      </c>
      <c r="CD930" s="5" t="s">
        <v>238</v>
      </c>
      <c r="CE930" s="5" t="s">
        <v>238</v>
      </c>
      <c r="CI930" s="5" t="s">
        <v>259</v>
      </c>
      <c r="CJ930" s="5" t="s">
        <v>260</v>
      </c>
      <c r="CK930" s="5" t="s">
        <v>238</v>
      </c>
      <c r="CM930" s="5" t="s">
        <v>723</v>
      </c>
      <c r="CN930" s="6" t="s">
        <v>262</v>
      </c>
      <c r="CO930" s="5" t="s">
        <v>263</v>
      </c>
      <c r="CP930" s="5" t="s">
        <v>264</v>
      </c>
      <c r="CQ930" s="5" t="s">
        <v>285</v>
      </c>
      <c r="CR930" s="5" t="s">
        <v>238</v>
      </c>
      <c r="CS930" s="5">
        <v>4.5999999999999999E-2</v>
      </c>
      <c r="CT930" s="5" t="s">
        <v>265</v>
      </c>
      <c r="CU930" s="5" t="s">
        <v>1360</v>
      </c>
      <c r="CV930" s="5" t="s">
        <v>267</v>
      </c>
      <c r="CW930" s="7">
        <f>0</f>
        <v>0</v>
      </c>
      <c r="CX930" s="8">
        <f t="shared" si="66"/>
        <v>15462000</v>
      </c>
      <c r="CY930" s="8">
        <f t="shared" si="67"/>
        <v>10483236</v>
      </c>
      <c r="DA930" s="5" t="s">
        <v>238</v>
      </c>
      <c r="DB930" s="5" t="s">
        <v>238</v>
      </c>
      <c r="DD930" s="5" t="s">
        <v>238</v>
      </c>
      <c r="DE930" s="8">
        <f>0</f>
        <v>0</v>
      </c>
      <c r="DG930" s="5" t="s">
        <v>238</v>
      </c>
      <c r="DH930" s="5" t="s">
        <v>238</v>
      </c>
      <c r="DI930" s="5" t="s">
        <v>238</v>
      </c>
      <c r="DJ930" s="5" t="s">
        <v>238</v>
      </c>
      <c r="DK930" s="5" t="s">
        <v>274</v>
      </c>
      <c r="DL930" s="5" t="s">
        <v>272</v>
      </c>
      <c r="DM930" s="7">
        <f t="shared" si="68"/>
        <v>81.14</v>
      </c>
      <c r="DN930" s="5" t="s">
        <v>238</v>
      </c>
      <c r="DO930" s="5" t="s">
        <v>238</v>
      </c>
      <c r="DP930" s="5" t="s">
        <v>238</v>
      </c>
      <c r="DQ930" s="5" t="s">
        <v>238</v>
      </c>
      <c r="DT930" s="5" t="s">
        <v>2487</v>
      </c>
      <c r="DU930" s="5" t="s">
        <v>395</v>
      </c>
      <c r="GL930" s="5" t="s">
        <v>2619</v>
      </c>
      <c r="HM930" s="5" t="s">
        <v>313</v>
      </c>
      <c r="HP930" s="5" t="s">
        <v>272</v>
      </c>
      <c r="HQ930" s="5" t="s">
        <v>272</v>
      </c>
      <c r="HR930" s="5" t="s">
        <v>238</v>
      </c>
      <c r="HS930" s="5" t="s">
        <v>238</v>
      </c>
      <c r="HT930" s="5" t="s">
        <v>238</v>
      </c>
      <c r="HU930" s="5" t="s">
        <v>238</v>
      </c>
      <c r="HV930" s="5" t="s">
        <v>238</v>
      </c>
      <c r="HW930" s="5" t="s">
        <v>238</v>
      </c>
      <c r="HX930" s="5" t="s">
        <v>238</v>
      </c>
      <c r="HY930" s="5" t="s">
        <v>238</v>
      </c>
      <c r="HZ930" s="5" t="s">
        <v>238</v>
      </c>
      <c r="IA930" s="5" t="s">
        <v>238</v>
      </c>
      <c r="IB930" s="5" t="s">
        <v>238</v>
      </c>
      <c r="IC930" s="5" t="s">
        <v>238</v>
      </c>
      <c r="ID930" s="5" t="s">
        <v>238</v>
      </c>
    </row>
    <row r="931" spans="1:238" x14ac:dyDescent="0.4">
      <c r="A931" s="5">
        <v>1027</v>
      </c>
      <c r="B931" s="5">
        <v>1</v>
      </c>
      <c r="C931" s="5">
        <v>4</v>
      </c>
      <c r="D931" s="5" t="s">
        <v>2483</v>
      </c>
      <c r="E931" s="5" t="s">
        <v>277</v>
      </c>
      <c r="F931" s="5" t="s">
        <v>282</v>
      </c>
      <c r="G931" s="5" t="s">
        <v>2485</v>
      </c>
      <c r="H931" s="6" t="s">
        <v>2486</v>
      </c>
      <c r="I931" s="5" t="s">
        <v>2482</v>
      </c>
      <c r="J931" s="7">
        <f t="shared" si="60"/>
        <v>81.14</v>
      </c>
      <c r="K931" s="5" t="s">
        <v>270</v>
      </c>
      <c r="L931" s="8">
        <f t="shared" si="61"/>
        <v>9771984</v>
      </c>
      <c r="M931" s="8">
        <f t="shared" si="62"/>
        <v>15462000</v>
      </c>
      <c r="N931" s="6" t="s">
        <v>2484</v>
      </c>
      <c r="O931" s="5" t="s">
        <v>286</v>
      </c>
      <c r="P931" s="5" t="s">
        <v>313</v>
      </c>
      <c r="Q931" s="8">
        <f t="shared" si="63"/>
        <v>711252</v>
      </c>
      <c r="R931" s="8">
        <f t="shared" si="64"/>
        <v>5690016</v>
      </c>
      <c r="S931" s="5" t="s">
        <v>240</v>
      </c>
      <c r="T931" s="5" t="s">
        <v>237</v>
      </c>
      <c r="U931" s="5" t="s">
        <v>238</v>
      </c>
      <c r="V931" s="5" t="s">
        <v>238</v>
      </c>
      <c r="W931" s="5" t="s">
        <v>241</v>
      </c>
      <c r="X931" s="5" t="s">
        <v>276</v>
      </c>
      <c r="Y931" s="5" t="s">
        <v>238</v>
      </c>
      <c r="AB931" s="5" t="s">
        <v>238</v>
      </c>
      <c r="AC931" s="6" t="s">
        <v>238</v>
      </c>
      <c r="AD931" s="6" t="s">
        <v>238</v>
      </c>
      <c r="AF931" s="6" t="s">
        <v>238</v>
      </c>
      <c r="AG931" s="6" t="s">
        <v>246</v>
      </c>
      <c r="AH931" s="5" t="s">
        <v>247</v>
      </c>
      <c r="AI931" s="5" t="s">
        <v>248</v>
      </c>
      <c r="AO931" s="5" t="s">
        <v>238</v>
      </c>
      <c r="AP931" s="5" t="s">
        <v>238</v>
      </c>
      <c r="AQ931" s="5" t="s">
        <v>238</v>
      </c>
      <c r="AR931" s="6" t="s">
        <v>238</v>
      </c>
      <c r="AS931" s="6" t="s">
        <v>238</v>
      </c>
      <c r="AT931" s="6" t="s">
        <v>238</v>
      </c>
      <c r="AW931" s="5" t="s">
        <v>304</v>
      </c>
      <c r="AX931" s="5" t="s">
        <v>304</v>
      </c>
      <c r="AY931" s="5" t="s">
        <v>250</v>
      </c>
      <c r="AZ931" s="5" t="s">
        <v>305</v>
      </c>
      <c r="BA931" s="5" t="s">
        <v>251</v>
      </c>
      <c r="BB931" s="5" t="s">
        <v>238</v>
      </c>
      <c r="BC931" s="5" t="s">
        <v>253</v>
      </c>
      <c r="BD931" s="5" t="s">
        <v>238</v>
      </c>
      <c r="BF931" s="5" t="s">
        <v>238</v>
      </c>
      <c r="BH931" s="5" t="s">
        <v>283</v>
      </c>
      <c r="BI931" s="6" t="s">
        <v>293</v>
      </c>
      <c r="BJ931" s="5" t="s">
        <v>294</v>
      </c>
      <c r="BK931" s="5" t="s">
        <v>294</v>
      </c>
      <c r="BL931" s="5" t="s">
        <v>238</v>
      </c>
      <c r="BM931" s="7">
        <f>0</f>
        <v>0</v>
      </c>
      <c r="BN931" s="8">
        <f t="shared" si="65"/>
        <v>-711252</v>
      </c>
      <c r="BO931" s="5" t="s">
        <v>257</v>
      </c>
      <c r="BP931" s="5" t="s">
        <v>258</v>
      </c>
      <c r="BQ931" s="5" t="s">
        <v>238</v>
      </c>
      <c r="BR931" s="5" t="s">
        <v>238</v>
      </c>
      <c r="BS931" s="5" t="s">
        <v>238</v>
      </c>
      <c r="BT931" s="5" t="s">
        <v>238</v>
      </c>
      <c r="CC931" s="5" t="s">
        <v>258</v>
      </c>
      <c r="CD931" s="5" t="s">
        <v>238</v>
      </c>
      <c r="CE931" s="5" t="s">
        <v>238</v>
      </c>
      <c r="CI931" s="5" t="s">
        <v>259</v>
      </c>
      <c r="CJ931" s="5" t="s">
        <v>260</v>
      </c>
      <c r="CK931" s="5" t="s">
        <v>238</v>
      </c>
      <c r="CM931" s="5" t="s">
        <v>723</v>
      </c>
      <c r="CN931" s="6" t="s">
        <v>262</v>
      </c>
      <c r="CO931" s="5" t="s">
        <v>263</v>
      </c>
      <c r="CP931" s="5" t="s">
        <v>264</v>
      </c>
      <c r="CQ931" s="5" t="s">
        <v>285</v>
      </c>
      <c r="CR931" s="5" t="s">
        <v>238</v>
      </c>
      <c r="CS931" s="5">
        <v>4.5999999999999999E-2</v>
      </c>
      <c r="CT931" s="5" t="s">
        <v>265</v>
      </c>
      <c r="CU931" s="5" t="s">
        <v>1360</v>
      </c>
      <c r="CV931" s="5" t="s">
        <v>267</v>
      </c>
      <c r="CW931" s="7">
        <f>0</f>
        <v>0</v>
      </c>
      <c r="CX931" s="8">
        <f t="shared" si="66"/>
        <v>15462000</v>
      </c>
      <c r="CY931" s="8">
        <f t="shared" si="67"/>
        <v>10483236</v>
      </c>
      <c r="DA931" s="5" t="s">
        <v>238</v>
      </c>
      <c r="DB931" s="5" t="s">
        <v>238</v>
      </c>
      <c r="DD931" s="5" t="s">
        <v>238</v>
      </c>
      <c r="DE931" s="8">
        <f>0</f>
        <v>0</v>
      </c>
      <c r="DG931" s="5" t="s">
        <v>238</v>
      </c>
      <c r="DH931" s="5" t="s">
        <v>238</v>
      </c>
      <c r="DI931" s="5" t="s">
        <v>238</v>
      </c>
      <c r="DJ931" s="5" t="s">
        <v>238</v>
      </c>
      <c r="DK931" s="5" t="s">
        <v>274</v>
      </c>
      <c r="DL931" s="5" t="s">
        <v>272</v>
      </c>
      <c r="DM931" s="7">
        <f t="shared" si="68"/>
        <v>81.14</v>
      </c>
      <c r="DN931" s="5" t="s">
        <v>238</v>
      </c>
      <c r="DO931" s="5" t="s">
        <v>238</v>
      </c>
      <c r="DP931" s="5" t="s">
        <v>238</v>
      </c>
      <c r="DQ931" s="5" t="s">
        <v>238</v>
      </c>
      <c r="DT931" s="5" t="s">
        <v>2487</v>
      </c>
      <c r="DU931" s="5" t="s">
        <v>319</v>
      </c>
      <c r="GL931" s="5" t="s">
        <v>2618</v>
      </c>
      <c r="HM931" s="5" t="s">
        <v>313</v>
      </c>
      <c r="HP931" s="5" t="s">
        <v>272</v>
      </c>
      <c r="HQ931" s="5" t="s">
        <v>272</v>
      </c>
      <c r="HR931" s="5" t="s">
        <v>238</v>
      </c>
      <c r="HS931" s="5" t="s">
        <v>238</v>
      </c>
      <c r="HT931" s="5" t="s">
        <v>238</v>
      </c>
      <c r="HU931" s="5" t="s">
        <v>238</v>
      </c>
      <c r="HV931" s="5" t="s">
        <v>238</v>
      </c>
      <c r="HW931" s="5" t="s">
        <v>238</v>
      </c>
      <c r="HX931" s="5" t="s">
        <v>238</v>
      </c>
      <c r="HY931" s="5" t="s">
        <v>238</v>
      </c>
      <c r="HZ931" s="5" t="s">
        <v>238</v>
      </c>
      <c r="IA931" s="5" t="s">
        <v>238</v>
      </c>
      <c r="IB931" s="5" t="s">
        <v>238</v>
      </c>
      <c r="IC931" s="5" t="s">
        <v>238</v>
      </c>
      <c r="ID931" s="5" t="s">
        <v>238</v>
      </c>
    </row>
    <row r="932" spans="1:238" x14ac:dyDescent="0.4">
      <c r="A932" s="5">
        <v>1028</v>
      </c>
      <c r="B932" s="5">
        <v>1</v>
      </c>
      <c r="C932" s="5">
        <v>4</v>
      </c>
      <c r="D932" s="5" t="s">
        <v>2483</v>
      </c>
      <c r="E932" s="5" t="s">
        <v>277</v>
      </c>
      <c r="F932" s="5" t="s">
        <v>282</v>
      </c>
      <c r="G932" s="5" t="s">
        <v>2485</v>
      </c>
      <c r="H932" s="6" t="s">
        <v>2486</v>
      </c>
      <c r="I932" s="5" t="s">
        <v>2482</v>
      </c>
      <c r="J932" s="7">
        <f t="shared" si="60"/>
        <v>81.14</v>
      </c>
      <c r="K932" s="5" t="s">
        <v>270</v>
      </c>
      <c r="L932" s="8">
        <f t="shared" si="61"/>
        <v>9771984</v>
      </c>
      <c r="M932" s="8">
        <f t="shared" si="62"/>
        <v>15462000</v>
      </c>
      <c r="N932" s="6" t="s">
        <v>2484</v>
      </c>
      <c r="O932" s="5" t="s">
        <v>286</v>
      </c>
      <c r="P932" s="5" t="s">
        <v>313</v>
      </c>
      <c r="Q932" s="8">
        <f t="shared" si="63"/>
        <v>711252</v>
      </c>
      <c r="R932" s="8">
        <f t="shared" si="64"/>
        <v>5690016</v>
      </c>
      <c r="S932" s="5" t="s">
        <v>240</v>
      </c>
      <c r="T932" s="5" t="s">
        <v>237</v>
      </c>
      <c r="U932" s="5" t="s">
        <v>238</v>
      </c>
      <c r="V932" s="5" t="s">
        <v>238</v>
      </c>
      <c r="W932" s="5" t="s">
        <v>241</v>
      </c>
      <c r="X932" s="5" t="s">
        <v>276</v>
      </c>
      <c r="Y932" s="5" t="s">
        <v>238</v>
      </c>
      <c r="AB932" s="5" t="s">
        <v>238</v>
      </c>
      <c r="AC932" s="6" t="s">
        <v>238</v>
      </c>
      <c r="AD932" s="6" t="s">
        <v>238</v>
      </c>
      <c r="AF932" s="6" t="s">
        <v>238</v>
      </c>
      <c r="AG932" s="6" t="s">
        <v>374</v>
      </c>
      <c r="AH932" s="5" t="s">
        <v>247</v>
      </c>
      <c r="AI932" s="5" t="s">
        <v>248</v>
      </c>
      <c r="AO932" s="5" t="s">
        <v>238</v>
      </c>
      <c r="AP932" s="5" t="s">
        <v>238</v>
      </c>
      <c r="AQ932" s="5" t="s">
        <v>238</v>
      </c>
      <c r="AR932" s="6" t="s">
        <v>238</v>
      </c>
      <c r="AS932" s="6" t="s">
        <v>238</v>
      </c>
      <c r="AT932" s="6" t="s">
        <v>238</v>
      </c>
      <c r="AW932" s="5" t="s">
        <v>304</v>
      </c>
      <c r="AX932" s="5" t="s">
        <v>304</v>
      </c>
      <c r="AY932" s="5" t="s">
        <v>250</v>
      </c>
      <c r="AZ932" s="5" t="s">
        <v>305</v>
      </c>
      <c r="BA932" s="5" t="s">
        <v>251</v>
      </c>
      <c r="BB932" s="5" t="s">
        <v>238</v>
      </c>
      <c r="BC932" s="5" t="s">
        <v>253</v>
      </c>
      <c r="BD932" s="5" t="s">
        <v>238</v>
      </c>
      <c r="BF932" s="5" t="s">
        <v>238</v>
      </c>
      <c r="BH932" s="5" t="s">
        <v>283</v>
      </c>
      <c r="BI932" s="6" t="s">
        <v>293</v>
      </c>
      <c r="BJ932" s="5" t="s">
        <v>294</v>
      </c>
      <c r="BK932" s="5" t="s">
        <v>294</v>
      </c>
      <c r="BL932" s="5" t="s">
        <v>238</v>
      </c>
      <c r="BM932" s="7">
        <f>0</f>
        <v>0</v>
      </c>
      <c r="BN932" s="8">
        <f t="shared" si="65"/>
        <v>-711252</v>
      </c>
      <c r="BO932" s="5" t="s">
        <v>257</v>
      </c>
      <c r="BP932" s="5" t="s">
        <v>258</v>
      </c>
      <c r="BQ932" s="5" t="s">
        <v>238</v>
      </c>
      <c r="BR932" s="5" t="s">
        <v>238</v>
      </c>
      <c r="BS932" s="5" t="s">
        <v>238</v>
      </c>
      <c r="BT932" s="5" t="s">
        <v>238</v>
      </c>
      <c r="CC932" s="5" t="s">
        <v>258</v>
      </c>
      <c r="CD932" s="5" t="s">
        <v>238</v>
      </c>
      <c r="CE932" s="5" t="s">
        <v>238</v>
      </c>
      <c r="CI932" s="5" t="s">
        <v>259</v>
      </c>
      <c r="CJ932" s="5" t="s">
        <v>260</v>
      </c>
      <c r="CK932" s="5" t="s">
        <v>238</v>
      </c>
      <c r="CM932" s="5" t="s">
        <v>723</v>
      </c>
      <c r="CN932" s="6" t="s">
        <v>262</v>
      </c>
      <c r="CO932" s="5" t="s">
        <v>263</v>
      </c>
      <c r="CP932" s="5" t="s">
        <v>264</v>
      </c>
      <c r="CQ932" s="5" t="s">
        <v>285</v>
      </c>
      <c r="CR932" s="5" t="s">
        <v>238</v>
      </c>
      <c r="CS932" s="5">
        <v>4.5999999999999999E-2</v>
      </c>
      <c r="CT932" s="5" t="s">
        <v>265</v>
      </c>
      <c r="CU932" s="5" t="s">
        <v>1360</v>
      </c>
      <c r="CV932" s="5" t="s">
        <v>267</v>
      </c>
      <c r="CW932" s="7">
        <f>0</f>
        <v>0</v>
      </c>
      <c r="CX932" s="8">
        <f t="shared" si="66"/>
        <v>15462000</v>
      </c>
      <c r="CY932" s="8">
        <f t="shared" si="67"/>
        <v>10483236</v>
      </c>
      <c r="DA932" s="5" t="s">
        <v>238</v>
      </c>
      <c r="DB932" s="5" t="s">
        <v>238</v>
      </c>
      <c r="DD932" s="5" t="s">
        <v>238</v>
      </c>
      <c r="DE932" s="8">
        <f>0</f>
        <v>0</v>
      </c>
      <c r="DG932" s="5" t="s">
        <v>238</v>
      </c>
      <c r="DH932" s="5" t="s">
        <v>238</v>
      </c>
      <c r="DI932" s="5" t="s">
        <v>238</v>
      </c>
      <c r="DJ932" s="5" t="s">
        <v>238</v>
      </c>
      <c r="DK932" s="5" t="s">
        <v>274</v>
      </c>
      <c r="DL932" s="5" t="s">
        <v>272</v>
      </c>
      <c r="DM932" s="7">
        <f t="shared" si="68"/>
        <v>81.14</v>
      </c>
      <c r="DN932" s="5" t="s">
        <v>238</v>
      </c>
      <c r="DO932" s="5" t="s">
        <v>238</v>
      </c>
      <c r="DP932" s="5" t="s">
        <v>238</v>
      </c>
      <c r="DQ932" s="5" t="s">
        <v>238</v>
      </c>
      <c r="DT932" s="5" t="s">
        <v>2487</v>
      </c>
      <c r="DU932" s="5" t="s">
        <v>1114</v>
      </c>
      <c r="GL932" s="5" t="s">
        <v>2617</v>
      </c>
      <c r="HM932" s="5" t="s">
        <v>313</v>
      </c>
      <c r="HP932" s="5" t="s">
        <v>272</v>
      </c>
      <c r="HQ932" s="5" t="s">
        <v>272</v>
      </c>
      <c r="HR932" s="5" t="s">
        <v>238</v>
      </c>
      <c r="HS932" s="5" t="s">
        <v>238</v>
      </c>
      <c r="HT932" s="5" t="s">
        <v>238</v>
      </c>
      <c r="HU932" s="5" t="s">
        <v>238</v>
      </c>
      <c r="HV932" s="5" t="s">
        <v>238</v>
      </c>
      <c r="HW932" s="5" t="s">
        <v>238</v>
      </c>
      <c r="HX932" s="5" t="s">
        <v>238</v>
      </c>
      <c r="HY932" s="5" t="s">
        <v>238</v>
      </c>
      <c r="HZ932" s="5" t="s">
        <v>238</v>
      </c>
      <c r="IA932" s="5" t="s">
        <v>238</v>
      </c>
      <c r="IB932" s="5" t="s">
        <v>238</v>
      </c>
      <c r="IC932" s="5" t="s">
        <v>238</v>
      </c>
      <c r="ID932" s="5" t="s">
        <v>238</v>
      </c>
    </row>
    <row r="933" spans="1:238" x14ac:dyDescent="0.4">
      <c r="A933" s="5">
        <v>1029</v>
      </c>
      <c r="B933" s="5">
        <v>1</v>
      </c>
      <c r="C933" s="5">
        <v>4</v>
      </c>
      <c r="D933" s="5" t="s">
        <v>2483</v>
      </c>
      <c r="E933" s="5" t="s">
        <v>277</v>
      </c>
      <c r="F933" s="5" t="s">
        <v>282</v>
      </c>
      <c r="G933" s="5" t="s">
        <v>2485</v>
      </c>
      <c r="H933" s="6" t="s">
        <v>2486</v>
      </c>
      <c r="I933" s="5" t="s">
        <v>2482</v>
      </c>
      <c r="J933" s="7">
        <f t="shared" si="60"/>
        <v>81.14</v>
      </c>
      <c r="K933" s="5" t="s">
        <v>270</v>
      </c>
      <c r="L933" s="8">
        <f t="shared" si="61"/>
        <v>9771984</v>
      </c>
      <c r="M933" s="8">
        <f t="shared" si="62"/>
        <v>15462000</v>
      </c>
      <c r="N933" s="6" t="s">
        <v>2484</v>
      </c>
      <c r="O933" s="5" t="s">
        <v>286</v>
      </c>
      <c r="P933" s="5" t="s">
        <v>313</v>
      </c>
      <c r="Q933" s="8">
        <f t="shared" si="63"/>
        <v>711252</v>
      </c>
      <c r="R933" s="8">
        <f t="shared" si="64"/>
        <v>5690016</v>
      </c>
      <c r="S933" s="5" t="s">
        <v>240</v>
      </c>
      <c r="T933" s="5" t="s">
        <v>237</v>
      </c>
      <c r="U933" s="5" t="s">
        <v>238</v>
      </c>
      <c r="V933" s="5" t="s">
        <v>238</v>
      </c>
      <c r="W933" s="5" t="s">
        <v>241</v>
      </c>
      <c r="X933" s="5" t="s">
        <v>276</v>
      </c>
      <c r="Y933" s="5" t="s">
        <v>238</v>
      </c>
      <c r="AB933" s="5" t="s">
        <v>238</v>
      </c>
      <c r="AC933" s="6" t="s">
        <v>238</v>
      </c>
      <c r="AD933" s="6" t="s">
        <v>238</v>
      </c>
      <c r="AF933" s="6" t="s">
        <v>238</v>
      </c>
      <c r="AG933" s="6" t="s">
        <v>374</v>
      </c>
      <c r="AH933" s="5" t="s">
        <v>247</v>
      </c>
      <c r="AI933" s="5" t="s">
        <v>248</v>
      </c>
      <c r="AO933" s="5" t="s">
        <v>238</v>
      </c>
      <c r="AP933" s="5" t="s">
        <v>238</v>
      </c>
      <c r="AQ933" s="5" t="s">
        <v>238</v>
      </c>
      <c r="AR933" s="6" t="s">
        <v>238</v>
      </c>
      <c r="AS933" s="6" t="s">
        <v>238</v>
      </c>
      <c r="AT933" s="6" t="s">
        <v>238</v>
      </c>
      <c r="AW933" s="5" t="s">
        <v>304</v>
      </c>
      <c r="AX933" s="5" t="s">
        <v>304</v>
      </c>
      <c r="AY933" s="5" t="s">
        <v>250</v>
      </c>
      <c r="AZ933" s="5" t="s">
        <v>305</v>
      </c>
      <c r="BA933" s="5" t="s">
        <v>251</v>
      </c>
      <c r="BB933" s="5" t="s">
        <v>238</v>
      </c>
      <c r="BC933" s="5" t="s">
        <v>253</v>
      </c>
      <c r="BD933" s="5" t="s">
        <v>238</v>
      </c>
      <c r="BF933" s="5" t="s">
        <v>238</v>
      </c>
      <c r="BH933" s="5" t="s">
        <v>283</v>
      </c>
      <c r="BI933" s="6" t="s">
        <v>293</v>
      </c>
      <c r="BJ933" s="5" t="s">
        <v>294</v>
      </c>
      <c r="BK933" s="5" t="s">
        <v>294</v>
      </c>
      <c r="BL933" s="5" t="s">
        <v>238</v>
      </c>
      <c r="BM933" s="7">
        <f>0</f>
        <v>0</v>
      </c>
      <c r="BN933" s="8">
        <f t="shared" si="65"/>
        <v>-711252</v>
      </c>
      <c r="BO933" s="5" t="s">
        <v>257</v>
      </c>
      <c r="BP933" s="5" t="s">
        <v>258</v>
      </c>
      <c r="BQ933" s="5" t="s">
        <v>238</v>
      </c>
      <c r="BR933" s="5" t="s">
        <v>238</v>
      </c>
      <c r="BS933" s="5" t="s">
        <v>238</v>
      </c>
      <c r="BT933" s="5" t="s">
        <v>238</v>
      </c>
      <c r="CC933" s="5" t="s">
        <v>258</v>
      </c>
      <c r="CD933" s="5" t="s">
        <v>238</v>
      </c>
      <c r="CE933" s="5" t="s">
        <v>238</v>
      </c>
      <c r="CI933" s="5" t="s">
        <v>259</v>
      </c>
      <c r="CJ933" s="5" t="s">
        <v>260</v>
      </c>
      <c r="CK933" s="5" t="s">
        <v>238</v>
      </c>
      <c r="CM933" s="5" t="s">
        <v>723</v>
      </c>
      <c r="CN933" s="6" t="s">
        <v>262</v>
      </c>
      <c r="CO933" s="5" t="s">
        <v>263</v>
      </c>
      <c r="CP933" s="5" t="s">
        <v>264</v>
      </c>
      <c r="CQ933" s="5" t="s">
        <v>285</v>
      </c>
      <c r="CR933" s="5" t="s">
        <v>238</v>
      </c>
      <c r="CS933" s="5">
        <v>4.5999999999999999E-2</v>
      </c>
      <c r="CT933" s="5" t="s">
        <v>265</v>
      </c>
      <c r="CU933" s="5" t="s">
        <v>1360</v>
      </c>
      <c r="CV933" s="5" t="s">
        <v>267</v>
      </c>
      <c r="CW933" s="7">
        <f>0</f>
        <v>0</v>
      </c>
      <c r="CX933" s="8">
        <f t="shared" si="66"/>
        <v>15462000</v>
      </c>
      <c r="CY933" s="8">
        <f t="shared" si="67"/>
        <v>10483236</v>
      </c>
      <c r="DA933" s="5" t="s">
        <v>238</v>
      </c>
      <c r="DB933" s="5" t="s">
        <v>238</v>
      </c>
      <c r="DD933" s="5" t="s">
        <v>238</v>
      </c>
      <c r="DE933" s="8">
        <f>0</f>
        <v>0</v>
      </c>
      <c r="DG933" s="5" t="s">
        <v>238</v>
      </c>
      <c r="DH933" s="5" t="s">
        <v>238</v>
      </c>
      <c r="DI933" s="5" t="s">
        <v>238</v>
      </c>
      <c r="DJ933" s="5" t="s">
        <v>238</v>
      </c>
      <c r="DK933" s="5" t="s">
        <v>274</v>
      </c>
      <c r="DL933" s="5" t="s">
        <v>272</v>
      </c>
      <c r="DM933" s="7">
        <f t="shared" si="68"/>
        <v>81.14</v>
      </c>
      <c r="DN933" s="5" t="s">
        <v>238</v>
      </c>
      <c r="DO933" s="5" t="s">
        <v>238</v>
      </c>
      <c r="DP933" s="5" t="s">
        <v>238</v>
      </c>
      <c r="DQ933" s="5" t="s">
        <v>238</v>
      </c>
      <c r="DT933" s="5" t="s">
        <v>2487</v>
      </c>
      <c r="DU933" s="5" t="s">
        <v>268</v>
      </c>
      <c r="GL933" s="5" t="s">
        <v>2616</v>
      </c>
      <c r="HM933" s="5" t="s">
        <v>313</v>
      </c>
      <c r="HP933" s="5" t="s">
        <v>272</v>
      </c>
      <c r="HQ933" s="5" t="s">
        <v>272</v>
      </c>
      <c r="HR933" s="5" t="s">
        <v>238</v>
      </c>
      <c r="HS933" s="5" t="s">
        <v>238</v>
      </c>
      <c r="HT933" s="5" t="s">
        <v>238</v>
      </c>
      <c r="HU933" s="5" t="s">
        <v>238</v>
      </c>
      <c r="HV933" s="5" t="s">
        <v>238</v>
      </c>
      <c r="HW933" s="5" t="s">
        <v>238</v>
      </c>
      <c r="HX933" s="5" t="s">
        <v>238</v>
      </c>
      <c r="HY933" s="5" t="s">
        <v>238</v>
      </c>
      <c r="HZ933" s="5" t="s">
        <v>238</v>
      </c>
      <c r="IA933" s="5" t="s">
        <v>238</v>
      </c>
      <c r="IB933" s="5" t="s">
        <v>238</v>
      </c>
      <c r="IC933" s="5" t="s">
        <v>238</v>
      </c>
      <c r="ID933" s="5" t="s">
        <v>238</v>
      </c>
    </row>
    <row r="934" spans="1:238" x14ac:dyDescent="0.4">
      <c r="A934" s="5">
        <v>1030</v>
      </c>
      <c r="B934" s="5">
        <v>1</v>
      </c>
      <c r="C934" s="5">
        <v>4</v>
      </c>
      <c r="D934" s="5" t="s">
        <v>2483</v>
      </c>
      <c r="E934" s="5" t="s">
        <v>277</v>
      </c>
      <c r="F934" s="5" t="s">
        <v>282</v>
      </c>
      <c r="G934" s="5" t="s">
        <v>2485</v>
      </c>
      <c r="H934" s="6" t="s">
        <v>2486</v>
      </c>
      <c r="I934" s="5" t="s">
        <v>2482</v>
      </c>
      <c r="J934" s="7">
        <f t="shared" si="60"/>
        <v>81.14</v>
      </c>
      <c r="K934" s="5" t="s">
        <v>270</v>
      </c>
      <c r="L934" s="8">
        <f t="shared" si="61"/>
        <v>9771984</v>
      </c>
      <c r="M934" s="8">
        <f t="shared" si="62"/>
        <v>15462000</v>
      </c>
      <c r="N934" s="6" t="s">
        <v>2484</v>
      </c>
      <c r="O934" s="5" t="s">
        <v>286</v>
      </c>
      <c r="P934" s="5" t="s">
        <v>313</v>
      </c>
      <c r="Q934" s="8">
        <f t="shared" si="63"/>
        <v>711252</v>
      </c>
      <c r="R934" s="8">
        <f t="shared" si="64"/>
        <v>5690016</v>
      </c>
      <c r="S934" s="5" t="s">
        <v>240</v>
      </c>
      <c r="T934" s="5" t="s">
        <v>237</v>
      </c>
      <c r="U934" s="5" t="s">
        <v>238</v>
      </c>
      <c r="V934" s="5" t="s">
        <v>238</v>
      </c>
      <c r="W934" s="5" t="s">
        <v>241</v>
      </c>
      <c r="X934" s="5" t="s">
        <v>276</v>
      </c>
      <c r="Y934" s="5" t="s">
        <v>238</v>
      </c>
      <c r="AB934" s="5" t="s">
        <v>238</v>
      </c>
      <c r="AC934" s="6" t="s">
        <v>238</v>
      </c>
      <c r="AD934" s="6" t="s">
        <v>238</v>
      </c>
      <c r="AF934" s="6" t="s">
        <v>238</v>
      </c>
      <c r="AG934" s="6" t="s">
        <v>374</v>
      </c>
      <c r="AH934" s="5" t="s">
        <v>247</v>
      </c>
      <c r="AI934" s="5" t="s">
        <v>248</v>
      </c>
      <c r="AO934" s="5" t="s">
        <v>238</v>
      </c>
      <c r="AP934" s="5" t="s">
        <v>238</v>
      </c>
      <c r="AQ934" s="5" t="s">
        <v>238</v>
      </c>
      <c r="AR934" s="6" t="s">
        <v>238</v>
      </c>
      <c r="AS934" s="6" t="s">
        <v>238</v>
      </c>
      <c r="AT934" s="6" t="s">
        <v>238</v>
      </c>
      <c r="AW934" s="5" t="s">
        <v>304</v>
      </c>
      <c r="AX934" s="5" t="s">
        <v>304</v>
      </c>
      <c r="AY934" s="5" t="s">
        <v>250</v>
      </c>
      <c r="AZ934" s="5" t="s">
        <v>305</v>
      </c>
      <c r="BA934" s="5" t="s">
        <v>251</v>
      </c>
      <c r="BB934" s="5" t="s">
        <v>238</v>
      </c>
      <c r="BC934" s="5" t="s">
        <v>253</v>
      </c>
      <c r="BD934" s="5" t="s">
        <v>238</v>
      </c>
      <c r="BF934" s="5" t="s">
        <v>238</v>
      </c>
      <c r="BH934" s="5" t="s">
        <v>283</v>
      </c>
      <c r="BI934" s="6" t="s">
        <v>293</v>
      </c>
      <c r="BJ934" s="5" t="s">
        <v>294</v>
      </c>
      <c r="BK934" s="5" t="s">
        <v>294</v>
      </c>
      <c r="BL934" s="5" t="s">
        <v>238</v>
      </c>
      <c r="BM934" s="7">
        <f>0</f>
        <v>0</v>
      </c>
      <c r="BN934" s="8">
        <f t="shared" si="65"/>
        <v>-711252</v>
      </c>
      <c r="BO934" s="5" t="s">
        <v>257</v>
      </c>
      <c r="BP934" s="5" t="s">
        <v>258</v>
      </c>
      <c r="BQ934" s="5" t="s">
        <v>238</v>
      </c>
      <c r="BR934" s="5" t="s">
        <v>238</v>
      </c>
      <c r="BS934" s="5" t="s">
        <v>238</v>
      </c>
      <c r="BT934" s="5" t="s">
        <v>238</v>
      </c>
      <c r="CC934" s="5" t="s">
        <v>258</v>
      </c>
      <c r="CD934" s="5" t="s">
        <v>238</v>
      </c>
      <c r="CE934" s="5" t="s">
        <v>238</v>
      </c>
      <c r="CI934" s="5" t="s">
        <v>259</v>
      </c>
      <c r="CJ934" s="5" t="s">
        <v>260</v>
      </c>
      <c r="CK934" s="5" t="s">
        <v>238</v>
      </c>
      <c r="CM934" s="5" t="s">
        <v>723</v>
      </c>
      <c r="CN934" s="6" t="s">
        <v>262</v>
      </c>
      <c r="CO934" s="5" t="s">
        <v>263</v>
      </c>
      <c r="CP934" s="5" t="s">
        <v>264</v>
      </c>
      <c r="CQ934" s="5" t="s">
        <v>285</v>
      </c>
      <c r="CR934" s="5" t="s">
        <v>238</v>
      </c>
      <c r="CS934" s="5">
        <v>4.5999999999999999E-2</v>
      </c>
      <c r="CT934" s="5" t="s">
        <v>265</v>
      </c>
      <c r="CU934" s="5" t="s">
        <v>1360</v>
      </c>
      <c r="CV934" s="5" t="s">
        <v>267</v>
      </c>
      <c r="CW934" s="7">
        <f>0</f>
        <v>0</v>
      </c>
      <c r="CX934" s="8">
        <f t="shared" si="66"/>
        <v>15462000</v>
      </c>
      <c r="CY934" s="8">
        <f t="shared" si="67"/>
        <v>10483236</v>
      </c>
      <c r="DA934" s="5" t="s">
        <v>238</v>
      </c>
      <c r="DB934" s="5" t="s">
        <v>238</v>
      </c>
      <c r="DD934" s="5" t="s">
        <v>238</v>
      </c>
      <c r="DE934" s="8">
        <f>0</f>
        <v>0</v>
      </c>
      <c r="DG934" s="5" t="s">
        <v>238</v>
      </c>
      <c r="DH934" s="5" t="s">
        <v>238</v>
      </c>
      <c r="DI934" s="5" t="s">
        <v>238</v>
      </c>
      <c r="DJ934" s="5" t="s">
        <v>238</v>
      </c>
      <c r="DK934" s="5" t="s">
        <v>274</v>
      </c>
      <c r="DL934" s="5" t="s">
        <v>272</v>
      </c>
      <c r="DM934" s="7">
        <f t="shared" si="68"/>
        <v>81.14</v>
      </c>
      <c r="DN934" s="5" t="s">
        <v>238</v>
      </c>
      <c r="DO934" s="5" t="s">
        <v>238</v>
      </c>
      <c r="DP934" s="5" t="s">
        <v>238</v>
      </c>
      <c r="DQ934" s="5" t="s">
        <v>238</v>
      </c>
      <c r="DT934" s="5" t="s">
        <v>2487</v>
      </c>
      <c r="DU934" s="5" t="s">
        <v>269</v>
      </c>
      <c r="GL934" s="5" t="s">
        <v>2615</v>
      </c>
      <c r="HM934" s="5" t="s">
        <v>313</v>
      </c>
      <c r="HP934" s="5" t="s">
        <v>272</v>
      </c>
      <c r="HQ934" s="5" t="s">
        <v>272</v>
      </c>
      <c r="HR934" s="5" t="s">
        <v>238</v>
      </c>
      <c r="HS934" s="5" t="s">
        <v>238</v>
      </c>
      <c r="HT934" s="5" t="s">
        <v>238</v>
      </c>
      <c r="HU934" s="5" t="s">
        <v>238</v>
      </c>
      <c r="HV934" s="5" t="s">
        <v>238</v>
      </c>
      <c r="HW934" s="5" t="s">
        <v>238</v>
      </c>
      <c r="HX934" s="5" t="s">
        <v>238</v>
      </c>
      <c r="HY934" s="5" t="s">
        <v>238</v>
      </c>
      <c r="HZ934" s="5" t="s">
        <v>238</v>
      </c>
      <c r="IA934" s="5" t="s">
        <v>238</v>
      </c>
      <c r="IB934" s="5" t="s">
        <v>238</v>
      </c>
      <c r="IC934" s="5" t="s">
        <v>238</v>
      </c>
      <c r="ID934" s="5" t="s">
        <v>238</v>
      </c>
    </row>
    <row r="935" spans="1:238" x14ac:dyDescent="0.4">
      <c r="A935" s="5">
        <v>1031</v>
      </c>
      <c r="B935" s="5">
        <v>1</v>
      </c>
      <c r="C935" s="5">
        <v>4</v>
      </c>
      <c r="D935" s="5" t="s">
        <v>2483</v>
      </c>
      <c r="E935" s="5" t="s">
        <v>277</v>
      </c>
      <c r="F935" s="5" t="s">
        <v>282</v>
      </c>
      <c r="G935" s="5" t="s">
        <v>2485</v>
      </c>
      <c r="H935" s="6" t="s">
        <v>2486</v>
      </c>
      <c r="I935" s="5" t="s">
        <v>2482</v>
      </c>
      <c r="J935" s="7">
        <f t="shared" ref="J935:J948" si="69">57.96</f>
        <v>57.96</v>
      </c>
      <c r="K935" s="5" t="s">
        <v>270</v>
      </c>
      <c r="L935" s="8">
        <f t="shared" ref="L935:L940" si="70">8012496</f>
        <v>8012496</v>
      </c>
      <c r="M935" s="8">
        <f t="shared" ref="M935:M940" si="71">12678000</f>
        <v>12678000</v>
      </c>
      <c r="N935" s="6" t="s">
        <v>2484</v>
      </c>
      <c r="O935" s="5" t="s">
        <v>286</v>
      </c>
      <c r="P935" s="5" t="s">
        <v>313</v>
      </c>
      <c r="Q935" s="8">
        <f t="shared" ref="Q935:Q940" si="72">583188</f>
        <v>583188</v>
      </c>
      <c r="R935" s="8">
        <f t="shared" ref="R935:R940" si="73">4665504</f>
        <v>4665504</v>
      </c>
      <c r="S935" s="5" t="s">
        <v>240</v>
      </c>
      <c r="T935" s="5" t="s">
        <v>237</v>
      </c>
      <c r="U935" s="5" t="s">
        <v>238</v>
      </c>
      <c r="V935" s="5" t="s">
        <v>238</v>
      </c>
      <c r="W935" s="5" t="s">
        <v>241</v>
      </c>
      <c r="X935" s="5" t="s">
        <v>276</v>
      </c>
      <c r="Y935" s="5" t="s">
        <v>238</v>
      </c>
      <c r="AB935" s="5" t="s">
        <v>238</v>
      </c>
      <c r="AC935" s="6" t="s">
        <v>238</v>
      </c>
      <c r="AD935" s="6" t="s">
        <v>238</v>
      </c>
      <c r="AF935" s="6" t="s">
        <v>238</v>
      </c>
      <c r="AG935" s="6" t="s">
        <v>246</v>
      </c>
      <c r="AH935" s="5" t="s">
        <v>247</v>
      </c>
      <c r="AI935" s="5" t="s">
        <v>248</v>
      </c>
      <c r="AO935" s="5" t="s">
        <v>238</v>
      </c>
      <c r="AP935" s="5" t="s">
        <v>238</v>
      </c>
      <c r="AQ935" s="5" t="s">
        <v>238</v>
      </c>
      <c r="AR935" s="6" t="s">
        <v>238</v>
      </c>
      <c r="AS935" s="6" t="s">
        <v>238</v>
      </c>
      <c r="AT935" s="6" t="s">
        <v>238</v>
      </c>
      <c r="AW935" s="5" t="s">
        <v>304</v>
      </c>
      <c r="AX935" s="5" t="s">
        <v>304</v>
      </c>
      <c r="AY935" s="5" t="s">
        <v>250</v>
      </c>
      <c r="AZ935" s="5" t="s">
        <v>305</v>
      </c>
      <c r="BA935" s="5" t="s">
        <v>251</v>
      </c>
      <c r="BB935" s="5" t="s">
        <v>238</v>
      </c>
      <c r="BC935" s="5" t="s">
        <v>253</v>
      </c>
      <c r="BD935" s="5" t="s">
        <v>238</v>
      </c>
      <c r="BF935" s="5" t="s">
        <v>238</v>
      </c>
      <c r="BH935" s="5" t="s">
        <v>283</v>
      </c>
      <c r="BI935" s="6" t="s">
        <v>293</v>
      </c>
      <c r="BJ935" s="5" t="s">
        <v>294</v>
      </c>
      <c r="BK935" s="5" t="s">
        <v>294</v>
      </c>
      <c r="BL935" s="5" t="s">
        <v>238</v>
      </c>
      <c r="BM935" s="7">
        <f>0</f>
        <v>0</v>
      </c>
      <c r="BN935" s="8">
        <f t="shared" ref="BN935:BN940" si="74">-583188</f>
        <v>-583188</v>
      </c>
      <c r="BO935" s="5" t="s">
        <v>257</v>
      </c>
      <c r="BP935" s="5" t="s">
        <v>258</v>
      </c>
      <c r="BQ935" s="5" t="s">
        <v>238</v>
      </c>
      <c r="BR935" s="5" t="s">
        <v>238</v>
      </c>
      <c r="BS935" s="5" t="s">
        <v>238</v>
      </c>
      <c r="BT935" s="5" t="s">
        <v>238</v>
      </c>
      <c r="CC935" s="5" t="s">
        <v>258</v>
      </c>
      <c r="CD935" s="5" t="s">
        <v>238</v>
      </c>
      <c r="CE935" s="5" t="s">
        <v>238</v>
      </c>
      <c r="CI935" s="5" t="s">
        <v>259</v>
      </c>
      <c r="CJ935" s="5" t="s">
        <v>260</v>
      </c>
      <c r="CK935" s="5" t="s">
        <v>238</v>
      </c>
      <c r="CM935" s="5" t="s">
        <v>723</v>
      </c>
      <c r="CN935" s="6" t="s">
        <v>262</v>
      </c>
      <c r="CO935" s="5" t="s">
        <v>263</v>
      </c>
      <c r="CP935" s="5" t="s">
        <v>264</v>
      </c>
      <c r="CQ935" s="5" t="s">
        <v>285</v>
      </c>
      <c r="CR935" s="5" t="s">
        <v>238</v>
      </c>
      <c r="CS935" s="5">
        <v>4.5999999999999999E-2</v>
      </c>
      <c r="CT935" s="5" t="s">
        <v>265</v>
      </c>
      <c r="CU935" s="5" t="s">
        <v>1360</v>
      </c>
      <c r="CV935" s="5" t="s">
        <v>267</v>
      </c>
      <c r="CW935" s="7">
        <f>0</f>
        <v>0</v>
      </c>
      <c r="CX935" s="8">
        <f t="shared" ref="CX935:CX940" si="75">12678000</f>
        <v>12678000</v>
      </c>
      <c r="CY935" s="8">
        <f t="shared" ref="CY935:CY940" si="76">8595684</f>
        <v>8595684</v>
      </c>
      <c r="DA935" s="5" t="s">
        <v>238</v>
      </c>
      <c r="DB935" s="5" t="s">
        <v>238</v>
      </c>
      <c r="DD935" s="5" t="s">
        <v>238</v>
      </c>
      <c r="DE935" s="8">
        <f>0</f>
        <v>0</v>
      </c>
      <c r="DG935" s="5" t="s">
        <v>238</v>
      </c>
      <c r="DH935" s="5" t="s">
        <v>238</v>
      </c>
      <c r="DI935" s="5" t="s">
        <v>238</v>
      </c>
      <c r="DJ935" s="5" t="s">
        <v>238</v>
      </c>
      <c r="DK935" s="5" t="s">
        <v>271</v>
      </c>
      <c r="DL935" s="5" t="s">
        <v>272</v>
      </c>
      <c r="DM935" s="7">
        <f t="shared" ref="DM935:DM948" si="77">57.96</f>
        <v>57.96</v>
      </c>
      <c r="DN935" s="5" t="s">
        <v>238</v>
      </c>
      <c r="DO935" s="5" t="s">
        <v>238</v>
      </c>
      <c r="DP935" s="5" t="s">
        <v>238</v>
      </c>
      <c r="DQ935" s="5" t="s">
        <v>238</v>
      </c>
      <c r="DT935" s="5" t="s">
        <v>2487</v>
      </c>
      <c r="DU935" s="5" t="s">
        <v>631</v>
      </c>
      <c r="GL935" s="5" t="s">
        <v>2614</v>
      </c>
      <c r="HM935" s="5" t="s">
        <v>313</v>
      </c>
      <c r="HP935" s="5" t="s">
        <v>272</v>
      </c>
      <c r="HQ935" s="5" t="s">
        <v>272</v>
      </c>
      <c r="HR935" s="5" t="s">
        <v>238</v>
      </c>
      <c r="HS935" s="5" t="s">
        <v>238</v>
      </c>
      <c r="HT935" s="5" t="s">
        <v>238</v>
      </c>
      <c r="HU935" s="5" t="s">
        <v>238</v>
      </c>
      <c r="HV935" s="5" t="s">
        <v>238</v>
      </c>
      <c r="HW935" s="5" t="s">
        <v>238</v>
      </c>
      <c r="HX935" s="5" t="s">
        <v>238</v>
      </c>
      <c r="HY935" s="5" t="s">
        <v>238</v>
      </c>
      <c r="HZ935" s="5" t="s">
        <v>238</v>
      </c>
      <c r="IA935" s="5" t="s">
        <v>238</v>
      </c>
      <c r="IB935" s="5" t="s">
        <v>238</v>
      </c>
      <c r="IC935" s="5" t="s">
        <v>238</v>
      </c>
      <c r="ID935" s="5" t="s">
        <v>238</v>
      </c>
    </row>
    <row r="936" spans="1:238" x14ac:dyDescent="0.4">
      <c r="A936" s="5">
        <v>1032</v>
      </c>
      <c r="B936" s="5">
        <v>1</v>
      </c>
      <c r="C936" s="5">
        <v>4</v>
      </c>
      <c r="D936" s="5" t="s">
        <v>2483</v>
      </c>
      <c r="E936" s="5" t="s">
        <v>277</v>
      </c>
      <c r="F936" s="5" t="s">
        <v>282</v>
      </c>
      <c r="G936" s="5" t="s">
        <v>2485</v>
      </c>
      <c r="H936" s="6" t="s">
        <v>2486</v>
      </c>
      <c r="I936" s="5" t="s">
        <v>2482</v>
      </c>
      <c r="J936" s="7">
        <f t="shared" si="69"/>
        <v>57.96</v>
      </c>
      <c r="K936" s="5" t="s">
        <v>270</v>
      </c>
      <c r="L936" s="8">
        <f t="shared" si="70"/>
        <v>8012496</v>
      </c>
      <c r="M936" s="8">
        <f t="shared" si="71"/>
        <v>12678000</v>
      </c>
      <c r="N936" s="6" t="s">
        <v>2484</v>
      </c>
      <c r="O936" s="5" t="s">
        <v>286</v>
      </c>
      <c r="P936" s="5" t="s">
        <v>313</v>
      </c>
      <c r="Q936" s="8">
        <f t="shared" si="72"/>
        <v>583188</v>
      </c>
      <c r="R936" s="8">
        <f t="shared" si="73"/>
        <v>4665504</v>
      </c>
      <c r="S936" s="5" t="s">
        <v>240</v>
      </c>
      <c r="T936" s="5" t="s">
        <v>237</v>
      </c>
      <c r="U936" s="5" t="s">
        <v>238</v>
      </c>
      <c r="V936" s="5" t="s">
        <v>238</v>
      </c>
      <c r="W936" s="5" t="s">
        <v>241</v>
      </c>
      <c r="X936" s="5" t="s">
        <v>276</v>
      </c>
      <c r="Y936" s="5" t="s">
        <v>238</v>
      </c>
      <c r="AB936" s="5" t="s">
        <v>238</v>
      </c>
      <c r="AC936" s="6" t="s">
        <v>238</v>
      </c>
      <c r="AD936" s="6" t="s">
        <v>238</v>
      </c>
      <c r="AF936" s="6" t="s">
        <v>238</v>
      </c>
      <c r="AG936" s="6" t="s">
        <v>246</v>
      </c>
      <c r="AH936" s="5" t="s">
        <v>247</v>
      </c>
      <c r="AI936" s="5" t="s">
        <v>248</v>
      </c>
      <c r="AO936" s="5" t="s">
        <v>238</v>
      </c>
      <c r="AP936" s="5" t="s">
        <v>238</v>
      </c>
      <c r="AQ936" s="5" t="s">
        <v>238</v>
      </c>
      <c r="AR936" s="6" t="s">
        <v>238</v>
      </c>
      <c r="AS936" s="6" t="s">
        <v>238</v>
      </c>
      <c r="AT936" s="6" t="s">
        <v>238</v>
      </c>
      <c r="AW936" s="5" t="s">
        <v>304</v>
      </c>
      <c r="AX936" s="5" t="s">
        <v>304</v>
      </c>
      <c r="AY936" s="5" t="s">
        <v>250</v>
      </c>
      <c r="AZ936" s="5" t="s">
        <v>305</v>
      </c>
      <c r="BA936" s="5" t="s">
        <v>251</v>
      </c>
      <c r="BB936" s="5" t="s">
        <v>238</v>
      </c>
      <c r="BC936" s="5" t="s">
        <v>253</v>
      </c>
      <c r="BD936" s="5" t="s">
        <v>238</v>
      </c>
      <c r="BF936" s="5" t="s">
        <v>238</v>
      </c>
      <c r="BH936" s="5" t="s">
        <v>283</v>
      </c>
      <c r="BI936" s="6" t="s">
        <v>293</v>
      </c>
      <c r="BJ936" s="5" t="s">
        <v>294</v>
      </c>
      <c r="BK936" s="5" t="s">
        <v>294</v>
      </c>
      <c r="BL936" s="5" t="s">
        <v>238</v>
      </c>
      <c r="BM936" s="7">
        <f>0</f>
        <v>0</v>
      </c>
      <c r="BN936" s="8">
        <f t="shared" si="74"/>
        <v>-583188</v>
      </c>
      <c r="BO936" s="5" t="s">
        <v>257</v>
      </c>
      <c r="BP936" s="5" t="s">
        <v>258</v>
      </c>
      <c r="BQ936" s="5" t="s">
        <v>238</v>
      </c>
      <c r="BR936" s="5" t="s">
        <v>238</v>
      </c>
      <c r="BS936" s="5" t="s">
        <v>238</v>
      </c>
      <c r="BT936" s="5" t="s">
        <v>238</v>
      </c>
      <c r="CC936" s="5" t="s">
        <v>258</v>
      </c>
      <c r="CD936" s="5" t="s">
        <v>238</v>
      </c>
      <c r="CE936" s="5" t="s">
        <v>238</v>
      </c>
      <c r="CI936" s="5" t="s">
        <v>259</v>
      </c>
      <c r="CJ936" s="5" t="s">
        <v>260</v>
      </c>
      <c r="CK936" s="5" t="s">
        <v>238</v>
      </c>
      <c r="CM936" s="5" t="s">
        <v>723</v>
      </c>
      <c r="CN936" s="6" t="s">
        <v>262</v>
      </c>
      <c r="CO936" s="5" t="s">
        <v>263</v>
      </c>
      <c r="CP936" s="5" t="s">
        <v>264</v>
      </c>
      <c r="CQ936" s="5" t="s">
        <v>285</v>
      </c>
      <c r="CR936" s="5" t="s">
        <v>238</v>
      </c>
      <c r="CS936" s="5">
        <v>4.5999999999999999E-2</v>
      </c>
      <c r="CT936" s="5" t="s">
        <v>265</v>
      </c>
      <c r="CU936" s="5" t="s">
        <v>1360</v>
      </c>
      <c r="CV936" s="5" t="s">
        <v>267</v>
      </c>
      <c r="CW936" s="7">
        <f>0</f>
        <v>0</v>
      </c>
      <c r="CX936" s="8">
        <f t="shared" si="75"/>
        <v>12678000</v>
      </c>
      <c r="CY936" s="8">
        <f t="shared" si="76"/>
        <v>8595684</v>
      </c>
      <c r="DA936" s="5" t="s">
        <v>238</v>
      </c>
      <c r="DB936" s="5" t="s">
        <v>238</v>
      </c>
      <c r="DD936" s="5" t="s">
        <v>238</v>
      </c>
      <c r="DE936" s="8">
        <f>0</f>
        <v>0</v>
      </c>
      <c r="DG936" s="5" t="s">
        <v>238</v>
      </c>
      <c r="DH936" s="5" t="s">
        <v>238</v>
      </c>
      <c r="DI936" s="5" t="s">
        <v>238</v>
      </c>
      <c r="DJ936" s="5" t="s">
        <v>238</v>
      </c>
      <c r="DK936" s="5" t="s">
        <v>271</v>
      </c>
      <c r="DL936" s="5" t="s">
        <v>272</v>
      </c>
      <c r="DM936" s="7">
        <f t="shared" si="77"/>
        <v>57.96</v>
      </c>
      <c r="DN936" s="5" t="s">
        <v>238</v>
      </c>
      <c r="DO936" s="5" t="s">
        <v>238</v>
      </c>
      <c r="DP936" s="5" t="s">
        <v>238</v>
      </c>
      <c r="DQ936" s="5" t="s">
        <v>238</v>
      </c>
      <c r="DT936" s="5" t="s">
        <v>2487</v>
      </c>
      <c r="DU936" s="5" t="s">
        <v>611</v>
      </c>
      <c r="GL936" s="5" t="s">
        <v>2613</v>
      </c>
      <c r="HM936" s="5" t="s">
        <v>313</v>
      </c>
      <c r="HP936" s="5" t="s">
        <v>272</v>
      </c>
      <c r="HQ936" s="5" t="s">
        <v>272</v>
      </c>
      <c r="HR936" s="5" t="s">
        <v>238</v>
      </c>
      <c r="HS936" s="5" t="s">
        <v>238</v>
      </c>
      <c r="HT936" s="5" t="s">
        <v>238</v>
      </c>
      <c r="HU936" s="5" t="s">
        <v>238</v>
      </c>
      <c r="HV936" s="5" t="s">
        <v>238</v>
      </c>
      <c r="HW936" s="5" t="s">
        <v>238</v>
      </c>
      <c r="HX936" s="5" t="s">
        <v>238</v>
      </c>
      <c r="HY936" s="5" t="s">
        <v>238</v>
      </c>
      <c r="HZ936" s="5" t="s">
        <v>238</v>
      </c>
      <c r="IA936" s="5" t="s">
        <v>238</v>
      </c>
      <c r="IB936" s="5" t="s">
        <v>238</v>
      </c>
      <c r="IC936" s="5" t="s">
        <v>238</v>
      </c>
      <c r="ID936" s="5" t="s">
        <v>238</v>
      </c>
    </row>
    <row r="937" spans="1:238" x14ac:dyDescent="0.4">
      <c r="A937" s="5">
        <v>1033</v>
      </c>
      <c r="B937" s="5">
        <v>1</v>
      </c>
      <c r="C937" s="5">
        <v>4</v>
      </c>
      <c r="D937" s="5" t="s">
        <v>2483</v>
      </c>
      <c r="E937" s="5" t="s">
        <v>277</v>
      </c>
      <c r="F937" s="5" t="s">
        <v>282</v>
      </c>
      <c r="G937" s="5" t="s">
        <v>2485</v>
      </c>
      <c r="H937" s="6" t="s">
        <v>2486</v>
      </c>
      <c r="I937" s="5" t="s">
        <v>2482</v>
      </c>
      <c r="J937" s="7">
        <f t="shared" si="69"/>
        <v>57.96</v>
      </c>
      <c r="K937" s="5" t="s">
        <v>270</v>
      </c>
      <c r="L937" s="8">
        <f t="shared" si="70"/>
        <v>8012496</v>
      </c>
      <c r="M937" s="8">
        <f t="shared" si="71"/>
        <v>12678000</v>
      </c>
      <c r="N937" s="6" t="s">
        <v>2484</v>
      </c>
      <c r="O937" s="5" t="s">
        <v>286</v>
      </c>
      <c r="P937" s="5" t="s">
        <v>313</v>
      </c>
      <c r="Q937" s="8">
        <f t="shared" si="72"/>
        <v>583188</v>
      </c>
      <c r="R937" s="8">
        <f t="shared" si="73"/>
        <v>4665504</v>
      </c>
      <c r="S937" s="5" t="s">
        <v>240</v>
      </c>
      <c r="T937" s="5" t="s">
        <v>237</v>
      </c>
      <c r="U937" s="5" t="s">
        <v>238</v>
      </c>
      <c r="V937" s="5" t="s">
        <v>238</v>
      </c>
      <c r="W937" s="5" t="s">
        <v>241</v>
      </c>
      <c r="X937" s="5" t="s">
        <v>276</v>
      </c>
      <c r="Y937" s="5" t="s">
        <v>238</v>
      </c>
      <c r="AB937" s="5" t="s">
        <v>238</v>
      </c>
      <c r="AC937" s="6" t="s">
        <v>238</v>
      </c>
      <c r="AD937" s="6" t="s">
        <v>238</v>
      </c>
      <c r="AF937" s="6" t="s">
        <v>238</v>
      </c>
      <c r="AG937" s="6" t="s">
        <v>246</v>
      </c>
      <c r="AH937" s="5" t="s">
        <v>247</v>
      </c>
      <c r="AI937" s="5" t="s">
        <v>248</v>
      </c>
      <c r="AO937" s="5" t="s">
        <v>238</v>
      </c>
      <c r="AP937" s="5" t="s">
        <v>238</v>
      </c>
      <c r="AQ937" s="5" t="s">
        <v>238</v>
      </c>
      <c r="AR937" s="6" t="s">
        <v>238</v>
      </c>
      <c r="AS937" s="6" t="s">
        <v>238</v>
      </c>
      <c r="AT937" s="6" t="s">
        <v>238</v>
      </c>
      <c r="AW937" s="5" t="s">
        <v>304</v>
      </c>
      <c r="AX937" s="5" t="s">
        <v>304</v>
      </c>
      <c r="AY937" s="5" t="s">
        <v>250</v>
      </c>
      <c r="AZ937" s="5" t="s">
        <v>305</v>
      </c>
      <c r="BA937" s="5" t="s">
        <v>251</v>
      </c>
      <c r="BB937" s="5" t="s">
        <v>238</v>
      </c>
      <c r="BC937" s="5" t="s">
        <v>253</v>
      </c>
      <c r="BD937" s="5" t="s">
        <v>238</v>
      </c>
      <c r="BF937" s="5" t="s">
        <v>238</v>
      </c>
      <c r="BH937" s="5" t="s">
        <v>283</v>
      </c>
      <c r="BI937" s="6" t="s">
        <v>293</v>
      </c>
      <c r="BJ937" s="5" t="s">
        <v>294</v>
      </c>
      <c r="BK937" s="5" t="s">
        <v>294</v>
      </c>
      <c r="BL937" s="5" t="s">
        <v>238</v>
      </c>
      <c r="BM937" s="7">
        <f>0</f>
        <v>0</v>
      </c>
      <c r="BN937" s="8">
        <f t="shared" si="74"/>
        <v>-583188</v>
      </c>
      <c r="BO937" s="5" t="s">
        <v>257</v>
      </c>
      <c r="BP937" s="5" t="s">
        <v>258</v>
      </c>
      <c r="BQ937" s="5" t="s">
        <v>238</v>
      </c>
      <c r="BR937" s="5" t="s">
        <v>238</v>
      </c>
      <c r="BS937" s="5" t="s">
        <v>238</v>
      </c>
      <c r="BT937" s="5" t="s">
        <v>238</v>
      </c>
      <c r="CC937" s="5" t="s">
        <v>258</v>
      </c>
      <c r="CD937" s="5" t="s">
        <v>238</v>
      </c>
      <c r="CE937" s="5" t="s">
        <v>238</v>
      </c>
      <c r="CI937" s="5" t="s">
        <v>259</v>
      </c>
      <c r="CJ937" s="5" t="s">
        <v>260</v>
      </c>
      <c r="CK937" s="5" t="s">
        <v>238</v>
      </c>
      <c r="CM937" s="5" t="s">
        <v>723</v>
      </c>
      <c r="CN937" s="6" t="s">
        <v>262</v>
      </c>
      <c r="CO937" s="5" t="s">
        <v>263</v>
      </c>
      <c r="CP937" s="5" t="s">
        <v>264</v>
      </c>
      <c r="CQ937" s="5" t="s">
        <v>285</v>
      </c>
      <c r="CR937" s="5" t="s">
        <v>238</v>
      </c>
      <c r="CS937" s="5">
        <v>4.5999999999999999E-2</v>
      </c>
      <c r="CT937" s="5" t="s">
        <v>265</v>
      </c>
      <c r="CU937" s="5" t="s">
        <v>1360</v>
      </c>
      <c r="CV937" s="5" t="s">
        <v>267</v>
      </c>
      <c r="CW937" s="7">
        <f>0</f>
        <v>0</v>
      </c>
      <c r="CX937" s="8">
        <f t="shared" si="75"/>
        <v>12678000</v>
      </c>
      <c r="CY937" s="8">
        <f t="shared" si="76"/>
        <v>8595684</v>
      </c>
      <c r="DA937" s="5" t="s">
        <v>238</v>
      </c>
      <c r="DB937" s="5" t="s">
        <v>238</v>
      </c>
      <c r="DD937" s="5" t="s">
        <v>238</v>
      </c>
      <c r="DE937" s="8">
        <f>0</f>
        <v>0</v>
      </c>
      <c r="DG937" s="5" t="s">
        <v>238</v>
      </c>
      <c r="DH937" s="5" t="s">
        <v>238</v>
      </c>
      <c r="DI937" s="5" t="s">
        <v>238</v>
      </c>
      <c r="DJ937" s="5" t="s">
        <v>238</v>
      </c>
      <c r="DK937" s="5" t="s">
        <v>271</v>
      </c>
      <c r="DL937" s="5" t="s">
        <v>272</v>
      </c>
      <c r="DM937" s="7">
        <f t="shared" si="77"/>
        <v>57.96</v>
      </c>
      <c r="DN937" s="5" t="s">
        <v>238</v>
      </c>
      <c r="DO937" s="5" t="s">
        <v>238</v>
      </c>
      <c r="DP937" s="5" t="s">
        <v>238</v>
      </c>
      <c r="DQ937" s="5" t="s">
        <v>238</v>
      </c>
      <c r="DT937" s="5" t="s">
        <v>2487</v>
      </c>
      <c r="DU937" s="5" t="s">
        <v>658</v>
      </c>
      <c r="GL937" s="5" t="s">
        <v>2612</v>
      </c>
      <c r="HM937" s="5" t="s">
        <v>313</v>
      </c>
      <c r="HP937" s="5" t="s">
        <v>272</v>
      </c>
      <c r="HQ937" s="5" t="s">
        <v>272</v>
      </c>
      <c r="HR937" s="5" t="s">
        <v>238</v>
      </c>
      <c r="HS937" s="5" t="s">
        <v>238</v>
      </c>
      <c r="HT937" s="5" t="s">
        <v>238</v>
      </c>
      <c r="HU937" s="5" t="s">
        <v>238</v>
      </c>
      <c r="HV937" s="5" t="s">
        <v>238</v>
      </c>
      <c r="HW937" s="5" t="s">
        <v>238</v>
      </c>
      <c r="HX937" s="5" t="s">
        <v>238</v>
      </c>
      <c r="HY937" s="5" t="s">
        <v>238</v>
      </c>
      <c r="HZ937" s="5" t="s">
        <v>238</v>
      </c>
      <c r="IA937" s="5" t="s">
        <v>238</v>
      </c>
      <c r="IB937" s="5" t="s">
        <v>238</v>
      </c>
      <c r="IC937" s="5" t="s">
        <v>238</v>
      </c>
      <c r="ID937" s="5" t="s">
        <v>238</v>
      </c>
    </row>
    <row r="938" spans="1:238" x14ac:dyDescent="0.4">
      <c r="A938" s="5">
        <v>1034</v>
      </c>
      <c r="B938" s="5">
        <v>1</v>
      </c>
      <c r="C938" s="5">
        <v>4</v>
      </c>
      <c r="D938" s="5" t="s">
        <v>2483</v>
      </c>
      <c r="E938" s="5" t="s">
        <v>277</v>
      </c>
      <c r="F938" s="5" t="s">
        <v>282</v>
      </c>
      <c r="G938" s="5" t="s">
        <v>2485</v>
      </c>
      <c r="H938" s="6" t="s">
        <v>2486</v>
      </c>
      <c r="I938" s="5" t="s">
        <v>2482</v>
      </c>
      <c r="J938" s="7">
        <f t="shared" si="69"/>
        <v>57.96</v>
      </c>
      <c r="K938" s="5" t="s">
        <v>270</v>
      </c>
      <c r="L938" s="8">
        <f t="shared" si="70"/>
        <v>8012496</v>
      </c>
      <c r="M938" s="8">
        <f t="shared" si="71"/>
        <v>12678000</v>
      </c>
      <c r="N938" s="6" t="s">
        <v>2484</v>
      </c>
      <c r="O938" s="5" t="s">
        <v>286</v>
      </c>
      <c r="P938" s="5" t="s">
        <v>313</v>
      </c>
      <c r="Q938" s="8">
        <f t="shared" si="72"/>
        <v>583188</v>
      </c>
      <c r="R938" s="8">
        <f t="shared" si="73"/>
        <v>4665504</v>
      </c>
      <c r="S938" s="5" t="s">
        <v>240</v>
      </c>
      <c r="T938" s="5" t="s">
        <v>237</v>
      </c>
      <c r="U938" s="5" t="s">
        <v>238</v>
      </c>
      <c r="V938" s="5" t="s">
        <v>238</v>
      </c>
      <c r="W938" s="5" t="s">
        <v>241</v>
      </c>
      <c r="X938" s="5" t="s">
        <v>276</v>
      </c>
      <c r="Y938" s="5" t="s">
        <v>238</v>
      </c>
      <c r="AB938" s="5" t="s">
        <v>238</v>
      </c>
      <c r="AC938" s="6" t="s">
        <v>238</v>
      </c>
      <c r="AD938" s="6" t="s">
        <v>238</v>
      </c>
      <c r="AF938" s="6" t="s">
        <v>238</v>
      </c>
      <c r="AG938" s="6" t="s">
        <v>246</v>
      </c>
      <c r="AH938" s="5" t="s">
        <v>247</v>
      </c>
      <c r="AI938" s="5" t="s">
        <v>248</v>
      </c>
      <c r="AO938" s="5" t="s">
        <v>238</v>
      </c>
      <c r="AP938" s="5" t="s">
        <v>238</v>
      </c>
      <c r="AQ938" s="5" t="s">
        <v>238</v>
      </c>
      <c r="AR938" s="6" t="s">
        <v>238</v>
      </c>
      <c r="AS938" s="6" t="s">
        <v>238</v>
      </c>
      <c r="AT938" s="6" t="s">
        <v>238</v>
      </c>
      <c r="AW938" s="5" t="s">
        <v>304</v>
      </c>
      <c r="AX938" s="5" t="s">
        <v>304</v>
      </c>
      <c r="AY938" s="5" t="s">
        <v>250</v>
      </c>
      <c r="AZ938" s="5" t="s">
        <v>305</v>
      </c>
      <c r="BA938" s="5" t="s">
        <v>251</v>
      </c>
      <c r="BB938" s="5" t="s">
        <v>238</v>
      </c>
      <c r="BC938" s="5" t="s">
        <v>253</v>
      </c>
      <c r="BD938" s="5" t="s">
        <v>238</v>
      </c>
      <c r="BF938" s="5" t="s">
        <v>238</v>
      </c>
      <c r="BH938" s="5" t="s">
        <v>283</v>
      </c>
      <c r="BI938" s="6" t="s">
        <v>293</v>
      </c>
      <c r="BJ938" s="5" t="s">
        <v>294</v>
      </c>
      <c r="BK938" s="5" t="s">
        <v>294</v>
      </c>
      <c r="BL938" s="5" t="s">
        <v>238</v>
      </c>
      <c r="BM938" s="7">
        <f>0</f>
        <v>0</v>
      </c>
      <c r="BN938" s="8">
        <f t="shared" si="74"/>
        <v>-583188</v>
      </c>
      <c r="BO938" s="5" t="s">
        <v>257</v>
      </c>
      <c r="BP938" s="5" t="s">
        <v>258</v>
      </c>
      <c r="BQ938" s="5" t="s">
        <v>238</v>
      </c>
      <c r="BR938" s="5" t="s">
        <v>238</v>
      </c>
      <c r="BS938" s="5" t="s">
        <v>238</v>
      </c>
      <c r="BT938" s="5" t="s">
        <v>238</v>
      </c>
      <c r="CC938" s="5" t="s">
        <v>258</v>
      </c>
      <c r="CD938" s="5" t="s">
        <v>238</v>
      </c>
      <c r="CE938" s="5" t="s">
        <v>238</v>
      </c>
      <c r="CI938" s="5" t="s">
        <v>259</v>
      </c>
      <c r="CJ938" s="5" t="s">
        <v>260</v>
      </c>
      <c r="CK938" s="5" t="s">
        <v>238</v>
      </c>
      <c r="CM938" s="5" t="s">
        <v>723</v>
      </c>
      <c r="CN938" s="6" t="s">
        <v>262</v>
      </c>
      <c r="CO938" s="5" t="s">
        <v>263</v>
      </c>
      <c r="CP938" s="5" t="s">
        <v>264</v>
      </c>
      <c r="CQ938" s="5" t="s">
        <v>285</v>
      </c>
      <c r="CR938" s="5" t="s">
        <v>238</v>
      </c>
      <c r="CS938" s="5">
        <v>4.5999999999999999E-2</v>
      </c>
      <c r="CT938" s="5" t="s">
        <v>265</v>
      </c>
      <c r="CU938" s="5" t="s">
        <v>1360</v>
      </c>
      <c r="CV938" s="5" t="s">
        <v>267</v>
      </c>
      <c r="CW938" s="7">
        <f>0</f>
        <v>0</v>
      </c>
      <c r="CX938" s="8">
        <f t="shared" si="75"/>
        <v>12678000</v>
      </c>
      <c r="CY938" s="8">
        <f t="shared" si="76"/>
        <v>8595684</v>
      </c>
      <c r="DA938" s="5" t="s">
        <v>238</v>
      </c>
      <c r="DB938" s="5" t="s">
        <v>238</v>
      </c>
      <c r="DD938" s="5" t="s">
        <v>238</v>
      </c>
      <c r="DE938" s="8">
        <f>0</f>
        <v>0</v>
      </c>
      <c r="DG938" s="5" t="s">
        <v>238</v>
      </c>
      <c r="DH938" s="5" t="s">
        <v>238</v>
      </c>
      <c r="DI938" s="5" t="s">
        <v>238</v>
      </c>
      <c r="DJ938" s="5" t="s">
        <v>238</v>
      </c>
      <c r="DK938" s="5" t="s">
        <v>271</v>
      </c>
      <c r="DL938" s="5" t="s">
        <v>272</v>
      </c>
      <c r="DM938" s="7">
        <f t="shared" si="77"/>
        <v>57.96</v>
      </c>
      <c r="DN938" s="5" t="s">
        <v>238</v>
      </c>
      <c r="DO938" s="5" t="s">
        <v>238</v>
      </c>
      <c r="DP938" s="5" t="s">
        <v>238</v>
      </c>
      <c r="DQ938" s="5" t="s">
        <v>238</v>
      </c>
      <c r="DT938" s="5" t="s">
        <v>2487</v>
      </c>
      <c r="DU938" s="5" t="s">
        <v>712</v>
      </c>
      <c r="GL938" s="5" t="s">
        <v>2611</v>
      </c>
      <c r="HM938" s="5" t="s">
        <v>313</v>
      </c>
      <c r="HP938" s="5" t="s">
        <v>272</v>
      </c>
      <c r="HQ938" s="5" t="s">
        <v>272</v>
      </c>
      <c r="HR938" s="5" t="s">
        <v>238</v>
      </c>
      <c r="HS938" s="5" t="s">
        <v>238</v>
      </c>
      <c r="HT938" s="5" t="s">
        <v>238</v>
      </c>
      <c r="HU938" s="5" t="s">
        <v>238</v>
      </c>
      <c r="HV938" s="5" t="s">
        <v>238</v>
      </c>
      <c r="HW938" s="5" t="s">
        <v>238</v>
      </c>
      <c r="HX938" s="5" t="s">
        <v>238</v>
      </c>
      <c r="HY938" s="5" t="s">
        <v>238</v>
      </c>
      <c r="HZ938" s="5" t="s">
        <v>238</v>
      </c>
      <c r="IA938" s="5" t="s">
        <v>238</v>
      </c>
      <c r="IB938" s="5" t="s">
        <v>238</v>
      </c>
      <c r="IC938" s="5" t="s">
        <v>238</v>
      </c>
      <c r="ID938" s="5" t="s">
        <v>238</v>
      </c>
    </row>
    <row r="939" spans="1:238" x14ac:dyDescent="0.4">
      <c r="A939" s="5">
        <v>1035</v>
      </c>
      <c r="B939" s="5">
        <v>1</v>
      </c>
      <c r="C939" s="5">
        <v>4</v>
      </c>
      <c r="D939" s="5" t="s">
        <v>2483</v>
      </c>
      <c r="E939" s="5" t="s">
        <v>277</v>
      </c>
      <c r="F939" s="5" t="s">
        <v>282</v>
      </c>
      <c r="G939" s="5" t="s">
        <v>2485</v>
      </c>
      <c r="H939" s="6" t="s">
        <v>2486</v>
      </c>
      <c r="I939" s="5" t="s">
        <v>2482</v>
      </c>
      <c r="J939" s="7">
        <f t="shared" si="69"/>
        <v>57.96</v>
      </c>
      <c r="K939" s="5" t="s">
        <v>270</v>
      </c>
      <c r="L939" s="8">
        <f t="shared" si="70"/>
        <v>8012496</v>
      </c>
      <c r="M939" s="8">
        <f t="shared" si="71"/>
        <v>12678000</v>
      </c>
      <c r="N939" s="6" t="s">
        <v>2484</v>
      </c>
      <c r="O939" s="5" t="s">
        <v>286</v>
      </c>
      <c r="P939" s="5" t="s">
        <v>313</v>
      </c>
      <c r="Q939" s="8">
        <f t="shared" si="72"/>
        <v>583188</v>
      </c>
      <c r="R939" s="8">
        <f t="shared" si="73"/>
        <v>4665504</v>
      </c>
      <c r="S939" s="5" t="s">
        <v>240</v>
      </c>
      <c r="T939" s="5" t="s">
        <v>237</v>
      </c>
      <c r="U939" s="5" t="s">
        <v>238</v>
      </c>
      <c r="V939" s="5" t="s">
        <v>238</v>
      </c>
      <c r="W939" s="5" t="s">
        <v>241</v>
      </c>
      <c r="X939" s="5" t="s">
        <v>276</v>
      </c>
      <c r="Y939" s="5" t="s">
        <v>238</v>
      </c>
      <c r="AB939" s="5" t="s">
        <v>238</v>
      </c>
      <c r="AC939" s="6" t="s">
        <v>238</v>
      </c>
      <c r="AD939" s="6" t="s">
        <v>238</v>
      </c>
      <c r="AF939" s="6" t="s">
        <v>238</v>
      </c>
      <c r="AG939" s="6" t="s">
        <v>246</v>
      </c>
      <c r="AH939" s="5" t="s">
        <v>247</v>
      </c>
      <c r="AI939" s="5" t="s">
        <v>248</v>
      </c>
      <c r="AO939" s="5" t="s">
        <v>238</v>
      </c>
      <c r="AP939" s="5" t="s">
        <v>238</v>
      </c>
      <c r="AQ939" s="5" t="s">
        <v>238</v>
      </c>
      <c r="AR939" s="6" t="s">
        <v>238</v>
      </c>
      <c r="AS939" s="6" t="s">
        <v>238</v>
      </c>
      <c r="AT939" s="6" t="s">
        <v>238</v>
      </c>
      <c r="AW939" s="5" t="s">
        <v>304</v>
      </c>
      <c r="AX939" s="5" t="s">
        <v>304</v>
      </c>
      <c r="AY939" s="5" t="s">
        <v>250</v>
      </c>
      <c r="AZ939" s="5" t="s">
        <v>305</v>
      </c>
      <c r="BA939" s="5" t="s">
        <v>251</v>
      </c>
      <c r="BB939" s="5" t="s">
        <v>238</v>
      </c>
      <c r="BC939" s="5" t="s">
        <v>253</v>
      </c>
      <c r="BD939" s="5" t="s">
        <v>238</v>
      </c>
      <c r="BF939" s="5" t="s">
        <v>238</v>
      </c>
      <c r="BH939" s="5" t="s">
        <v>283</v>
      </c>
      <c r="BI939" s="6" t="s">
        <v>293</v>
      </c>
      <c r="BJ939" s="5" t="s">
        <v>294</v>
      </c>
      <c r="BK939" s="5" t="s">
        <v>294</v>
      </c>
      <c r="BL939" s="5" t="s">
        <v>238</v>
      </c>
      <c r="BM939" s="7">
        <f>0</f>
        <v>0</v>
      </c>
      <c r="BN939" s="8">
        <f t="shared" si="74"/>
        <v>-583188</v>
      </c>
      <c r="BO939" s="5" t="s">
        <v>257</v>
      </c>
      <c r="BP939" s="5" t="s">
        <v>258</v>
      </c>
      <c r="BQ939" s="5" t="s">
        <v>238</v>
      </c>
      <c r="BR939" s="5" t="s">
        <v>238</v>
      </c>
      <c r="BS939" s="5" t="s">
        <v>238</v>
      </c>
      <c r="BT939" s="5" t="s">
        <v>238</v>
      </c>
      <c r="CC939" s="5" t="s">
        <v>258</v>
      </c>
      <c r="CD939" s="5" t="s">
        <v>238</v>
      </c>
      <c r="CE939" s="5" t="s">
        <v>238</v>
      </c>
      <c r="CI939" s="5" t="s">
        <v>259</v>
      </c>
      <c r="CJ939" s="5" t="s">
        <v>260</v>
      </c>
      <c r="CK939" s="5" t="s">
        <v>238</v>
      </c>
      <c r="CM939" s="5" t="s">
        <v>723</v>
      </c>
      <c r="CN939" s="6" t="s">
        <v>262</v>
      </c>
      <c r="CO939" s="5" t="s">
        <v>263</v>
      </c>
      <c r="CP939" s="5" t="s">
        <v>264</v>
      </c>
      <c r="CQ939" s="5" t="s">
        <v>285</v>
      </c>
      <c r="CR939" s="5" t="s">
        <v>238</v>
      </c>
      <c r="CS939" s="5">
        <v>4.5999999999999999E-2</v>
      </c>
      <c r="CT939" s="5" t="s">
        <v>265</v>
      </c>
      <c r="CU939" s="5" t="s">
        <v>1360</v>
      </c>
      <c r="CV939" s="5" t="s">
        <v>267</v>
      </c>
      <c r="CW939" s="7">
        <f>0</f>
        <v>0</v>
      </c>
      <c r="CX939" s="8">
        <f t="shared" si="75"/>
        <v>12678000</v>
      </c>
      <c r="CY939" s="8">
        <f t="shared" si="76"/>
        <v>8595684</v>
      </c>
      <c r="DA939" s="5" t="s">
        <v>238</v>
      </c>
      <c r="DB939" s="5" t="s">
        <v>238</v>
      </c>
      <c r="DD939" s="5" t="s">
        <v>238</v>
      </c>
      <c r="DE939" s="8">
        <f>0</f>
        <v>0</v>
      </c>
      <c r="DG939" s="5" t="s">
        <v>238</v>
      </c>
      <c r="DH939" s="5" t="s">
        <v>238</v>
      </c>
      <c r="DI939" s="5" t="s">
        <v>238</v>
      </c>
      <c r="DJ939" s="5" t="s">
        <v>238</v>
      </c>
      <c r="DK939" s="5" t="s">
        <v>271</v>
      </c>
      <c r="DL939" s="5" t="s">
        <v>272</v>
      </c>
      <c r="DM939" s="7">
        <f t="shared" si="77"/>
        <v>57.96</v>
      </c>
      <c r="DN939" s="5" t="s">
        <v>238</v>
      </c>
      <c r="DO939" s="5" t="s">
        <v>238</v>
      </c>
      <c r="DP939" s="5" t="s">
        <v>238</v>
      </c>
      <c r="DQ939" s="5" t="s">
        <v>238</v>
      </c>
      <c r="DT939" s="5" t="s">
        <v>2487</v>
      </c>
      <c r="DU939" s="5" t="s">
        <v>818</v>
      </c>
      <c r="GL939" s="5" t="s">
        <v>2610</v>
      </c>
      <c r="HM939" s="5" t="s">
        <v>313</v>
      </c>
      <c r="HP939" s="5" t="s">
        <v>272</v>
      </c>
      <c r="HQ939" s="5" t="s">
        <v>272</v>
      </c>
      <c r="HR939" s="5" t="s">
        <v>238</v>
      </c>
      <c r="HS939" s="5" t="s">
        <v>238</v>
      </c>
      <c r="HT939" s="5" t="s">
        <v>238</v>
      </c>
      <c r="HU939" s="5" t="s">
        <v>238</v>
      </c>
      <c r="HV939" s="5" t="s">
        <v>238</v>
      </c>
      <c r="HW939" s="5" t="s">
        <v>238</v>
      </c>
      <c r="HX939" s="5" t="s">
        <v>238</v>
      </c>
      <c r="HY939" s="5" t="s">
        <v>238</v>
      </c>
      <c r="HZ939" s="5" t="s">
        <v>238</v>
      </c>
      <c r="IA939" s="5" t="s">
        <v>238</v>
      </c>
      <c r="IB939" s="5" t="s">
        <v>238</v>
      </c>
      <c r="IC939" s="5" t="s">
        <v>238</v>
      </c>
      <c r="ID939" s="5" t="s">
        <v>238</v>
      </c>
    </row>
    <row r="940" spans="1:238" x14ac:dyDescent="0.4">
      <c r="A940" s="5">
        <v>1036</v>
      </c>
      <c r="B940" s="5">
        <v>1</v>
      </c>
      <c r="C940" s="5">
        <v>4</v>
      </c>
      <c r="D940" s="5" t="s">
        <v>2483</v>
      </c>
      <c r="E940" s="5" t="s">
        <v>277</v>
      </c>
      <c r="F940" s="5" t="s">
        <v>282</v>
      </c>
      <c r="G940" s="5" t="s">
        <v>2485</v>
      </c>
      <c r="H940" s="6" t="s">
        <v>2486</v>
      </c>
      <c r="I940" s="5" t="s">
        <v>2482</v>
      </c>
      <c r="J940" s="7">
        <f t="shared" si="69"/>
        <v>57.96</v>
      </c>
      <c r="K940" s="5" t="s">
        <v>270</v>
      </c>
      <c r="L940" s="8">
        <f t="shared" si="70"/>
        <v>8012496</v>
      </c>
      <c r="M940" s="8">
        <f t="shared" si="71"/>
        <v>12678000</v>
      </c>
      <c r="N940" s="6" t="s">
        <v>2484</v>
      </c>
      <c r="O940" s="5" t="s">
        <v>286</v>
      </c>
      <c r="P940" s="5" t="s">
        <v>313</v>
      </c>
      <c r="Q940" s="8">
        <f t="shared" si="72"/>
        <v>583188</v>
      </c>
      <c r="R940" s="8">
        <f t="shared" si="73"/>
        <v>4665504</v>
      </c>
      <c r="S940" s="5" t="s">
        <v>240</v>
      </c>
      <c r="T940" s="5" t="s">
        <v>237</v>
      </c>
      <c r="U940" s="5" t="s">
        <v>238</v>
      </c>
      <c r="V940" s="5" t="s">
        <v>238</v>
      </c>
      <c r="W940" s="5" t="s">
        <v>241</v>
      </c>
      <c r="X940" s="5" t="s">
        <v>276</v>
      </c>
      <c r="Y940" s="5" t="s">
        <v>238</v>
      </c>
      <c r="AB940" s="5" t="s">
        <v>238</v>
      </c>
      <c r="AC940" s="6" t="s">
        <v>238</v>
      </c>
      <c r="AD940" s="6" t="s">
        <v>238</v>
      </c>
      <c r="AF940" s="6" t="s">
        <v>238</v>
      </c>
      <c r="AG940" s="6" t="s">
        <v>246</v>
      </c>
      <c r="AH940" s="5" t="s">
        <v>247</v>
      </c>
      <c r="AI940" s="5" t="s">
        <v>248</v>
      </c>
      <c r="AO940" s="5" t="s">
        <v>238</v>
      </c>
      <c r="AP940" s="5" t="s">
        <v>238</v>
      </c>
      <c r="AQ940" s="5" t="s">
        <v>238</v>
      </c>
      <c r="AR940" s="6" t="s">
        <v>238</v>
      </c>
      <c r="AS940" s="6" t="s">
        <v>238</v>
      </c>
      <c r="AT940" s="6" t="s">
        <v>238</v>
      </c>
      <c r="AW940" s="5" t="s">
        <v>304</v>
      </c>
      <c r="AX940" s="5" t="s">
        <v>304</v>
      </c>
      <c r="AY940" s="5" t="s">
        <v>250</v>
      </c>
      <c r="AZ940" s="5" t="s">
        <v>305</v>
      </c>
      <c r="BA940" s="5" t="s">
        <v>251</v>
      </c>
      <c r="BB940" s="5" t="s">
        <v>238</v>
      </c>
      <c r="BC940" s="5" t="s">
        <v>253</v>
      </c>
      <c r="BD940" s="5" t="s">
        <v>238</v>
      </c>
      <c r="BF940" s="5" t="s">
        <v>238</v>
      </c>
      <c r="BH940" s="5" t="s">
        <v>283</v>
      </c>
      <c r="BI940" s="6" t="s">
        <v>293</v>
      </c>
      <c r="BJ940" s="5" t="s">
        <v>294</v>
      </c>
      <c r="BK940" s="5" t="s">
        <v>294</v>
      </c>
      <c r="BL940" s="5" t="s">
        <v>238</v>
      </c>
      <c r="BM940" s="7">
        <f>0</f>
        <v>0</v>
      </c>
      <c r="BN940" s="8">
        <f t="shared" si="74"/>
        <v>-583188</v>
      </c>
      <c r="BO940" s="5" t="s">
        <v>257</v>
      </c>
      <c r="BP940" s="5" t="s">
        <v>258</v>
      </c>
      <c r="BQ940" s="5" t="s">
        <v>238</v>
      </c>
      <c r="BR940" s="5" t="s">
        <v>238</v>
      </c>
      <c r="BS940" s="5" t="s">
        <v>238</v>
      </c>
      <c r="BT940" s="5" t="s">
        <v>238</v>
      </c>
      <c r="CC940" s="5" t="s">
        <v>258</v>
      </c>
      <c r="CD940" s="5" t="s">
        <v>238</v>
      </c>
      <c r="CE940" s="5" t="s">
        <v>238</v>
      </c>
      <c r="CI940" s="5" t="s">
        <v>259</v>
      </c>
      <c r="CJ940" s="5" t="s">
        <v>260</v>
      </c>
      <c r="CK940" s="5" t="s">
        <v>238</v>
      </c>
      <c r="CM940" s="5" t="s">
        <v>723</v>
      </c>
      <c r="CN940" s="6" t="s">
        <v>262</v>
      </c>
      <c r="CO940" s="5" t="s">
        <v>263</v>
      </c>
      <c r="CP940" s="5" t="s">
        <v>264</v>
      </c>
      <c r="CQ940" s="5" t="s">
        <v>285</v>
      </c>
      <c r="CR940" s="5" t="s">
        <v>238</v>
      </c>
      <c r="CS940" s="5">
        <v>4.5999999999999999E-2</v>
      </c>
      <c r="CT940" s="5" t="s">
        <v>265</v>
      </c>
      <c r="CU940" s="5" t="s">
        <v>1360</v>
      </c>
      <c r="CV940" s="5" t="s">
        <v>267</v>
      </c>
      <c r="CW940" s="7">
        <f>0</f>
        <v>0</v>
      </c>
      <c r="CX940" s="8">
        <f t="shared" si="75"/>
        <v>12678000</v>
      </c>
      <c r="CY940" s="8">
        <f t="shared" si="76"/>
        <v>8595684</v>
      </c>
      <c r="DA940" s="5" t="s">
        <v>238</v>
      </c>
      <c r="DB940" s="5" t="s">
        <v>238</v>
      </c>
      <c r="DD940" s="5" t="s">
        <v>238</v>
      </c>
      <c r="DE940" s="8">
        <f>0</f>
        <v>0</v>
      </c>
      <c r="DG940" s="5" t="s">
        <v>238</v>
      </c>
      <c r="DH940" s="5" t="s">
        <v>238</v>
      </c>
      <c r="DI940" s="5" t="s">
        <v>238</v>
      </c>
      <c r="DJ940" s="5" t="s">
        <v>238</v>
      </c>
      <c r="DK940" s="5" t="s">
        <v>271</v>
      </c>
      <c r="DL940" s="5" t="s">
        <v>272</v>
      </c>
      <c r="DM940" s="7">
        <f t="shared" si="77"/>
        <v>57.96</v>
      </c>
      <c r="DN940" s="5" t="s">
        <v>238</v>
      </c>
      <c r="DO940" s="5" t="s">
        <v>238</v>
      </c>
      <c r="DP940" s="5" t="s">
        <v>238</v>
      </c>
      <c r="DQ940" s="5" t="s">
        <v>238</v>
      </c>
      <c r="DT940" s="5" t="s">
        <v>2487</v>
      </c>
      <c r="DU940" s="5" t="s">
        <v>286</v>
      </c>
      <c r="GL940" s="5" t="s">
        <v>2609</v>
      </c>
      <c r="HM940" s="5" t="s">
        <v>313</v>
      </c>
      <c r="HP940" s="5" t="s">
        <v>272</v>
      </c>
      <c r="HQ940" s="5" t="s">
        <v>272</v>
      </c>
      <c r="HR940" s="5" t="s">
        <v>238</v>
      </c>
      <c r="HS940" s="5" t="s">
        <v>238</v>
      </c>
      <c r="HT940" s="5" t="s">
        <v>238</v>
      </c>
      <c r="HU940" s="5" t="s">
        <v>238</v>
      </c>
      <c r="HV940" s="5" t="s">
        <v>238</v>
      </c>
      <c r="HW940" s="5" t="s">
        <v>238</v>
      </c>
      <c r="HX940" s="5" t="s">
        <v>238</v>
      </c>
      <c r="HY940" s="5" t="s">
        <v>238</v>
      </c>
      <c r="HZ940" s="5" t="s">
        <v>238</v>
      </c>
      <c r="IA940" s="5" t="s">
        <v>238</v>
      </c>
      <c r="IB940" s="5" t="s">
        <v>238</v>
      </c>
      <c r="IC940" s="5" t="s">
        <v>238</v>
      </c>
      <c r="ID940" s="5" t="s">
        <v>238</v>
      </c>
    </row>
    <row r="941" spans="1:238" x14ac:dyDescent="0.4">
      <c r="A941" s="5">
        <v>1037</v>
      </c>
      <c r="B941" s="5">
        <v>1</v>
      </c>
      <c r="C941" s="5">
        <v>4</v>
      </c>
      <c r="D941" s="5" t="s">
        <v>2595</v>
      </c>
      <c r="E941" s="5" t="s">
        <v>277</v>
      </c>
      <c r="F941" s="5" t="s">
        <v>282</v>
      </c>
      <c r="G941" s="5" t="s">
        <v>2485</v>
      </c>
      <c r="H941" s="6" t="s">
        <v>2597</v>
      </c>
      <c r="I941" s="5" t="s">
        <v>2495</v>
      </c>
      <c r="J941" s="7">
        <f t="shared" si="69"/>
        <v>57.96</v>
      </c>
      <c r="K941" s="5" t="s">
        <v>270</v>
      </c>
      <c r="L941" s="8">
        <f t="shared" ref="L941:L948" si="78">7895576</f>
        <v>7895576</v>
      </c>
      <c r="M941" s="8">
        <f t="shared" ref="M941:M948" si="79">12493000</f>
        <v>12493000</v>
      </c>
      <c r="N941" s="6" t="s">
        <v>2596</v>
      </c>
      <c r="O941" s="5" t="s">
        <v>286</v>
      </c>
      <c r="P941" s="5" t="s">
        <v>313</v>
      </c>
      <c r="Q941" s="8">
        <f t="shared" ref="Q941:Q948" si="80">574678</f>
        <v>574678</v>
      </c>
      <c r="R941" s="8">
        <f t="shared" ref="R941:R948" si="81">4597424</f>
        <v>4597424</v>
      </c>
      <c r="S941" s="5" t="s">
        <v>240</v>
      </c>
      <c r="T941" s="5" t="s">
        <v>237</v>
      </c>
      <c r="U941" s="5" t="s">
        <v>238</v>
      </c>
      <c r="V941" s="5" t="s">
        <v>238</v>
      </c>
      <c r="W941" s="5" t="s">
        <v>241</v>
      </c>
      <c r="X941" s="5" t="s">
        <v>276</v>
      </c>
      <c r="Y941" s="5" t="s">
        <v>238</v>
      </c>
      <c r="AB941" s="5" t="s">
        <v>238</v>
      </c>
      <c r="AC941" s="6" t="s">
        <v>238</v>
      </c>
      <c r="AD941" s="6" t="s">
        <v>238</v>
      </c>
      <c r="AF941" s="6" t="s">
        <v>238</v>
      </c>
      <c r="AG941" s="6" t="s">
        <v>246</v>
      </c>
      <c r="AH941" s="5" t="s">
        <v>247</v>
      </c>
      <c r="AI941" s="5" t="s">
        <v>248</v>
      </c>
      <c r="AO941" s="5" t="s">
        <v>238</v>
      </c>
      <c r="AP941" s="5" t="s">
        <v>238</v>
      </c>
      <c r="AQ941" s="5" t="s">
        <v>238</v>
      </c>
      <c r="AR941" s="6" t="s">
        <v>238</v>
      </c>
      <c r="AS941" s="6" t="s">
        <v>238</v>
      </c>
      <c r="AT941" s="6" t="s">
        <v>238</v>
      </c>
      <c r="AW941" s="5" t="s">
        <v>304</v>
      </c>
      <c r="AX941" s="5" t="s">
        <v>304</v>
      </c>
      <c r="AY941" s="5" t="s">
        <v>250</v>
      </c>
      <c r="AZ941" s="5" t="s">
        <v>305</v>
      </c>
      <c r="BA941" s="5" t="s">
        <v>251</v>
      </c>
      <c r="BB941" s="5" t="s">
        <v>238</v>
      </c>
      <c r="BC941" s="5" t="s">
        <v>253</v>
      </c>
      <c r="BD941" s="5" t="s">
        <v>238</v>
      </c>
      <c r="BF941" s="5" t="s">
        <v>238</v>
      </c>
      <c r="BH941" s="5" t="s">
        <v>283</v>
      </c>
      <c r="BI941" s="6" t="s">
        <v>293</v>
      </c>
      <c r="BJ941" s="5" t="s">
        <v>294</v>
      </c>
      <c r="BK941" s="5" t="s">
        <v>294</v>
      </c>
      <c r="BL941" s="5" t="s">
        <v>238</v>
      </c>
      <c r="BM941" s="7">
        <f>0</f>
        <v>0</v>
      </c>
      <c r="BN941" s="8">
        <f t="shared" ref="BN941:BN948" si="82">-574678</f>
        <v>-574678</v>
      </c>
      <c r="BO941" s="5" t="s">
        <v>257</v>
      </c>
      <c r="BP941" s="5" t="s">
        <v>258</v>
      </c>
      <c r="BQ941" s="5" t="s">
        <v>238</v>
      </c>
      <c r="BR941" s="5" t="s">
        <v>238</v>
      </c>
      <c r="BS941" s="5" t="s">
        <v>238</v>
      </c>
      <c r="BT941" s="5" t="s">
        <v>238</v>
      </c>
      <c r="CC941" s="5" t="s">
        <v>258</v>
      </c>
      <c r="CD941" s="5" t="s">
        <v>238</v>
      </c>
      <c r="CE941" s="5" t="s">
        <v>238</v>
      </c>
      <c r="CI941" s="5" t="s">
        <v>259</v>
      </c>
      <c r="CJ941" s="5" t="s">
        <v>260</v>
      </c>
      <c r="CK941" s="5" t="s">
        <v>238</v>
      </c>
      <c r="CM941" s="5" t="s">
        <v>723</v>
      </c>
      <c r="CN941" s="6" t="s">
        <v>262</v>
      </c>
      <c r="CO941" s="5" t="s">
        <v>263</v>
      </c>
      <c r="CP941" s="5" t="s">
        <v>264</v>
      </c>
      <c r="CQ941" s="5" t="s">
        <v>285</v>
      </c>
      <c r="CR941" s="5" t="s">
        <v>238</v>
      </c>
      <c r="CS941" s="5">
        <v>4.5999999999999999E-2</v>
      </c>
      <c r="CT941" s="5" t="s">
        <v>265</v>
      </c>
      <c r="CU941" s="5" t="s">
        <v>1360</v>
      </c>
      <c r="CV941" s="5" t="s">
        <v>267</v>
      </c>
      <c r="CW941" s="7">
        <f>0</f>
        <v>0</v>
      </c>
      <c r="CX941" s="8">
        <f t="shared" ref="CX941:CX948" si="83">12493000</f>
        <v>12493000</v>
      </c>
      <c r="CY941" s="8">
        <f t="shared" ref="CY941:CY948" si="84">8470254</f>
        <v>8470254</v>
      </c>
      <c r="DA941" s="5" t="s">
        <v>238</v>
      </c>
      <c r="DB941" s="5" t="s">
        <v>238</v>
      </c>
      <c r="DD941" s="5" t="s">
        <v>238</v>
      </c>
      <c r="DE941" s="8">
        <f>0</f>
        <v>0</v>
      </c>
      <c r="DG941" s="5" t="s">
        <v>238</v>
      </c>
      <c r="DH941" s="5" t="s">
        <v>238</v>
      </c>
      <c r="DI941" s="5" t="s">
        <v>238</v>
      </c>
      <c r="DJ941" s="5" t="s">
        <v>238</v>
      </c>
      <c r="DK941" s="5" t="s">
        <v>271</v>
      </c>
      <c r="DL941" s="5" t="s">
        <v>272</v>
      </c>
      <c r="DM941" s="7">
        <f t="shared" si="77"/>
        <v>57.96</v>
      </c>
      <c r="DN941" s="5" t="s">
        <v>238</v>
      </c>
      <c r="DO941" s="5" t="s">
        <v>238</v>
      </c>
      <c r="DP941" s="5" t="s">
        <v>238</v>
      </c>
      <c r="DQ941" s="5" t="s">
        <v>238</v>
      </c>
      <c r="DT941" s="5" t="s">
        <v>2598</v>
      </c>
      <c r="DU941" s="5" t="s">
        <v>271</v>
      </c>
      <c r="GL941" s="5" t="s">
        <v>2608</v>
      </c>
      <c r="HM941" s="5" t="s">
        <v>313</v>
      </c>
      <c r="HP941" s="5" t="s">
        <v>272</v>
      </c>
      <c r="HQ941" s="5" t="s">
        <v>272</v>
      </c>
      <c r="HR941" s="5" t="s">
        <v>238</v>
      </c>
      <c r="HS941" s="5" t="s">
        <v>238</v>
      </c>
      <c r="HT941" s="5" t="s">
        <v>238</v>
      </c>
      <c r="HU941" s="5" t="s">
        <v>238</v>
      </c>
      <c r="HV941" s="5" t="s">
        <v>238</v>
      </c>
      <c r="HW941" s="5" t="s">
        <v>238</v>
      </c>
      <c r="HX941" s="5" t="s">
        <v>238</v>
      </c>
      <c r="HY941" s="5" t="s">
        <v>238</v>
      </c>
      <c r="HZ941" s="5" t="s">
        <v>238</v>
      </c>
      <c r="IA941" s="5" t="s">
        <v>238</v>
      </c>
      <c r="IB941" s="5" t="s">
        <v>238</v>
      </c>
      <c r="IC941" s="5" t="s">
        <v>238</v>
      </c>
      <c r="ID941" s="5" t="s">
        <v>238</v>
      </c>
    </row>
    <row r="942" spans="1:238" x14ac:dyDescent="0.4">
      <c r="A942" s="5">
        <v>1038</v>
      </c>
      <c r="B942" s="5">
        <v>1</v>
      </c>
      <c r="C942" s="5">
        <v>4</v>
      </c>
      <c r="D942" s="5" t="s">
        <v>2595</v>
      </c>
      <c r="E942" s="5" t="s">
        <v>277</v>
      </c>
      <c r="F942" s="5" t="s">
        <v>282</v>
      </c>
      <c r="G942" s="5" t="s">
        <v>2485</v>
      </c>
      <c r="H942" s="6" t="s">
        <v>2597</v>
      </c>
      <c r="I942" s="5" t="s">
        <v>2505</v>
      </c>
      <c r="J942" s="7">
        <f t="shared" si="69"/>
        <v>57.96</v>
      </c>
      <c r="K942" s="5" t="s">
        <v>270</v>
      </c>
      <c r="L942" s="8">
        <f t="shared" si="78"/>
        <v>7895576</v>
      </c>
      <c r="M942" s="8">
        <f t="shared" si="79"/>
        <v>12493000</v>
      </c>
      <c r="N942" s="6" t="s">
        <v>2596</v>
      </c>
      <c r="O942" s="5" t="s">
        <v>286</v>
      </c>
      <c r="P942" s="5" t="s">
        <v>313</v>
      </c>
      <c r="Q942" s="8">
        <f t="shared" si="80"/>
        <v>574678</v>
      </c>
      <c r="R942" s="8">
        <f t="shared" si="81"/>
        <v>4597424</v>
      </c>
      <c r="S942" s="5" t="s">
        <v>240</v>
      </c>
      <c r="T942" s="5" t="s">
        <v>237</v>
      </c>
      <c r="U942" s="5" t="s">
        <v>238</v>
      </c>
      <c r="V942" s="5" t="s">
        <v>238</v>
      </c>
      <c r="W942" s="5" t="s">
        <v>241</v>
      </c>
      <c r="X942" s="5" t="s">
        <v>276</v>
      </c>
      <c r="Y942" s="5" t="s">
        <v>238</v>
      </c>
      <c r="AB942" s="5" t="s">
        <v>238</v>
      </c>
      <c r="AC942" s="6" t="s">
        <v>238</v>
      </c>
      <c r="AD942" s="6" t="s">
        <v>238</v>
      </c>
      <c r="AF942" s="6" t="s">
        <v>238</v>
      </c>
      <c r="AG942" s="6" t="s">
        <v>246</v>
      </c>
      <c r="AH942" s="5" t="s">
        <v>247</v>
      </c>
      <c r="AI942" s="5" t="s">
        <v>248</v>
      </c>
      <c r="AO942" s="5" t="s">
        <v>238</v>
      </c>
      <c r="AP942" s="5" t="s">
        <v>238</v>
      </c>
      <c r="AQ942" s="5" t="s">
        <v>238</v>
      </c>
      <c r="AR942" s="6" t="s">
        <v>238</v>
      </c>
      <c r="AS942" s="6" t="s">
        <v>238</v>
      </c>
      <c r="AT942" s="6" t="s">
        <v>238</v>
      </c>
      <c r="AW942" s="5" t="s">
        <v>304</v>
      </c>
      <c r="AX942" s="5" t="s">
        <v>304</v>
      </c>
      <c r="AY942" s="5" t="s">
        <v>250</v>
      </c>
      <c r="AZ942" s="5" t="s">
        <v>305</v>
      </c>
      <c r="BA942" s="5" t="s">
        <v>251</v>
      </c>
      <c r="BB942" s="5" t="s">
        <v>238</v>
      </c>
      <c r="BC942" s="5" t="s">
        <v>253</v>
      </c>
      <c r="BD942" s="5" t="s">
        <v>238</v>
      </c>
      <c r="BF942" s="5" t="s">
        <v>238</v>
      </c>
      <c r="BH942" s="5" t="s">
        <v>283</v>
      </c>
      <c r="BI942" s="6" t="s">
        <v>293</v>
      </c>
      <c r="BJ942" s="5" t="s">
        <v>294</v>
      </c>
      <c r="BK942" s="5" t="s">
        <v>294</v>
      </c>
      <c r="BL942" s="5" t="s">
        <v>238</v>
      </c>
      <c r="BM942" s="7">
        <f>0</f>
        <v>0</v>
      </c>
      <c r="BN942" s="8">
        <f t="shared" si="82"/>
        <v>-574678</v>
      </c>
      <c r="BO942" s="5" t="s">
        <v>257</v>
      </c>
      <c r="BP942" s="5" t="s">
        <v>258</v>
      </c>
      <c r="BQ942" s="5" t="s">
        <v>238</v>
      </c>
      <c r="BR942" s="5" t="s">
        <v>238</v>
      </c>
      <c r="BS942" s="5" t="s">
        <v>238</v>
      </c>
      <c r="BT942" s="5" t="s">
        <v>238</v>
      </c>
      <c r="CC942" s="5" t="s">
        <v>258</v>
      </c>
      <c r="CD942" s="5" t="s">
        <v>238</v>
      </c>
      <c r="CE942" s="5" t="s">
        <v>238</v>
      </c>
      <c r="CI942" s="5" t="s">
        <v>259</v>
      </c>
      <c r="CJ942" s="5" t="s">
        <v>260</v>
      </c>
      <c r="CK942" s="5" t="s">
        <v>238</v>
      </c>
      <c r="CM942" s="5" t="s">
        <v>723</v>
      </c>
      <c r="CN942" s="6" t="s">
        <v>262</v>
      </c>
      <c r="CO942" s="5" t="s">
        <v>263</v>
      </c>
      <c r="CP942" s="5" t="s">
        <v>264</v>
      </c>
      <c r="CQ942" s="5" t="s">
        <v>285</v>
      </c>
      <c r="CR942" s="5" t="s">
        <v>238</v>
      </c>
      <c r="CS942" s="5">
        <v>4.5999999999999999E-2</v>
      </c>
      <c r="CT942" s="5" t="s">
        <v>265</v>
      </c>
      <c r="CU942" s="5" t="s">
        <v>1360</v>
      </c>
      <c r="CV942" s="5" t="s">
        <v>267</v>
      </c>
      <c r="CW942" s="7">
        <f>0</f>
        <v>0</v>
      </c>
      <c r="CX942" s="8">
        <f t="shared" si="83"/>
        <v>12493000</v>
      </c>
      <c r="CY942" s="8">
        <f t="shared" si="84"/>
        <v>8470254</v>
      </c>
      <c r="DA942" s="5" t="s">
        <v>238</v>
      </c>
      <c r="DB942" s="5" t="s">
        <v>238</v>
      </c>
      <c r="DD942" s="5" t="s">
        <v>238</v>
      </c>
      <c r="DE942" s="8">
        <f>0</f>
        <v>0</v>
      </c>
      <c r="DG942" s="5" t="s">
        <v>238</v>
      </c>
      <c r="DH942" s="5" t="s">
        <v>238</v>
      </c>
      <c r="DI942" s="5" t="s">
        <v>238</v>
      </c>
      <c r="DJ942" s="5" t="s">
        <v>238</v>
      </c>
      <c r="DK942" s="5" t="s">
        <v>271</v>
      </c>
      <c r="DL942" s="5" t="s">
        <v>272</v>
      </c>
      <c r="DM942" s="7">
        <f t="shared" si="77"/>
        <v>57.96</v>
      </c>
      <c r="DN942" s="5" t="s">
        <v>238</v>
      </c>
      <c r="DO942" s="5" t="s">
        <v>238</v>
      </c>
      <c r="DP942" s="5" t="s">
        <v>238</v>
      </c>
      <c r="DQ942" s="5" t="s">
        <v>238</v>
      </c>
      <c r="DT942" s="5" t="s">
        <v>2598</v>
      </c>
      <c r="DU942" s="5" t="s">
        <v>274</v>
      </c>
      <c r="GL942" s="5" t="s">
        <v>2607</v>
      </c>
      <c r="HM942" s="5" t="s">
        <v>313</v>
      </c>
      <c r="HP942" s="5" t="s">
        <v>272</v>
      </c>
      <c r="HQ942" s="5" t="s">
        <v>272</v>
      </c>
      <c r="HR942" s="5" t="s">
        <v>238</v>
      </c>
      <c r="HS942" s="5" t="s">
        <v>238</v>
      </c>
      <c r="HT942" s="5" t="s">
        <v>238</v>
      </c>
      <c r="HU942" s="5" t="s">
        <v>238</v>
      </c>
      <c r="HV942" s="5" t="s">
        <v>238</v>
      </c>
      <c r="HW942" s="5" t="s">
        <v>238</v>
      </c>
      <c r="HX942" s="5" t="s">
        <v>238</v>
      </c>
      <c r="HY942" s="5" t="s">
        <v>238</v>
      </c>
      <c r="HZ942" s="5" t="s">
        <v>238</v>
      </c>
      <c r="IA942" s="5" t="s">
        <v>238</v>
      </c>
      <c r="IB942" s="5" t="s">
        <v>238</v>
      </c>
      <c r="IC942" s="5" t="s">
        <v>238</v>
      </c>
      <c r="ID942" s="5" t="s">
        <v>238</v>
      </c>
    </row>
    <row r="943" spans="1:238" x14ac:dyDescent="0.4">
      <c r="A943" s="5">
        <v>1039</v>
      </c>
      <c r="B943" s="5">
        <v>1</v>
      </c>
      <c r="C943" s="5">
        <v>4</v>
      </c>
      <c r="D943" s="5" t="s">
        <v>2595</v>
      </c>
      <c r="E943" s="5" t="s">
        <v>277</v>
      </c>
      <c r="F943" s="5" t="s">
        <v>282</v>
      </c>
      <c r="G943" s="5" t="s">
        <v>2485</v>
      </c>
      <c r="H943" s="6" t="s">
        <v>2597</v>
      </c>
      <c r="I943" s="5" t="s">
        <v>2504</v>
      </c>
      <c r="J943" s="7">
        <f t="shared" si="69"/>
        <v>57.96</v>
      </c>
      <c r="K943" s="5" t="s">
        <v>270</v>
      </c>
      <c r="L943" s="8">
        <f t="shared" si="78"/>
        <v>7895576</v>
      </c>
      <c r="M943" s="8">
        <f t="shared" si="79"/>
        <v>12493000</v>
      </c>
      <c r="N943" s="6" t="s">
        <v>2596</v>
      </c>
      <c r="O943" s="5" t="s">
        <v>286</v>
      </c>
      <c r="P943" s="5" t="s">
        <v>313</v>
      </c>
      <c r="Q943" s="8">
        <f t="shared" si="80"/>
        <v>574678</v>
      </c>
      <c r="R943" s="8">
        <f t="shared" si="81"/>
        <v>4597424</v>
      </c>
      <c r="S943" s="5" t="s">
        <v>240</v>
      </c>
      <c r="T943" s="5" t="s">
        <v>237</v>
      </c>
      <c r="U943" s="5" t="s">
        <v>238</v>
      </c>
      <c r="V943" s="5" t="s">
        <v>238</v>
      </c>
      <c r="W943" s="5" t="s">
        <v>241</v>
      </c>
      <c r="X943" s="5" t="s">
        <v>276</v>
      </c>
      <c r="Y943" s="5" t="s">
        <v>238</v>
      </c>
      <c r="AB943" s="5" t="s">
        <v>238</v>
      </c>
      <c r="AC943" s="6" t="s">
        <v>238</v>
      </c>
      <c r="AD943" s="6" t="s">
        <v>238</v>
      </c>
      <c r="AF943" s="6" t="s">
        <v>238</v>
      </c>
      <c r="AG943" s="6" t="s">
        <v>246</v>
      </c>
      <c r="AH943" s="5" t="s">
        <v>247</v>
      </c>
      <c r="AI943" s="5" t="s">
        <v>248</v>
      </c>
      <c r="AO943" s="5" t="s">
        <v>238</v>
      </c>
      <c r="AP943" s="5" t="s">
        <v>238</v>
      </c>
      <c r="AQ943" s="5" t="s">
        <v>238</v>
      </c>
      <c r="AR943" s="6" t="s">
        <v>238</v>
      </c>
      <c r="AS943" s="6" t="s">
        <v>238</v>
      </c>
      <c r="AT943" s="6" t="s">
        <v>238</v>
      </c>
      <c r="AW943" s="5" t="s">
        <v>304</v>
      </c>
      <c r="AX943" s="5" t="s">
        <v>304</v>
      </c>
      <c r="AY943" s="5" t="s">
        <v>250</v>
      </c>
      <c r="AZ943" s="5" t="s">
        <v>305</v>
      </c>
      <c r="BA943" s="5" t="s">
        <v>251</v>
      </c>
      <c r="BB943" s="5" t="s">
        <v>238</v>
      </c>
      <c r="BC943" s="5" t="s">
        <v>253</v>
      </c>
      <c r="BD943" s="5" t="s">
        <v>238</v>
      </c>
      <c r="BF943" s="5" t="s">
        <v>238</v>
      </c>
      <c r="BH943" s="5" t="s">
        <v>283</v>
      </c>
      <c r="BI943" s="6" t="s">
        <v>293</v>
      </c>
      <c r="BJ943" s="5" t="s">
        <v>294</v>
      </c>
      <c r="BK943" s="5" t="s">
        <v>294</v>
      </c>
      <c r="BL943" s="5" t="s">
        <v>238</v>
      </c>
      <c r="BM943" s="7">
        <f>0</f>
        <v>0</v>
      </c>
      <c r="BN943" s="8">
        <f t="shared" si="82"/>
        <v>-574678</v>
      </c>
      <c r="BO943" s="5" t="s">
        <v>257</v>
      </c>
      <c r="BP943" s="5" t="s">
        <v>258</v>
      </c>
      <c r="BQ943" s="5" t="s">
        <v>238</v>
      </c>
      <c r="BR943" s="5" t="s">
        <v>238</v>
      </c>
      <c r="BS943" s="5" t="s">
        <v>238</v>
      </c>
      <c r="BT943" s="5" t="s">
        <v>238</v>
      </c>
      <c r="CC943" s="5" t="s">
        <v>258</v>
      </c>
      <c r="CD943" s="5" t="s">
        <v>238</v>
      </c>
      <c r="CE943" s="5" t="s">
        <v>238</v>
      </c>
      <c r="CI943" s="5" t="s">
        <v>259</v>
      </c>
      <c r="CJ943" s="5" t="s">
        <v>260</v>
      </c>
      <c r="CK943" s="5" t="s">
        <v>238</v>
      </c>
      <c r="CM943" s="5" t="s">
        <v>723</v>
      </c>
      <c r="CN943" s="6" t="s">
        <v>262</v>
      </c>
      <c r="CO943" s="5" t="s">
        <v>263</v>
      </c>
      <c r="CP943" s="5" t="s">
        <v>264</v>
      </c>
      <c r="CQ943" s="5" t="s">
        <v>285</v>
      </c>
      <c r="CR943" s="5" t="s">
        <v>238</v>
      </c>
      <c r="CS943" s="5">
        <v>4.5999999999999999E-2</v>
      </c>
      <c r="CT943" s="5" t="s">
        <v>265</v>
      </c>
      <c r="CU943" s="5" t="s">
        <v>1360</v>
      </c>
      <c r="CV943" s="5" t="s">
        <v>267</v>
      </c>
      <c r="CW943" s="7">
        <f>0</f>
        <v>0</v>
      </c>
      <c r="CX943" s="8">
        <f t="shared" si="83"/>
        <v>12493000</v>
      </c>
      <c r="CY943" s="8">
        <f t="shared" si="84"/>
        <v>8470254</v>
      </c>
      <c r="DA943" s="5" t="s">
        <v>238</v>
      </c>
      <c r="DB943" s="5" t="s">
        <v>238</v>
      </c>
      <c r="DD943" s="5" t="s">
        <v>238</v>
      </c>
      <c r="DE943" s="8">
        <f>0</f>
        <v>0</v>
      </c>
      <c r="DG943" s="5" t="s">
        <v>238</v>
      </c>
      <c r="DH943" s="5" t="s">
        <v>238</v>
      </c>
      <c r="DI943" s="5" t="s">
        <v>238</v>
      </c>
      <c r="DJ943" s="5" t="s">
        <v>238</v>
      </c>
      <c r="DK943" s="5" t="s">
        <v>271</v>
      </c>
      <c r="DL943" s="5" t="s">
        <v>272</v>
      </c>
      <c r="DM943" s="7">
        <f t="shared" si="77"/>
        <v>57.96</v>
      </c>
      <c r="DN943" s="5" t="s">
        <v>238</v>
      </c>
      <c r="DO943" s="5" t="s">
        <v>238</v>
      </c>
      <c r="DP943" s="5" t="s">
        <v>238</v>
      </c>
      <c r="DQ943" s="5" t="s">
        <v>238</v>
      </c>
      <c r="DT943" s="5" t="s">
        <v>2598</v>
      </c>
      <c r="DU943" s="5" t="s">
        <v>356</v>
      </c>
      <c r="GL943" s="5" t="s">
        <v>2606</v>
      </c>
      <c r="HM943" s="5" t="s">
        <v>313</v>
      </c>
      <c r="HP943" s="5" t="s">
        <v>272</v>
      </c>
      <c r="HQ943" s="5" t="s">
        <v>272</v>
      </c>
      <c r="HR943" s="5" t="s">
        <v>238</v>
      </c>
      <c r="HS943" s="5" t="s">
        <v>238</v>
      </c>
      <c r="HT943" s="5" t="s">
        <v>238</v>
      </c>
      <c r="HU943" s="5" t="s">
        <v>238</v>
      </c>
      <c r="HV943" s="5" t="s">
        <v>238</v>
      </c>
      <c r="HW943" s="5" t="s">
        <v>238</v>
      </c>
      <c r="HX943" s="5" t="s">
        <v>238</v>
      </c>
      <c r="HY943" s="5" t="s">
        <v>238</v>
      </c>
      <c r="HZ943" s="5" t="s">
        <v>238</v>
      </c>
      <c r="IA943" s="5" t="s">
        <v>238</v>
      </c>
      <c r="IB943" s="5" t="s">
        <v>238</v>
      </c>
      <c r="IC943" s="5" t="s">
        <v>238</v>
      </c>
      <c r="ID943" s="5" t="s">
        <v>238</v>
      </c>
    </row>
    <row r="944" spans="1:238" x14ac:dyDescent="0.4">
      <c r="A944" s="5">
        <v>1040</v>
      </c>
      <c r="B944" s="5">
        <v>1</v>
      </c>
      <c r="C944" s="5">
        <v>4</v>
      </c>
      <c r="D944" s="5" t="s">
        <v>2595</v>
      </c>
      <c r="E944" s="5" t="s">
        <v>277</v>
      </c>
      <c r="F944" s="5" t="s">
        <v>282</v>
      </c>
      <c r="G944" s="5" t="s">
        <v>2485</v>
      </c>
      <c r="H944" s="6" t="s">
        <v>2597</v>
      </c>
      <c r="I944" s="5" t="s">
        <v>2494</v>
      </c>
      <c r="J944" s="7">
        <f t="shared" si="69"/>
        <v>57.96</v>
      </c>
      <c r="K944" s="5" t="s">
        <v>270</v>
      </c>
      <c r="L944" s="8">
        <f t="shared" si="78"/>
        <v>7895576</v>
      </c>
      <c r="M944" s="8">
        <f t="shared" si="79"/>
        <v>12493000</v>
      </c>
      <c r="N944" s="6" t="s">
        <v>2596</v>
      </c>
      <c r="O944" s="5" t="s">
        <v>286</v>
      </c>
      <c r="P944" s="5" t="s">
        <v>313</v>
      </c>
      <c r="Q944" s="8">
        <f t="shared" si="80"/>
        <v>574678</v>
      </c>
      <c r="R944" s="8">
        <f t="shared" si="81"/>
        <v>4597424</v>
      </c>
      <c r="S944" s="5" t="s">
        <v>240</v>
      </c>
      <c r="T944" s="5" t="s">
        <v>237</v>
      </c>
      <c r="U944" s="5" t="s">
        <v>238</v>
      </c>
      <c r="V944" s="5" t="s">
        <v>238</v>
      </c>
      <c r="W944" s="5" t="s">
        <v>241</v>
      </c>
      <c r="X944" s="5" t="s">
        <v>276</v>
      </c>
      <c r="Y944" s="5" t="s">
        <v>238</v>
      </c>
      <c r="AB944" s="5" t="s">
        <v>238</v>
      </c>
      <c r="AC944" s="6" t="s">
        <v>238</v>
      </c>
      <c r="AD944" s="6" t="s">
        <v>238</v>
      </c>
      <c r="AF944" s="6" t="s">
        <v>238</v>
      </c>
      <c r="AG944" s="6" t="s">
        <v>246</v>
      </c>
      <c r="AH944" s="5" t="s">
        <v>247</v>
      </c>
      <c r="AI944" s="5" t="s">
        <v>248</v>
      </c>
      <c r="AO944" s="5" t="s">
        <v>238</v>
      </c>
      <c r="AP944" s="5" t="s">
        <v>238</v>
      </c>
      <c r="AQ944" s="5" t="s">
        <v>238</v>
      </c>
      <c r="AR944" s="6" t="s">
        <v>238</v>
      </c>
      <c r="AS944" s="6" t="s">
        <v>238</v>
      </c>
      <c r="AT944" s="6" t="s">
        <v>238</v>
      </c>
      <c r="AW944" s="5" t="s">
        <v>304</v>
      </c>
      <c r="AX944" s="5" t="s">
        <v>304</v>
      </c>
      <c r="AY944" s="5" t="s">
        <v>250</v>
      </c>
      <c r="AZ944" s="5" t="s">
        <v>305</v>
      </c>
      <c r="BA944" s="5" t="s">
        <v>251</v>
      </c>
      <c r="BB944" s="5" t="s">
        <v>238</v>
      </c>
      <c r="BC944" s="5" t="s">
        <v>253</v>
      </c>
      <c r="BD944" s="5" t="s">
        <v>238</v>
      </c>
      <c r="BF944" s="5" t="s">
        <v>238</v>
      </c>
      <c r="BH944" s="5" t="s">
        <v>283</v>
      </c>
      <c r="BI944" s="6" t="s">
        <v>293</v>
      </c>
      <c r="BJ944" s="5" t="s">
        <v>294</v>
      </c>
      <c r="BK944" s="5" t="s">
        <v>294</v>
      </c>
      <c r="BL944" s="5" t="s">
        <v>238</v>
      </c>
      <c r="BM944" s="7">
        <f>0</f>
        <v>0</v>
      </c>
      <c r="BN944" s="8">
        <f t="shared" si="82"/>
        <v>-574678</v>
      </c>
      <c r="BO944" s="5" t="s">
        <v>257</v>
      </c>
      <c r="BP944" s="5" t="s">
        <v>258</v>
      </c>
      <c r="BQ944" s="5" t="s">
        <v>238</v>
      </c>
      <c r="BR944" s="5" t="s">
        <v>238</v>
      </c>
      <c r="BS944" s="5" t="s">
        <v>238</v>
      </c>
      <c r="BT944" s="5" t="s">
        <v>238</v>
      </c>
      <c r="CC944" s="5" t="s">
        <v>258</v>
      </c>
      <c r="CD944" s="5" t="s">
        <v>238</v>
      </c>
      <c r="CE944" s="5" t="s">
        <v>238</v>
      </c>
      <c r="CI944" s="5" t="s">
        <v>259</v>
      </c>
      <c r="CJ944" s="5" t="s">
        <v>260</v>
      </c>
      <c r="CK944" s="5" t="s">
        <v>238</v>
      </c>
      <c r="CM944" s="5" t="s">
        <v>723</v>
      </c>
      <c r="CN944" s="6" t="s">
        <v>262</v>
      </c>
      <c r="CO944" s="5" t="s">
        <v>263</v>
      </c>
      <c r="CP944" s="5" t="s">
        <v>264</v>
      </c>
      <c r="CQ944" s="5" t="s">
        <v>285</v>
      </c>
      <c r="CR944" s="5" t="s">
        <v>238</v>
      </c>
      <c r="CS944" s="5">
        <v>4.5999999999999999E-2</v>
      </c>
      <c r="CT944" s="5" t="s">
        <v>265</v>
      </c>
      <c r="CU944" s="5" t="s">
        <v>1360</v>
      </c>
      <c r="CV944" s="5" t="s">
        <v>267</v>
      </c>
      <c r="CW944" s="7">
        <f>0</f>
        <v>0</v>
      </c>
      <c r="CX944" s="8">
        <f t="shared" si="83"/>
        <v>12493000</v>
      </c>
      <c r="CY944" s="8">
        <f t="shared" si="84"/>
        <v>8470254</v>
      </c>
      <c r="DA944" s="5" t="s">
        <v>238</v>
      </c>
      <c r="DB944" s="5" t="s">
        <v>238</v>
      </c>
      <c r="DD944" s="5" t="s">
        <v>238</v>
      </c>
      <c r="DE944" s="8">
        <f>0</f>
        <v>0</v>
      </c>
      <c r="DG944" s="5" t="s">
        <v>238</v>
      </c>
      <c r="DH944" s="5" t="s">
        <v>238</v>
      </c>
      <c r="DI944" s="5" t="s">
        <v>238</v>
      </c>
      <c r="DJ944" s="5" t="s">
        <v>238</v>
      </c>
      <c r="DK944" s="5" t="s">
        <v>271</v>
      </c>
      <c r="DL944" s="5" t="s">
        <v>272</v>
      </c>
      <c r="DM944" s="7">
        <f t="shared" si="77"/>
        <v>57.96</v>
      </c>
      <c r="DN944" s="5" t="s">
        <v>238</v>
      </c>
      <c r="DO944" s="5" t="s">
        <v>238</v>
      </c>
      <c r="DP944" s="5" t="s">
        <v>238</v>
      </c>
      <c r="DQ944" s="5" t="s">
        <v>238</v>
      </c>
      <c r="DT944" s="5" t="s">
        <v>2598</v>
      </c>
      <c r="DU944" s="5" t="s">
        <v>310</v>
      </c>
      <c r="GL944" s="5" t="s">
        <v>2605</v>
      </c>
      <c r="HM944" s="5" t="s">
        <v>313</v>
      </c>
      <c r="HP944" s="5" t="s">
        <v>272</v>
      </c>
      <c r="HQ944" s="5" t="s">
        <v>272</v>
      </c>
      <c r="HR944" s="5" t="s">
        <v>238</v>
      </c>
      <c r="HS944" s="5" t="s">
        <v>238</v>
      </c>
      <c r="HT944" s="5" t="s">
        <v>238</v>
      </c>
      <c r="HU944" s="5" t="s">
        <v>238</v>
      </c>
      <c r="HV944" s="5" t="s">
        <v>238</v>
      </c>
      <c r="HW944" s="5" t="s">
        <v>238</v>
      </c>
      <c r="HX944" s="5" t="s">
        <v>238</v>
      </c>
      <c r="HY944" s="5" t="s">
        <v>238</v>
      </c>
      <c r="HZ944" s="5" t="s">
        <v>238</v>
      </c>
      <c r="IA944" s="5" t="s">
        <v>238</v>
      </c>
      <c r="IB944" s="5" t="s">
        <v>238</v>
      </c>
      <c r="IC944" s="5" t="s">
        <v>238</v>
      </c>
      <c r="ID944" s="5" t="s">
        <v>238</v>
      </c>
    </row>
    <row r="945" spans="1:238" x14ac:dyDescent="0.4">
      <c r="A945" s="5">
        <v>1041</v>
      </c>
      <c r="B945" s="5">
        <v>1</v>
      </c>
      <c r="C945" s="5">
        <v>4</v>
      </c>
      <c r="D945" s="5" t="s">
        <v>2595</v>
      </c>
      <c r="E945" s="5" t="s">
        <v>277</v>
      </c>
      <c r="F945" s="5" t="s">
        <v>282</v>
      </c>
      <c r="G945" s="5" t="s">
        <v>2485</v>
      </c>
      <c r="H945" s="6" t="s">
        <v>2597</v>
      </c>
      <c r="I945" s="5" t="s">
        <v>2489</v>
      </c>
      <c r="J945" s="7">
        <f t="shared" si="69"/>
        <v>57.96</v>
      </c>
      <c r="K945" s="5" t="s">
        <v>270</v>
      </c>
      <c r="L945" s="8">
        <f t="shared" si="78"/>
        <v>7895576</v>
      </c>
      <c r="M945" s="8">
        <f t="shared" si="79"/>
        <v>12493000</v>
      </c>
      <c r="N945" s="6" t="s">
        <v>2596</v>
      </c>
      <c r="O945" s="5" t="s">
        <v>286</v>
      </c>
      <c r="P945" s="5" t="s">
        <v>313</v>
      </c>
      <c r="Q945" s="8">
        <f t="shared" si="80"/>
        <v>574678</v>
      </c>
      <c r="R945" s="8">
        <f t="shared" si="81"/>
        <v>4597424</v>
      </c>
      <c r="S945" s="5" t="s">
        <v>240</v>
      </c>
      <c r="T945" s="5" t="s">
        <v>237</v>
      </c>
      <c r="U945" s="5" t="s">
        <v>238</v>
      </c>
      <c r="V945" s="5" t="s">
        <v>238</v>
      </c>
      <c r="W945" s="5" t="s">
        <v>241</v>
      </c>
      <c r="X945" s="5" t="s">
        <v>276</v>
      </c>
      <c r="Y945" s="5" t="s">
        <v>238</v>
      </c>
      <c r="AB945" s="5" t="s">
        <v>238</v>
      </c>
      <c r="AC945" s="6" t="s">
        <v>238</v>
      </c>
      <c r="AD945" s="6" t="s">
        <v>238</v>
      </c>
      <c r="AF945" s="6" t="s">
        <v>238</v>
      </c>
      <c r="AG945" s="6" t="s">
        <v>246</v>
      </c>
      <c r="AH945" s="5" t="s">
        <v>247</v>
      </c>
      <c r="AI945" s="5" t="s">
        <v>248</v>
      </c>
      <c r="AO945" s="5" t="s">
        <v>238</v>
      </c>
      <c r="AP945" s="5" t="s">
        <v>238</v>
      </c>
      <c r="AQ945" s="5" t="s">
        <v>238</v>
      </c>
      <c r="AR945" s="6" t="s">
        <v>238</v>
      </c>
      <c r="AS945" s="6" t="s">
        <v>238</v>
      </c>
      <c r="AT945" s="6" t="s">
        <v>238</v>
      </c>
      <c r="AW945" s="5" t="s">
        <v>304</v>
      </c>
      <c r="AX945" s="5" t="s">
        <v>304</v>
      </c>
      <c r="AY945" s="5" t="s">
        <v>250</v>
      </c>
      <c r="AZ945" s="5" t="s">
        <v>305</v>
      </c>
      <c r="BA945" s="5" t="s">
        <v>251</v>
      </c>
      <c r="BB945" s="5" t="s">
        <v>238</v>
      </c>
      <c r="BC945" s="5" t="s">
        <v>253</v>
      </c>
      <c r="BD945" s="5" t="s">
        <v>238</v>
      </c>
      <c r="BF945" s="5" t="s">
        <v>238</v>
      </c>
      <c r="BH945" s="5" t="s">
        <v>283</v>
      </c>
      <c r="BI945" s="6" t="s">
        <v>293</v>
      </c>
      <c r="BJ945" s="5" t="s">
        <v>294</v>
      </c>
      <c r="BK945" s="5" t="s">
        <v>294</v>
      </c>
      <c r="BL945" s="5" t="s">
        <v>238</v>
      </c>
      <c r="BM945" s="7">
        <f>0</f>
        <v>0</v>
      </c>
      <c r="BN945" s="8">
        <f t="shared" si="82"/>
        <v>-574678</v>
      </c>
      <c r="BO945" s="5" t="s">
        <v>257</v>
      </c>
      <c r="BP945" s="5" t="s">
        <v>258</v>
      </c>
      <c r="BQ945" s="5" t="s">
        <v>238</v>
      </c>
      <c r="BR945" s="5" t="s">
        <v>238</v>
      </c>
      <c r="BS945" s="5" t="s">
        <v>238</v>
      </c>
      <c r="BT945" s="5" t="s">
        <v>238</v>
      </c>
      <c r="CC945" s="5" t="s">
        <v>258</v>
      </c>
      <c r="CD945" s="5" t="s">
        <v>238</v>
      </c>
      <c r="CE945" s="5" t="s">
        <v>238</v>
      </c>
      <c r="CI945" s="5" t="s">
        <v>259</v>
      </c>
      <c r="CJ945" s="5" t="s">
        <v>260</v>
      </c>
      <c r="CK945" s="5" t="s">
        <v>238</v>
      </c>
      <c r="CM945" s="5" t="s">
        <v>723</v>
      </c>
      <c r="CN945" s="6" t="s">
        <v>262</v>
      </c>
      <c r="CO945" s="5" t="s">
        <v>263</v>
      </c>
      <c r="CP945" s="5" t="s">
        <v>264</v>
      </c>
      <c r="CQ945" s="5" t="s">
        <v>285</v>
      </c>
      <c r="CR945" s="5" t="s">
        <v>238</v>
      </c>
      <c r="CS945" s="5">
        <v>4.5999999999999999E-2</v>
      </c>
      <c r="CT945" s="5" t="s">
        <v>265</v>
      </c>
      <c r="CU945" s="5" t="s">
        <v>1360</v>
      </c>
      <c r="CV945" s="5" t="s">
        <v>267</v>
      </c>
      <c r="CW945" s="7">
        <f>0</f>
        <v>0</v>
      </c>
      <c r="CX945" s="8">
        <f t="shared" si="83"/>
        <v>12493000</v>
      </c>
      <c r="CY945" s="8">
        <f t="shared" si="84"/>
        <v>8470254</v>
      </c>
      <c r="DA945" s="5" t="s">
        <v>238</v>
      </c>
      <c r="DB945" s="5" t="s">
        <v>238</v>
      </c>
      <c r="DD945" s="5" t="s">
        <v>238</v>
      </c>
      <c r="DE945" s="8">
        <f>0</f>
        <v>0</v>
      </c>
      <c r="DG945" s="5" t="s">
        <v>238</v>
      </c>
      <c r="DH945" s="5" t="s">
        <v>238</v>
      </c>
      <c r="DI945" s="5" t="s">
        <v>238</v>
      </c>
      <c r="DJ945" s="5" t="s">
        <v>238</v>
      </c>
      <c r="DK945" s="5" t="s">
        <v>271</v>
      </c>
      <c r="DL945" s="5" t="s">
        <v>272</v>
      </c>
      <c r="DM945" s="7">
        <f t="shared" si="77"/>
        <v>57.96</v>
      </c>
      <c r="DN945" s="5" t="s">
        <v>238</v>
      </c>
      <c r="DO945" s="5" t="s">
        <v>238</v>
      </c>
      <c r="DP945" s="5" t="s">
        <v>238</v>
      </c>
      <c r="DQ945" s="5" t="s">
        <v>238</v>
      </c>
      <c r="DT945" s="5" t="s">
        <v>2598</v>
      </c>
      <c r="DU945" s="5" t="s">
        <v>379</v>
      </c>
      <c r="GL945" s="5" t="s">
        <v>2604</v>
      </c>
      <c r="HM945" s="5" t="s">
        <v>313</v>
      </c>
      <c r="HP945" s="5" t="s">
        <v>272</v>
      </c>
      <c r="HQ945" s="5" t="s">
        <v>272</v>
      </c>
      <c r="HR945" s="5" t="s">
        <v>238</v>
      </c>
      <c r="HS945" s="5" t="s">
        <v>238</v>
      </c>
      <c r="HT945" s="5" t="s">
        <v>238</v>
      </c>
      <c r="HU945" s="5" t="s">
        <v>238</v>
      </c>
      <c r="HV945" s="5" t="s">
        <v>238</v>
      </c>
      <c r="HW945" s="5" t="s">
        <v>238</v>
      </c>
      <c r="HX945" s="5" t="s">
        <v>238</v>
      </c>
      <c r="HY945" s="5" t="s">
        <v>238</v>
      </c>
      <c r="HZ945" s="5" t="s">
        <v>238</v>
      </c>
      <c r="IA945" s="5" t="s">
        <v>238</v>
      </c>
      <c r="IB945" s="5" t="s">
        <v>238</v>
      </c>
      <c r="IC945" s="5" t="s">
        <v>238</v>
      </c>
      <c r="ID945" s="5" t="s">
        <v>238</v>
      </c>
    </row>
    <row r="946" spans="1:238" x14ac:dyDescent="0.4">
      <c r="A946" s="5">
        <v>1042</v>
      </c>
      <c r="B946" s="5">
        <v>1</v>
      </c>
      <c r="C946" s="5">
        <v>4</v>
      </c>
      <c r="D946" s="5" t="s">
        <v>2595</v>
      </c>
      <c r="E946" s="5" t="s">
        <v>277</v>
      </c>
      <c r="F946" s="5" t="s">
        <v>282</v>
      </c>
      <c r="G946" s="5" t="s">
        <v>2485</v>
      </c>
      <c r="H946" s="6" t="s">
        <v>2597</v>
      </c>
      <c r="I946" s="5" t="s">
        <v>2521</v>
      </c>
      <c r="J946" s="7">
        <f t="shared" si="69"/>
        <v>57.96</v>
      </c>
      <c r="K946" s="5" t="s">
        <v>270</v>
      </c>
      <c r="L946" s="8">
        <f t="shared" si="78"/>
        <v>7895576</v>
      </c>
      <c r="M946" s="8">
        <f t="shared" si="79"/>
        <v>12493000</v>
      </c>
      <c r="N946" s="6" t="s">
        <v>2596</v>
      </c>
      <c r="O946" s="5" t="s">
        <v>286</v>
      </c>
      <c r="P946" s="5" t="s">
        <v>313</v>
      </c>
      <c r="Q946" s="8">
        <f t="shared" si="80"/>
        <v>574678</v>
      </c>
      <c r="R946" s="8">
        <f t="shared" si="81"/>
        <v>4597424</v>
      </c>
      <c r="S946" s="5" t="s">
        <v>240</v>
      </c>
      <c r="T946" s="5" t="s">
        <v>237</v>
      </c>
      <c r="U946" s="5" t="s">
        <v>238</v>
      </c>
      <c r="V946" s="5" t="s">
        <v>238</v>
      </c>
      <c r="W946" s="5" t="s">
        <v>241</v>
      </c>
      <c r="X946" s="5" t="s">
        <v>276</v>
      </c>
      <c r="Y946" s="5" t="s">
        <v>238</v>
      </c>
      <c r="AB946" s="5" t="s">
        <v>238</v>
      </c>
      <c r="AC946" s="6" t="s">
        <v>238</v>
      </c>
      <c r="AD946" s="6" t="s">
        <v>238</v>
      </c>
      <c r="AF946" s="6" t="s">
        <v>238</v>
      </c>
      <c r="AG946" s="6" t="s">
        <v>246</v>
      </c>
      <c r="AH946" s="5" t="s">
        <v>247</v>
      </c>
      <c r="AI946" s="5" t="s">
        <v>248</v>
      </c>
      <c r="AO946" s="5" t="s">
        <v>238</v>
      </c>
      <c r="AP946" s="5" t="s">
        <v>238</v>
      </c>
      <c r="AQ946" s="5" t="s">
        <v>238</v>
      </c>
      <c r="AR946" s="6" t="s">
        <v>238</v>
      </c>
      <c r="AS946" s="6" t="s">
        <v>238</v>
      </c>
      <c r="AT946" s="6" t="s">
        <v>238</v>
      </c>
      <c r="AW946" s="5" t="s">
        <v>304</v>
      </c>
      <c r="AX946" s="5" t="s">
        <v>304</v>
      </c>
      <c r="AY946" s="5" t="s">
        <v>250</v>
      </c>
      <c r="AZ946" s="5" t="s">
        <v>305</v>
      </c>
      <c r="BA946" s="5" t="s">
        <v>251</v>
      </c>
      <c r="BB946" s="5" t="s">
        <v>238</v>
      </c>
      <c r="BC946" s="5" t="s">
        <v>253</v>
      </c>
      <c r="BD946" s="5" t="s">
        <v>238</v>
      </c>
      <c r="BF946" s="5" t="s">
        <v>238</v>
      </c>
      <c r="BH946" s="5" t="s">
        <v>283</v>
      </c>
      <c r="BI946" s="6" t="s">
        <v>293</v>
      </c>
      <c r="BJ946" s="5" t="s">
        <v>294</v>
      </c>
      <c r="BK946" s="5" t="s">
        <v>294</v>
      </c>
      <c r="BL946" s="5" t="s">
        <v>238</v>
      </c>
      <c r="BM946" s="7">
        <f>0</f>
        <v>0</v>
      </c>
      <c r="BN946" s="8">
        <f t="shared" si="82"/>
        <v>-574678</v>
      </c>
      <c r="BO946" s="5" t="s">
        <v>257</v>
      </c>
      <c r="BP946" s="5" t="s">
        <v>258</v>
      </c>
      <c r="BQ946" s="5" t="s">
        <v>238</v>
      </c>
      <c r="BR946" s="5" t="s">
        <v>238</v>
      </c>
      <c r="BS946" s="5" t="s">
        <v>238</v>
      </c>
      <c r="BT946" s="5" t="s">
        <v>238</v>
      </c>
      <c r="CC946" s="5" t="s">
        <v>258</v>
      </c>
      <c r="CD946" s="5" t="s">
        <v>238</v>
      </c>
      <c r="CE946" s="5" t="s">
        <v>238</v>
      </c>
      <c r="CI946" s="5" t="s">
        <v>259</v>
      </c>
      <c r="CJ946" s="5" t="s">
        <v>260</v>
      </c>
      <c r="CK946" s="5" t="s">
        <v>238</v>
      </c>
      <c r="CM946" s="5" t="s">
        <v>723</v>
      </c>
      <c r="CN946" s="6" t="s">
        <v>262</v>
      </c>
      <c r="CO946" s="5" t="s">
        <v>263</v>
      </c>
      <c r="CP946" s="5" t="s">
        <v>264</v>
      </c>
      <c r="CQ946" s="5" t="s">
        <v>285</v>
      </c>
      <c r="CR946" s="5" t="s">
        <v>238</v>
      </c>
      <c r="CS946" s="5">
        <v>4.5999999999999999E-2</v>
      </c>
      <c r="CT946" s="5" t="s">
        <v>265</v>
      </c>
      <c r="CU946" s="5" t="s">
        <v>1360</v>
      </c>
      <c r="CV946" s="5" t="s">
        <v>267</v>
      </c>
      <c r="CW946" s="7">
        <f>0</f>
        <v>0</v>
      </c>
      <c r="CX946" s="8">
        <f t="shared" si="83"/>
        <v>12493000</v>
      </c>
      <c r="CY946" s="8">
        <f t="shared" si="84"/>
        <v>8470254</v>
      </c>
      <c r="DA946" s="5" t="s">
        <v>238</v>
      </c>
      <c r="DB946" s="5" t="s">
        <v>238</v>
      </c>
      <c r="DD946" s="5" t="s">
        <v>238</v>
      </c>
      <c r="DE946" s="8">
        <f>0</f>
        <v>0</v>
      </c>
      <c r="DG946" s="5" t="s">
        <v>238</v>
      </c>
      <c r="DH946" s="5" t="s">
        <v>238</v>
      </c>
      <c r="DI946" s="5" t="s">
        <v>238</v>
      </c>
      <c r="DJ946" s="5" t="s">
        <v>238</v>
      </c>
      <c r="DK946" s="5" t="s">
        <v>271</v>
      </c>
      <c r="DL946" s="5" t="s">
        <v>272</v>
      </c>
      <c r="DM946" s="7">
        <f t="shared" si="77"/>
        <v>57.96</v>
      </c>
      <c r="DN946" s="5" t="s">
        <v>238</v>
      </c>
      <c r="DO946" s="5" t="s">
        <v>238</v>
      </c>
      <c r="DP946" s="5" t="s">
        <v>238</v>
      </c>
      <c r="DQ946" s="5" t="s">
        <v>238</v>
      </c>
      <c r="DT946" s="5" t="s">
        <v>2598</v>
      </c>
      <c r="DU946" s="5" t="s">
        <v>313</v>
      </c>
      <c r="GL946" s="5" t="s">
        <v>2603</v>
      </c>
      <c r="HM946" s="5" t="s">
        <v>313</v>
      </c>
      <c r="HP946" s="5" t="s">
        <v>272</v>
      </c>
      <c r="HQ946" s="5" t="s">
        <v>272</v>
      </c>
      <c r="HR946" s="5" t="s">
        <v>238</v>
      </c>
      <c r="HS946" s="5" t="s">
        <v>238</v>
      </c>
      <c r="HT946" s="5" t="s">
        <v>238</v>
      </c>
      <c r="HU946" s="5" t="s">
        <v>238</v>
      </c>
      <c r="HV946" s="5" t="s">
        <v>238</v>
      </c>
      <c r="HW946" s="5" t="s">
        <v>238</v>
      </c>
      <c r="HX946" s="5" t="s">
        <v>238</v>
      </c>
      <c r="HY946" s="5" t="s">
        <v>238</v>
      </c>
      <c r="HZ946" s="5" t="s">
        <v>238</v>
      </c>
      <c r="IA946" s="5" t="s">
        <v>238</v>
      </c>
      <c r="IB946" s="5" t="s">
        <v>238</v>
      </c>
      <c r="IC946" s="5" t="s">
        <v>238</v>
      </c>
      <c r="ID946" s="5" t="s">
        <v>238</v>
      </c>
    </row>
    <row r="947" spans="1:238" x14ac:dyDescent="0.4">
      <c r="A947" s="5">
        <v>1043</v>
      </c>
      <c r="B947" s="5">
        <v>1</v>
      </c>
      <c r="C947" s="5">
        <v>4</v>
      </c>
      <c r="D947" s="5" t="s">
        <v>2595</v>
      </c>
      <c r="E947" s="5" t="s">
        <v>277</v>
      </c>
      <c r="F947" s="5" t="s">
        <v>282</v>
      </c>
      <c r="G947" s="5" t="s">
        <v>2485</v>
      </c>
      <c r="H947" s="6" t="s">
        <v>2597</v>
      </c>
      <c r="I947" s="5" t="s">
        <v>2500</v>
      </c>
      <c r="J947" s="7">
        <f t="shared" si="69"/>
        <v>57.96</v>
      </c>
      <c r="K947" s="5" t="s">
        <v>270</v>
      </c>
      <c r="L947" s="8">
        <f t="shared" si="78"/>
        <v>7895576</v>
      </c>
      <c r="M947" s="8">
        <f t="shared" si="79"/>
        <v>12493000</v>
      </c>
      <c r="N947" s="6" t="s">
        <v>2596</v>
      </c>
      <c r="O947" s="5" t="s">
        <v>286</v>
      </c>
      <c r="P947" s="5" t="s">
        <v>313</v>
      </c>
      <c r="Q947" s="8">
        <f t="shared" si="80"/>
        <v>574678</v>
      </c>
      <c r="R947" s="8">
        <f t="shared" si="81"/>
        <v>4597424</v>
      </c>
      <c r="S947" s="5" t="s">
        <v>240</v>
      </c>
      <c r="T947" s="5" t="s">
        <v>237</v>
      </c>
      <c r="U947" s="5" t="s">
        <v>238</v>
      </c>
      <c r="V947" s="5" t="s">
        <v>238</v>
      </c>
      <c r="W947" s="5" t="s">
        <v>241</v>
      </c>
      <c r="X947" s="5" t="s">
        <v>276</v>
      </c>
      <c r="Y947" s="5" t="s">
        <v>238</v>
      </c>
      <c r="AB947" s="5" t="s">
        <v>238</v>
      </c>
      <c r="AC947" s="6" t="s">
        <v>238</v>
      </c>
      <c r="AD947" s="6" t="s">
        <v>238</v>
      </c>
      <c r="AF947" s="6" t="s">
        <v>238</v>
      </c>
      <c r="AG947" s="6" t="s">
        <v>246</v>
      </c>
      <c r="AH947" s="5" t="s">
        <v>247</v>
      </c>
      <c r="AI947" s="5" t="s">
        <v>248</v>
      </c>
      <c r="AO947" s="5" t="s">
        <v>238</v>
      </c>
      <c r="AP947" s="5" t="s">
        <v>238</v>
      </c>
      <c r="AQ947" s="5" t="s">
        <v>238</v>
      </c>
      <c r="AR947" s="6" t="s">
        <v>238</v>
      </c>
      <c r="AS947" s="6" t="s">
        <v>238</v>
      </c>
      <c r="AT947" s="6" t="s">
        <v>238</v>
      </c>
      <c r="AW947" s="5" t="s">
        <v>304</v>
      </c>
      <c r="AX947" s="5" t="s">
        <v>304</v>
      </c>
      <c r="AY947" s="5" t="s">
        <v>250</v>
      </c>
      <c r="AZ947" s="5" t="s">
        <v>305</v>
      </c>
      <c r="BA947" s="5" t="s">
        <v>251</v>
      </c>
      <c r="BB947" s="5" t="s">
        <v>238</v>
      </c>
      <c r="BC947" s="5" t="s">
        <v>253</v>
      </c>
      <c r="BD947" s="5" t="s">
        <v>238</v>
      </c>
      <c r="BF947" s="5" t="s">
        <v>238</v>
      </c>
      <c r="BH947" s="5" t="s">
        <v>283</v>
      </c>
      <c r="BI947" s="6" t="s">
        <v>293</v>
      </c>
      <c r="BJ947" s="5" t="s">
        <v>294</v>
      </c>
      <c r="BK947" s="5" t="s">
        <v>294</v>
      </c>
      <c r="BL947" s="5" t="s">
        <v>238</v>
      </c>
      <c r="BM947" s="7">
        <f>0</f>
        <v>0</v>
      </c>
      <c r="BN947" s="8">
        <f t="shared" si="82"/>
        <v>-574678</v>
      </c>
      <c r="BO947" s="5" t="s">
        <v>257</v>
      </c>
      <c r="BP947" s="5" t="s">
        <v>258</v>
      </c>
      <c r="BQ947" s="5" t="s">
        <v>238</v>
      </c>
      <c r="BR947" s="5" t="s">
        <v>238</v>
      </c>
      <c r="BS947" s="5" t="s">
        <v>238</v>
      </c>
      <c r="BT947" s="5" t="s">
        <v>238</v>
      </c>
      <c r="CC947" s="5" t="s">
        <v>258</v>
      </c>
      <c r="CD947" s="5" t="s">
        <v>238</v>
      </c>
      <c r="CE947" s="5" t="s">
        <v>238</v>
      </c>
      <c r="CI947" s="5" t="s">
        <v>259</v>
      </c>
      <c r="CJ947" s="5" t="s">
        <v>260</v>
      </c>
      <c r="CK947" s="5" t="s">
        <v>238</v>
      </c>
      <c r="CM947" s="5" t="s">
        <v>723</v>
      </c>
      <c r="CN947" s="6" t="s">
        <v>262</v>
      </c>
      <c r="CO947" s="5" t="s">
        <v>263</v>
      </c>
      <c r="CP947" s="5" t="s">
        <v>264</v>
      </c>
      <c r="CQ947" s="5" t="s">
        <v>285</v>
      </c>
      <c r="CR947" s="5" t="s">
        <v>238</v>
      </c>
      <c r="CS947" s="5">
        <v>4.5999999999999999E-2</v>
      </c>
      <c r="CT947" s="5" t="s">
        <v>265</v>
      </c>
      <c r="CU947" s="5" t="s">
        <v>1360</v>
      </c>
      <c r="CV947" s="5" t="s">
        <v>267</v>
      </c>
      <c r="CW947" s="7">
        <f>0</f>
        <v>0</v>
      </c>
      <c r="CX947" s="8">
        <f t="shared" si="83"/>
        <v>12493000</v>
      </c>
      <c r="CY947" s="8">
        <f t="shared" si="84"/>
        <v>8470254</v>
      </c>
      <c r="DA947" s="5" t="s">
        <v>238</v>
      </c>
      <c r="DB947" s="5" t="s">
        <v>238</v>
      </c>
      <c r="DD947" s="5" t="s">
        <v>238</v>
      </c>
      <c r="DE947" s="8">
        <f>0</f>
        <v>0</v>
      </c>
      <c r="DG947" s="5" t="s">
        <v>238</v>
      </c>
      <c r="DH947" s="5" t="s">
        <v>238</v>
      </c>
      <c r="DI947" s="5" t="s">
        <v>238</v>
      </c>
      <c r="DJ947" s="5" t="s">
        <v>238</v>
      </c>
      <c r="DK947" s="5" t="s">
        <v>271</v>
      </c>
      <c r="DL947" s="5" t="s">
        <v>272</v>
      </c>
      <c r="DM947" s="7">
        <f t="shared" si="77"/>
        <v>57.96</v>
      </c>
      <c r="DN947" s="5" t="s">
        <v>238</v>
      </c>
      <c r="DO947" s="5" t="s">
        <v>238</v>
      </c>
      <c r="DP947" s="5" t="s">
        <v>238</v>
      </c>
      <c r="DQ947" s="5" t="s">
        <v>238</v>
      </c>
      <c r="DT947" s="5" t="s">
        <v>2598</v>
      </c>
      <c r="DU947" s="5" t="s">
        <v>389</v>
      </c>
      <c r="GL947" s="5" t="s">
        <v>2602</v>
      </c>
      <c r="HM947" s="5" t="s">
        <v>313</v>
      </c>
      <c r="HP947" s="5" t="s">
        <v>272</v>
      </c>
      <c r="HQ947" s="5" t="s">
        <v>272</v>
      </c>
      <c r="HR947" s="5" t="s">
        <v>238</v>
      </c>
      <c r="HS947" s="5" t="s">
        <v>238</v>
      </c>
      <c r="HT947" s="5" t="s">
        <v>238</v>
      </c>
      <c r="HU947" s="5" t="s">
        <v>238</v>
      </c>
      <c r="HV947" s="5" t="s">
        <v>238</v>
      </c>
      <c r="HW947" s="5" t="s">
        <v>238</v>
      </c>
      <c r="HX947" s="5" t="s">
        <v>238</v>
      </c>
      <c r="HY947" s="5" t="s">
        <v>238</v>
      </c>
      <c r="HZ947" s="5" t="s">
        <v>238</v>
      </c>
      <c r="IA947" s="5" t="s">
        <v>238</v>
      </c>
      <c r="IB947" s="5" t="s">
        <v>238</v>
      </c>
      <c r="IC947" s="5" t="s">
        <v>238</v>
      </c>
      <c r="ID947" s="5" t="s">
        <v>238</v>
      </c>
    </row>
    <row r="948" spans="1:238" x14ac:dyDescent="0.4">
      <c r="A948" s="5">
        <v>1044</v>
      </c>
      <c r="B948" s="5">
        <v>1</v>
      </c>
      <c r="C948" s="5">
        <v>4</v>
      </c>
      <c r="D948" s="5" t="s">
        <v>2595</v>
      </c>
      <c r="E948" s="5" t="s">
        <v>277</v>
      </c>
      <c r="F948" s="5" t="s">
        <v>282</v>
      </c>
      <c r="G948" s="5" t="s">
        <v>2485</v>
      </c>
      <c r="H948" s="6" t="s">
        <v>2597</v>
      </c>
      <c r="I948" s="5" t="s">
        <v>2526</v>
      </c>
      <c r="J948" s="7">
        <f t="shared" si="69"/>
        <v>57.96</v>
      </c>
      <c r="K948" s="5" t="s">
        <v>270</v>
      </c>
      <c r="L948" s="8">
        <f t="shared" si="78"/>
        <v>7895576</v>
      </c>
      <c r="M948" s="8">
        <f t="shared" si="79"/>
        <v>12493000</v>
      </c>
      <c r="N948" s="6" t="s">
        <v>2596</v>
      </c>
      <c r="O948" s="5" t="s">
        <v>286</v>
      </c>
      <c r="P948" s="5" t="s">
        <v>313</v>
      </c>
      <c r="Q948" s="8">
        <f t="shared" si="80"/>
        <v>574678</v>
      </c>
      <c r="R948" s="8">
        <f t="shared" si="81"/>
        <v>4597424</v>
      </c>
      <c r="S948" s="5" t="s">
        <v>240</v>
      </c>
      <c r="T948" s="5" t="s">
        <v>237</v>
      </c>
      <c r="U948" s="5" t="s">
        <v>238</v>
      </c>
      <c r="V948" s="5" t="s">
        <v>238</v>
      </c>
      <c r="W948" s="5" t="s">
        <v>241</v>
      </c>
      <c r="X948" s="5" t="s">
        <v>276</v>
      </c>
      <c r="Y948" s="5" t="s">
        <v>238</v>
      </c>
      <c r="AB948" s="5" t="s">
        <v>238</v>
      </c>
      <c r="AC948" s="6" t="s">
        <v>238</v>
      </c>
      <c r="AD948" s="6" t="s">
        <v>238</v>
      </c>
      <c r="AF948" s="6" t="s">
        <v>238</v>
      </c>
      <c r="AG948" s="6" t="s">
        <v>374</v>
      </c>
      <c r="AH948" s="5" t="s">
        <v>247</v>
      </c>
      <c r="AI948" s="5" t="s">
        <v>248</v>
      </c>
      <c r="AO948" s="5" t="s">
        <v>238</v>
      </c>
      <c r="AP948" s="5" t="s">
        <v>238</v>
      </c>
      <c r="AQ948" s="5" t="s">
        <v>238</v>
      </c>
      <c r="AR948" s="6" t="s">
        <v>238</v>
      </c>
      <c r="AS948" s="6" t="s">
        <v>238</v>
      </c>
      <c r="AT948" s="6" t="s">
        <v>238</v>
      </c>
      <c r="AW948" s="5" t="s">
        <v>304</v>
      </c>
      <c r="AX948" s="5" t="s">
        <v>304</v>
      </c>
      <c r="AY948" s="5" t="s">
        <v>250</v>
      </c>
      <c r="AZ948" s="5" t="s">
        <v>305</v>
      </c>
      <c r="BA948" s="5" t="s">
        <v>251</v>
      </c>
      <c r="BB948" s="5" t="s">
        <v>238</v>
      </c>
      <c r="BC948" s="5" t="s">
        <v>253</v>
      </c>
      <c r="BD948" s="5" t="s">
        <v>238</v>
      </c>
      <c r="BF948" s="5" t="s">
        <v>238</v>
      </c>
      <c r="BH948" s="5" t="s">
        <v>283</v>
      </c>
      <c r="BI948" s="6" t="s">
        <v>293</v>
      </c>
      <c r="BJ948" s="5" t="s">
        <v>294</v>
      </c>
      <c r="BK948" s="5" t="s">
        <v>294</v>
      </c>
      <c r="BL948" s="5" t="s">
        <v>238</v>
      </c>
      <c r="BM948" s="7">
        <f>0</f>
        <v>0</v>
      </c>
      <c r="BN948" s="8">
        <f t="shared" si="82"/>
        <v>-574678</v>
      </c>
      <c r="BO948" s="5" t="s">
        <v>257</v>
      </c>
      <c r="BP948" s="5" t="s">
        <v>258</v>
      </c>
      <c r="BQ948" s="5" t="s">
        <v>238</v>
      </c>
      <c r="BR948" s="5" t="s">
        <v>238</v>
      </c>
      <c r="BS948" s="5" t="s">
        <v>238</v>
      </c>
      <c r="BT948" s="5" t="s">
        <v>238</v>
      </c>
      <c r="CC948" s="5" t="s">
        <v>258</v>
      </c>
      <c r="CD948" s="5" t="s">
        <v>238</v>
      </c>
      <c r="CE948" s="5" t="s">
        <v>238</v>
      </c>
      <c r="CI948" s="5" t="s">
        <v>259</v>
      </c>
      <c r="CJ948" s="5" t="s">
        <v>260</v>
      </c>
      <c r="CK948" s="5" t="s">
        <v>238</v>
      </c>
      <c r="CM948" s="5" t="s">
        <v>723</v>
      </c>
      <c r="CN948" s="6" t="s">
        <v>262</v>
      </c>
      <c r="CO948" s="5" t="s">
        <v>263</v>
      </c>
      <c r="CP948" s="5" t="s">
        <v>264</v>
      </c>
      <c r="CQ948" s="5" t="s">
        <v>285</v>
      </c>
      <c r="CR948" s="5" t="s">
        <v>238</v>
      </c>
      <c r="CS948" s="5">
        <v>4.5999999999999999E-2</v>
      </c>
      <c r="CT948" s="5" t="s">
        <v>265</v>
      </c>
      <c r="CU948" s="5" t="s">
        <v>1360</v>
      </c>
      <c r="CV948" s="5" t="s">
        <v>267</v>
      </c>
      <c r="CW948" s="7">
        <f>0</f>
        <v>0</v>
      </c>
      <c r="CX948" s="8">
        <f t="shared" si="83"/>
        <v>12493000</v>
      </c>
      <c r="CY948" s="8">
        <f t="shared" si="84"/>
        <v>8470254</v>
      </c>
      <c r="DA948" s="5" t="s">
        <v>238</v>
      </c>
      <c r="DB948" s="5" t="s">
        <v>238</v>
      </c>
      <c r="DD948" s="5" t="s">
        <v>238</v>
      </c>
      <c r="DE948" s="8">
        <f>0</f>
        <v>0</v>
      </c>
      <c r="DG948" s="5" t="s">
        <v>238</v>
      </c>
      <c r="DH948" s="5" t="s">
        <v>238</v>
      </c>
      <c r="DI948" s="5" t="s">
        <v>238</v>
      </c>
      <c r="DJ948" s="5" t="s">
        <v>238</v>
      </c>
      <c r="DK948" s="5" t="s">
        <v>271</v>
      </c>
      <c r="DL948" s="5" t="s">
        <v>272</v>
      </c>
      <c r="DM948" s="7">
        <f t="shared" si="77"/>
        <v>57.96</v>
      </c>
      <c r="DN948" s="5" t="s">
        <v>238</v>
      </c>
      <c r="DO948" s="5" t="s">
        <v>238</v>
      </c>
      <c r="DP948" s="5" t="s">
        <v>238</v>
      </c>
      <c r="DQ948" s="5" t="s">
        <v>238</v>
      </c>
      <c r="DT948" s="5" t="s">
        <v>2598</v>
      </c>
      <c r="DU948" s="5" t="s">
        <v>354</v>
      </c>
      <c r="GL948" s="5" t="s">
        <v>2601</v>
      </c>
      <c r="HM948" s="5" t="s">
        <v>313</v>
      </c>
      <c r="HP948" s="5" t="s">
        <v>272</v>
      </c>
      <c r="HQ948" s="5" t="s">
        <v>272</v>
      </c>
      <c r="HR948" s="5" t="s">
        <v>238</v>
      </c>
      <c r="HS948" s="5" t="s">
        <v>238</v>
      </c>
      <c r="HT948" s="5" t="s">
        <v>238</v>
      </c>
      <c r="HU948" s="5" t="s">
        <v>238</v>
      </c>
      <c r="HV948" s="5" t="s">
        <v>238</v>
      </c>
      <c r="HW948" s="5" t="s">
        <v>238</v>
      </c>
      <c r="HX948" s="5" t="s">
        <v>238</v>
      </c>
      <c r="HY948" s="5" t="s">
        <v>238</v>
      </c>
      <c r="HZ948" s="5" t="s">
        <v>238</v>
      </c>
      <c r="IA948" s="5" t="s">
        <v>238</v>
      </c>
      <c r="IB948" s="5" t="s">
        <v>238</v>
      </c>
      <c r="IC948" s="5" t="s">
        <v>238</v>
      </c>
      <c r="ID948" s="5" t="s">
        <v>238</v>
      </c>
    </row>
    <row r="949" spans="1:238" x14ac:dyDescent="0.4">
      <c r="A949" s="5">
        <v>1045</v>
      </c>
      <c r="B949" s="5">
        <v>1</v>
      </c>
      <c r="C949" s="5">
        <v>4</v>
      </c>
      <c r="D949" s="5" t="s">
        <v>2595</v>
      </c>
      <c r="E949" s="5" t="s">
        <v>277</v>
      </c>
      <c r="F949" s="5" t="s">
        <v>282</v>
      </c>
      <c r="G949" s="5" t="s">
        <v>2485</v>
      </c>
      <c r="H949" s="6" t="s">
        <v>2597</v>
      </c>
      <c r="I949" s="5" t="s">
        <v>2520</v>
      </c>
      <c r="J949" s="7">
        <f>81.14</f>
        <v>81.14</v>
      </c>
      <c r="K949" s="5" t="s">
        <v>270</v>
      </c>
      <c r="L949" s="8">
        <f>10000768</f>
        <v>10000768</v>
      </c>
      <c r="M949" s="8">
        <f>15824000</f>
        <v>15824000</v>
      </c>
      <c r="N949" s="6" t="s">
        <v>2596</v>
      </c>
      <c r="O949" s="5" t="s">
        <v>286</v>
      </c>
      <c r="P949" s="5" t="s">
        <v>313</v>
      </c>
      <c r="Q949" s="8">
        <f>727904</f>
        <v>727904</v>
      </c>
      <c r="R949" s="8">
        <f>5823232</f>
        <v>5823232</v>
      </c>
      <c r="S949" s="5" t="s">
        <v>240</v>
      </c>
      <c r="T949" s="5" t="s">
        <v>237</v>
      </c>
      <c r="U949" s="5" t="s">
        <v>238</v>
      </c>
      <c r="V949" s="5" t="s">
        <v>238</v>
      </c>
      <c r="W949" s="5" t="s">
        <v>241</v>
      </c>
      <c r="X949" s="5" t="s">
        <v>276</v>
      </c>
      <c r="Y949" s="5" t="s">
        <v>238</v>
      </c>
      <c r="AB949" s="5" t="s">
        <v>238</v>
      </c>
      <c r="AC949" s="6" t="s">
        <v>238</v>
      </c>
      <c r="AD949" s="6" t="s">
        <v>238</v>
      </c>
      <c r="AF949" s="6" t="s">
        <v>238</v>
      </c>
      <c r="AG949" s="6" t="s">
        <v>374</v>
      </c>
      <c r="AH949" s="5" t="s">
        <v>247</v>
      </c>
      <c r="AI949" s="5" t="s">
        <v>248</v>
      </c>
      <c r="AO949" s="5" t="s">
        <v>238</v>
      </c>
      <c r="AP949" s="5" t="s">
        <v>238</v>
      </c>
      <c r="AQ949" s="5" t="s">
        <v>238</v>
      </c>
      <c r="AR949" s="6" t="s">
        <v>238</v>
      </c>
      <c r="AS949" s="6" t="s">
        <v>238</v>
      </c>
      <c r="AT949" s="6" t="s">
        <v>238</v>
      </c>
      <c r="AW949" s="5" t="s">
        <v>304</v>
      </c>
      <c r="AX949" s="5" t="s">
        <v>304</v>
      </c>
      <c r="AY949" s="5" t="s">
        <v>250</v>
      </c>
      <c r="AZ949" s="5" t="s">
        <v>305</v>
      </c>
      <c r="BA949" s="5" t="s">
        <v>251</v>
      </c>
      <c r="BB949" s="5" t="s">
        <v>238</v>
      </c>
      <c r="BC949" s="5" t="s">
        <v>253</v>
      </c>
      <c r="BD949" s="5" t="s">
        <v>238</v>
      </c>
      <c r="BF949" s="5" t="s">
        <v>238</v>
      </c>
      <c r="BH949" s="5" t="s">
        <v>283</v>
      </c>
      <c r="BI949" s="6" t="s">
        <v>293</v>
      </c>
      <c r="BJ949" s="5" t="s">
        <v>294</v>
      </c>
      <c r="BK949" s="5" t="s">
        <v>294</v>
      </c>
      <c r="BL949" s="5" t="s">
        <v>238</v>
      </c>
      <c r="BM949" s="7">
        <f>0</f>
        <v>0</v>
      </c>
      <c r="BN949" s="8">
        <f>-727904</f>
        <v>-727904</v>
      </c>
      <c r="BO949" s="5" t="s">
        <v>257</v>
      </c>
      <c r="BP949" s="5" t="s">
        <v>258</v>
      </c>
      <c r="BQ949" s="5" t="s">
        <v>238</v>
      </c>
      <c r="BR949" s="5" t="s">
        <v>238</v>
      </c>
      <c r="BS949" s="5" t="s">
        <v>238</v>
      </c>
      <c r="BT949" s="5" t="s">
        <v>238</v>
      </c>
      <c r="CC949" s="5" t="s">
        <v>258</v>
      </c>
      <c r="CD949" s="5" t="s">
        <v>238</v>
      </c>
      <c r="CE949" s="5" t="s">
        <v>238</v>
      </c>
      <c r="CI949" s="5" t="s">
        <v>259</v>
      </c>
      <c r="CJ949" s="5" t="s">
        <v>260</v>
      </c>
      <c r="CK949" s="5" t="s">
        <v>238</v>
      </c>
      <c r="CM949" s="5" t="s">
        <v>723</v>
      </c>
      <c r="CN949" s="6" t="s">
        <v>262</v>
      </c>
      <c r="CO949" s="5" t="s">
        <v>263</v>
      </c>
      <c r="CP949" s="5" t="s">
        <v>264</v>
      </c>
      <c r="CQ949" s="5" t="s">
        <v>285</v>
      </c>
      <c r="CR949" s="5" t="s">
        <v>238</v>
      </c>
      <c r="CS949" s="5">
        <v>4.5999999999999999E-2</v>
      </c>
      <c r="CT949" s="5" t="s">
        <v>265</v>
      </c>
      <c r="CU949" s="5" t="s">
        <v>1360</v>
      </c>
      <c r="CV949" s="5" t="s">
        <v>267</v>
      </c>
      <c r="CW949" s="7">
        <f>0</f>
        <v>0</v>
      </c>
      <c r="CX949" s="8">
        <f>15824000</f>
        <v>15824000</v>
      </c>
      <c r="CY949" s="8">
        <f>10728672</f>
        <v>10728672</v>
      </c>
      <c r="DA949" s="5" t="s">
        <v>238</v>
      </c>
      <c r="DB949" s="5" t="s">
        <v>238</v>
      </c>
      <c r="DD949" s="5" t="s">
        <v>238</v>
      </c>
      <c r="DE949" s="8">
        <f>0</f>
        <v>0</v>
      </c>
      <c r="DG949" s="5" t="s">
        <v>238</v>
      </c>
      <c r="DH949" s="5" t="s">
        <v>238</v>
      </c>
      <c r="DI949" s="5" t="s">
        <v>238</v>
      </c>
      <c r="DJ949" s="5" t="s">
        <v>238</v>
      </c>
      <c r="DK949" s="5" t="s">
        <v>274</v>
      </c>
      <c r="DL949" s="5" t="s">
        <v>272</v>
      </c>
      <c r="DM949" s="7">
        <f>81.14</f>
        <v>81.14</v>
      </c>
      <c r="DN949" s="5" t="s">
        <v>238</v>
      </c>
      <c r="DO949" s="5" t="s">
        <v>238</v>
      </c>
      <c r="DP949" s="5" t="s">
        <v>238</v>
      </c>
      <c r="DQ949" s="5" t="s">
        <v>238</v>
      </c>
      <c r="DT949" s="5" t="s">
        <v>2598</v>
      </c>
      <c r="DU949" s="5" t="s">
        <v>361</v>
      </c>
      <c r="GL949" s="5" t="s">
        <v>2600</v>
      </c>
      <c r="HM949" s="5" t="s">
        <v>313</v>
      </c>
      <c r="HP949" s="5" t="s">
        <v>272</v>
      </c>
      <c r="HQ949" s="5" t="s">
        <v>272</v>
      </c>
      <c r="HR949" s="5" t="s">
        <v>238</v>
      </c>
      <c r="HS949" s="5" t="s">
        <v>238</v>
      </c>
      <c r="HT949" s="5" t="s">
        <v>238</v>
      </c>
      <c r="HU949" s="5" t="s">
        <v>238</v>
      </c>
      <c r="HV949" s="5" t="s">
        <v>238</v>
      </c>
      <c r="HW949" s="5" t="s">
        <v>238</v>
      </c>
      <c r="HX949" s="5" t="s">
        <v>238</v>
      </c>
      <c r="HY949" s="5" t="s">
        <v>238</v>
      </c>
      <c r="HZ949" s="5" t="s">
        <v>238</v>
      </c>
      <c r="IA949" s="5" t="s">
        <v>238</v>
      </c>
      <c r="IB949" s="5" t="s">
        <v>238</v>
      </c>
      <c r="IC949" s="5" t="s">
        <v>238</v>
      </c>
      <c r="ID949" s="5" t="s">
        <v>238</v>
      </c>
    </row>
    <row r="950" spans="1:238" x14ac:dyDescent="0.4">
      <c r="A950" s="5">
        <v>1046</v>
      </c>
      <c r="B950" s="5">
        <v>1</v>
      </c>
      <c r="C950" s="5">
        <v>4</v>
      </c>
      <c r="D950" s="5" t="s">
        <v>2595</v>
      </c>
      <c r="E950" s="5" t="s">
        <v>277</v>
      </c>
      <c r="F950" s="5" t="s">
        <v>282</v>
      </c>
      <c r="G950" s="5" t="s">
        <v>2485</v>
      </c>
      <c r="H950" s="6" t="s">
        <v>2597</v>
      </c>
      <c r="I950" s="5" t="s">
        <v>2516</v>
      </c>
      <c r="J950" s="7">
        <f>81.14</f>
        <v>81.14</v>
      </c>
      <c r="K950" s="5" t="s">
        <v>270</v>
      </c>
      <c r="L950" s="8">
        <f>10000768</f>
        <v>10000768</v>
      </c>
      <c r="M950" s="8">
        <f>15824000</f>
        <v>15824000</v>
      </c>
      <c r="N950" s="6" t="s">
        <v>2596</v>
      </c>
      <c r="O950" s="5" t="s">
        <v>286</v>
      </c>
      <c r="P950" s="5" t="s">
        <v>313</v>
      </c>
      <c r="Q950" s="8">
        <f>727904</f>
        <v>727904</v>
      </c>
      <c r="R950" s="8">
        <f>5823232</f>
        <v>5823232</v>
      </c>
      <c r="S950" s="5" t="s">
        <v>240</v>
      </c>
      <c r="T950" s="5" t="s">
        <v>237</v>
      </c>
      <c r="U950" s="5" t="s">
        <v>238</v>
      </c>
      <c r="V950" s="5" t="s">
        <v>238</v>
      </c>
      <c r="W950" s="5" t="s">
        <v>241</v>
      </c>
      <c r="X950" s="5" t="s">
        <v>276</v>
      </c>
      <c r="Y950" s="5" t="s">
        <v>238</v>
      </c>
      <c r="AB950" s="5" t="s">
        <v>238</v>
      </c>
      <c r="AC950" s="6" t="s">
        <v>238</v>
      </c>
      <c r="AD950" s="6" t="s">
        <v>238</v>
      </c>
      <c r="AF950" s="6" t="s">
        <v>238</v>
      </c>
      <c r="AG950" s="6" t="s">
        <v>374</v>
      </c>
      <c r="AH950" s="5" t="s">
        <v>247</v>
      </c>
      <c r="AI950" s="5" t="s">
        <v>248</v>
      </c>
      <c r="AO950" s="5" t="s">
        <v>238</v>
      </c>
      <c r="AP950" s="5" t="s">
        <v>238</v>
      </c>
      <c r="AQ950" s="5" t="s">
        <v>238</v>
      </c>
      <c r="AR950" s="6" t="s">
        <v>238</v>
      </c>
      <c r="AS950" s="6" t="s">
        <v>238</v>
      </c>
      <c r="AT950" s="6" t="s">
        <v>238</v>
      </c>
      <c r="AW950" s="5" t="s">
        <v>304</v>
      </c>
      <c r="AX950" s="5" t="s">
        <v>304</v>
      </c>
      <c r="AY950" s="5" t="s">
        <v>250</v>
      </c>
      <c r="AZ950" s="5" t="s">
        <v>305</v>
      </c>
      <c r="BA950" s="5" t="s">
        <v>251</v>
      </c>
      <c r="BB950" s="5" t="s">
        <v>238</v>
      </c>
      <c r="BC950" s="5" t="s">
        <v>253</v>
      </c>
      <c r="BD950" s="5" t="s">
        <v>238</v>
      </c>
      <c r="BF950" s="5" t="s">
        <v>238</v>
      </c>
      <c r="BH950" s="5" t="s">
        <v>283</v>
      </c>
      <c r="BI950" s="6" t="s">
        <v>293</v>
      </c>
      <c r="BJ950" s="5" t="s">
        <v>294</v>
      </c>
      <c r="BK950" s="5" t="s">
        <v>294</v>
      </c>
      <c r="BL950" s="5" t="s">
        <v>238</v>
      </c>
      <c r="BM950" s="7">
        <f>0</f>
        <v>0</v>
      </c>
      <c r="BN950" s="8">
        <f>-727904</f>
        <v>-727904</v>
      </c>
      <c r="BO950" s="5" t="s">
        <v>257</v>
      </c>
      <c r="BP950" s="5" t="s">
        <v>258</v>
      </c>
      <c r="BQ950" s="5" t="s">
        <v>238</v>
      </c>
      <c r="BR950" s="5" t="s">
        <v>238</v>
      </c>
      <c r="BS950" s="5" t="s">
        <v>238</v>
      </c>
      <c r="BT950" s="5" t="s">
        <v>238</v>
      </c>
      <c r="CC950" s="5" t="s">
        <v>258</v>
      </c>
      <c r="CD950" s="5" t="s">
        <v>238</v>
      </c>
      <c r="CE950" s="5" t="s">
        <v>238</v>
      </c>
      <c r="CI950" s="5" t="s">
        <v>259</v>
      </c>
      <c r="CJ950" s="5" t="s">
        <v>260</v>
      </c>
      <c r="CK950" s="5" t="s">
        <v>238</v>
      </c>
      <c r="CM950" s="5" t="s">
        <v>723</v>
      </c>
      <c r="CN950" s="6" t="s">
        <v>262</v>
      </c>
      <c r="CO950" s="5" t="s">
        <v>263</v>
      </c>
      <c r="CP950" s="5" t="s">
        <v>264</v>
      </c>
      <c r="CQ950" s="5" t="s">
        <v>285</v>
      </c>
      <c r="CR950" s="5" t="s">
        <v>238</v>
      </c>
      <c r="CS950" s="5">
        <v>4.5999999999999999E-2</v>
      </c>
      <c r="CT950" s="5" t="s">
        <v>265</v>
      </c>
      <c r="CU950" s="5" t="s">
        <v>1360</v>
      </c>
      <c r="CV950" s="5" t="s">
        <v>267</v>
      </c>
      <c r="CW950" s="7">
        <f>0</f>
        <v>0</v>
      </c>
      <c r="CX950" s="8">
        <f>15824000</f>
        <v>15824000</v>
      </c>
      <c r="CY950" s="8">
        <f>10728672</f>
        <v>10728672</v>
      </c>
      <c r="DA950" s="5" t="s">
        <v>238</v>
      </c>
      <c r="DB950" s="5" t="s">
        <v>238</v>
      </c>
      <c r="DD950" s="5" t="s">
        <v>238</v>
      </c>
      <c r="DE950" s="8">
        <f>0</f>
        <v>0</v>
      </c>
      <c r="DG950" s="5" t="s">
        <v>238</v>
      </c>
      <c r="DH950" s="5" t="s">
        <v>238</v>
      </c>
      <c r="DI950" s="5" t="s">
        <v>238</v>
      </c>
      <c r="DJ950" s="5" t="s">
        <v>238</v>
      </c>
      <c r="DK950" s="5" t="s">
        <v>274</v>
      </c>
      <c r="DL950" s="5" t="s">
        <v>272</v>
      </c>
      <c r="DM950" s="7">
        <f>81.14</f>
        <v>81.14</v>
      </c>
      <c r="DN950" s="5" t="s">
        <v>238</v>
      </c>
      <c r="DO950" s="5" t="s">
        <v>238</v>
      </c>
      <c r="DP950" s="5" t="s">
        <v>238</v>
      </c>
      <c r="DQ950" s="5" t="s">
        <v>238</v>
      </c>
      <c r="DT950" s="5" t="s">
        <v>2598</v>
      </c>
      <c r="DU950" s="5" t="s">
        <v>377</v>
      </c>
      <c r="GL950" s="5" t="s">
        <v>2599</v>
      </c>
      <c r="HM950" s="5" t="s">
        <v>313</v>
      </c>
      <c r="HP950" s="5" t="s">
        <v>272</v>
      </c>
      <c r="HQ950" s="5" t="s">
        <v>272</v>
      </c>
      <c r="HR950" s="5" t="s">
        <v>238</v>
      </c>
      <c r="HS950" s="5" t="s">
        <v>238</v>
      </c>
      <c r="HT950" s="5" t="s">
        <v>238</v>
      </c>
      <c r="HU950" s="5" t="s">
        <v>238</v>
      </c>
      <c r="HV950" s="5" t="s">
        <v>238</v>
      </c>
      <c r="HW950" s="5" t="s">
        <v>238</v>
      </c>
      <c r="HX950" s="5" t="s">
        <v>238</v>
      </c>
      <c r="HY950" s="5" t="s">
        <v>238</v>
      </c>
      <c r="HZ950" s="5" t="s">
        <v>238</v>
      </c>
      <c r="IA950" s="5" t="s">
        <v>238</v>
      </c>
      <c r="IB950" s="5" t="s">
        <v>238</v>
      </c>
      <c r="IC950" s="5" t="s">
        <v>238</v>
      </c>
      <c r="ID950" s="5" t="s">
        <v>238</v>
      </c>
    </row>
    <row r="951" spans="1:238" x14ac:dyDescent="0.4">
      <c r="A951" s="5">
        <v>1047</v>
      </c>
      <c r="B951" s="5">
        <v>1</v>
      </c>
      <c r="C951" s="5">
        <v>4</v>
      </c>
      <c r="D951" s="5" t="s">
        <v>2586</v>
      </c>
      <c r="E951" s="5" t="s">
        <v>277</v>
      </c>
      <c r="F951" s="5" t="s">
        <v>282</v>
      </c>
      <c r="G951" s="5" t="s">
        <v>2485</v>
      </c>
      <c r="H951" s="6" t="s">
        <v>2588</v>
      </c>
      <c r="I951" s="5" t="s">
        <v>2495</v>
      </c>
      <c r="J951" s="7">
        <f>81.14</f>
        <v>81.14</v>
      </c>
      <c r="K951" s="5" t="s">
        <v>270</v>
      </c>
      <c r="L951" s="8">
        <f>10623288</f>
        <v>10623288</v>
      </c>
      <c r="M951" s="8">
        <f>16809000</f>
        <v>16809000</v>
      </c>
      <c r="N951" s="6" t="s">
        <v>2587</v>
      </c>
      <c r="O951" s="5" t="s">
        <v>286</v>
      </c>
      <c r="P951" s="5" t="s">
        <v>313</v>
      </c>
      <c r="Q951" s="8">
        <f>773214</f>
        <v>773214</v>
      </c>
      <c r="R951" s="8">
        <f>6185712</f>
        <v>6185712</v>
      </c>
      <c r="S951" s="5" t="s">
        <v>240</v>
      </c>
      <c r="T951" s="5" t="s">
        <v>237</v>
      </c>
      <c r="U951" s="5" t="s">
        <v>238</v>
      </c>
      <c r="V951" s="5" t="s">
        <v>238</v>
      </c>
      <c r="W951" s="5" t="s">
        <v>241</v>
      </c>
      <c r="X951" s="5" t="s">
        <v>276</v>
      </c>
      <c r="Y951" s="5" t="s">
        <v>238</v>
      </c>
      <c r="AB951" s="5" t="s">
        <v>238</v>
      </c>
      <c r="AC951" s="6" t="s">
        <v>238</v>
      </c>
      <c r="AD951" s="6" t="s">
        <v>238</v>
      </c>
      <c r="AF951" s="6" t="s">
        <v>238</v>
      </c>
      <c r="AG951" s="6" t="s">
        <v>246</v>
      </c>
      <c r="AH951" s="5" t="s">
        <v>247</v>
      </c>
      <c r="AI951" s="5" t="s">
        <v>248</v>
      </c>
      <c r="AO951" s="5" t="s">
        <v>238</v>
      </c>
      <c r="AP951" s="5" t="s">
        <v>238</v>
      </c>
      <c r="AQ951" s="5" t="s">
        <v>238</v>
      </c>
      <c r="AR951" s="6" t="s">
        <v>238</v>
      </c>
      <c r="AS951" s="6" t="s">
        <v>238</v>
      </c>
      <c r="AT951" s="6" t="s">
        <v>238</v>
      </c>
      <c r="AW951" s="5" t="s">
        <v>304</v>
      </c>
      <c r="AX951" s="5" t="s">
        <v>304</v>
      </c>
      <c r="AY951" s="5" t="s">
        <v>250</v>
      </c>
      <c r="AZ951" s="5" t="s">
        <v>305</v>
      </c>
      <c r="BA951" s="5" t="s">
        <v>251</v>
      </c>
      <c r="BB951" s="5" t="s">
        <v>238</v>
      </c>
      <c r="BC951" s="5" t="s">
        <v>253</v>
      </c>
      <c r="BD951" s="5" t="s">
        <v>238</v>
      </c>
      <c r="BF951" s="5" t="s">
        <v>238</v>
      </c>
      <c r="BH951" s="5" t="s">
        <v>283</v>
      </c>
      <c r="BI951" s="6" t="s">
        <v>293</v>
      </c>
      <c r="BJ951" s="5" t="s">
        <v>294</v>
      </c>
      <c r="BK951" s="5" t="s">
        <v>294</v>
      </c>
      <c r="BL951" s="5" t="s">
        <v>238</v>
      </c>
      <c r="BM951" s="7">
        <f>0</f>
        <v>0</v>
      </c>
      <c r="BN951" s="8">
        <f>-773214</f>
        <v>-773214</v>
      </c>
      <c r="BO951" s="5" t="s">
        <v>257</v>
      </c>
      <c r="BP951" s="5" t="s">
        <v>258</v>
      </c>
      <c r="BQ951" s="5" t="s">
        <v>238</v>
      </c>
      <c r="BR951" s="5" t="s">
        <v>238</v>
      </c>
      <c r="BS951" s="5" t="s">
        <v>238</v>
      </c>
      <c r="BT951" s="5" t="s">
        <v>238</v>
      </c>
      <c r="CC951" s="5" t="s">
        <v>258</v>
      </c>
      <c r="CD951" s="5" t="s">
        <v>238</v>
      </c>
      <c r="CE951" s="5" t="s">
        <v>238</v>
      </c>
      <c r="CI951" s="5" t="s">
        <v>259</v>
      </c>
      <c r="CJ951" s="5" t="s">
        <v>260</v>
      </c>
      <c r="CK951" s="5" t="s">
        <v>238</v>
      </c>
      <c r="CM951" s="5" t="s">
        <v>723</v>
      </c>
      <c r="CN951" s="6" t="s">
        <v>262</v>
      </c>
      <c r="CO951" s="5" t="s">
        <v>263</v>
      </c>
      <c r="CP951" s="5" t="s">
        <v>264</v>
      </c>
      <c r="CQ951" s="5" t="s">
        <v>285</v>
      </c>
      <c r="CR951" s="5" t="s">
        <v>238</v>
      </c>
      <c r="CS951" s="5">
        <v>4.5999999999999999E-2</v>
      </c>
      <c r="CT951" s="5" t="s">
        <v>265</v>
      </c>
      <c r="CU951" s="5" t="s">
        <v>1360</v>
      </c>
      <c r="CV951" s="5" t="s">
        <v>267</v>
      </c>
      <c r="CW951" s="7">
        <f>0</f>
        <v>0</v>
      </c>
      <c r="CX951" s="8">
        <f>16809000</f>
        <v>16809000</v>
      </c>
      <c r="CY951" s="8">
        <f>11396502</f>
        <v>11396502</v>
      </c>
      <c r="DA951" s="5" t="s">
        <v>238</v>
      </c>
      <c r="DB951" s="5" t="s">
        <v>238</v>
      </c>
      <c r="DD951" s="5" t="s">
        <v>238</v>
      </c>
      <c r="DE951" s="8">
        <f>0</f>
        <v>0</v>
      </c>
      <c r="DG951" s="5" t="s">
        <v>238</v>
      </c>
      <c r="DH951" s="5" t="s">
        <v>238</v>
      </c>
      <c r="DI951" s="5" t="s">
        <v>238</v>
      </c>
      <c r="DJ951" s="5" t="s">
        <v>238</v>
      </c>
      <c r="DK951" s="5" t="s">
        <v>274</v>
      </c>
      <c r="DL951" s="5" t="s">
        <v>272</v>
      </c>
      <c r="DM951" s="7">
        <f>81.14</f>
        <v>81.14</v>
      </c>
      <c r="DN951" s="5" t="s">
        <v>238</v>
      </c>
      <c r="DO951" s="5" t="s">
        <v>238</v>
      </c>
      <c r="DP951" s="5" t="s">
        <v>238</v>
      </c>
      <c r="DQ951" s="5" t="s">
        <v>238</v>
      </c>
      <c r="DT951" s="5" t="s">
        <v>2589</v>
      </c>
      <c r="DU951" s="5" t="s">
        <v>271</v>
      </c>
      <c r="GL951" s="5" t="s">
        <v>2594</v>
      </c>
      <c r="HM951" s="5" t="s">
        <v>313</v>
      </c>
      <c r="HP951" s="5" t="s">
        <v>272</v>
      </c>
      <c r="HQ951" s="5" t="s">
        <v>272</v>
      </c>
      <c r="HR951" s="5" t="s">
        <v>238</v>
      </c>
      <c r="HS951" s="5" t="s">
        <v>238</v>
      </c>
      <c r="HT951" s="5" t="s">
        <v>238</v>
      </c>
      <c r="HU951" s="5" t="s">
        <v>238</v>
      </c>
      <c r="HV951" s="5" t="s">
        <v>238</v>
      </c>
      <c r="HW951" s="5" t="s">
        <v>238</v>
      </c>
      <c r="HX951" s="5" t="s">
        <v>238</v>
      </c>
      <c r="HY951" s="5" t="s">
        <v>238</v>
      </c>
      <c r="HZ951" s="5" t="s">
        <v>238</v>
      </c>
      <c r="IA951" s="5" t="s">
        <v>238</v>
      </c>
      <c r="IB951" s="5" t="s">
        <v>238</v>
      </c>
      <c r="IC951" s="5" t="s">
        <v>238</v>
      </c>
      <c r="ID951" s="5" t="s">
        <v>238</v>
      </c>
    </row>
    <row r="952" spans="1:238" x14ac:dyDescent="0.4">
      <c r="A952" s="5">
        <v>1048</v>
      </c>
      <c r="B952" s="5">
        <v>1</v>
      </c>
      <c r="C952" s="5">
        <v>4</v>
      </c>
      <c r="D952" s="5" t="s">
        <v>2586</v>
      </c>
      <c r="E952" s="5" t="s">
        <v>277</v>
      </c>
      <c r="F952" s="5" t="s">
        <v>282</v>
      </c>
      <c r="G952" s="5" t="s">
        <v>2485</v>
      </c>
      <c r="H952" s="6" t="s">
        <v>2588</v>
      </c>
      <c r="I952" s="5" t="s">
        <v>2489</v>
      </c>
      <c r="J952" s="7">
        <f>81.14</f>
        <v>81.14</v>
      </c>
      <c r="K952" s="5" t="s">
        <v>270</v>
      </c>
      <c r="L952" s="8">
        <f>10623288</f>
        <v>10623288</v>
      </c>
      <c r="M952" s="8">
        <f>16809000</f>
        <v>16809000</v>
      </c>
      <c r="N952" s="6" t="s">
        <v>2587</v>
      </c>
      <c r="O952" s="5" t="s">
        <v>286</v>
      </c>
      <c r="P952" s="5" t="s">
        <v>313</v>
      </c>
      <c r="Q952" s="8">
        <f>773214</f>
        <v>773214</v>
      </c>
      <c r="R952" s="8">
        <f>6185712</f>
        <v>6185712</v>
      </c>
      <c r="S952" s="5" t="s">
        <v>240</v>
      </c>
      <c r="T952" s="5" t="s">
        <v>237</v>
      </c>
      <c r="U952" s="5" t="s">
        <v>238</v>
      </c>
      <c r="V952" s="5" t="s">
        <v>238</v>
      </c>
      <c r="W952" s="5" t="s">
        <v>241</v>
      </c>
      <c r="X952" s="5" t="s">
        <v>276</v>
      </c>
      <c r="Y952" s="5" t="s">
        <v>238</v>
      </c>
      <c r="AB952" s="5" t="s">
        <v>238</v>
      </c>
      <c r="AC952" s="6" t="s">
        <v>238</v>
      </c>
      <c r="AD952" s="6" t="s">
        <v>238</v>
      </c>
      <c r="AF952" s="6" t="s">
        <v>238</v>
      </c>
      <c r="AG952" s="6" t="s">
        <v>246</v>
      </c>
      <c r="AH952" s="5" t="s">
        <v>247</v>
      </c>
      <c r="AI952" s="5" t="s">
        <v>248</v>
      </c>
      <c r="AO952" s="5" t="s">
        <v>238</v>
      </c>
      <c r="AP952" s="5" t="s">
        <v>238</v>
      </c>
      <c r="AQ952" s="5" t="s">
        <v>238</v>
      </c>
      <c r="AR952" s="6" t="s">
        <v>238</v>
      </c>
      <c r="AS952" s="6" t="s">
        <v>238</v>
      </c>
      <c r="AT952" s="6" t="s">
        <v>238</v>
      </c>
      <c r="AW952" s="5" t="s">
        <v>304</v>
      </c>
      <c r="AX952" s="5" t="s">
        <v>304</v>
      </c>
      <c r="AY952" s="5" t="s">
        <v>250</v>
      </c>
      <c r="AZ952" s="5" t="s">
        <v>305</v>
      </c>
      <c r="BA952" s="5" t="s">
        <v>251</v>
      </c>
      <c r="BB952" s="5" t="s">
        <v>238</v>
      </c>
      <c r="BC952" s="5" t="s">
        <v>253</v>
      </c>
      <c r="BD952" s="5" t="s">
        <v>238</v>
      </c>
      <c r="BF952" s="5" t="s">
        <v>238</v>
      </c>
      <c r="BH952" s="5" t="s">
        <v>283</v>
      </c>
      <c r="BI952" s="6" t="s">
        <v>293</v>
      </c>
      <c r="BJ952" s="5" t="s">
        <v>294</v>
      </c>
      <c r="BK952" s="5" t="s">
        <v>294</v>
      </c>
      <c r="BL952" s="5" t="s">
        <v>238</v>
      </c>
      <c r="BM952" s="7">
        <f>0</f>
        <v>0</v>
      </c>
      <c r="BN952" s="8">
        <f>-773214</f>
        <v>-773214</v>
      </c>
      <c r="BO952" s="5" t="s">
        <v>257</v>
      </c>
      <c r="BP952" s="5" t="s">
        <v>258</v>
      </c>
      <c r="BQ952" s="5" t="s">
        <v>238</v>
      </c>
      <c r="BR952" s="5" t="s">
        <v>238</v>
      </c>
      <c r="BS952" s="5" t="s">
        <v>238</v>
      </c>
      <c r="BT952" s="5" t="s">
        <v>238</v>
      </c>
      <c r="CC952" s="5" t="s">
        <v>258</v>
      </c>
      <c r="CD952" s="5" t="s">
        <v>238</v>
      </c>
      <c r="CE952" s="5" t="s">
        <v>238</v>
      </c>
      <c r="CI952" s="5" t="s">
        <v>259</v>
      </c>
      <c r="CJ952" s="5" t="s">
        <v>260</v>
      </c>
      <c r="CK952" s="5" t="s">
        <v>238</v>
      </c>
      <c r="CM952" s="5" t="s">
        <v>723</v>
      </c>
      <c r="CN952" s="6" t="s">
        <v>262</v>
      </c>
      <c r="CO952" s="5" t="s">
        <v>263</v>
      </c>
      <c r="CP952" s="5" t="s">
        <v>264</v>
      </c>
      <c r="CQ952" s="5" t="s">
        <v>285</v>
      </c>
      <c r="CR952" s="5" t="s">
        <v>238</v>
      </c>
      <c r="CS952" s="5">
        <v>4.5999999999999999E-2</v>
      </c>
      <c r="CT952" s="5" t="s">
        <v>265</v>
      </c>
      <c r="CU952" s="5" t="s">
        <v>1360</v>
      </c>
      <c r="CV952" s="5" t="s">
        <v>267</v>
      </c>
      <c r="CW952" s="7">
        <f>0</f>
        <v>0</v>
      </c>
      <c r="CX952" s="8">
        <f>16809000</f>
        <v>16809000</v>
      </c>
      <c r="CY952" s="8">
        <f>11396502</f>
        <v>11396502</v>
      </c>
      <c r="DA952" s="5" t="s">
        <v>238</v>
      </c>
      <c r="DB952" s="5" t="s">
        <v>238</v>
      </c>
      <c r="DD952" s="5" t="s">
        <v>238</v>
      </c>
      <c r="DE952" s="8">
        <f>0</f>
        <v>0</v>
      </c>
      <c r="DG952" s="5" t="s">
        <v>238</v>
      </c>
      <c r="DH952" s="5" t="s">
        <v>238</v>
      </c>
      <c r="DI952" s="5" t="s">
        <v>238</v>
      </c>
      <c r="DJ952" s="5" t="s">
        <v>238</v>
      </c>
      <c r="DK952" s="5" t="s">
        <v>274</v>
      </c>
      <c r="DL952" s="5" t="s">
        <v>272</v>
      </c>
      <c r="DM952" s="7">
        <f>81.14</f>
        <v>81.14</v>
      </c>
      <c r="DN952" s="5" t="s">
        <v>238</v>
      </c>
      <c r="DO952" s="5" t="s">
        <v>238</v>
      </c>
      <c r="DP952" s="5" t="s">
        <v>238</v>
      </c>
      <c r="DQ952" s="5" t="s">
        <v>238</v>
      </c>
      <c r="DT952" s="5" t="s">
        <v>2589</v>
      </c>
      <c r="DU952" s="5" t="s">
        <v>274</v>
      </c>
      <c r="GL952" s="5" t="s">
        <v>2593</v>
      </c>
      <c r="HM952" s="5" t="s">
        <v>313</v>
      </c>
      <c r="HP952" s="5" t="s">
        <v>272</v>
      </c>
      <c r="HQ952" s="5" t="s">
        <v>272</v>
      </c>
      <c r="HR952" s="5" t="s">
        <v>238</v>
      </c>
      <c r="HS952" s="5" t="s">
        <v>238</v>
      </c>
      <c r="HT952" s="5" t="s">
        <v>238</v>
      </c>
      <c r="HU952" s="5" t="s">
        <v>238</v>
      </c>
      <c r="HV952" s="5" t="s">
        <v>238</v>
      </c>
      <c r="HW952" s="5" t="s">
        <v>238</v>
      </c>
      <c r="HX952" s="5" t="s">
        <v>238</v>
      </c>
      <c r="HY952" s="5" t="s">
        <v>238</v>
      </c>
      <c r="HZ952" s="5" t="s">
        <v>238</v>
      </c>
      <c r="IA952" s="5" t="s">
        <v>238</v>
      </c>
      <c r="IB952" s="5" t="s">
        <v>238</v>
      </c>
      <c r="IC952" s="5" t="s">
        <v>238</v>
      </c>
      <c r="ID952" s="5" t="s">
        <v>238</v>
      </c>
    </row>
    <row r="953" spans="1:238" x14ac:dyDescent="0.4">
      <c r="A953" s="5">
        <v>1049</v>
      </c>
      <c r="B953" s="5">
        <v>1</v>
      </c>
      <c r="C953" s="5">
        <v>4</v>
      </c>
      <c r="D953" s="5" t="s">
        <v>2586</v>
      </c>
      <c r="E953" s="5" t="s">
        <v>277</v>
      </c>
      <c r="F953" s="5" t="s">
        <v>282</v>
      </c>
      <c r="G953" s="5" t="s">
        <v>2485</v>
      </c>
      <c r="H953" s="6" t="s">
        <v>2588</v>
      </c>
      <c r="I953" s="5" t="s">
        <v>2505</v>
      </c>
      <c r="J953" s="7">
        <f>57.96</f>
        <v>57.96</v>
      </c>
      <c r="K953" s="5" t="s">
        <v>270</v>
      </c>
      <c r="L953" s="8">
        <f>8859376</f>
        <v>8859376</v>
      </c>
      <c r="M953" s="8">
        <f>14018000</f>
        <v>14018000</v>
      </c>
      <c r="N953" s="6" t="s">
        <v>2587</v>
      </c>
      <c r="O953" s="5" t="s">
        <v>286</v>
      </c>
      <c r="P953" s="5" t="s">
        <v>313</v>
      </c>
      <c r="Q953" s="8">
        <f>644828</f>
        <v>644828</v>
      </c>
      <c r="R953" s="8">
        <f>5158624</f>
        <v>5158624</v>
      </c>
      <c r="S953" s="5" t="s">
        <v>240</v>
      </c>
      <c r="T953" s="5" t="s">
        <v>237</v>
      </c>
      <c r="U953" s="5" t="s">
        <v>238</v>
      </c>
      <c r="V953" s="5" t="s">
        <v>238</v>
      </c>
      <c r="W953" s="5" t="s">
        <v>241</v>
      </c>
      <c r="X953" s="5" t="s">
        <v>276</v>
      </c>
      <c r="Y953" s="5" t="s">
        <v>238</v>
      </c>
      <c r="AB953" s="5" t="s">
        <v>238</v>
      </c>
      <c r="AC953" s="6" t="s">
        <v>238</v>
      </c>
      <c r="AD953" s="6" t="s">
        <v>238</v>
      </c>
      <c r="AF953" s="6" t="s">
        <v>238</v>
      </c>
      <c r="AG953" s="6" t="s">
        <v>246</v>
      </c>
      <c r="AH953" s="5" t="s">
        <v>247</v>
      </c>
      <c r="AI953" s="5" t="s">
        <v>248</v>
      </c>
      <c r="AO953" s="5" t="s">
        <v>238</v>
      </c>
      <c r="AP953" s="5" t="s">
        <v>238</v>
      </c>
      <c r="AQ953" s="5" t="s">
        <v>238</v>
      </c>
      <c r="AR953" s="6" t="s">
        <v>238</v>
      </c>
      <c r="AS953" s="6" t="s">
        <v>238</v>
      </c>
      <c r="AT953" s="6" t="s">
        <v>238</v>
      </c>
      <c r="AW953" s="5" t="s">
        <v>304</v>
      </c>
      <c r="AX953" s="5" t="s">
        <v>304</v>
      </c>
      <c r="AY953" s="5" t="s">
        <v>250</v>
      </c>
      <c r="AZ953" s="5" t="s">
        <v>305</v>
      </c>
      <c r="BA953" s="5" t="s">
        <v>251</v>
      </c>
      <c r="BB953" s="5" t="s">
        <v>238</v>
      </c>
      <c r="BC953" s="5" t="s">
        <v>253</v>
      </c>
      <c r="BD953" s="5" t="s">
        <v>238</v>
      </c>
      <c r="BF953" s="5" t="s">
        <v>238</v>
      </c>
      <c r="BH953" s="5" t="s">
        <v>283</v>
      </c>
      <c r="BI953" s="6" t="s">
        <v>293</v>
      </c>
      <c r="BJ953" s="5" t="s">
        <v>294</v>
      </c>
      <c r="BK953" s="5" t="s">
        <v>294</v>
      </c>
      <c r="BL953" s="5" t="s">
        <v>238</v>
      </c>
      <c r="BM953" s="7">
        <f>0</f>
        <v>0</v>
      </c>
      <c r="BN953" s="8">
        <f>-644828</f>
        <v>-644828</v>
      </c>
      <c r="BO953" s="5" t="s">
        <v>257</v>
      </c>
      <c r="BP953" s="5" t="s">
        <v>258</v>
      </c>
      <c r="BQ953" s="5" t="s">
        <v>238</v>
      </c>
      <c r="BR953" s="5" t="s">
        <v>238</v>
      </c>
      <c r="BS953" s="5" t="s">
        <v>238</v>
      </c>
      <c r="BT953" s="5" t="s">
        <v>238</v>
      </c>
      <c r="CC953" s="5" t="s">
        <v>258</v>
      </c>
      <c r="CD953" s="5" t="s">
        <v>238</v>
      </c>
      <c r="CE953" s="5" t="s">
        <v>238</v>
      </c>
      <c r="CI953" s="5" t="s">
        <v>259</v>
      </c>
      <c r="CJ953" s="5" t="s">
        <v>260</v>
      </c>
      <c r="CK953" s="5" t="s">
        <v>238</v>
      </c>
      <c r="CM953" s="5" t="s">
        <v>723</v>
      </c>
      <c r="CN953" s="6" t="s">
        <v>262</v>
      </c>
      <c r="CO953" s="5" t="s">
        <v>263</v>
      </c>
      <c r="CP953" s="5" t="s">
        <v>264</v>
      </c>
      <c r="CQ953" s="5" t="s">
        <v>285</v>
      </c>
      <c r="CR953" s="5" t="s">
        <v>238</v>
      </c>
      <c r="CS953" s="5">
        <v>4.5999999999999999E-2</v>
      </c>
      <c r="CT953" s="5" t="s">
        <v>265</v>
      </c>
      <c r="CU953" s="5" t="s">
        <v>1360</v>
      </c>
      <c r="CV953" s="5" t="s">
        <v>267</v>
      </c>
      <c r="CW953" s="7">
        <f>0</f>
        <v>0</v>
      </c>
      <c r="CX953" s="8">
        <f>14018000</f>
        <v>14018000</v>
      </c>
      <c r="CY953" s="8">
        <f>9504204</f>
        <v>9504204</v>
      </c>
      <c r="DA953" s="5" t="s">
        <v>238</v>
      </c>
      <c r="DB953" s="5" t="s">
        <v>238</v>
      </c>
      <c r="DD953" s="5" t="s">
        <v>238</v>
      </c>
      <c r="DE953" s="8">
        <f>0</f>
        <v>0</v>
      </c>
      <c r="DG953" s="5" t="s">
        <v>238</v>
      </c>
      <c r="DH953" s="5" t="s">
        <v>238</v>
      </c>
      <c r="DI953" s="5" t="s">
        <v>238</v>
      </c>
      <c r="DJ953" s="5" t="s">
        <v>238</v>
      </c>
      <c r="DK953" s="5" t="s">
        <v>271</v>
      </c>
      <c r="DL953" s="5" t="s">
        <v>272</v>
      </c>
      <c r="DM953" s="7">
        <f>57.96</f>
        <v>57.96</v>
      </c>
      <c r="DN953" s="5" t="s">
        <v>238</v>
      </c>
      <c r="DO953" s="5" t="s">
        <v>238</v>
      </c>
      <c r="DP953" s="5" t="s">
        <v>238</v>
      </c>
      <c r="DQ953" s="5" t="s">
        <v>238</v>
      </c>
      <c r="DT953" s="5" t="s">
        <v>2589</v>
      </c>
      <c r="DU953" s="5" t="s">
        <v>356</v>
      </c>
      <c r="GL953" s="5" t="s">
        <v>2592</v>
      </c>
      <c r="HM953" s="5" t="s">
        <v>313</v>
      </c>
      <c r="HP953" s="5" t="s">
        <v>272</v>
      </c>
      <c r="HQ953" s="5" t="s">
        <v>272</v>
      </c>
      <c r="HR953" s="5" t="s">
        <v>238</v>
      </c>
      <c r="HS953" s="5" t="s">
        <v>238</v>
      </c>
      <c r="HT953" s="5" t="s">
        <v>238</v>
      </c>
      <c r="HU953" s="5" t="s">
        <v>238</v>
      </c>
      <c r="HV953" s="5" t="s">
        <v>238</v>
      </c>
      <c r="HW953" s="5" t="s">
        <v>238</v>
      </c>
      <c r="HX953" s="5" t="s">
        <v>238</v>
      </c>
      <c r="HY953" s="5" t="s">
        <v>238</v>
      </c>
      <c r="HZ953" s="5" t="s">
        <v>238</v>
      </c>
      <c r="IA953" s="5" t="s">
        <v>238</v>
      </c>
      <c r="IB953" s="5" t="s">
        <v>238</v>
      </c>
      <c r="IC953" s="5" t="s">
        <v>238</v>
      </c>
      <c r="ID953" s="5" t="s">
        <v>238</v>
      </c>
    </row>
    <row r="954" spans="1:238" x14ac:dyDescent="0.4">
      <c r="A954" s="5">
        <v>1050</v>
      </c>
      <c r="B954" s="5">
        <v>1</v>
      </c>
      <c r="C954" s="5">
        <v>4</v>
      </c>
      <c r="D954" s="5" t="s">
        <v>2586</v>
      </c>
      <c r="E954" s="5" t="s">
        <v>277</v>
      </c>
      <c r="F954" s="5" t="s">
        <v>282</v>
      </c>
      <c r="G954" s="5" t="s">
        <v>2485</v>
      </c>
      <c r="H954" s="6" t="s">
        <v>2588</v>
      </c>
      <c r="I954" s="5" t="s">
        <v>2504</v>
      </c>
      <c r="J954" s="7">
        <f>57.96</f>
        <v>57.96</v>
      </c>
      <c r="K954" s="5" t="s">
        <v>270</v>
      </c>
      <c r="L954" s="8">
        <f>8859376</f>
        <v>8859376</v>
      </c>
      <c r="M954" s="8">
        <f>14018000</f>
        <v>14018000</v>
      </c>
      <c r="N954" s="6" t="s">
        <v>2587</v>
      </c>
      <c r="O954" s="5" t="s">
        <v>286</v>
      </c>
      <c r="P954" s="5" t="s">
        <v>313</v>
      </c>
      <c r="Q954" s="8">
        <f>644828</f>
        <v>644828</v>
      </c>
      <c r="R954" s="8">
        <f>5158624</f>
        <v>5158624</v>
      </c>
      <c r="S954" s="5" t="s">
        <v>240</v>
      </c>
      <c r="T954" s="5" t="s">
        <v>237</v>
      </c>
      <c r="U954" s="5" t="s">
        <v>238</v>
      </c>
      <c r="V954" s="5" t="s">
        <v>238</v>
      </c>
      <c r="W954" s="5" t="s">
        <v>241</v>
      </c>
      <c r="X954" s="5" t="s">
        <v>276</v>
      </c>
      <c r="Y954" s="5" t="s">
        <v>238</v>
      </c>
      <c r="AB954" s="5" t="s">
        <v>238</v>
      </c>
      <c r="AC954" s="6" t="s">
        <v>238</v>
      </c>
      <c r="AD954" s="6" t="s">
        <v>238</v>
      </c>
      <c r="AF954" s="6" t="s">
        <v>238</v>
      </c>
      <c r="AG954" s="6" t="s">
        <v>246</v>
      </c>
      <c r="AH954" s="5" t="s">
        <v>247</v>
      </c>
      <c r="AI954" s="5" t="s">
        <v>248</v>
      </c>
      <c r="AO954" s="5" t="s">
        <v>238</v>
      </c>
      <c r="AP954" s="5" t="s">
        <v>238</v>
      </c>
      <c r="AQ954" s="5" t="s">
        <v>238</v>
      </c>
      <c r="AR954" s="6" t="s">
        <v>238</v>
      </c>
      <c r="AS954" s="6" t="s">
        <v>238</v>
      </c>
      <c r="AT954" s="6" t="s">
        <v>238</v>
      </c>
      <c r="AW954" s="5" t="s">
        <v>304</v>
      </c>
      <c r="AX954" s="5" t="s">
        <v>304</v>
      </c>
      <c r="AY954" s="5" t="s">
        <v>250</v>
      </c>
      <c r="AZ954" s="5" t="s">
        <v>305</v>
      </c>
      <c r="BA954" s="5" t="s">
        <v>251</v>
      </c>
      <c r="BB954" s="5" t="s">
        <v>238</v>
      </c>
      <c r="BC954" s="5" t="s">
        <v>253</v>
      </c>
      <c r="BD954" s="5" t="s">
        <v>238</v>
      </c>
      <c r="BF954" s="5" t="s">
        <v>238</v>
      </c>
      <c r="BH954" s="5" t="s">
        <v>283</v>
      </c>
      <c r="BI954" s="6" t="s">
        <v>293</v>
      </c>
      <c r="BJ954" s="5" t="s">
        <v>294</v>
      </c>
      <c r="BK954" s="5" t="s">
        <v>294</v>
      </c>
      <c r="BL954" s="5" t="s">
        <v>238</v>
      </c>
      <c r="BM954" s="7">
        <f>0</f>
        <v>0</v>
      </c>
      <c r="BN954" s="8">
        <f>-644828</f>
        <v>-644828</v>
      </c>
      <c r="BO954" s="5" t="s">
        <v>257</v>
      </c>
      <c r="BP954" s="5" t="s">
        <v>258</v>
      </c>
      <c r="BQ954" s="5" t="s">
        <v>238</v>
      </c>
      <c r="BR954" s="5" t="s">
        <v>238</v>
      </c>
      <c r="BS954" s="5" t="s">
        <v>238</v>
      </c>
      <c r="BT954" s="5" t="s">
        <v>238</v>
      </c>
      <c r="CC954" s="5" t="s">
        <v>258</v>
      </c>
      <c r="CD954" s="5" t="s">
        <v>238</v>
      </c>
      <c r="CE954" s="5" t="s">
        <v>238</v>
      </c>
      <c r="CI954" s="5" t="s">
        <v>259</v>
      </c>
      <c r="CJ954" s="5" t="s">
        <v>260</v>
      </c>
      <c r="CK954" s="5" t="s">
        <v>238</v>
      </c>
      <c r="CM954" s="5" t="s">
        <v>723</v>
      </c>
      <c r="CN954" s="6" t="s">
        <v>262</v>
      </c>
      <c r="CO954" s="5" t="s">
        <v>263</v>
      </c>
      <c r="CP954" s="5" t="s">
        <v>264</v>
      </c>
      <c r="CQ954" s="5" t="s">
        <v>285</v>
      </c>
      <c r="CR954" s="5" t="s">
        <v>238</v>
      </c>
      <c r="CS954" s="5">
        <v>4.5999999999999999E-2</v>
      </c>
      <c r="CT954" s="5" t="s">
        <v>265</v>
      </c>
      <c r="CU954" s="5" t="s">
        <v>1360</v>
      </c>
      <c r="CV954" s="5" t="s">
        <v>267</v>
      </c>
      <c r="CW954" s="7">
        <f>0</f>
        <v>0</v>
      </c>
      <c r="CX954" s="8">
        <f>14018000</f>
        <v>14018000</v>
      </c>
      <c r="CY954" s="8">
        <f>9504204</f>
        <v>9504204</v>
      </c>
      <c r="DA954" s="5" t="s">
        <v>238</v>
      </c>
      <c r="DB954" s="5" t="s">
        <v>238</v>
      </c>
      <c r="DD954" s="5" t="s">
        <v>238</v>
      </c>
      <c r="DE954" s="8">
        <f>0</f>
        <v>0</v>
      </c>
      <c r="DG954" s="5" t="s">
        <v>238</v>
      </c>
      <c r="DH954" s="5" t="s">
        <v>238</v>
      </c>
      <c r="DI954" s="5" t="s">
        <v>238</v>
      </c>
      <c r="DJ954" s="5" t="s">
        <v>238</v>
      </c>
      <c r="DK954" s="5" t="s">
        <v>271</v>
      </c>
      <c r="DL954" s="5" t="s">
        <v>272</v>
      </c>
      <c r="DM954" s="7">
        <f>57.96</f>
        <v>57.96</v>
      </c>
      <c r="DN954" s="5" t="s">
        <v>238</v>
      </c>
      <c r="DO954" s="5" t="s">
        <v>238</v>
      </c>
      <c r="DP954" s="5" t="s">
        <v>238</v>
      </c>
      <c r="DQ954" s="5" t="s">
        <v>238</v>
      </c>
      <c r="DT954" s="5" t="s">
        <v>2589</v>
      </c>
      <c r="DU954" s="5" t="s">
        <v>310</v>
      </c>
      <c r="GL954" s="5" t="s">
        <v>2591</v>
      </c>
      <c r="HM954" s="5" t="s">
        <v>313</v>
      </c>
      <c r="HP954" s="5" t="s">
        <v>272</v>
      </c>
      <c r="HQ954" s="5" t="s">
        <v>272</v>
      </c>
      <c r="HR954" s="5" t="s">
        <v>238</v>
      </c>
      <c r="HS954" s="5" t="s">
        <v>238</v>
      </c>
      <c r="HT954" s="5" t="s">
        <v>238</v>
      </c>
      <c r="HU954" s="5" t="s">
        <v>238</v>
      </c>
      <c r="HV954" s="5" t="s">
        <v>238</v>
      </c>
      <c r="HW954" s="5" t="s">
        <v>238</v>
      </c>
      <c r="HX954" s="5" t="s">
        <v>238</v>
      </c>
      <c r="HY954" s="5" t="s">
        <v>238</v>
      </c>
      <c r="HZ954" s="5" t="s">
        <v>238</v>
      </c>
      <c r="IA954" s="5" t="s">
        <v>238</v>
      </c>
      <c r="IB954" s="5" t="s">
        <v>238</v>
      </c>
      <c r="IC954" s="5" t="s">
        <v>238</v>
      </c>
      <c r="ID954" s="5" t="s">
        <v>238</v>
      </c>
    </row>
    <row r="955" spans="1:238" x14ac:dyDescent="0.4">
      <c r="A955" s="5">
        <v>1051</v>
      </c>
      <c r="B955" s="5">
        <v>1</v>
      </c>
      <c r="C955" s="5">
        <v>4</v>
      </c>
      <c r="D955" s="5" t="s">
        <v>2586</v>
      </c>
      <c r="E955" s="5" t="s">
        <v>277</v>
      </c>
      <c r="F955" s="5" t="s">
        <v>282</v>
      </c>
      <c r="G955" s="5" t="s">
        <v>2485</v>
      </c>
      <c r="H955" s="6" t="s">
        <v>2588</v>
      </c>
      <c r="I955" s="5" t="s">
        <v>2494</v>
      </c>
      <c r="J955" s="7">
        <f>57.96</f>
        <v>57.96</v>
      </c>
      <c r="K955" s="5" t="s">
        <v>270</v>
      </c>
      <c r="L955" s="8">
        <f>8859376</f>
        <v>8859376</v>
      </c>
      <c r="M955" s="8">
        <f>14018000</f>
        <v>14018000</v>
      </c>
      <c r="N955" s="6" t="s">
        <v>2587</v>
      </c>
      <c r="O955" s="5" t="s">
        <v>286</v>
      </c>
      <c r="P955" s="5" t="s">
        <v>313</v>
      </c>
      <c r="Q955" s="8">
        <f>644828</f>
        <v>644828</v>
      </c>
      <c r="R955" s="8">
        <f>5158624</f>
        <v>5158624</v>
      </c>
      <c r="S955" s="5" t="s">
        <v>240</v>
      </c>
      <c r="T955" s="5" t="s">
        <v>237</v>
      </c>
      <c r="U955" s="5" t="s">
        <v>238</v>
      </c>
      <c r="V955" s="5" t="s">
        <v>238</v>
      </c>
      <c r="W955" s="5" t="s">
        <v>241</v>
      </c>
      <c r="X955" s="5" t="s">
        <v>276</v>
      </c>
      <c r="Y955" s="5" t="s">
        <v>238</v>
      </c>
      <c r="AB955" s="5" t="s">
        <v>238</v>
      </c>
      <c r="AC955" s="6" t="s">
        <v>238</v>
      </c>
      <c r="AD955" s="6" t="s">
        <v>238</v>
      </c>
      <c r="AF955" s="6" t="s">
        <v>238</v>
      </c>
      <c r="AG955" s="6" t="s">
        <v>246</v>
      </c>
      <c r="AH955" s="5" t="s">
        <v>247</v>
      </c>
      <c r="AI955" s="5" t="s">
        <v>248</v>
      </c>
      <c r="AO955" s="5" t="s">
        <v>238</v>
      </c>
      <c r="AP955" s="5" t="s">
        <v>238</v>
      </c>
      <c r="AQ955" s="5" t="s">
        <v>238</v>
      </c>
      <c r="AR955" s="6" t="s">
        <v>238</v>
      </c>
      <c r="AS955" s="6" t="s">
        <v>238</v>
      </c>
      <c r="AT955" s="6" t="s">
        <v>238</v>
      </c>
      <c r="AW955" s="5" t="s">
        <v>304</v>
      </c>
      <c r="AX955" s="5" t="s">
        <v>304</v>
      </c>
      <c r="AY955" s="5" t="s">
        <v>250</v>
      </c>
      <c r="AZ955" s="5" t="s">
        <v>305</v>
      </c>
      <c r="BA955" s="5" t="s">
        <v>251</v>
      </c>
      <c r="BB955" s="5" t="s">
        <v>238</v>
      </c>
      <c r="BC955" s="5" t="s">
        <v>253</v>
      </c>
      <c r="BD955" s="5" t="s">
        <v>238</v>
      </c>
      <c r="BF955" s="5" t="s">
        <v>238</v>
      </c>
      <c r="BH955" s="5" t="s">
        <v>283</v>
      </c>
      <c r="BI955" s="6" t="s">
        <v>293</v>
      </c>
      <c r="BJ955" s="5" t="s">
        <v>294</v>
      </c>
      <c r="BK955" s="5" t="s">
        <v>294</v>
      </c>
      <c r="BL955" s="5" t="s">
        <v>238</v>
      </c>
      <c r="BM955" s="7">
        <f>0</f>
        <v>0</v>
      </c>
      <c r="BN955" s="8">
        <f>-644828</f>
        <v>-644828</v>
      </c>
      <c r="BO955" s="5" t="s">
        <v>257</v>
      </c>
      <c r="BP955" s="5" t="s">
        <v>258</v>
      </c>
      <c r="BQ955" s="5" t="s">
        <v>238</v>
      </c>
      <c r="BR955" s="5" t="s">
        <v>238</v>
      </c>
      <c r="BS955" s="5" t="s">
        <v>238</v>
      </c>
      <c r="BT955" s="5" t="s">
        <v>238</v>
      </c>
      <c r="CC955" s="5" t="s">
        <v>258</v>
      </c>
      <c r="CD955" s="5" t="s">
        <v>238</v>
      </c>
      <c r="CE955" s="5" t="s">
        <v>238</v>
      </c>
      <c r="CI955" s="5" t="s">
        <v>259</v>
      </c>
      <c r="CJ955" s="5" t="s">
        <v>260</v>
      </c>
      <c r="CK955" s="5" t="s">
        <v>238</v>
      </c>
      <c r="CM955" s="5" t="s">
        <v>723</v>
      </c>
      <c r="CN955" s="6" t="s">
        <v>262</v>
      </c>
      <c r="CO955" s="5" t="s">
        <v>263</v>
      </c>
      <c r="CP955" s="5" t="s">
        <v>264</v>
      </c>
      <c r="CQ955" s="5" t="s">
        <v>285</v>
      </c>
      <c r="CR955" s="5" t="s">
        <v>238</v>
      </c>
      <c r="CS955" s="5">
        <v>4.5999999999999999E-2</v>
      </c>
      <c r="CT955" s="5" t="s">
        <v>265</v>
      </c>
      <c r="CU955" s="5" t="s">
        <v>1360</v>
      </c>
      <c r="CV955" s="5" t="s">
        <v>267</v>
      </c>
      <c r="CW955" s="7">
        <f>0</f>
        <v>0</v>
      </c>
      <c r="CX955" s="8">
        <f>14018000</f>
        <v>14018000</v>
      </c>
      <c r="CY955" s="8">
        <f>9504204</f>
        <v>9504204</v>
      </c>
      <c r="DA955" s="5" t="s">
        <v>238</v>
      </c>
      <c r="DB955" s="5" t="s">
        <v>238</v>
      </c>
      <c r="DD955" s="5" t="s">
        <v>238</v>
      </c>
      <c r="DE955" s="8">
        <f>0</f>
        <v>0</v>
      </c>
      <c r="DG955" s="5" t="s">
        <v>238</v>
      </c>
      <c r="DH955" s="5" t="s">
        <v>238</v>
      </c>
      <c r="DI955" s="5" t="s">
        <v>238</v>
      </c>
      <c r="DJ955" s="5" t="s">
        <v>238</v>
      </c>
      <c r="DK955" s="5" t="s">
        <v>271</v>
      </c>
      <c r="DL955" s="5" t="s">
        <v>272</v>
      </c>
      <c r="DM955" s="7">
        <f>57.96</f>
        <v>57.96</v>
      </c>
      <c r="DN955" s="5" t="s">
        <v>238</v>
      </c>
      <c r="DO955" s="5" t="s">
        <v>238</v>
      </c>
      <c r="DP955" s="5" t="s">
        <v>238</v>
      </c>
      <c r="DQ955" s="5" t="s">
        <v>238</v>
      </c>
      <c r="DT955" s="5" t="s">
        <v>2589</v>
      </c>
      <c r="DU955" s="5" t="s">
        <v>379</v>
      </c>
      <c r="GL955" s="5" t="s">
        <v>2590</v>
      </c>
      <c r="HM955" s="5" t="s">
        <v>313</v>
      </c>
      <c r="HP955" s="5" t="s">
        <v>272</v>
      </c>
      <c r="HQ955" s="5" t="s">
        <v>272</v>
      </c>
      <c r="HR955" s="5" t="s">
        <v>238</v>
      </c>
      <c r="HS955" s="5" t="s">
        <v>238</v>
      </c>
      <c r="HT955" s="5" t="s">
        <v>238</v>
      </c>
      <c r="HU955" s="5" t="s">
        <v>238</v>
      </c>
      <c r="HV955" s="5" t="s">
        <v>238</v>
      </c>
      <c r="HW955" s="5" t="s">
        <v>238</v>
      </c>
      <c r="HX955" s="5" t="s">
        <v>238</v>
      </c>
      <c r="HY955" s="5" t="s">
        <v>238</v>
      </c>
      <c r="HZ955" s="5" t="s">
        <v>238</v>
      </c>
      <c r="IA955" s="5" t="s">
        <v>238</v>
      </c>
      <c r="IB955" s="5" t="s">
        <v>238</v>
      </c>
      <c r="IC955" s="5" t="s">
        <v>238</v>
      </c>
      <c r="ID955" s="5" t="s">
        <v>238</v>
      </c>
    </row>
    <row r="956" spans="1:238" x14ac:dyDescent="0.4">
      <c r="A956" s="5">
        <v>1052</v>
      </c>
      <c r="B956" s="5">
        <v>1</v>
      </c>
      <c r="C956" s="5">
        <v>4</v>
      </c>
      <c r="D956" s="5" t="s">
        <v>2579</v>
      </c>
      <c r="E956" s="5" t="s">
        <v>277</v>
      </c>
      <c r="F956" s="5" t="s">
        <v>282</v>
      </c>
      <c r="G956" s="5" t="s">
        <v>2485</v>
      </c>
      <c r="H956" s="6" t="s">
        <v>2580</v>
      </c>
      <c r="I956" s="5" t="s">
        <v>2495</v>
      </c>
      <c r="J956" s="7">
        <f t="shared" ref="J956:J961" si="85">81.14</f>
        <v>81.14</v>
      </c>
      <c r="K956" s="5" t="s">
        <v>270</v>
      </c>
      <c r="L956" s="8">
        <f>11223056</f>
        <v>11223056</v>
      </c>
      <c r="M956" s="8">
        <f>17758000</f>
        <v>17758000</v>
      </c>
      <c r="N956" s="6" t="s">
        <v>2566</v>
      </c>
      <c r="O956" s="5" t="s">
        <v>286</v>
      </c>
      <c r="P956" s="5" t="s">
        <v>313</v>
      </c>
      <c r="Q956" s="8">
        <f>816868</f>
        <v>816868</v>
      </c>
      <c r="R956" s="8">
        <f>6534944</f>
        <v>6534944</v>
      </c>
      <c r="S956" s="5" t="s">
        <v>240</v>
      </c>
      <c r="T956" s="5" t="s">
        <v>237</v>
      </c>
      <c r="U956" s="5" t="s">
        <v>238</v>
      </c>
      <c r="V956" s="5" t="s">
        <v>238</v>
      </c>
      <c r="W956" s="5" t="s">
        <v>241</v>
      </c>
      <c r="X956" s="5" t="s">
        <v>276</v>
      </c>
      <c r="Y956" s="5" t="s">
        <v>238</v>
      </c>
      <c r="AB956" s="5" t="s">
        <v>238</v>
      </c>
      <c r="AC956" s="6" t="s">
        <v>238</v>
      </c>
      <c r="AD956" s="6" t="s">
        <v>238</v>
      </c>
      <c r="AF956" s="6" t="s">
        <v>238</v>
      </c>
      <c r="AG956" s="6" t="s">
        <v>246</v>
      </c>
      <c r="AH956" s="5" t="s">
        <v>247</v>
      </c>
      <c r="AI956" s="5" t="s">
        <v>248</v>
      </c>
      <c r="AO956" s="5" t="s">
        <v>238</v>
      </c>
      <c r="AP956" s="5" t="s">
        <v>238</v>
      </c>
      <c r="AQ956" s="5" t="s">
        <v>238</v>
      </c>
      <c r="AR956" s="6" t="s">
        <v>238</v>
      </c>
      <c r="AS956" s="6" t="s">
        <v>238</v>
      </c>
      <c r="AT956" s="6" t="s">
        <v>238</v>
      </c>
      <c r="AW956" s="5" t="s">
        <v>304</v>
      </c>
      <c r="AX956" s="5" t="s">
        <v>304</v>
      </c>
      <c r="AY956" s="5" t="s">
        <v>250</v>
      </c>
      <c r="AZ956" s="5" t="s">
        <v>305</v>
      </c>
      <c r="BA956" s="5" t="s">
        <v>251</v>
      </c>
      <c r="BB956" s="5" t="s">
        <v>238</v>
      </c>
      <c r="BC956" s="5" t="s">
        <v>253</v>
      </c>
      <c r="BD956" s="5" t="s">
        <v>238</v>
      </c>
      <c r="BF956" s="5" t="s">
        <v>238</v>
      </c>
      <c r="BH956" s="5" t="s">
        <v>283</v>
      </c>
      <c r="BI956" s="6" t="s">
        <v>293</v>
      </c>
      <c r="BJ956" s="5" t="s">
        <v>294</v>
      </c>
      <c r="BK956" s="5" t="s">
        <v>294</v>
      </c>
      <c r="BL956" s="5" t="s">
        <v>238</v>
      </c>
      <c r="BM956" s="7">
        <f>0</f>
        <v>0</v>
      </c>
      <c r="BN956" s="8">
        <f>-816868</f>
        <v>-816868</v>
      </c>
      <c r="BO956" s="5" t="s">
        <v>257</v>
      </c>
      <c r="BP956" s="5" t="s">
        <v>258</v>
      </c>
      <c r="BQ956" s="5" t="s">
        <v>238</v>
      </c>
      <c r="BR956" s="5" t="s">
        <v>238</v>
      </c>
      <c r="BS956" s="5" t="s">
        <v>238</v>
      </c>
      <c r="BT956" s="5" t="s">
        <v>238</v>
      </c>
      <c r="CC956" s="5" t="s">
        <v>258</v>
      </c>
      <c r="CD956" s="5" t="s">
        <v>238</v>
      </c>
      <c r="CE956" s="5" t="s">
        <v>238</v>
      </c>
      <c r="CI956" s="5" t="s">
        <v>259</v>
      </c>
      <c r="CJ956" s="5" t="s">
        <v>260</v>
      </c>
      <c r="CK956" s="5" t="s">
        <v>238</v>
      </c>
      <c r="CM956" s="5" t="s">
        <v>723</v>
      </c>
      <c r="CN956" s="6" t="s">
        <v>262</v>
      </c>
      <c r="CO956" s="5" t="s">
        <v>263</v>
      </c>
      <c r="CP956" s="5" t="s">
        <v>264</v>
      </c>
      <c r="CQ956" s="5" t="s">
        <v>285</v>
      </c>
      <c r="CR956" s="5" t="s">
        <v>238</v>
      </c>
      <c r="CS956" s="5">
        <v>4.5999999999999999E-2</v>
      </c>
      <c r="CT956" s="5" t="s">
        <v>265</v>
      </c>
      <c r="CU956" s="5" t="s">
        <v>1360</v>
      </c>
      <c r="CV956" s="5" t="s">
        <v>267</v>
      </c>
      <c r="CW956" s="7">
        <f>0</f>
        <v>0</v>
      </c>
      <c r="CX956" s="8">
        <f>17758000</f>
        <v>17758000</v>
      </c>
      <c r="CY956" s="8">
        <f>12039924</f>
        <v>12039924</v>
      </c>
      <c r="DA956" s="5" t="s">
        <v>238</v>
      </c>
      <c r="DB956" s="5" t="s">
        <v>238</v>
      </c>
      <c r="DD956" s="5" t="s">
        <v>238</v>
      </c>
      <c r="DE956" s="8">
        <f>0</f>
        <v>0</v>
      </c>
      <c r="DG956" s="5" t="s">
        <v>238</v>
      </c>
      <c r="DH956" s="5" t="s">
        <v>238</v>
      </c>
      <c r="DI956" s="5" t="s">
        <v>238</v>
      </c>
      <c r="DJ956" s="5" t="s">
        <v>238</v>
      </c>
      <c r="DK956" s="5" t="s">
        <v>274</v>
      </c>
      <c r="DL956" s="5" t="s">
        <v>272</v>
      </c>
      <c r="DM956" s="7">
        <f t="shared" ref="DM956:DM961" si="86">81.14</f>
        <v>81.14</v>
      </c>
      <c r="DN956" s="5" t="s">
        <v>238</v>
      </c>
      <c r="DO956" s="5" t="s">
        <v>238</v>
      </c>
      <c r="DP956" s="5" t="s">
        <v>238</v>
      </c>
      <c r="DQ956" s="5" t="s">
        <v>238</v>
      </c>
      <c r="DT956" s="5" t="s">
        <v>2581</v>
      </c>
      <c r="DU956" s="5" t="s">
        <v>271</v>
      </c>
      <c r="GL956" s="5" t="s">
        <v>2585</v>
      </c>
      <c r="HM956" s="5" t="s">
        <v>313</v>
      </c>
      <c r="HP956" s="5" t="s">
        <v>272</v>
      </c>
      <c r="HQ956" s="5" t="s">
        <v>272</v>
      </c>
      <c r="HR956" s="5" t="s">
        <v>238</v>
      </c>
      <c r="HS956" s="5" t="s">
        <v>238</v>
      </c>
      <c r="HT956" s="5" t="s">
        <v>238</v>
      </c>
      <c r="HU956" s="5" t="s">
        <v>238</v>
      </c>
      <c r="HV956" s="5" t="s">
        <v>238</v>
      </c>
      <c r="HW956" s="5" t="s">
        <v>238</v>
      </c>
      <c r="HX956" s="5" t="s">
        <v>238</v>
      </c>
      <c r="HY956" s="5" t="s">
        <v>238</v>
      </c>
      <c r="HZ956" s="5" t="s">
        <v>238</v>
      </c>
      <c r="IA956" s="5" t="s">
        <v>238</v>
      </c>
      <c r="IB956" s="5" t="s">
        <v>238</v>
      </c>
      <c r="IC956" s="5" t="s">
        <v>238</v>
      </c>
      <c r="ID956" s="5" t="s">
        <v>238</v>
      </c>
    </row>
    <row r="957" spans="1:238" x14ac:dyDescent="0.4">
      <c r="A957" s="5">
        <v>1053</v>
      </c>
      <c r="B957" s="5">
        <v>1</v>
      </c>
      <c r="C957" s="5">
        <v>4</v>
      </c>
      <c r="D957" s="5" t="s">
        <v>2579</v>
      </c>
      <c r="E957" s="5" t="s">
        <v>277</v>
      </c>
      <c r="F957" s="5" t="s">
        <v>282</v>
      </c>
      <c r="G957" s="5" t="s">
        <v>2485</v>
      </c>
      <c r="H957" s="6" t="s">
        <v>2580</v>
      </c>
      <c r="I957" s="5" t="s">
        <v>2505</v>
      </c>
      <c r="J957" s="7">
        <f t="shared" si="85"/>
        <v>81.14</v>
      </c>
      <c r="K957" s="5" t="s">
        <v>270</v>
      </c>
      <c r="L957" s="8">
        <f>11223056</f>
        <v>11223056</v>
      </c>
      <c r="M957" s="8">
        <f>17758000</f>
        <v>17758000</v>
      </c>
      <c r="N957" s="6" t="s">
        <v>2566</v>
      </c>
      <c r="O957" s="5" t="s">
        <v>286</v>
      </c>
      <c r="P957" s="5" t="s">
        <v>313</v>
      </c>
      <c r="Q957" s="8">
        <f>816868</f>
        <v>816868</v>
      </c>
      <c r="R957" s="8">
        <f>6534944</f>
        <v>6534944</v>
      </c>
      <c r="S957" s="5" t="s">
        <v>240</v>
      </c>
      <c r="T957" s="5" t="s">
        <v>237</v>
      </c>
      <c r="U957" s="5" t="s">
        <v>238</v>
      </c>
      <c r="V957" s="5" t="s">
        <v>238</v>
      </c>
      <c r="W957" s="5" t="s">
        <v>241</v>
      </c>
      <c r="X957" s="5" t="s">
        <v>276</v>
      </c>
      <c r="Y957" s="5" t="s">
        <v>238</v>
      </c>
      <c r="AB957" s="5" t="s">
        <v>238</v>
      </c>
      <c r="AC957" s="6" t="s">
        <v>238</v>
      </c>
      <c r="AD957" s="6" t="s">
        <v>238</v>
      </c>
      <c r="AF957" s="6" t="s">
        <v>238</v>
      </c>
      <c r="AG957" s="6" t="s">
        <v>246</v>
      </c>
      <c r="AH957" s="5" t="s">
        <v>247</v>
      </c>
      <c r="AI957" s="5" t="s">
        <v>248</v>
      </c>
      <c r="AO957" s="5" t="s">
        <v>238</v>
      </c>
      <c r="AP957" s="5" t="s">
        <v>238</v>
      </c>
      <c r="AQ957" s="5" t="s">
        <v>238</v>
      </c>
      <c r="AR957" s="6" t="s">
        <v>238</v>
      </c>
      <c r="AS957" s="6" t="s">
        <v>238</v>
      </c>
      <c r="AT957" s="6" t="s">
        <v>238</v>
      </c>
      <c r="AW957" s="5" t="s">
        <v>304</v>
      </c>
      <c r="AX957" s="5" t="s">
        <v>304</v>
      </c>
      <c r="AY957" s="5" t="s">
        <v>250</v>
      </c>
      <c r="AZ957" s="5" t="s">
        <v>305</v>
      </c>
      <c r="BA957" s="5" t="s">
        <v>251</v>
      </c>
      <c r="BB957" s="5" t="s">
        <v>238</v>
      </c>
      <c r="BC957" s="5" t="s">
        <v>253</v>
      </c>
      <c r="BD957" s="5" t="s">
        <v>238</v>
      </c>
      <c r="BF957" s="5" t="s">
        <v>238</v>
      </c>
      <c r="BH957" s="5" t="s">
        <v>283</v>
      </c>
      <c r="BI957" s="6" t="s">
        <v>293</v>
      </c>
      <c r="BJ957" s="5" t="s">
        <v>294</v>
      </c>
      <c r="BK957" s="5" t="s">
        <v>294</v>
      </c>
      <c r="BL957" s="5" t="s">
        <v>238</v>
      </c>
      <c r="BM957" s="7">
        <f>0</f>
        <v>0</v>
      </c>
      <c r="BN957" s="8">
        <f>-816868</f>
        <v>-816868</v>
      </c>
      <c r="BO957" s="5" t="s">
        <v>257</v>
      </c>
      <c r="BP957" s="5" t="s">
        <v>258</v>
      </c>
      <c r="BQ957" s="5" t="s">
        <v>238</v>
      </c>
      <c r="BR957" s="5" t="s">
        <v>238</v>
      </c>
      <c r="BS957" s="5" t="s">
        <v>238</v>
      </c>
      <c r="BT957" s="5" t="s">
        <v>238</v>
      </c>
      <c r="CC957" s="5" t="s">
        <v>258</v>
      </c>
      <c r="CD957" s="5" t="s">
        <v>238</v>
      </c>
      <c r="CE957" s="5" t="s">
        <v>238</v>
      </c>
      <c r="CI957" s="5" t="s">
        <v>259</v>
      </c>
      <c r="CJ957" s="5" t="s">
        <v>260</v>
      </c>
      <c r="CK957" s="5" t="s">
        <v>238</v>
      </c>
      <c r="CM957" s="5" t="s">
        <v>723</v>
      </c>
      <c r="CN957" s="6" t="s">
        <v>262</v>
      </c>
      <c r="CO957" s="5" t="s">
        <v>263</v>
      </c>
      <c r="CP957" s="5" t="s">
        <v>264</v>
      </c>
      <c r="CQ957" s="5" t="s">
        <v>285</v>
      </c>
      <c r="CR957" s="5" t="s">
        <v>238</v>
      </c>
      <c r="CS957" s="5">
        <v>4.5999999999999999E-2</v>
      </c>
      <c r="CT957" s="5" t="s">
        <v>265</v>
      </c>
      <c r="CU957" s="5" t="s">
        <v>1360</v>
      </c>
      <c r="CV957" s="5" t="s">
        <v>267</v>
      </c>
      <c r="CW957" s="7">
        <f>0</f>
        <v>0</v>
      </c>
      <c r="CX957" s="8">
        <f>17758000</f>
        <v>17758000</v>
      </c>
      <c r="CY957" s="8">
        <f>12039924</f>
        <v>12039924</v>
      </c>
      <c r="DA957" s="5" t="s">
        <v>238</v>
      </c>
      <c r="DB957" s="5" t="s">
        <v>238</v>
      </c>
      <c r="DD957" s="5" t="s">
        <v>238</v>
      </c>
      <c r="DE957" s="8">
        <f>0</f>
        <v>0</v>
      </c>
      <c r="DG957" s="5" t="s">
        <v>238</v>
      </c>
      <c r="DH957" s="5" t="s">
        <v>238</v>
      </c>
      <c r="DI957" s="5" t="s">
        <v>238</v>
      </c>
      <c r="DJ957" s="5" t="s">
        <v>238</v>
      </c>
      <c r="DK957" s="5" t="s">
        <v>274</v>
      </c>
      <c r="DL957" s="5" t="s">
        <v>272</v>
      </c>
      <c r="DM957" s="7">
        <f t="shared" si="86"/>
        <v>81.14</v>
      </c>
      <c r="DN957" s="5" t="s">
        <v>238</v>
      </c>
      <c r="DO957" s="5" t="s">
        <v>238</v>
      </c>
      <c r="DP957" s="5" t="s">
        <v>238</v>
      </c>
      <c r="DQ957" s="5" t="s">
        <v>238</v>
      </c>
      <c r="DT957" s="5" t="s">
        <v>2581</v>
      </c>
      <c r="DU957" s="5" t="s">
        <v>274</v>
      </c>
      <c r="GL957" s="5" t="s">
        <v>2584</v>
      </c>
      <c r="HM957" s="5" t="s">
        <v>313</v>
      </c>
      <c r="HP957" s="5" t="s">
        <v>272</v>
      </c>
      <c r="HQ957" s="5" t="s">
        <v>272</v>
      </c>
      <c r="HR957" s="5" t="s">
        <v>238</v>
      </c>
      <c r="HS957" s="5" t="s">
        <v>238</v>
      </c>
      <c r="HT957" s="5" t="s">
        <v>238</v>
      </c>
      <c r="HU957" s="5" t="s">
        <v>238</v>
      </c>
      <c r="HV957" s="5" t="s">
        <v>238</v>
      </c>
      <c r="HW957" s="5" t="s">
        <v>238</v>
      </c>
      <c r="HX957" s="5" t="s">
        <v>238</v>
      </c>
      <c r="HY957" s="5" t="s">
        <v>238</v>
      </c>
      <c r="HZ957" s="5" t="s">
        <v>238</v>
      </c>
      <c r="IA957" s="5" t="s">
        <v>238</v>
      </c>
      <c r="IB957" s="5" t="s">
        <v>238</v>
      </c>
      <c r="IC957" s="5" t="s">
        <v>238</v>
      </c>
      <c r="ID957" s="5" t="s">
        <v>238</v>
      </c>
    </row>
    <row r="958" spans="1:238" x14ac:dyDescent="0.4">
      <c r="A958" s="5">
        <v>1054</v>
      </c>
      <c r="B958" s="5">
        <v>1</v>
      </c>
      <c r="C958" s="5">
        <v>4</v>
      </c>
      <c r="D958" s="5" t="s">
        <v>2579</v>
      </c>
      <c r="E958" s="5" t="s">
        <v>277</v>
      </c>
      <c r="F958" s="5" t="s">
        <v>282</v>
      </c>
      <c r="G958" s="5" t="s">
        <v>2485</v>
      </c>
      <c r="H958" s="6" t="s">
        <v>2580</v>
      </c>
      <c r="I958" s="5" t="s">
        <v>2504</v>
      </c>
      <c r="J958" s="7">
        <f t="shared" si="85"/>
        <v>81.14</v>
      </c>
      <c r="K958" s="5" t="s">
        <v>270</v>
      </c>
      <c r="L958" s="8">
        <f>11223056</f>
        <v>11223056</v>
      </c>
      <c r="M958" s="8">
        <f>17758000</f>
        <v>17758000</v>
      </c>
      <c r="N958" s="6" t="s">
        <v>2566</v>
      </c>
      <c r="O958" s="5" t="s">
        <v>286</v>
      </c>
      <c r="P958" s="5" t="s">
        <v>313</v>
      </c>
      <c r="Q958" s="8">
        <f>816868</f>
        <v>816868</v>
      </c>
      <c r="R958" s="8">
        <f>6534944</f>
        <v>6534944</v>
      </c>
      <c r="S958" s="5" t="s">
        <v>240</v>
      </c>
      <c r="T958" s="5" t="s">
        <v>237</v>
      </c>
      <c r="U958" s="5" t="s">
        <v>238</v>
      </c>
      <c r="V958" s="5" t="s">
        <v>238</v>
      </c>
      <c r="W958" s="5" t="s">
        <v>241</v>
      </c>
      <c r="X958" s="5" t="s">
        <v>276</v>
      </c>
      <c r="Y958" s="5" t="s">
        <v>238</v>
      </c>
      <c r="AB958" s="5" t="s">
        <v>238</v>
      </c>
      <c r="AC958" s="6" t="s">
        <v>238</v>
      </c>
      <c r="AD958" s="6" t="s">
        <v>238</v>
      </c>
      <c r="AF958" s="6" t="s">
        <v>238</v>
      </c>
      <c r="AG958" s="6" t="s">
        <v>246</v>
      </c>
      <c r="AH958" s="5" t="s">
        <v>247</v>
      </c>
      <c r="AI958" s="5" t="s">
        <v>248</v>
      </c>
      <c r="AO958" s="5" t="s">
        <v>238</v>
      </c>
      <c r="AP958" s="5" t="s">
        <v>238</v>
      </c>
      <c r="AQ958" s="5" t="s">
        <v>238</v>
      </c>
      <c r="AR958" s="6" t="s">
        <v>238</v>
      </c>
      <c r="AS958" s="6" t="s">
        <v>238</v>
      </c>
      <c r="AT958" s="6" t="s">
        <v>238</v>
      </c>
      <c r="AW958" s="5" t="s">
        <v>304</v>
      </c>
      <c r="AX958" s="5" t="s">
        <v>304</v>
      </c>
      <c r="AY958" s="5" t="s">
        <v>250</v>
      </c>
      <c r="AZ958" s="5" t="s">
        <v>305</v>
      </c>
      <c r="BA958" s="5" t="s">
        <v>251</v>
      </c>
      <c r="BB958" s="5" t="s">
        <v>238</v>
      </c>
      <c r="BC958" s="5" t="s">
        <v>253</v>
      </c>
      <c r="BD958" s="5" t="s">
        <v>238</v>
      </c>
      <c r="BF958" s="5" t="s">
        <v>238</v>
      </c>
      <c r="BH958" s="5" t="s">
        <v>283</v>
      </c>
      <c r="BI958" s="6" t="s">
        <v>293</v>
      </c>
      <c r="BJ958" s="5" t="s">
        <v>294</v>
      </c>
      <c r="BK958" s="5" t="s">
        <v>294</v>
      </c>
      <c r="BL958" s="5" t="s">
        <v>238</v>
      </c>
      <c r="BM958" s="7">
        <f>0</f>
        <v>0</v>
      </c>
      <c r="BN958" s="8">
        <f>-816868</f>
        <v>-816868</v>
      </c>
      <c r="BO958" s="5" t="s">
        <v>257</v>
      </c>
      <c r="BP958" s="5" t="s">
        <v>258</v>
      </c>
      <c r="BQ958" s="5" t="s">
        <v>238</v>
      </c>
      <c r="BR958" s="5" t="s">
        <v>238</v>
      </c>
      <c r="BS958" s="5" t="s">
        <v>238</v>
      </c>
      <c r="BT958" s="5" t="s">
        <v>238</v>
      </c>
      <c r="CC958" s="5" t="s">
        <v>258</v>
      </c>
      <c r="CD958" s="5" t="s">
        <v>238</v>
      </c>
      <c r="CE958" s="5" t="s">
        <v>238</v>
      </c>
      <c r="CI958" s="5" t="s">
        <v>259</v>
      </c>
      <c r="CJ958" s="5" t="s">
        <v>260</v>
      </c>
      <c r="CK958" s="5" t="s">
        <v>238</v>
      </c>
      <c r="CM958" s="5" t="s">
        <v>723</v>
      </c>
      <c r="CN958" s="6" t="s">
        <v>262</v>
      </c>
      <c r="CO958" s="5" t="s">
        <v>263</v>
      </c>
      <c r="CP958" s="5" t="s">
        <v>264</v>
      </c>
      <c r="CQ958" s="5" t="s">
        <v>285</v>
      </c>
      <c r="CR958" s="5" t="s">
        <v>238</v>
      </c>
      <c r="CS958" s="5">
        <v>4.5999999999999999E-2</v>
      </c>
      <c r="CT958" s="5" t="s">
        <v>265</v>
      </c>
      <c r="CU958" s="5" t="s">
        <v>1360</v>
      </c>
      <c r="CV958" s="5" t="s">
        <v>267</v>
      </c>
      <c r="CW958" s="7">
        <f>0</f>
        <v>0</v>
      </c>
      <c r="CX958" s="8">
        <f>17758000</f>
        <v>17758000</v>
      </c>
      <c r="CY958" s="8">
        <f>12039924</f>
        <v>12039924</v>
      </c>
      <c r="DA958" s="5" t="s">
        <v>238</v>
      </c>
      <c r="DB958" s="5" t="s">
        <v>238</v>
      </c>
      <c r="DD958" s="5" t="s">
        <v>238</v>
      </c>
      <c r="DE958" s="8">
        <f>0</f>
        <v>0</v>
      </c>
      <c r="DG958" s="5" t="s">
        <v>238</v>
      </c>
      <c r="DH958" s="5" t="s">
        <v>238</v>
      </c>
      <c r="DI958" s="5" t="s">
        <v>238</v>
      </c>
      <c r="DJ958" s="5" t="s">
        <v>238</v>
      </c>
      <c r="DK958" s="5" t="s">
        <v>274</v>
      </c>
      <c r="DL958" s="5" t="s">
        <v>272</v>
      </c>
      <c r="DM958" s="7">
        <f t="shared" si="86"/>
        <v>81.14</v>
      </c>
      <c r="DN958" s="5" t="s">
        <v>238</v>
      </c>
      <c r="DO958" s="5" t="s">
        <v>238</v>
      </c>
      <c r="DP958" s="5" t="s">
        <v>238</v>
      </c>
      <c r="DQ958" s="5" t="s">
        <v>238</v>
      </c>
      <c r="DT958" s="5" t="s">
        <v>2581</v>
      </c>
      <c r="DU958" s="5" t="s">
        <v>356</v>
      </c>
      <c r="GL958" s="5" t="s">
        <v>2583</v>
      </c>
      <c r="HM958" s="5" t="s">
        <v>313</v>
      </c>
      <c r="HP958" s="5" t="s">
        <v>272</v>
      </c>
      <c r="HQ958" s="5" t="s">
        <v>272</v>
      </c>
      <c r="HR958" s="5" t="s">
        <v>238</v>
      </c>
      <c r="HS958" s="5" t="s">
        <v>238</v>
      </c>
      <c r="HT958" s="5" t="s">
        <v>238</v>
      </c>
      <c r="HU958" s="5" t="s">
        <v>238</v>
      </c>
      <c r="HV958" s="5" t="s">
        <v>238</v>
      </c>
      <c r="HW958" s="5" t="s">
        <v>238</v>
      </c>
      <c r="HX958" s="5" t="s">
        <v>238</v>
      </c>
      <c r="HY958" s="5" t="s">
        <v>238</v>
      </c>
      <c r="HZ958" s="5" t="s">
        <v>238</v>
      </c>
      <c r="IA958" s="5" t="s">
        <v>238</v>
      </c>
      <c r="IB958" s="5" t="s">
        <v>238</v>
      </c>
      <c r="IC958" s="5" t="s">
        <v>238</v>
      </c>
      <c r="ID958" s="5" t="s">
        <v>238</v>
      </c>
    </row>
    <row r="959" spans="1:238" x14ac:dyDescent="0.4">
      <c r="A959" s="5">
        <v>1055</v>
      </c>
      <c r="B959" s="5">
        <v>1</v>
      </c>
      <c r="C959" s="5">
        <v>4</v>
      </c>
      <c r="D959" s="5" t="s">
        <v>2579</v>
      </c>
      <c r="E959" s="5" t="s">
        <v>277</v>
      </c>
      <c r="F959" s="5" t="s">
        <v>282</v>
      </c>
      <c r="G959" s="5" t="s">
        <v>2485</v>
      </c>
      <c r="H959" s="6" t="s">
        <v>2580</v>
      </c>
      <c r="I959" s="5" t="s">
        <v>2494</v>
      </c>
      <c r="J959" s="7">
        <f t="shared" si="85"/>
        <v>81.14</v>
      </c>
      <c r="K959" s="5" t="s">
        <v>270</v>
      </c>
      <c r="L959" s="8">
        <f>11223056</f>
        <v>11223056</v>
      </c>
      <c r="M959" s="8">
        <f>17758000</f>
        <v>17758000</v>
      </c>
      <c r="N959" s="6" t="s">
        <v>2566</v>
      </c>
      <c r="O959" s="5" t="s">
        <v>286</v>
      </c>
      <c r="P959" s="5" t="s">
        <v>313</v>
      </c>
      <c r="Q959" s="8">
        <f>816868</f>
        <v>816868</v>
      </c>
      <c r="R959" s="8">
        <f>6534944</f>
        <v>6534944</v>
      </c>
      <c r="S959" s="5" t="s">
        <v>240</v>
      </c>
      <c r="T959" s="5" t="s">
        <v>237</v>
      </c>
      <c r="U959" s="5" t="s">
        <v>238</v>
      </c>
      <c r="V959" s="5" t="s">
        <v>238</v>
      </c>
      <c r="W959" s="5" t="s">
        <v>241</v>
      </c>
      <c r="X959" s="5" t="s">
        <v>276</v>
      </c>
      <c r="Y959" s="5" t="s">
        <v>238</v>
      </c>
      <c r="AB959" s="5" t="s">
        <v>238</v>
      </c>
      <c r="AC959" s="6" t="s">
        <v>238</v>
      </c>
      <c r="AD959" s="6" t="s">
        <v>238</v>
      </c>
      <c r="AF959" s="6" t="s">
        <v>238</v>
      </c>
      <c r="AG959" s="6" t="s">
        <v>246</v>
      </c>
      <c r="AH959" s="5" t="s">
        <v>247</v>
      </c>
      <c r="AI959" s="5" t="s">
        <v>248</v>
      </c>
      <c r="AO959" s="5" t="s">
        <v>238</v>
      </c>
      <c r="AP959" s="5" t="s">
        <v>238</v>
      </c>
      <c r="AQ959" s="5" t="s">
        <v>238</v>
      </c>
      <c r="AR959" s="6" t="s">
        <v>238</v>
      </c>
      <c r="AS959" s="6" t="s">
        <v>238</v>
      </c>
      <c r="AT959" s="6" t="s">
        <v>238</v>
      </c>
      <c r="AW959" s="5" t="s">
        <v>304</v>
      </c>
      <c r="AX959" s="5" t="s">
        <v>304</v>
      </c>
      <c r="AY959" s="5" t="s">
        <v>250</v>
      </c>
      <c r="AZ959" s="5" t="s">
        <v>305</v>
      </c>
      <c r="BA959" s="5" t="s">
        <v>251</v>
      </c>
      <c r="BB959" s="5" t="s">
        <v>238</v>
      </c>
      <c r="BC959" s="5" t="s">
        <v>253</v>
      </c>
      <c r="BD959" s="5" t="s">
        <v>238</v>
      </c>
      <c r="BF959" s="5" t="s">
        <v>238</v>
      </c>
      <c r="BH959" s="5" t="s">
        <v>283</v>
      </c>
      <c r="BI959" s="6" t="s">
        <v>293</v>
      </c>
      <c r="BJ959" s="5" t="s">
        <v>294</v>
      </c>
      <c r="BK959" s="5" t="s">
        <v>294</v>
      </c>
      <c r="BL959" s="5" t="s">
        <v>238</v>
      </c>
      <c r="BM959" s="7">
        <f>0</f>
        <v>0</v>
      </c>
      <c r="BN959" s="8">
        <f>-816868</f>
        <v>-816868</v>
      </c>
      <c r="BO959" s="5" t="s">
        <v>257</v>
      </c>
      <c r="BP959" s="5" t="s">
        <v>258</v>
      </c>
      <c r="BQ959" s="5" t="s">
        <v>238</v>
      </c>
      <c r="BR959" s="5" t="s">
        <v>238</v>
      </c>
      <c r="BS959" s="5" t="s">
        <v>238</v>
      </c>
      <c r="BT959" s="5" t="s">
        <v>238</v>
      </c>
      <c r="CC959" s="5" t="s">
        <v>258</v>
      </c>
      <c r="CD959" s="5" t="s">
        <v>238</v>
      </c>
      <c r="CE959" s="5" t="s">
        <v>238</v>
      </c>
      <c r="CI959" s="5" t="s">
        <v>259</v>
      </c>
      <c r="CJ959" s="5" t="s">
        <v>260</v>
      </c>
      <c r="CK959" s="5" t="s">
        <v>238</v>
      </c>
      <c r="CM959" s="5" t="s">
        <v>723</v>
      </c>
      <c r="CN959" s="6" t="s">
        <v>262</v>
      </c>
      <c r="CO959" s="5" t="s">
        <v>263</v>
      </c>
      <c r="CP959" s="5" t="s">
        <v>264</v>
      </c>
      <c r="CQ959" s="5" t="s">
        <v>285</v>
      </c>
      <c r="CR959" s="5" t="s">
        <v>238</v>
      </c>
      <c r="CS959" s="5">
        <v>4.5999999999999999E-2</v>
      </c>
      <c r="CT959" s="5" t="s">
        <v>265</v>
      </c>
      <c r="CU959" s="5" t="s">
        <v>1360</v>
      </c>
      <c r="CV959" s="5" t="s">
        <v>267</v>
      </c>
      <c r="CW959" s="7">
        <f>0</f>
        <v>0</v>
      </c>
      <c r="CX959" s="8">
        <f>17758000</f>
        <v>17758000</v>
      </c>
      <c r="CY959" s="8">
        <f>12039924</f>
        <v>12039924</v>
      </c>
      <c r="DA959" s="5" t="s">
        <v>238</v>
      </c>
      <c r="DB959" s="5" t="s">
        <v>238</v>
      </c>
      <c r="DD959" s="5" t="s">
        <v>238</v>
      </c>
      <c r="DE959" s="8">
        <f>0</f>
        <v>0</v>
      </c>
      <c r="DG959" s="5" t="s">
        <v>238</v>
      </c>
      <c r="DH959" s="5" t="s">
        <v>238</v>
      </c>
      <c r="DI959" s="5" t="s">
        <v>238</v>
      </c>
      <c r="DJ959" s="5" t="s">
        <v>238</v>
      </c>
      <c r="DK959" s="5" t="s">
        <v>274</v>
      </c>
      <c r="DL959" s="5" t="s">
        <v>272</v>
      </c>
      <c r="DM959" s="7">
        <f t="shared" si="86"/>
        <v>81.14</v>
      </c>
      <c r="DN959" s="5" t="s">
        <v>238</v>
      </c>
      <c r="DO959" s="5" t="s">
        <v>238</v>
      </c>
      <c r="DP959" s="5" t="s">
        <v>238</v>
      </c>
      <c r="DQ959" s="5" t="s">
        <v>238</v>
      </c>
      <c r="DT959" s="5" t="s">
        <v>2581</v>
      </c>
      <c r="DU959" s="5" t="s">
        <v>310</v>
      </c>
      <c r="GL959" s="5" t="s">
        <v>2582</v>
      </c>
      <c r="HM959" s="5" t="s">
        <v>313</v>
      </c>
      <c r="HP959" s="5" t="s">
        <v>272</v>
      </c>
      <c r="HQ959" s="5" t="s">
        <v>272</v>
      </c>
      <c r="HR959" s="5" t="s">
        <v>238</v>
      </c>
      <c r="HS959" s="5" t="s">
        <v>238</v>
      </c>
      <c r="HT959" s="5" t="s">
        <v>238</v>
      </c>
      <c r="HU959" s="5" t="s">
        <v>238</v>
      </c>
      <c r="HV959" s="5" t="s">
        <v>238</v>
      </c>
      <c r="HW959" s="5" t="s">
        <v>238</v>
      </c>
      <c r="HX959" s="5" t="s">
        <v>238</v>
      </c>
      <c r="HY959" s="5" t="s">
        <v>238</v>
      </c>
      <c r="HZ959" s="5" t="s">
        <v>238</v>
      </c>
      <c r="IA959" s="5" t="s">
        <v>238</v>
      </c>
      <c r="IB959" s="5" t="s">
        <v>238</v>
      </c>
      <c r="IC959" s="5" t="s">
        <v>238</v>
      </c>
      <c r="ID959" s="5" t="s">
        <v>238</v>
      </c>
    </row>
    <row r="960" spans="1:238" x14ac:dyDescent="0.4">
      <c r="A960" s="5">
        <v>1056</v>
      </c>
      <c r="B960" s="5">
        <v>1</v>
      </c>
      <c r="C960" s="5">
        <v>4</v>
      </c>
      <c r="D960" s="5" t="s">
        <v>2565</v>
      </c>
      <c r="E960" s="5" t="s">
        <v>277</v>
      </c>
      <c r="F960" s="5" t="s">
        <v>282</v>
      </c>
      <c r="G960" s="5" t="s">
        <v>2485</v>
      </c>
      <c r="H960" s="6" t="s">
        <v>2567</v>
      </c>
      <c r="I960" s="5" t="s">
        <v>2495</v>
      </c>
      <c r="J960" s="7">
        <f t="shared" si="85"/>
        <v>81.14</v>
      </c>
      <c r="K960" s="5" t="s">
        <v>270</v>
      </c>
      <c r="L960" s="8">
        <f>10502576</f>
        <v>10502576</v>
      </c>
      <c r="M960" s="8">
        <f>16618000</f>
        <v>16618000</v>
      </c>
      <c r="N960" s="6" t="s">
        <v>2573</v>
      </c>
      <c r="O960" s="5" t="s">
        <v>286</v>
      </c>
      <c r="P960" s="5" t="s">
        <v>313</v>
      </c>
      <c r="Q960" s="8">
        <f>764428</f>
        <v>764428</v>
      </c>
      <c r="R960" s="8">
        <f>6115424</f>
        <v>6115424</v>
      </c>
      <c r="S960" s="5" t="s">
        <v>240</v>
      </c>
      <c r="T960" s="5" t="s">
        <v>237</v>
      </c>
      <c r="U960" s="5" t="s">
        <v>238</v>
      </c>
      <c r="V960" s="5" t="s">
        <v>238</v>
      </c>
      <c r="W960" s="5" t="s">
        <v>241</v>
      </c>
      <c r="X960" s="5" t="s">
        <v>276</v>
      </c>
      <c r="Y960" s="5" t="s">
        <v>238</v>
      </c>
      <c r="AB960" s="5" t="s">
        <v>238</v>
      </c>
      <c r="AC960" s="6" t="s">
        <v>238</v>
      </c>
      <c r="AD960" s="6" t="s">
        <v>238</v>
      </c>
      <c r="AF960" s="6" t="s">
        <v>238</v>
      </c>
      <c r="AG960" s="6" t="s">
        <v>246</v>
      </c>
      <c r="AH960" s="5" t="s">
        <v>247</v>
      </c>
      <c r="AI960" s="5" t="s">
        <v>248</v>
      </c>
      <c r="AO960" s="5" t="s">
        <v>238</v>
      </c>
      <c r="AP960" s="5" t="s">
        <v>238</v>
      </c>
      <c r="AQ960" s="5" t="s">
        <v>238</v>
      </c>
      <c r="AR960" s="6" t="s">
        <v>238</v>
      </c>
      <c r="AS960" s="6" t="s">
        <v>238</v>
      </c>
      <c r="AT960" s="6" t="s">
        <v>238</v>
      </c>
      <c r="AW960" s="5" t="s">
        <v>304</v>
      </c>
      <c r="AX960" s="5" t="s">
        <v>304</v>
      </c>
      <c r="AY960" s="5" t="s">
        <v>250</v>
      </c>
      <c r="AZ960" s="5" t="s">
        <v>305</v>
      </c>
      <c r="BA960" s="5" t="s">
        <v>251</v>
      </c>
      <c r="BB960" s="5" t="s">
        <v>238</v>
      </c>
      <c r="BC960" s="5" t="s">
        <v>253</v>
      </c>
      <c r="BD960" s="5" t="s">
        <v>238</v>
      </c>
      <c r="BF960" s="5" t="s">
        <v>238</v>
      </c>
      <c r="BH960" s="5" t="s">
        <v>283</v>
      </c>
      <c r="BI960" s="6" t="s">
        <v>293</v>
      </c>
      <c r="BJ960" s="5" t="s">
        <v>294</v>
      </c>
      <c r="BK960" s="5" t="s">
        <v>294</v>
      </c>
      <c r="BL960" s="5" t="s">
        <v>238</v>
      </c>
      <c r="BM960" s="7">
        <f>0</f>
        <v>0</v>
      </c>
      <c r="BN960" s="8">
        <f>-764428</f>
        <v>-764428</v>
      </c>
      <c r="BO960" s="5" t="s">
        <v>257</v>
      </c>
      <c r="BP960" s="5" t="s">
        <v>258</v>
      </c>
      <c r="BQ960" s="5" t="s">
        <v>238</v>
      </c>
      <c r="BR960" s="5" t="s">
        <v>238</v>
      </c>
      <c r="BS960" s="5" t="s">
        <v>238</v>
      </c>
      <c r="BT960" s="5" t="s">
        <v>238</v>
      </c>
      <c r="CC960" s="5" t="s">
        <v>258</v>
      </c>
      <c r="CD960" s="5" t="s">
        <v>238</v>
      </c>
      <c r="CE960" s="5" t="s">
        <v>238</v>
      </c>
      <c r="CI960" s="5" t="s">
        <v>259</v>
      </c>
      <c r="CJ960" s="5" t="s">
        <v>260</v>
      </c>
      <c r="CK960" s="5" t="s">
        <v>238</v>
      </c>
      <c r="CM960" s="5" t="s">
        <v>723</v>
      </c>
      <c r="CN960" s="6" t="s">
        <v>262</v>
      </c>
      <c r="CO960" s="5" t="s">
        <v>263</v>
      </c>
      <c r="CP960" s="5" t="s">
        <v>264</v>
      </c>
      <c r="CQ960" s="5" t="s">
        <v>285</v>
      </c>
      <c r="CR960" s="5" t="s">
        <v>238</v>
      </c>
      <c r="CS960" s="5">
        <v>4.5999999999999999E-2</v>
      </c>
      <c r="CT960" s="5" t="s">
        <v>265</v>
      </c>
      <c r="CU960" s="5" t="s">
        <v>1360</v>
      </c>
      <c r="CV960" s="5" t="s">
        <v>267</v>
      </c>
      <c r="CW960" s="7">
        <f>0</f>
        <v>0</v>
      </c>
      <c r="CX960" s="8">
        <f>16618000</f>
        <v>16618000</v>
      </c>
      <c r="CY960" s="8">
        <f>11267004</f>
        <v>11267004</v>
      </c>
      <c r="DA960" s="5" t="s">
        <v>238</v>
      </c>
      <c r="DB960" s="5" t="s">
        <v>238</v>
      </c>
      <c r="DD960" s="5" t="s">
        <v>238</v>
      </c>
      <c r="DE960" s="8">
        <f>0</f>
        <v>0</v>
      </c>
      <c r="DG960" s="5" t="s">
        <v>238</v>
      </c>
      <c r="DH960" s="5" t="s">
        <v>238</v>
      </c>
      <c r="DI960" s="5" t="s">
        <v>238</v>
      </c>
      <c r="DJ960" s="5" t="s">
        <v>238</v>
      </c>
      <c r="DK960" s="5" t="s">
        <v>274</v>
      </c>
      <c r="DL960" s="5" t="s">
        <v>272</v>
      </c>
      <c r="DM960" s="7">
        <f t="shared" si="86"/>
        <v>81.14</v>
      </c>
      <c r="DN960" s="5" t="s">
        <v>238</v>
      </c>
      <c r="DO960" s="5" t="s">
        <v>238</v>
      </c>
      <c r="DP960" s="5" t="s">
        <v>238</v>
      </c>
      <c r="DQ960" s="5" t="s">
        <v>238</v>
      </c>
      <c r="DT960" s="5" t="s">
        <v>2568</v>
      </c>
      <c r="DU960" s="5" t="s">
        <v>271</v>
      </c>
      <c r="GL960" s="5" t="s">
        <v>2578</v>
      </c>
      <c r="HM960" s="5" t="s">
        <v>313</v>
      </c>
      <c r="HP960" s="5" t="s">
        <v>272</v>
      </c>
      <c r="HQ960" s="5" t="s">
        <v>272</v>
      </c>
      <c r="HR960" s="5" t="s">
        <v>238</v>
      </c>
      <c r="HS960" s="5" t="s">
        <v>238</v>
      </c>
      <c r="HT960" s="5" t="s">
        <v>238</v>
      </c>
      <c r="HU960" s="5" t="s">
        <v>238</v>
      </c>
      <c r="HV960" s="5" t="s">
        <v>238</v>
      </c>
      <c r="HW960" s="5" t="s">
        <v>238</v>
      </c>
      <c r="HX960" s="5" t="s">
        <v>238</v>
      </c>
      <c r="HY960" s="5" t="s">
        <v>238</v>
      </c>
      <c r="HZ960" s="5" t="s">
        <v>238</v>
      </c>
      <c r="IA960" s="5" t="s">
        <v>238</v>
      </c>
      <c r="IB960" s="5" t="s">
        <v>238</v>
      </c>
      <c r="IC960" s="5" t="s">
        <v>238</v>
      </c>
      <c r="ID960" s="5" t="s">
        <v>238</v>
      </c>
    </row>
    <row r="961" spans="1:238" x14ac:dyDescent="0.4">
      <c r="A961" s="5">
        <v>1057</v>
      </c>
      <c r="B961" s="5">
        <v>1</v>
      </c>
      <c r="C961" s="5">
        <v>4</v>
      </c>
      <c r="D961" s="5" t="s">
        <v>2565</v>
      </c>
      <c r="E961" s="5" t="s">
        <v>277</v>
      </c>
      <c r="F961" s="5" t="s">
        <v>282</v>
      </c>
      <c r="G961" s="5" t="s">
        <v>2485</v>
      </c>
      <c r="H961" s="6" t="s">
        <v>2567</v>
      </c>
      <c r="I961" s="5" t="s">
        <v>2505</v>
      </c>
      <c r="J961" s="7">
        <f t="shared" si="85"/>
        <v>81.14</v>
      </c>
      <c r="K961" s="5" t="s">
        <v>270</v>
      </c>
      <c r="L961" s="8">
        <f>10502576</f>
        <v>10502576</v>
      </c>
      <c r="M961" s="8">
        <f>16618000</f>
        <v>16618000</v>
      </c>
      <c r="N961" s="6" t="s">
        <v>2573</v>
      </c>
      <c r="O961" s="5" t="s">
        <v>286</v>
      </c>
      <c r="P961" s="5" t="s">
        <v>313</v>
      </c>
      <c r="Q961" s="8">
        <f>764428</f>
        <v>764428</v>
      </c>
      <c r="R961" s="8">
        <f>6115424</f>
        <v>6115424</v>
      </c>
      <c r="S961" s="5" t="s">
        <v>240</v>
      </c>
      <c r="T961" s="5" t="s">
        <v>237</v>
      </c>
      <c r="U961" s="5" t="s">
        <v>238</v>
      </c>
      <c r="V961" s="5" t="s">
        <v>238</v>
      </c>
      <c r="W961" s="5" t="s">
        <v>241</v>
      </c>
      <c r="X961" s="5" t="s">
        <v>276</v>
      </c>
      <c r="Y961" s="5" t="s">
        <v>238</v>
      </c>
      <c r="AB961" s="5" t="s">
        <v>238</v>
      </c>
      <c r="AC961" s="6" t="s">
        <v>238</v>
      </c>
      <c r="AD961" s="6" t="s">
        <v>238</v>
      </c>
      <c r="AF961" s="6" t="s">
        <v>238</v>
      </c>
      <c r="AG961" s="6" t="s">
        <v>246</v>
      </c>
      <c r="AH961" s="5" t="s">
        <v>247</v>
      </c>
      <c r="AI961" s="5" t="s">
        <v>248</v>
      </c>
      <c r="AO961" s="5" t="s">
        <v>238</v>
      </c>
      <c r="AP961" s="5" t="s">
        <v>238</v>
      </c>
      <c r="AQ961" s="5" t="s">
        <v>238</v>
      </c>
      <c r="AR961" s="6" t="s">
        <v>238</v>
      </c>
      <c r="AS961" s="6" t="s">
        <v>238</v>
      </c>
      <c r="AT961" s="6" t="s">
        <v>238</v>
      </c>
      <c r="AW961" s="5" t="s">
        <v>304</v>
      </c>
      <c r="AX961" s="5" t="s">
        <v>304</v>
      </c>
      <c r="AY961" s="5" t="s">
        <v>250</v>
      </c>
      <c r="AZ961" s="5" t="s">
        <v>305</v>
      </c>
      <c r="BA961" s="5" t="s">
        <v>251</v>
      </c>
      <c r="BB961" s="5" t="s">
        <v>238</v>
      </c>
      <c r="BC961" s="5" t="s">
        <v>253</v>
      </c>
      <c r="BD961" s="5" t="s">
        <v>238</v>
      </c>
      <c r="BF961" s="5" t="s">
        <v>238</v>
      </c>
      <c r="BH961" s="5" t="s">
        <v>283</v>
      </c>
      <c r="BI961" s="6" t="s">
        <v>293</v>
      </c>
      <c r="BJ961" s="5" t="s">
        <v>294</v>
      </c>
      <c r="BK961" s="5" t="s">
        <v>294</v>
      </c>
      <c r="BL961" s="5" t="s">
        <v>238</v>
      </c>
      <c r="BM961" s="7">
        <f>0</f>
        <v>0</v>
      </c>
      <c r="BN961" s="8">
        <f>-764428</f>
        <v>-764428</v>
      </c>
      <c r="BO961" s="5" t="s">
        <v>257</v>
      </c>
      <c r="BP961" s="5" t="s">
        <v>258</v>
      </c>
      <c r="BQ961" s="5" t="s">
        <v>238</v>
      </c>
      <c r="BR961" s="5" t="s">
        <v>238</v>
      </c>
      <c r="BS961" s="5" t="s">
        <v>238</v>
      </c>
      <c r="BT961" s="5" t="s">
        <v>238</v>
      </c>
      <c r="CC961" s="5" t="s">
        <v>258</v>
      </c>
      <c r="CD961" s="5" t="s">
        <v>238</v>
      </c>
      <c r="CE961" s="5" t="s">
        <v>238</v>
      </c>
      <c r="CI961" s="5" t="s">
        <v>259</v>
      </c>
      <c r="CJ961" s="5" t="s">
        <v>260</v>
      </c>
      <c r="CK961" s="5" t="s">
        <v>238</v>
      </c>
      <c r="CM961" s="5" t="s">
        <v>723</v>
      </c>
      <c r="CN961" s="6" t="s">
        <v>262</v>
      </c>
      <c r="CO961" s="5" t="s">
        <v>263</v>
      </c>
      <c r="CP961" s="5" t="s">
        <v>264</v>
      </c>
      <c r="CQ961" s="5" t="s">
        <v>285</v>
      </c>
      <c r="CR961" s="5" t="s">
        <v>238</v>
      </c>
      <c r="CS961" s="5">
        <v>4.5999999999999999E-2</v>
      </c>
      <c r="CT961" s="5" t="s">
        <v>265</v>
      </c>
      <c r="CU961" s="5" t="s">
        <v>1360</v>
      </c>
      <c r="CV961" s="5" t="s">
        <v>267</v>
      </c>
      <c r="CW961" s="7">
        <f>0</f>
        <v>0</v>
      </c>
      <c r="CX961" s="8">
        <f>16618000</f>
        <v>16618000</v>
      </c>
      <c r="CY961" s="8">
        <f>11267004</f>
        <v>11267004</v>
      </c>
      <c r="DA961" s="5" t="s">
        <v>238</v>
      </c>
      <c r="DB961" s="5" t="s">
        <v>238</v>
      </c>
      <c r="DD961" s="5" t="s">
        <v>238</v>
      </c>
      <c r="DE961" s="8">
        <f>0</f>
        <v>0</v>
      </c>
      <c r="DG961" s="5" t="s">
        <v>238</v>
      </c>
      <c r="DH961" s="5" t="s">
        <v>238</v>
      </c>
      <c r="DI961" s="5" t="s">
        <v>238</v>
      </c>
      <c r="DJ961" s="5" t="s">
        <v>238</v>
      </c>
      <c r="DK961" s="5" t="s">
        <v>274</v>
      </c>
      <c r="DL961" s="5" t="s">
        <v>272</v>
      </c>
      <c r="DM961" s="7">
        <f t="shared" si="86"/>
        <v>81.14</v>
      </c>
      <c r="DN961" s="5" t="s">
        <v>238</v>
      </c>
      <c r="DO961" s="5" t="s">
        <v>238</v>
      </c>
      <c r="DP961" s="5" t="s">
        <v>238</v>
      </c>
      <c r="DQ961" s="5" t="s">
        <v>238</v>
      </c>
      <c r="DT961" s="5" t="s">
        <v>2568</v>
      </c>
      <c r="DU961" s="5" t="s">
        <v>274</v>
      </c>
      <c r="GL961" s="5" t="s">
        <v>2577</v>
      </c>
      <c r="HM961" s="5" t="s">
        <v>313</v>
      </c>
      <c r="HP961" s="5" t="s">
        <v>272</v>
      </c>
      <c r="HQ961" s="5" t="s">
        <v>272</v>
      </c>
      <c r="HR961" s="5" t="s">
        <v>238</v>
      </c>
      <c r="HS961" s="5" t="s">
        <v>238</v>
      </c>
      <c r="HT961" s="5" t="s">
        <v>238</v>
      </c>
      <c r="HU961" s="5" t="s">
        <v>238</v>
      </c>
      <c r="HV961" s="5" t="s">
        <v>238</v>
      </c>
      <c r="HW961" s="5" t="s">
        <v>238</v>
      </c>
      <c r="HX961" s="5" t="s">
        <v>238</v>
      </c>
      <c r="HY961" s="5" t="s">
        <v>238</v>
      </c>
      <c r="HZ961" s="5" t="s">
        <v>238</v>
      </c>
      <c r="IA961" s="5" t="s">
        <v>238</v>
      </c>
      <c r="IB961" s="5" t="s">
        <v>238</v>
      </c>
      <c r="IC961" s="5" t="s">
        <v>238</v>
      </c>
      <c r="ID961" s="5" t="s">
        <v>238</v>
      </c>
    </row>
    <row r="962" spans="1:238" x14ac:dyDescent="0.4">
      <c r="A962" s="5">
        <v>1058</v>
      </c>
      <c r="B962" s="5">
        <v>1</v>
      </c>
      <c r="C962" s="5">
        <v>4</v>
      </c>
      <c r="D962" s="5" t="s">
        <v>2565</v>
      </c>
      <c r="E962" s="5" t="s">
        <v>277</v>
      </c>
      <c r="F962" s="5" t="s">
        <v>282</v>
      </c>
      <c r="G962" s="5" t="s">
        <v>2485</v>
      </c>
      <c r="H962" s="6" t="s">
        <v>2567</v>
      </c>
      <c r="I962" s="5" t="s">
        <v>2504</v>
      </c>
      <c r="J962" s="7">
        <f>57.96</f>
        <v>57.96</v>
      </c>
      <c r="K962" s="5" t="s">
        <v>270</v>
      </c>
      <c r="L962" s="8">
        <f>8344296</f>
        <v>8344296</v>
      </c>
      <c r="M962" s="8">
        <f>13203000</f>
        <v>13203000</v>
      </c>
      <c r="N962" s="6" t="s">
        <v>2573</v>
      </c>
      <c r="O962" s="5" t="s">
        <v>286</v>
      </c>
      <c r="P962" s="5" t="s">
        <v>313</v>
      </c>
      <c r="Q962" s="8">
        <f>607338</f>
        <v>607338</v>
      </c>
      <c r="R962" s="8">
        <f>4858704</f>
        <v>4858704</v>
      </c>
      <c r="S962" s="5" t="s">
        <v>240</v>
      </c>
      <c r="T962" s="5" t="s">
        <v>237</v>
      </c>
      <c r="U962" s="5" t="s">
        <v>238</v>
      </c>
      <c r="V962" s="5" t="s">
        <v>238</v>
      </c>
      <c r="W962" s="5" t="s">
        <v>241</v>
      </c>
      <c r="X962" s="5" t="s">
        <v>276</v>
      </c>
      <c r="Y962" s="5" t="s">
        <v>238</v>
      </c>
      <c r="AB962" s="5" t="s">
        <v>238</v>
      </c>
      <c r="AC962" s="6" t="s">
        <v>238</v>
      </c>
      <c r="AD962" s="6" t="s">
        <v>238</v>
      </c>
      <c r="AF962" s="6" t="s">
        <v>238</v>
      </c>
      <c r="AG962" s="6" t="s">
        <v>246</v>
      </c>
      <c r="AH962" s="5" t="s">
        <v>247</v>
      </c>
      <c r="AI962" s="5" t="s">
        <v>248</v>
      </c>
      <c r="AO962" s="5" t="s">
        <v>238</v>
      </c>
      <c r="AP962" s="5" t="s">
        <v>238</v>
      </c>
      <c r="AQ962" s="5" t="s">
        <v>238</v>
      </c>
      <c r="AR962" s="6" t="s">
        <v>238</v>
      </c>
      <c r="AS962" s="6" t="s">
        <v>238</v>
      </c>
      <c r="AT962" s="6" t="s">
        <v>238</v>
      </c>
      <c r="AW962" s="5" t="s">
        <v>304</v>
      </c>
      <c r="AX962" s="5" t="s">
        <v>304</v>
      </c>
      <c r="AY962" s="5" t="s">
        <v>250</v>
      </c>
      <c r="AZ962" s="5" t="s">
        <v>305</v>
      </c>
      <c r="BA962" s="5" t="s">
        <v>251</v>
      </c>
      <c r="BB962" s="5" t="s">
        <v>238</v>
      </c>
      <c r="BC962" s="5" t="s">
        <v>253</v>
      </c>
      <c r="BD962" s="5" t="s">
        <v>238</v>
      </c>
      <c r="BF962" s="5" t="s">
        <v>238</v>
      </c>
      <c r="BH962" s="5" t="s">
        <v>283</v>
      </c>
      <c r="BI962" s="6" t="s">
        <v>293</v>
      </c>
      <c r="BJ962" s="5" t="s">
        <v>294</v>
      </c>
      <c r="BK962" s="5" t="s">
        <v>294</v>
      </c>
      <c r="BL962" s="5" t="s">
        <v>238</v>
      </c>
      <c r="BM962" s="7">
        <f>0</f>
        <v>0</v>
      </c>
      <c r="BN962" s="8">
        <f>-607338</f>
        <v>-607338</v>
      </c>
      <c r="BO962" s="5" t="s">
        <v>257</v>
      </c>
      <c r="BP962" s="5" t="s">
        <v>258</v>
      </c>
      <c r="BQ962" s="5" t="s">
        <v>238</v>
      </c>
      <c r="BR962" s="5" t="s">
        <v>238</v>
      </c>
      <c r="BS962" s="5" t="s">
        <v>238</v>
      </c>
      <c r="BT962" s="5" t="s">
        <v>238</v>
      </c>
      <c r="CC962" s="5" t="s">
        <v>258</v>
      </c>
      <c r="CD962" s="5" t="s">
        <v>238</v>
      </c>
      <c r="CE962" s="5" t="s">
        <v>238</v>
      </c>
      <c r="CI962" s="5" t="s">
        <v>259</v>
      </c>
      <c r="CJ962" s="5" t="s">
        <v>260</v>
      </c>
      <c r="CK962" s="5" t="s">
        <v>238</v>
      </c>
      <c r="CM962" s="5" t="s">
        <v>723</v>
      </c>
      <c r="CN962" s="6" t="s">
        <v>262</v>
      </c>
      <c r="CO962" s="5" t="s">
        <v>263</v>
      </c>
      <c r="CP962" s="5" t="s">
        <v>264</v>
      </c>
      <c r="CQ962" s="5" t="s">
        <v>285</v>
      </c>
      <c r="CR962" s="5" t="s">
        <v>238</v>
      </c>
      <c r="CS962" s="5">
        <v>4.5999999999999999E-2</v>
      </c>
      <c r="CT962" s="5" t="s">
        <v>265</v>
      </c>
      <c r="CU962" s="5" t="s">
        <v>1360</v>
      </c>
      <c r="CV962" s="5" t="s">
        <v>267</v>
      </c>
      <c r="CW962" s="7">
        <f>0</f>
        <v>0</v>
      </c>
      <c r="CX962" s="8">
        <f>13203000</f>
        <v>13203000</v>
      </c>
      <c r="CY962" s="8">
        <f>8951634</f>
        <v>8951634</v>
      </c>
      <c r="DA962" s="5" t="s">
        <v>238</v>
      </c>
      <c r="DB962" s="5" t="s">
        <v>238</v>
      </c>
      <c r="DD962" s="5" t="s">
        <v>238</v>
      </c>
      <c r="DE962" s="8">
        <f>0</f>
        <v>0</v>
      </c>
      <c r="DG962" s="5" t="s">
        <v>238</v>
      </c>
      <c r="DH962" s="5" t="s">
        <v>238</v>
      </c>
      <c r="DI962" s="5" t="s">
        <v>238</v>
      </c>
      <c r="DJ962" s="5" t="s">
        <v>238</v>
      </c>
      <c r="DK962" s="5" t="s">
        <v>271</v>
      </c>
      <c r="DL962" s="5" t="s">
        <v>272</v>
      </c>
      <c r="DM962" s="7">
        <f>57.96</f>
        <v>57.96</v>
      </c>
      <c r="DN962" s="5" t="s">
        <v>238</v>
      </c>
      <c r="DO962" s="5" t="s">
        <v>238</v>
      </c>
      <c r="DP962" s="5" t="s">
        <v>238</v>
      </c>
      <c r="DQ962" s="5" t="s">
        <v>238</v>
      </c>
      <c r="DT962" s="5" t="s">
        <v>2568</v>
      </c>
      <c r="DU962" s="5" t="s">
        <v>356</v>
      </c>
      <c r="GL962" s="5" t="s">
        <v>2576</v>
      </c>
      <c r="HM962" s="5" t="s">
        <v>313</v>
      </c>
      <c r="HP962" s="5" t="s">
        <v>272</v>
      </c>
      <c r="HQ962" s="5" t="s">
        <v>272</v>
      </c>
      <c r="HR962" s="5" t="s">
        <v>238</v>
      </c>
      <c r="HS962" s="5" t="s">
        <v>238</v>
      </c>
      <c r="HT962" s="5" t="s">
        <v>238</v>
      </c>
      <c r="HU962" s="5" t="s">
        <v>238</v>
      </c>
      <c r="HV962" s="5" t="s">
        <v>238</v>
      </c>
      <c r="HW962" s="5" t="s">
        <v>238</v>
      </c>
      <c r="HX962" s="5" t="s">
        <v>238</v>
      </c>
      <c r="HY962" s="5" t="s">
        <v>238</v>
      </c>
      <c r="HZ962" s="5" t="s">
        <v>238</v>
      </c>
      <c r="IA962" s="5" t="s">
        <v>238</v>
      </c>
      <c r="IB962" s="5" t="s">
        <v>238</v>
      </c>
      <c r="IC962" s="5" t="s">
        <v>238</v>
      </c>
      <c r="ID962" s="5" t="s">
        <v>238</v>
      </c>
    </row>
    <row r="963" spans="1:238" x14ac:dyDescent="0.4">
      <c r="A963" s="5">
        <v>1059</v>
      </c>
      <c r="B963" s="5">
        <v>1</v>
      </c>
      <c r="C963" s="5">
        <v>4</v>
      </c>
      <c r="D963" s="5" t="s">
        <v>2565</v>
      </c>
      <c r="E963" s="5" t="s">
        <v>277</v>
      </c>
      <c r="F963" s="5" t="s">
        <v>282</v>
      </c>
      <c r="G963" s="5" t="s">
        <v>2485</v>
      </c>
      <c r="H963" s="6" t="s">
        <v>2567</v>
      </c>
      <c r="I963" s="5" t="s">
        <v>2494</v>
      </c>
      <c r="J963" s="7">
        <f>57.96</f>
        <v>57.96</v>
      </c>
      <c r="K963" s="5" t="s">
        <v>270</v>
      </c>
      <c r="L963" s="8">
        <f>8344296</f>
        <v>8344296</v>
      </c>
      <c r="M963" s="8">
        <f>13203000</f>
        <v>13203000</v>
      </c>
      <c r="N963" s="6" t="s">
        <v>2573</v>
      </c>
      <c r="O963" s="5" t="s">
        <v>286</v>
      </c>
      <c r="P963" s="5" t="s">
        <v>313</v>
      </c>
      <c r="Q963" s="8">
        <f>607338</f>
        <v>607338</v>
      </c>
      <c r="R963" s="8">
        <f>4858704</f>
        <v>4858704</v>
      </c>
      <c r="S963" s="5" t="s">
        <v>240</v>
      </c>
      <c r="T963" s="5" t="s">
        <v>237</v>
      </c>
      <c r="U963" s="5" t="s">
        <v>238</v>
      </c>
      <c r="V963" s="5" t="s">
        <v>238</v>
      </c>
      <c r="W963" s="5" t="s">
        <v>241</v>
      </c>
      <c r="X963" s="5" t="s">
        <v>276</v>
      </c>
      <c r="Y963" s="5" t="s">
        <v>238</v>
      </c>
      <c r="AB963" s="5" t="s">
        <v>238</v>
      </c>
      <c r="AC963" s="6" t="s">
        <v>238</v>
      </c>
      <c r="AD963" s="6" t="s">
        <v>238</v>
      </c>
      <c r="AF963" s="6" t="s">
        <v>238</v>
      </c>
      <c r="AG963" s="6" t="s">
        <v>246</v>
      </c>
      <c r="AH963" s="5" t="s">
        <v>247</v>
      </c>
      <c r="AI963" s="5" t="s">
        <v>248</v>
      </c>
      <c r="AO963" s="5" t="s">
        <v>238</v>
      </c>
      <c r="AP963" s="5" t="s">
        <v>238</v>
      </c>
      <c r="AQ963" s="5" t="s">
        <v>238</v>
      </c>
      <c r="AR963" s="6" t="s">
        <v>238</v>
      </c>
      <c r="AS963" s="6" t="s">
        <v>238</v>
      </c>
      <c r="AT963" s="6" t="s">
        <v>238</v>
      </c>
      <c r="AW963" s="5" t="s">
        <v>304</v>
      </c>
      <c r="AX963" s="5" t="s">
        <v>304</v>
      </c>
      <c r="AY963" s="5" t="s">
        <v>250</v>
      </c>
      <c r="AZ963" s="5" t="s">
        <v>305</v>
      </c>
      <c r="BA963" s="5" t="s">
        <v>251</v>
      </c>
      <c r="BB963" s="5" t="s">
        <v>238</v>
      </c>
      <c r="BC963" s="5" t="s">
        <v>253</v>
      </c>
      <c r="BD963" s="5" t="s">
        <v>238</v>
      </c>
      <c r="BF963" s="5" t="s">
        <v>238</v>
      </c>
      <c r="BH963" s="5" t="s">
        <v>283</v>
      </c>
      <c r="BI963" s="6" t="s">
        <v>293</v>
      </c>
      <c r="BJ963" s="5" t="s">
        <v>294</v>
      </c>
      <c r="BK963" s="5" t="s">
        <v>294</v>
      </c>
      <c r="BL963" s="5" t="s">
        <v>238</v>
      </c>
      <c r="BM963" s="7">
        <f>0</f>
        <v>0</v>
      </c>
      <c r="BN963" s="8">
        <f>-607338</f>
        <v>-607338</v>
      </c>
      <c r="BO963" s="5" t="s">
        <v>257</v>
      </c>
      <c r="BP963" s="5" t="s">
        <v>258</v>
      </c>
      <c r="BQ963" s="5" t="s">
        <v>238</v>
      </c>
      <c r="BR963" s="5" t="s">
        <v>238</v>
      </c>
      <c r="BS963" s="5" t="s">
        <v>238</v>
      </c>
      <c r="BT963" s="5" t="s">
        <v>238</v>
      </c>
      <c r="CC963" s="5" t="s">
        <v>258</v>
      </c>
      <c r="CD963" s="5" t="s">
        <v>238</v>
      </c>
      <c r="CE963" s="5" t="s">
        <v>238</v>
      </c>
      <c r="CI963" s="5" t="s">
        <v>259</v>
      </c>
      <c r="CJ963" s="5" t="s">
        <v>260</v>
      </c>
      <c r="CK963" s="5" t="s">
        <v>238</v>
      </c>
      <c r="CM963" s="5" t="s">
        <v>723</v>
      </c>
      <c r="CN963" s="6" t="s">
        <v>262</v>
      </c>
      <c r="CO963" s="5" t="s">
        <v>263</v>
      </c>
      <c r="CP963" s="5" t="s">
        <v>264</v>
      </c>
      <c r="CQ963" s="5" t="s">
        <v>285</v>
      </c>
      <c r="CR963" s="5" t="s">
        <v>238</v>
      </c>
      <c r="CS963" s="5">
        <v>4.5999999999999999E-2</v>
      </c>
      <c r="CT963" s="5" t="s">
        <v>265</v>
      </c>
      <c r="CU963" s="5" t="s">
        <v>1360</v>
      </c>
      <c r="CV963" s="5" t="s">
        <v>267</v>
      </c>
      <c r="CW963" s="7">
        <f>0</f>
        <v>0</v>
      </c>
      <c r="CX963" s="8">
        <f>13203000</f>
        <v>13203000</v>
      </c>
      <c r="CY963" s="8">
        <f>8951634</f>
        <v>8951634</v>
      </c>
      <c r="DA963" s="5" t="s">
        <v>238</v>
      </c>
      <c r="DB963" s="5" t="s">
        <v>238</v>
      </c>
      <c r="DD963" s="5" t="s">
        <v>238</v>
      </c>
      <c r="DE963" s="8">
        <f>0</f>
        <v>0</v>
      </c>
      <c r="DG963" s="5" t="s">
        <v>238</v>
      </c>
      <c r="DH963" s="5" t="s">
        <v>238</v>
      </c>
      <c r="DI963" s="5" t="s">
        <v>238</v>
      </c>
      <c r="DJ963" s="5" t="s">
        <v>238</v>
      </c>
      <c r="DK963" s="5" t="s">
        <v>271</v>
      </c>
      <c r="DL963" s="5" t="s">
        <v>272</v>
      </c>
      <c r="DM963" s="7">
        <f>57.96</f>
        <v>57.96</v>
      </c>
      <c r="DN963" s="5" t="s">
        <v>238</v>
      </c>
      <c r="DO963" s="5" t="s">
        <v>238</v>
      </c>
      <c r="DP963" s="5" t="s">
        <v>238</v>
      </c>
      <c r="DQ963" s="5" t="s">
        <v>238</v>
      </c>
      <c r="DT963" s="5" t="s">
        <v>2568</v>
      </c>
      <c r="DU963" s="5" t="s">
        <v>310</v>
      </c>
      <c r="GL963" s="5" t="s">
        <v>2575</v>
      </c>
      <c r="HM963" s="5" t="s">
        <v>313</v>
      </c>
      <c r="HP963" s="5" t="s">
        <v>272</v>
      </c>
      <c r="HQ963" s="5" t="s">
        <v>272</v>
      </c>
      <c r="HR963" s="5" t="s">
        <v>238</v>
      </c>
      <c r="HS963" s="5" t="s">
        <v>238</v>
      </c>
      <c r="HT963" s="5" t="s">
        <v>238</v>
      </c>
      <c r="HU963" s="5" t="s">
        <v>238</v>
      </c>
      <c r="HV963" s="5" t="s">
        <v>238</v>
      </c>
      <c r="HW963" s="5" t="s">
        <v>238</v>
      </c>
      <c r="HX963" s="5" t="s">
        <v>238</v>
      </c>
      <c r="HY963" s="5" t="s">
        <v>238</v>
      </c>
      <c r="HZ963" s="5" t="s">
        <v>238</v>
      </c>
      <c r="IA963" s="5" t="s">
        <v>238</v>
      </c>
      <c r="IB963" s="5" t="s">
        <v>238</v>
      </c>
      <c r="IC963" s="5" t="s">
        <v>238</v>
      </c>
      <c r="ID963" s="5" t="s">
        <v>238</v>
      </c>
    </row>
    <row r="964" spans="1:238" x14ac:dyDescent="0.4">
      <c r="A964" s="5">
        <v>1060</v>
      </c>
      <c r="B964" s="5">
        <v>1</v>
      </c>
      <c r="C964" s="5">
        <v>4</v>
      </c>
      <c r="D964" s="5" t="s">
        <v>2565</v>
      </c>
      <c r="E964" s="5" t="s">
        <v>277</v>
      </c>
      <c r="F964" s="5" t="s">
        <v>282</v>
      </c>
      <c r="G964" s="5" t="s">
        <v>2485</v>
      </c>
      <c r="H964" s="6" t="s">
        <v>2567</v>
      </c>
      <c r="I964" s="5" t="s">
        <v>2489</v>
      </c>
      <c r="J964" s="7">
        <f>57.96</f>
        <v>57.96</v>
      </c>
      <c r="K964" s="5" t="s">
        <v>270</v>
      </c>
      <c r="L964" s="8">
        <f>8344296</f>
        <v>8344296</v>
      </c>
      <c r="M964" s="8">
        <f>13203000</f>
        <v>13203000</v>
      </c>
      <c r="N964" s="6" t="s">
        <v>2573</v>
      </c>
      <c r="O964" s="5" t="s">
        <v>286</v>
      </c>
      <c r="P964" s="5" t="s">
        <v>313</v>
      </c>
      <c r="Q964" s="8">
        <f>607338</f>
        <v>607338</v>
      </c>
      <c r="R964" s="8">
        <f>4858704</f>
        <v>4858704</v>
      </c>
      <c r="S964" s="5" t="s">
        <v>240</v>
      </c>
      <c r="T964" s="5" t="s">
        <v>237</v>
      </c>
      <c r="U964" s="5" t="s">
        <v>238</v>
      </c>
      <c r="V964" s="5" t="s">
        <v>238</v>
      </c>
      <c r="W964" s="5" t="s">
        <v>241</v>
      </c>
      <c r="X964" s="5" t="s">
        <v>276</v>
      </c>
      <c r="Y964" s="5" t="s">
        <v>238</v>
      </c>
      <c r="AB964" s="5" t="s">
        <v>238</v>
      </c>
      <c r="AC964" s="6" t="s">
        <v>238</v>
      </c>
      <c r="AD964" s="6" t="s">
        <v>238</v>
      </c>
      <c r="AF964" s="6" t="s">
        <v>238</v>
      </c>
      <c r="AG964" s="6" t="s">
        <v>1615</v>
      </c>
      <c r="AH964" s="5" t="s">
        <v>247</v>
      </c>
      <c r="AI964" s="5" t="s">
        <v>248</v>
      </c>
      <c r="AO964" s="5" t="s">
        <v>238</v>
      </c>
      <c r="AP964" s="5" t="s">
        <v>238</v>
      </c>
      <c r="AQ964" s="5" t="s">
        <v>238</v>
      </c>
      <c r="AR964" s="6" t="s">
        <v>238</v>
      </c>
      <c r="AS964" s="6" t="s">
        <v>238</v>
      </c>
      <c r="AT964" s="6" t="s">
        <v>238</v>
      </c>
      <c r="AW964" s="5" t="s">
        <v>304</v>
      </c>
      <c r="AX964" s="5" t="s">
        <v>304</v>
      </c>
      <c r="AY964" s="5" t="s">
        <v>250</v>
      </c>
      <c r="AZ964" s="5" t="s">
        <v>305</v>
      </c>
      <c r="BA964" s="5" t="s">
        <v>251</v>
      </c>
      <c r="BB964" s="5" t="s">
        <v>238</v>
      </c>
      <c r="BC964" s="5" t="s">
        <v>253</v>
      </c>
      <c r="BD964" s="5" t="s">
        <v>238</v>
      </c>
      <c r="BF964" s="5" t="s">
        <v>238</v>
      </c>
      <c r="BH964" s="5" t="s">
        <v>283</v>
      </c>
      <c r="BI964" s="6" t="s">
        <v>293</v>
      </c>
      <c r="BJ964" s="5" t="s">
        <v>294</v>
      </c>
      <c r="BK964" s="5" t="s">
        <v>294</v>
      </c>
      <c r="BL964" s="5" t="s">
        <v>238</v>
      </c>
      <c r="BM964" s="7">
        <f>0</f>
        <v>0</v>
      </c>
      <c r="BN964" s="8">
        <f>-607338</f>
        <v>-607338</v>
      </c>
      <c r="BO964" s="5" t="s">
        <v>257</v>
      </c>
      <c r="BP964" s="5" t="s">
        <v>258</v>
      </c>
      <c r="BQ964" s="5" t="s">
        <v>238</v>
      </c>
      <c r="BR964" s="5" t="s">
        <v>238</v>
      </c>
      <c r="BS964" s="5" t="s">
        <v>238</v>
      </c>
      <c r="BT964" s="5" t="s">
        <v>238</v>
      </c>
      <c r="CC964" s="5" t="s">
        <v>258</v>
      </c>
      <c r="CD964" s="5" t="s">
        <v>238</v>
      </c>
      <c r="CE964" s="5" t="s">
        <v>238</v>
      </c>
      <c r="CI964" s="5" t="s">
        <v>259</v>
      </c>
      <c r="CJ964" s="5" t="s">
        <v>260</v>
      </c>
      <c r="CK964" s="5" t="s">
        <v>238</v>
      </c>
      <c r="CM964" s="5" t="s">
        <v>723</v>
      </c>
      <c r="CN964" s="6" t="s">
        <v>262</v>
      </c>
      <c r="CO964" s="5" t="s">
        <v>263</v>
      </c>
      <c r="CP964" s="5" t="s">
        <v>264</v>
      </c>
      <c r="CQ964" s="5" t="s">
        <v>285</v>
      </c>
      <c r="CR964" s="5" t="s">
        <v>238</v>
      </c>
      <c r="CS964" s="5">
        <v>4.5999999999999999E-2</v>
      </c>
      <c r="CT964" s="5" t="s">
        <v>265</v>
      </c>
      <c r="CU964" s="5" t="s">
        <v>1360</v>
      </c>
      <c r="CV964" s="5" t="s">
        <v>267</v>
      </c>
      <c r="CW964" s="7">
        <f>0</f>
        <v>0</v>
      </c>
      <c r="CX964" s="8">
        <f>13203000</f>
        <v>13203000</v>
      </c>
      <c r="CY964" s="8">
        <f>8951634</f>
        <v>8951634</v>
      </c>
      <c r="DA964" s="5" t="s">
        <v>238</v>
      </c>
      <c r="DB964" s="5" t="s">
        <v>238</v>
      </c>
      <c r="DD964" s="5" t="s">
        <v>238</v>
      </c>
      <c r="DE964" s="8">
        <f>0</f>
        <v>0</v>
      </c>
      <c r="DG964" s="5" t="s">
        <v>238</v>
      </c>
      <c r="DH964" s="5" t="s">
        <v>238</v>
      </c>
      <c r="DI964" s="5" t="s">
        <v>238</v>
      </c>
      <c r="DJ964" s="5" t="s">
        <v>238</v>
      </c>
      <c r="DK964" s="5" t="s">
        <v>271</v>
      </c>
      <c r="DL964" s="5" t="s">
        <v>272</v>
      </c>
      <c r="DM964" s="7">
        <f>57.96</f>
        <v>57.96</v>
      </c>
      <c r="DN964" s="5" t="s">
        <v>238</v>
      </c>
      <c r="DO964" s="5" t="s">
        <v>238</v>
      </c>
      <c r="DP964" s="5" t="s">
        <v>238</v>
      </c>
      <c r="DQ964" s="5" t="s">
        <v>238</v>
      </c>
      <c r="DT964" s="5" t="s">
        <v>2568</v>
      </c>
      <c r="DU964" s="5" t="s">
        <v>379</v>
      </c>
      <c r="GL964" s="5" t="s">
        <v>2574</v>
      </c>
      <c r="HM964" s="5" t="s">
        <v>313</v>
      </c>
      <c r="HP964" s="5" t="s">
        <v>272</v>
      </c>
      <c r="HQ964" s="5" t="s">
        <v>272</v>
      </c>
      <c r="HR964" s="5" t="s">
        <v>238</v>
      </c>
      <c r="HS964" s="5" t="s">
        <v>238</v>
      </c>
      <c r="HT964" s="5" t="s">
        <v>238</v>
      </c>
      <c r="HU964" s="5" t="s">
        <v>238</v>
      </c>
      <c r="HV964" s="5" t="s">
        <v>238</v>
      </c>
      <c r="HW964" s="5" t="s">
        <v>238</v>
      </c>
      <c r="HX964" s="5" t="s">
        <v>238</v>
      </c>
      <c r="HY964" s="5" t="s">
        <v>238</v>
      </c>
      <c r="HZ964" s="5" t="s">
        <v>238</v>
      </c>
      <c r="IA964" s="5" t="s">
        <v>238</v>
      </c>
      <c r="IB964" s="5" t="s">
        <v>238</v>
      </c>
      <c r="IC964" s="5" t="s">
        <v>238</v>
      </c>
      <c r="ID964" s="5" t="s">
        <v>238</v>
      </c>
    </row>
    <row r="965" spans="1:238" x14ac:dyDescent="0.4">
      <c r="A965" s="5">
        <v>1061</v>
      </c>
      <c r="B965" s="5">
        <v>1</v>
      </c>
      <c r="C965" s="5">
        <v>4</v>
      </c>
      <c r="D965" s="5" t="s">
        <v>2565</v>
      </c>
      <c r="E965" s="5" t="s">
        <v>277</v>
      </c>
      <c r="F965" s="5" t="s">
        <v>282</v>
      </c>
      <c r="G965" s="5" t="s">
        <v>2485</v>
      </c>
      <c r="H965" s="6" t="s">
        <v>2567</v>
      </c>
      <c r="I965" s="5" t="s">
        <v>2520</v>
      </c>
      <c r="J965" s="7">
        <f>81.14</f>
        <v>81.14</v>
      </c>
      <c r="K965" s="5" t="s">
        <v>270</v>
      </c>
      <c r="L965" s="8">
        <f>10148024</f>
        <v>10148024</v>
      </c>
      <c r="M965" s="8">
        <f>16057000</f>
        <v>16057000</v>
      </c>
      <c r="N965" s="6" t="s">
        <v>2566</v>
      </c>
      <c r="O965" s="5" t="s">
        <v>286</v>
      </c>
      <c r="P965" s="5" t="s">
        <v>313</v>
      </c>
      <c r="Q965" s="8">
        <f>738622</f>
        <v>738622</v>
      </c>
      <c r="R965" s="8">
        <f>5908976</f>
        <v>5908976</v>
      </c>
      <c r="S965" s="5" t="s">
        <v>240</v>
      </c>
      <c r="T965" s="5" t="s">
        <v>237</v>
      </c>
      <c r="U965" s="5" t="s">
        <v>238</v>
      </c>
      <c r="V965" s="5" t="s">
        <v>238</v>
      </c>
      <c r="W965" s="5" t="s">
        <v>241</v>
      </c>
      <c r="X965" s="5" t="s">
        <v>276</v>
      </c>
      <c r="Y965" s="5" t="s">
        <v>238</v>
      </c>
      <c r="AB965" s="5" t="s">
        <v>238</v>
      </c>
      <c r="AC965" s="6" t="s">
        <v>238</v>
      </c>
      <c r="AD965" s="6" t="s">
        <v>238</v>
      </c>
      <c r="AF965" s="6" t="s">
        <v>238</v>
      </c>
      <c r="AG965" s="6" t="s">
        <v>1615</v>
      </c>
      <c r="AH965" s="5" t="s">
        <v>247</v>
      </c>
      <c r="AI965" s="5" t="s">
        <v>248</v>
      </c>
      <c r="AO965" s="5" t="s">
        <v>238</v>
      </c>
      <c r="AP965" s="5" t="s">
        <v>238</v>
      </c>
      <c r="AQ965" s="5" t="s">
        <v>238</v>
      </c>
      <c r="AR965" s="6" t="s">
        <v>238</v>
      </c>
      <c r="AS965" s="6" t="s">
        <v>238</v>
      </c>
      <c r="AT965" s="6" t="s">
        <v>238</v>
      </c>
      <c r="AW965" s="5" t="s">
        <v>304</v>
      </c>
      <c r="AX965" s="5" t="s">
        <v>304</v>
      </c>
      <c r="AY965" s="5" t="s">
        <v>250</v>
      </c>
      <c r="AZ965" s="5" t="s">
        <v>305</v>
      </c>
      <c r="BA965" s="5" t="s">
        <v>251</v>
      </c>
      <c r="BB965" s="5" t="s">
        <v>238</v>
      </c>
      <c r="BC965" s="5" t="s">
        <v>253</v>
      </c>
      <c r="BD965" s="5" t="s">
        <v>238</v>
      </c>
      <c r="BF965" s="5" t="s">
        <v>238</v>
      </c>
      <c r="BH965" s="5" t="s">
        <v>283</v>
      </c>
      <c r="BI965" s="6" t="s">
        <v>293</v>
      </c>
      <c r="BJ965" s="5" t="s">
        <v>294</v>
      </c>
      <c r="BK965" s="5" t="s">
        <v>294</v>
      </c>
      <c r="BL965" s="5" t="s">
        <v>238</v>
      </c>
      <c r="BM965" s="7">
        <f>0</f>
        <v>0</v>
      </c>
      <c r="BN965" s="8">
        <f>-738622</f>
        <v>-738622</v>
      </c>
      <c r="BO965" s="5" t="s">
        <v>257</v>
      </c>
      <c r="BP965" s="5" t="s">
        <v>258</v>
      </c>
      <c r="BQ965" s="5" t="s">
        <v>238</v>
      </c>
      <c r="BR965" s="5" t="s">
        <v>238</v>
      </c>
      <c r="BS965" s="5" t="s">
        <v>238</v>
      </c>
      <c r="BT965" s="5" t="s">
        <v>238</v>
      </c>
      <c r="CC965" s="5" t="s">
        <v>258</v>
      </c>
      <c r="CD965" s="5" t="s">
        <v>238</v>
      </c>
      <c r="CE965" s="5" t="s">
        <v>238</v>
      </c>
      <c r="CI965" s="5" t="s">
        <v>259</v>
      </c>
      <c r="CJ965" s="5" t="s">
        <v>260</v>
      </c>
      <c r="CK965" s="5" t="s">
        <v>238</v>
      </c>
      <c r="CM965" s="5" t="s">
        <v>723</v>
      </c>
      <c r="CN965" s="6" t="s">
        <v>262</v>
      </c>
      <c r="CO965" s="5" t="s">
        <v>263</v>
      </c>
      <c r="CP965" s="5" t="s">
        <v>264</v>
      </c>
      <c r="CQ965" s="5" t="s">
        <v>285</v>
      </c>
      <c r="CR965" s="5" t="s">
        <v>238</v>
      </c>
      <c r="CS965" s="5">
        <v>4.5999999999999999E-2</v>
      </c>
      <c r="CT965" s="5" t="s">
        <v>265</v>
      </c>
      <c r="CU965" s="5" t="s">
        <v>1360</v>
      </c>
      <c r="CV965" s="5" t="s">
        <v>267</v>
      </c>
      <c r="CW965" s="7">
        <f>0</f>
        <v>0</v>
      </c>
      <c r="CX965" s="8">
        <f>16057000</f>
        <v>16057000</v>
      </c>
      <c r="CY965" s="8">
        <f>10886646</f>
        <v>10886646</v>
      </c>
      <c r="DA965" s="5" t="s">
        <v>238</v>
      </c>
      <c r="DB965" s="5" t="s">
        <v>238</v>
      </c>
      <c r="DD965" s="5" t="s">
        <v>238</v>
      </c>
      <c r="DE965" s="8">
        <f>0</f>
        <v>0</v>
      </c>
      <c r="DG965" s="5" t="s">
        <v>238</v>
      </c>
      <c r="DH965" s="5" t="s">
        <v>238</v>
      </c>
      <c r="DI965" s="5" t="s">
        <v>238</v>
      </c>
      <c r="DJ965" s="5" t="s">
        <v>238</v>
      </c>
      <c r="DK965" s="5" t="s">
        <v>274</v>
      </c>
      <c r="DL965" s="5" t="s">
        <v>272</v>
      </c>
      <c r="DM965" s="7">
        <f>81.14</f>
        <v>81.14</v>
      </c>
      <c r="DN965" s="5" t="s">
        <v>238</v>
      </c>
      <c r="DO965" s="5" t="s">
        <v>238</v>
      </c>
      <c r="DP965" s="5" t="s">
        <v>238</v>
      </c>
      <c r="DQ965" s="5" t="s">
        <v>238</v>
      </c>
      <c r="DT965" s="5" t="s">
        <v>2568</v>
      </c>
      <c r="DU965" s="5" t="s">
        <v>313</v>
      </c>
      <c r="GL965" s="5" t="s">
        <v>2572</v>
      </c>
      <c r="HM965" s="5" t="s">
        <v>313</v>
      </c>
      <c r="HP965" s="5" t="s">
        <v>272</v>
      </c>
      <c r="HQ965" s="5" t="s">
        <v>272</v>
      </c>
      <c r="HR965" s="5" t="s">
        <v>238</v>
      </c>
      <c r="HS965" s="5" t="s">
        <v>238</v>
      </c>
      <c r="HT965" s="5" t="s">
        <v>238</v>
      </c>
      <c r="HU965" s="5" t="s">
        <v>238</v>
      </c>
      <c r="HV965" s="5" t="s">
        <v>238</v>
      </c>
      <c r="HW965" s="5" t="s">
        <v>238</v>
      </c>
      <c r="HX965" s="5" t="s">
        <v>238</v>
      </c>
      <c r="HY965" s="5" t="s">
        <v>238</v>
      </c>
      <c r="HZ965" s="5" t="s">
        <v>238</v>
      </c>
      <c r="IA965" s="5" t="s">
        <v>238</v>
      </c>
      <c r="IB965" s="5" t="s">
        <v>238</v>
      </c>
      <c r="IC965" s="5" t="s">
        <v>238</v>
      </c>
      <c r="ID965" s="5" t="s">
        <v>238</v>
      </c>
    </row>
    <row r="966" spans="1:238" x14ac:dyDescent="0.4">
      <c r="A966" s="5">
        <v>1062</v>
      </c>
      <c r="B966" s="5">
        <v>1</v>
      </c>
      <c r="C966" s="5">
        <v>4</v>
      </c>
      <c r="D966" s="5" t="s">
        <v>2565</v>
      </c>
      <c r="E966" s="5" t="s">
        <v>277</v>
      </c>
      <c r="F966" s="5" t="s">
        <v>282</v>
      </c>
      <c r="G966" s="5" t="s">
        <v>2485</v>
      </c>
      <c r="H966" s="6" t="s">
        <v>2567</v>
      </c>
      <c r="I966" s="5" t="s">
        <v>2516</v>
      </c>
      <c r="J966" s="7">
        <f>81.14</f>
        <v>81.14</v>
      </c>
      <c r="K966" s="5" t="s">
        <v>270</v>
      </c>
      <c r="L966" s="8">
        <f>10148024</f>
        <v>10148024</v>
      </c>
      <c r="M966" s="8">
        <f>16057000</f>
        <v>16057000</v>
      </c>
      <c r="N966" s="6" t="s">
        <v>2566</v>
      </c>
      <c r="O966" s="5" t="s">
        <v>286</v>
      </c>
      <c r="P966" s="5" t="s">
        <v>313</v>
      </c>
      <c r="Q966" s="8">
        <f>738622</f>
        <v>738622</v>
      </c>
      <c r="R966" s="8">
        <f>5908976</f>
        <v>5908976</v>
      </c>
      <c r="S966" s="5" t="s">
        <v>240</v>
      </c>
      <c r="T966" s="5" t="s">
        <v>237</v>
      </c>
      <c r="U966" s="5" t="s">
        <v>238</v>
      </c>
      <c r="V966" s="5" t="s">
        <v>238</v>
      </c>
      <c r="W966" s="5" t="s">
        <v>241</v>
      </c>
      <c r="X966" s="5" t="s">
        <v>276</v>
      </c>
      <c r="Y966" s="5" t="s">
        <v>238</v>
      </c>
      <c r="AB966" s="5" t="s">
        <v>238</v>
      </c>
      <c r="AC966" s="6" t="s">
        <v>238</v>
      </c>
      <c r="AD966" s="6" t="s">
        <v>238</v>
      </c>
      <c r="AF966" s="6" t="s">
        <v>238</v>
      </c>
      <c r="AG966" s="6" t="s">
        <v>1615</v>
      </c>
      <c r="AH966" s="5" t="s">
        <v>247</v>
      </c>
      <c r="AI966" s="5" t="s">
        <v>248</v>
      </c>
      <c r="AO966" s="5" t="s">
        <v>238</v>
      </c>
      <c r="AP966" s="5" t="s">
        <v>238</v>
      </c>
      <c r="AQ966" s="5" t="s">
        <v>238</v>
      </c>
      <c r="AR966" s="6" t="s">
        <v>238</v>
      </c>
      <c r="AS966" s="6" t="s">
        <v>238</v>
      </c>
      <c r="AT966" s="6" t="s">
        <v>238</v>
      </c>
      <c r="AW966" s="5" t="s">
        <v>304</v>
      </c>
      <c r="AX966" s="5" t="s">
        <v>304</v>
      </c>
      <c r="AY966" s="5" t="s">
        <v>250</v>
      </c>
      <c r="AZ966" s="5" t="s">
        <v>305</v>
      </c>
      <c r="BA966" s="5" t="s">
        <v>251</v>
      </c>
      <c r="BB966" s="5" t="s">
        <v>238</v>
      </c>
      <c r="BC966" s="5" t="s">
        <v>253</v>
      </c>
      <c r="BD966" s="5" t="s">
        <v>238</v>
      </c>
      <c r="BF966" s="5" t="s">
        <v>238</v>
      </c>
      <c r="BH966" s="5" t="s">
        <v>283</v>
      </c>
      <c r="BI966" s="6" t="s">
        <v>293</v>
      </c>
      <c r="BJ966" s="5" t="s">
        <v>294</v>
      </c>
      <c r="BK966" s="5" t="s">
        <v>294</v>
      </c>
      <c r="BL966" s="5" t="s">
        <v>238</v>
      </c>
      <c r="BM966" s="7">
        <f>0</f>
        <v>0</v>
      </c>
      <c r="BN966" s="8">
        <f>-738622</f>
        <v>-738622</v>
      </c>
      <c r="BO966" s="5" t="s">
        <v>257</v>
      </c>
      <c r="BP966" s="5" t="s">
        <v>258</v>
      </c>
      <c r="BQ966" s="5" t="s">
        <v>238</v>
      </c>
      <c r="BR966" s="5" t="s">
        <v>238</v>
      </c>
      <c r="BS966" s="5" t="s">
        <v>238</v>
      </c>
      <c r="BT966" s="5" t="s">
        <v>238</v>
      </c>
      <c r="CC966" s="5" t="s">
        <v>258</v>
      </c>
      <c r="CD966" s="5" t="s">
        <v>238</v>
      </c>
      <c r="CE966" s="5" t="s">
        <v>238</v>
      </c>
      <c r="CI966" s="5" t="s">
        <v>259</v>
      </c>
      <c r="CJ966" s="5" t="s">
        <v>260</v>
      </c>
      <c r="CK966" s="5" t="s">
        <v>238</v>
      </c>
      <c r="CM966" s="5" t="s">
        <v>723</v>
      </c>
      <c r="CN966" s="6" t="s">
        <v>262</v>
      </c>
      <c r="CO966" s="5" t="s">
        <v>263</v>
      </c>
      <c r="CP966" s="5" t="s">
        <v>264</v>
      </c>
      <c r="CQ966" s="5" t="s">
        <v>285</v>
      </c>
      <c r="CR966" s="5" t="s">
        <v>238</v>
      </c>
      <c r="CS966" s="5">
        <v>4.5999999999999999E-2</v>
      </c>
      <c r="CT966" s="5" t="s">
        <v>265</v>
      </c>
      <c r="CU966" s="5" t="s">
        <v>1360</v>
      </c>
      <c r="CV966" s="5" t="s">
        <v>267</v>
      </c>
      <c r="CW966" s="7">
        <f>0</f>
        <v>0</v>
      </c>
      <c r="CX966" s="8">
        <f>16057000</f>
        <v>16057000</v>
      </c>
      <c r="CY966" s="8">
        <f>10886646</f>
        <v>10886646</v>
      </c>
      <c r="DA966" s="5" t="s">
        <v>238</v>
      </c>
      <c r="DB966" s="5" t="s">
        <v>238</v>
      </c>
      <c r="DD966" s="5" t="s">
        <v>238</v>
      </c>
      <c r="DE966" s="8">
        <f>0</f>
        <v>0</v>
      </c>
      <c r="DG966" s="5" t="s">
        <v>238</v>
      </c>
      <c r="DH966" s="5" t="s">
        <v>238</v>
      </c>
      <c r="DI966" s="5" t="s">
        <v>238</v>
      </c>
      <c r="DJ966" s="5" t="s">
        <v>238</v>
      </c>
      <c r="DK966" s="5" t="s">
        <v>274</v>
      </c>
      <c r="DL966" s="5" t="s">
        <v>272</v>
      </c>
      <c r="DM966" s="7">
        <f>81.14</f>
        <v>81.14</v>
      </c>
      <c r="DN966" s="5" t="s">
        <v>238</v>
      </c>
      <c r="DO966" s="5" t="s">
        <v>238</v>
      </c>
      <c r="DP966" s="5" t="s">
        <v>238</v>
      </c>
      <c r="DQ966" s="5" t="s">
        <v>238</v>
      </c>
      <c r="DT966" s="5" t="s">
        <v>2568</v>
      </c>
      <c r="DU966" s="5" t="s">
        <v>389</v>
      </c>
      <c r="GL966" s="5" t="s">
        <v>2571</v>
      </c>
      <c r="HM966" s="5" t="s">
        <v>313</v>
      </c>
      <c r="HP966" s="5" t="s">
        <v>272</v>
      </c>
      <c r="HQ966" s="5" t="s">
        <v>272</v>
      </c>
      <c r="HR966" s="5" t="s">
        <v>238</v>
      </c>
      <c r="HS966" s="5" t="s">
        <v>238</v>
      </c>
      <c r="HT966" s="5" t="s">
        <v>238</v>
      </c>
      <c r="HU966" s="5" t="s">
        <v>238</v>
      </c>
      <c r="HV966" s="5" t="s">
        <v>238</v>
      </c>
      <c r="HW966" s="5" t="s">
        <v>238</v>
      </c>
      <c r="HX966" s="5" t="s">
        <v>238</v>
      </c>
      <c r="HY966" s="5" t="s">
        <v>238</v>
      </c>
      <c r="HZ966" s="5" t="s">
        <v>238</v>
      </c>
      <c r="IA966" s="5" t="s">
        <v>238</v>
      </c>
      <c r="IB966" s="5" t="s">
        <v>238</v>
      </c>
      <c r="IC966" s="5" t="s">
        <v>238</v>
      </c>
      <c r="ID966" s="5" t="s">
        <v>238</v>
      </c>
    </row>
    <row r="967" spans="1:238" x14ac:dyDescent="0.4">
      <c r="A967" s="5">
        <v>1063</v>
      </c>
      <c r="B967" s="5">
        <v>1</v>
      </c>
      <c r="C967" s="5">
        <v>4</v>
      </c>
      <c r="D967" s="5" t="s">
        <v>2565</v>
      </c>
      <c r="E967" s="5" t="s">
        <v>277</v>
      </c>
      <c r="F967" s="5" t="s">
        <v>282</v>
      </c>
      <c r="G967" s="5" t="s">
        <v>2485</v>
      </c>
      <c r="H967" s="6" t="s">
        <v>2567</v>
      </c>
      <c r="I967" s="5" t="s">
        <v>2521</v>
      </c>
      <c r="J967" s="7">
        <f>81.14</f>
        <v>81.14</v>
      </c>
      <c r="K967" s="5" t="s">
        <v>270</v>
      </c>
      <c r="L967" s="8">
        <f>10148024</f>
        <v>10148024</v>
      </c>
      <c r="M967" s="8">
        <f>16057000</f>
        <v>16057000</v>
      </c>
      <c r="N967" s="6" t="s">
        <v>2566</v>
      </c>
      <c r="O967" s="5" t="s">
        <v>286</v>
      </c>
      <c r="P967" s="5" t="s">
        <v>313</v>
      </c>
      <c r="Q967" s="8">
        <f>738622</f>
        <v>738622</v>
      </c>
      <c r="R967" s="8">
        <f>5908976</f>
        <v>5908976</v>
      </c>
      <c r="S967" s="5" t="s">
        <v>240</v>
      </c>
      <c r="T967" s="5" t="s">
        <v>237</v>
      </c>
      <c r="U967" s="5" t="s">
        <v>238</v>
      </c>
      <c r="V967" s="5" t="s">
        <v>238</v>
      </c>
      <c r="W967" s="5" t="s">
        <v>241</v>
      </c>
      <c r="X967" s="5" t="s">
        <v>276</v>
      </c>
      <c r="Y967" s="5" t="s">
        <v>238</v>
      </c>
      <c r="AB967" s="5" t="s">
        <v>238</v>
      </c>
      <c r="AC967" s="6" t="s">
        <v>238</v>
      </c>
      <c r="AD967" s="6" t="s">
        <v>238</v>
      </c>
      <c r="AF967" s="6" t="s">
        <v>238</v>
      </c>
      <c r="AG967" s="6" t="s">
        <v>374</v>
      </c>
      <c r="AH967" s="5" t="s">
        <v>247</v>
      </c>
      <c r="AI967" s="5" t="s">
        <v>248</v>
      </c>
      <c r="AO967" s="5" t="s">
        <v>238</v>
      </c>
      <c r="AP967" s="5" t="s">
        <v>238</v>
      </c>
      <c r="AQ967" s="5" t="s">
        <v>238</v>
      </c>
      <c r="AR967" s="6" t="s">
        <v>238</v>
      </c>
      <c r="AS967" s="6" t="s">
        <v>238</v>
      </c>
      <c r="AT967" s="6" t="s">
        <v>238</v>
      </c>
      <c r="AW967" s="5" t="s">
        <v>304</v>
      </c>
      <c r="AX967" s="5" t="s">
        <v>304</v>
      </c>
      <c r="AY967" s="5" t="s">
        <v>250</v>
      </c>
      <c r="AZ967" s="5" t="s">
        <v>305</v>
      </c>
      <c r="BA967" s="5" t="s">
        <v>251</v>
      </c>
      <c r="BB967" s="5" t="s">
        <v>238</v>
      </c>
      <c r="BC967" s="5" t="s">
        <v>253</v>
      </c>
      <c r="BD967" s="5" t="s">
        <v>238</v>
      </c>
      <c r="BF967" s="5" t="s">
        <v>238</v>
      </c>
      <c r="BH967" s="5" t="s">
        <v>283</v>
      </c>
      <c r="BI967" s="6" t="s">
        <v>293</v>
      </c>
      <c r="BJ967" s="5" t="s">
        <v>294</v>
      </c>
      <c r="BK967" s="5" t="s">
        <v>294</v>
      </c>
      <c r="BL967" s="5" t="s">
        <v>238</v>
      </c>
      <c r="BM967" s="7">
        <f>0</f>
        <v>0</v>
      </c>
      <c r="BN967" s="8">
        <f>-738622</f>
        <v>-738622</v>
      </c>
      <c r="BO967" s="5" t="s">
        <v>257</v>
      </c>
      <c r="BP967" s="5" t="s">
        <v>258</v>
      </c>
      <c r="BQ967" s="5" t="s">
        <v>238</v>
      </c>
      <c r="BR967" s="5" t="s">
        <v>238</v>
      </c>
      <c r="BS967" s="5" t="s">
        <v>238</v>
      </c>
      <c r="BT967" s="5" t="s">
        <v>238</v>
      </c>
      <c r="CC967" s="5" t="s">
        <v>258</v>
      </c>
      <c r="CD967" s="5" t="s">
        <v>238</v>
      </c>
      <c r="CE967" s="5" t="s">
        <v>238</v>
      </c>
      <c r="CI967" s="5" t="s">
        <v>259</v>
      </c>
      <c r="CJ967" s="5" t="s">
        <v>260</v>
      </c>
      <c r="CK967" s="5" t="s">
        <v>238</v>
      </c>
      <c r="CM967" s="5" t="s">
        <v>723</v>
      </c>
      <c r="CN967" s="6" t="s">
        <v>262</v>
      </c>
      <c r="CO967" s="5" t="s">
        <v>263</v>
      </c>
      <c r="CP967" s="5" t="s">
        <v>264</v>
      </c>
      <c r="CQ967" s="5" t="s">
        <v>285</v>
      </c>
      <c r="CR967" s="5" t="s">
        <v>238</v>
      </c>
      <c r="CS967" s="5">
        <v>4.5999999999999999E-2</v>
      </c>
      <c r="CT967" s="5" t="s">
        <v>265</v>
      </c>
      <c r="CU967" s="5" t="s">
        <v>1360</v>
      </c>
      <c r="CV967" s="5" t="s">
        <v>267</v>
      </c>
      <c r="CW967" s="7">
        <f>0</f>
        <v>0</v>
      </c>
      <c r="CX967" s="8">
        <f>16057000</f>
        <v>16057000</v>
      </c>
      <c r="CY967" s="8">
        <f>10886646</f>
        <v>10886646</v>
      </c>
      <c r="DA967" s="5" t="s">
        <v>238</v>
      </c>
      <c r="DB967" s="5" t="s">
        <v>238</v>
      </c>
      <c r="DD967" s="5" t="s">
        <v>238</v>
      </c>
      <c r="DE967" s="8">
        <f>0</f>
        <v>0</v>
      </c>
      <c r="DG967" s="5" t="s">
        <v>238</v>
      </c>
      <c r="DH967" s="5" t="s">
        <v>238</v>
      </c>
      <c r="DI967" s="5" t="s">
        <v>238</v>
      </c>
      <c r="DJ967" s="5" t="s">
        <v>238</v>
      </c>
      <c r="DK967" s="5" t="s">
        <v>274</v>
      </c>
      <c r="DL967" s="5" t="s">
        <v>272</v>
      </c>
      <c r="DM967" s="7">
        <f>81.14</f>
        <v>81.14</v>
      </c>
      <c r="DN967" s="5" t="s">
        <v>238</v>
      </c>
      <c r="DO967" s="5" t="s">
        <v>238</v>
      </c>
      <c r="DP967" s="5" t="s">
        <v>238</v>
      </c>
      <c r="DQ967" s="5" t="s">
        <v>238</v>
      </c>
      <c r="DT967" s="5" t="s">
        <v>2568</v>
      </c>
      <c r="DU967" s="5" t="s">
        <v>354</v>
      </c>
      <c r="GL967" s="5" t="s">
        <v>2570</v>
      </c>
      <c r="HM967" s="5" t="s">
        <v>313</v>
      </c>
      <c r="HP967" s="5" t="s">
        <v>272</v>
      </c>
      <c r="HQ967" s="5" t="s">
        <v>272</v>
      </c>
      <c r="HR967" s="5" t="s">
        <v>238</v>
      </c>
      <c r="HS967" s="5" t="s">
        <v>238</v>
      </c>
      <c r="HT967" s="5" t="s">
        <v>238</v>
      </c>
      <c r="HU967" s="5" t="s">
        <v>238</v>
      </c>
      <c r="HV967" s="5" t="s">
        <v>238</v>
      </c>
      <c r="HW967" s="5" t="s">
        <v>238</v>
      </c>
      <c r="HX967" s="5" t="s">
        <v>238</v>
      </c>
      <c r="HY967" s="5" t="s">
        <v>238</v>
      </c>
      <c r="HZ967" s="5" t="s">
        <v>238</v>
      </c>
      <c r="IA967" s="5" t="s">
        <v>238</v>
      </c>
      <c r="IB967" s="5" t="s">
        <v>238</v>
      </c>
      <c r="IC967" s="5" t="s">
        <v>238</v>
      </c>
      <c r="ID967" s="5" t="s">
        <v>238</v>
      </c>
    </row>
    <row r="968" spans="1:238" x14ac:dyDescent="0.4">
      <c r="A968" s="5">
        <v>1064</v>
      </c>
      <c r="B968" s="5">
        <v>1</v>
      </c>
      <c r="C968" s="5">
        <v>4</v>
      </c>
      <c r="D968" s="5" t="s">
        <v>2565</v>
      </c>
      <c r="E968" s="5" t="s">
        <v>277</v>
      </c>
      <c r="F968" s="5" t="s">
        <v>282</v>
      </c>
      <c r="G968" s="5" t="s">
        <v>2485</v>
      </c>
      <c r="H968" s="6" t="s">
        <v>2567</v>
      </c>
      <c r="I968" s="5" t="s">
        <v>2500</v>
      </c>
      <c r="J968" s="7">
        <f>81.14</f>
        <v>81.14</v>
      </c>
      <c r="K968" s="5" t="s">
        <v>270</v>
      </c>
      <c r="L968" s="8">
        <f>10148024</f>
        <v>10148024</v>
      </c>
      <c r="M968" s="8">
        <f>16057000</f>
        <v>16057000</v>
      </c>
      <c r="N968" s="6" t="s">
        <v>2566</v>
      </c>
      <c r="O968" s="5" t="s">
        <v>286</v>
      </c>
      <c r="P968" s="5" t="s">
        <v>313</v>
      </c>
      <c r="Q968" s="8">
        <f>738622</f>
        <v>738622</v>
      </c>
      <c r="R968" s="8">
        <f>5908976</f>
        <v>5908976</v>
      </c>
      <c r="S968" s="5" t="s">
        <v>240</v>
      </c>
      <c r="T968" s="5" t="s">
        <v>237</v>
      </c>
      <c r="U968" s="5" t="s">
        <v>238</v>
      </c>
      <c r="V968" s="5" t="s">
        <v>238</v>
      </c>
      <c r="W968" s="5" t="s">
        <v>241</v>
      </c>
      <c r="X968" s="5" t="s">
        <v>276</v>
      </c>
      <c r="Y968" s="5" t="s">
        <v>238</v>
      </c>
      <c r="AB968" s="5" t="s">
        <v>238</v>
      </c>
      <c r="AC968" s="6" t="s">
        <v>238</v>
      </c>
      <c r="AD968" s="6" t="s">
        <v>238</v>
      </c>
      <c r="AF968" s="6" t="s">
        <v>238</v>
      </c>
      <c r="AG968" s="6" t="s">
        <v>374</v>
      </c>
      <c r="AH968" s="5" t="s">
        <v>247</v>
      </c>
      <c r="AI968" s="5" t="s">
        <v>248</v>
      </c>
      <c r="AO968" s="5" t="s">
        <v>238</v>
      </c>
      <c r="AP968" s="5" t="s">
        <v>238</v>
      </c>
      <c r="AQ968" s="5" t="s">
        <v>238</v>
      </c>
      <c r="AR968" s="6" t="s">
        <v>238</v>
      </c>
      <c r="AS968" s="6" t="s">
        <v>238</v>
      </c>
      <c r="AT968" s="6" t="s">
        <v>238</v>
      </c>
      <c r="AW968" s="5" t="s">
        <v>304</v>
      </c>
      <c r="AX968" s="5" t="s">
        <v>304</v>
      </c>
      <c r="AY968" s="5" t="s">
        <v>250</v>
      </c>
      <c r="AZ968" s="5" t="s">
        <v>305</v>
      </c>
      <c r="BA968" s="5" t="s">
        <v>251</v>
      </c>
      <c r="BB968" s="5" t="s">
        <v>238</v>
      </c>
      <c r="BC968" s="5" t="s">
        <v>253</v>
      </c>
      <c r="BD968" s="5" t="s">
        <v>238</v>
      </c>
      <c r="BF968" s="5" t="s">
        <v>238</v>
      </c>
      <c r="BH968" s="5" t="s">
        <v>283</v>
      </c>
      <c r="BI968" s="6" t="s">
        <v>293</v>
      </c>
      <c r="BJ968" s="5" t="s">
        <v>294</v>
      </c>
      <c r="BK968" s="5" t="s">
        <v>294</v>
      </c>
      <c r="BL968" s="5" t="s">
        <v>238</v>
      </c>
      <c r="BM968" s="7">
        <f>0</f>
        <v>0</v>
      </c>
      <c r="BN968" s="8">
        <f>-738622</f>
        <v>-738622</v>
      </c>
      <c r="BO968" s="5" t="s">
        <v>257</v>
      </c>
      <c r="BP968" s="5" t="s">
        <v>258</v>
      </c>
      <c r="BQ968" s="5" t="s">
        <v>238</v>
      </c>
      <c r="BR968" s="5" t="s">
        <v>238</v>
      </c>
      <c r="BS968" s="5" t="s">
        <v>238</v>
      </c>
      <c r="BT968" s="5" t="s">
        <v>238</v>
      </c>
      <c r="CC968" s="5" t="s">
        <v>258</v>
      </c>
      <c r="CD968" s="5" t="s">
        <v>238</v>
      </c>
      <c r="CE968" s="5" t="s">
        <v>238</v>
      </c>
      <c r="CI968" s="5" t="s">
        <v>259</v>
      </c>
      <c r="CJ968" s="5" t="s">
        <v>260</v>
      </c>
      <c r="CK968" s="5" t="s">
        <v>238</v>
      </c>
      <c r="CM968" s="5" t="s">
        <v>723</v>
      </c>
      <c r="CN968" s="6" t="s">
        <v>262</v>
      </c>
      <c r="CO968" s="5" t="s">
        <v>263</v>
      </c>
      <c r="CP968" s="5" t="s">
        <v>264</v>
      </c>
      <c r="CQ968" s="5" t="s">
        <v>285</v>
      </c>
      <c r="CR968" s="5" t="s">
        <v>238</v>
      </c>
      <c r="CS968" s="5">
        <v>4.5999999999999999E-2</v>
      </c>
      <c r="CT968" s="5" t="s">
        <v>265</v>
      </c>
      <c r="CU968" s="5" t="s">
        <v>1360</v>
      </c>
      <c r="CV968" s="5" t="s">
        <v>267</v>
      </c>
      <c r="CW968" s="7">
        <f>0</f>
        <v>0</v>
      </c>
      <c r="CX968" s="8">
        <f>16057000</f>
        <v>16057000</v>
      </c>
      <c r="CY968" s="8">
        <f>10886646</f>
        <v>10886646</v>
      </c>
      <c r="DA968" s="5" t="s">
        <v>238</v>
      </c>
      <c r="DB968" s="5" t="s">
        <v>238</v>
      </c>
      <c r="DD968" s="5" t="s">
        <v>238</v>
      </c>
      <c r="DE968" s="8">
        <f>0</f>
        <v>0</v>
      </c>
      <c r="DG968" s="5" t="s">
        <v>238</v>
      </c>
      <c r="DH968" s="5" t="s">
        <v>238</v>
      </c>
      <c r="DI968" s="5" t="s">
        <v>238</v>
      </c>
      <c r="DJ968" s="5" t="s">
        <v>238</v>
      </c>
      <c r="DK968" s="5" t="s">
        <v>274</v>
      </c>
      <c r="DL968" s="5" t="s">
        <v>272</v>
      </c>
      <c r="DM968" s="7">
        <f>81.14</f>
        <v>81.14</v>
      </c>
      <c r="DN968" s="5" t="s">
        <v>238</v>
      </c>
      <c r="DO968" s="5" t="s">
        <v>238</v>
      </c>
      <c r="DP968" s="5" t="s">
        <v>238</v>
      </c>
      <c r="DQ968" s="5" t="s">
        <v>238</v>
      </c>
      <c r="DT968" s="5" t="s">
        <v>2568</v>
      </c>
      <c r="DU968" s="5" t="s">
        <v>361</v>
      </c>
      <c r="GL968" s="5" t="s">
        <v>2569</v>
      </c>
      <c r="HM968" s="5" t="s">
        <v>313</v>
      </c>
      <c r="HP968" s="5" t="s">
        <v>272</v>
      </c>
      <c r="HQ968" s="5" t="s">
        <v>272</v>
      </c>
      <c r="HR968" s="5" t="s">
        <v>238</v>
      </c>
      <c r="HS968" s="5" t="s">
        <v>238</v>
      </c>
      <c r="HT968" s="5" t="s">
        <v>238</v>
      </c>
      <c r="HU968" s="5" t="s">
        <v>238</v>
      </c>
      <c r="HV968" s="5" t="s">
        <v>238</v>
      </c>
      <c r="HW968" s="5" t="s">
        <v>238</v>
      </c>
      <c r="HX968" s="5" t="s">
        <v>238</v>
      </c>
      <c r="HY968" s="5" t="s">
        <v>238</v>
      </c>
      <c r="HZ968" s="5" t="s">
        <v>238</v>
      </c>
      <c r="IA968" s="5" t="s">
        <v>238</v>
      </c>
      <c r="IB968" s="5" t="s">
        <v>238</v>
      </c>
      <c r="IC968" s="5" t="s">
        <v>238</v>
      </c>
      <c r="ID968" s="5" t="s">
        <v>238</v>
      </c>
    </row>
    <row r="969" spans="1:238" x14ac:dyDescent="0.4">
      <c r="A969" s="5">
        <v>1065</v>
      </c>
      <c r="B969" s="5">
        <v>1</v>
      </c>
      <c r="C969" s="5">
        <v>4</v>
      </c>
      <c r="D969" s="5" t="s">
        <v>2551</v>
      </c>
      <c r="E969" s="5" t="s">
        <v>277</v>
      </c>
      <c r="F969" s="5" t="s">
        <v>282</v>
      </c>
      <c r="G969" s="5" t="s">
        <v>2485</v>
      </c>
      <c r="H969" s="6" t="s">
        <v>2553</v>
      </c>
      <c r="I969" s="5" t="s">
        <v>2495</v>
      </c>
      <c r="J969" s="7">
        <f t="shared" ref="J969:J974" si="87">57.96</f>
        <v>57.96</v>
      </c>
      <c r="K969" s="5" t="s">
        <v>270</v>
      </c>
      <c r="L969" s="8">
        <f t="shared" ref="L969:L974" si="88">9914184</f>
        <v>9914184</v>
      </c>
      <c r="M969" s="8">
        <f t="shared" ref="M969:M974" si="89">15687000</f>
        <v>15687000</v>
      </c>
      <c r="N969" s="6" t="s">
        <v>2552</v>
      </c>
      <c r="O969" s="5" t="s">
        <v>286</v>
      </c>
      <c r="P969" s="5" t="s">
        <v>313</v>
      </c>
      <c r="Q969" s="8">
        <f t="shared" ref="Q969:Q974" si="90">721602</f>
        <v>721602</v>
      </c>
      <c r="R969" s="8">
        <f t="shared" ref="R969:R974" si="91">5772816</f>
        <v>5772816</v>
      </c>
      <c r="S969" s="5" t="s">
        <v>240</v>
      </c>
      <c r="T969" s="5" t="s">
        <v>237</v>
      </c>
      <c r="U969" s="5" t="s">
        <v>238</v>
      </c>
      <c r="V969" s="5" t="s">
        <v>238</v>
      </c>
      <c r="W969" s="5" t="s">
        <v>241</v>
      </c>
      <c r="X969" s="5" t="s">
        <v>276</v>
      </c>
      <c r="Y969" s="5" t="s">
        <v>238</v>
      </c>
      <c r="AB969" s="5" t="s">
        <v>238</v>
      </c>
      <c r="AC969" s="6" t="s">
        <v>238</v>
      </c>
      <c r="AD969" s="6" t="s">
        <v>238</v>
      </c>
      <c r="AF969" s="6" t="s">
        <v>238</v>
      </c>
      <c r="AG969" s="6" t="s">
        <v>374</v>
      </c>
      <c r="AH969" s="5" t="s">
        <v>247</v>
      </c>
      <c r="AI969" s="5" t="s">
        <v>248</v>
      </c>
      <c r="AO969" s="5" t="s">
        <v>238</v>
      </c>
      <c r="AP969" s="5" t="s">
        <v>238</v>
      </c>
      <c r="AQ969" s="5" t="s">
        <v>238</v>
      </c>
      <c r="AR969" s="6" t="s">
        <v>238</v>
      </c>
      <c r="AS969" s="6" t="s">
        <v>238</v>
      </c>
      <c r="AT969" s="6" t="s">
        <v>238</v>
      </c>
      <c r="AW969" s="5" t="s">
        <v>304</v>
      </c>
      <c r="AX969" s="5" t="s">
        <v>304</v>
      </c>
      <c r="AY969" s="5" t="s">
        <v>250</v>
      </c>
      <c r="AZ969" s="5" t="s">
        <v>305</v>
      </c>
      <c r="BA969" s="5" t="s">
        <v>251</v>
      </c>
      <c r="BB969" s="5" t="s">
        <v>238</v>
      </c>
      <c r="BC969" s="5" t="s">
        <v>253</v>
      </c>
      <c r="BD969" s="5" t="s">
        <v>238</v>
      </c>
      <c r="BF969" s="5" t="s">
        <v>238</v>
      </c>
      <c r="BH969" s="5" t="s">
        <v>283</v>
      </c>
      <c r="BI969" s="6" t="s">
        <v>293</v>
      </c>
      <c r="BJ969" s="5" t="s">
        <v>294</v>
      </c>
      <c r="BK969" s="5" t="s">
        <v>294</v>
      </c>
      <c r="BL969" s="5" t="s">
        <v>238</v>
      </c>
      <c r="BM969" s="7">
        <f>0</f>
        <v>0</v>
      </c>
      <c r="BN969" s="8">
        <f t="shared" ref="BN969:BN974" si="92">-721602</f>
        <v>-721602</v>
      </c>
      <c r="BO969" s="5" t="s">
        <v>257</v>
      </c>
      <c r="BP969" s="5" t="s">
        <v>258</v>
      </c>
      <c r="BQ969" s="5" t="s">
        <v>238</v>
      </c>
      <c r="BR969" s="5" t="s">
        <v>238</v>
      </c>
      <c r="BS969" s="5" t="s">
        <v>238</v>
      </c>
      <c r="BT969" s="5" t="s">
        <v>238</v>
      </c>
      <c r="CC969" s="5" t="s">
        <v>258</v>
      </c>
      <c r="CD969" s="5" t="s">
        <v>238</v>
      </c>
      <c r="CE969" s="5" t="s">
        <v>238</v>
      </c>
      <c r="CI969" s="5" t="s">
        <v>259</v>
      </c>
      <c r="CJ969" s="5" t="s">
        <v>260</v>
      </c>
      <c r="CK969" s="5" t="s">
        <v>238</v>
      </c>
      <c r="CM969" s="5" t="s">
        <v>723</v>
      </c>
      <c r="CN969" s="6" t="s">
        <v>262</v>
      </c>
      <c r="CO969" s="5" t="s">
        <v>263</v>
      </c>
      <c r="CP969" s="5" t="s">
        <v>264</v>
      </c>
      <c r="CQ969" s="5" t="s">
        <v>285</v>
      </c>
      <c r="CR969" s="5" t="s">
        <v>238</v>
      </c>
      <c r="CS969" s="5">
        <v>4.5999999999999999E-2</v>
      </c>
      <c r="CT969" s="5" t="s">
        <v>265</v>
      </c>
      <c r="CU969" s="5" t="s">
        <v>1360</v>
      </c>
      <c r="CV969" s="5" t="s">
        <v>267</v>
      </c>
      <c r="CW969" s="7">
        <f>0</f>
        <v>0</v>
      </c>
      <c r="CX969" s="8">
        <f t="shared" ref="CX969:CX974" si="93">15687000</f>
        <v>15687000</v>
      </c>
      <c r="CY969" s="8">
        <f t="shared" ref="CY969:CY974" si="94">10635786</f>
        <v>10635786</v>
      </c>
      <c r="DA969" s="5" t="s">
        <v>238</v>
      </c>
      <c r="DB969" s="5" t="s">
        <v>238</v>
      </c>
      <c r="DD969" s="5" t="s">
        <v>238</v>
      </c>
      <c r="DE969" s="8">
        <f>0</f>
        <v>0</v>
      </c>
      <c r="DG969" s="5" t="s">
        <v>238</v>
      </c>
      <c r="DH969" s="5" t="s">
        <v>238</v>
      </c>
      <c r="DI969" s="5" t="s">
        <v>238</v>
      </c>
      <c r="DJ969" s="5" t="s">
        <v>238</v>
      </c>
      <c r="DK969" s="5" t="s">
        <v>271</v>
      </c>
      <c r="DL969" s="5" t="s">
        <v>272</v>
      </c>
      <c r="DM969" s="7">
        <f t="shared" ref="DM969:DM974" si="95">57.96</f>
        <v>57.96</v>
      </c>
      <c r="DN969" s="5" t="s">
        <v>238</v>
      </c>
      <c r="DO969" s="5" t="s">
        <v>238</v>
      </c>
      <c r="DP969" s="5" t="s">
        <v>238</v>
      </c>
      <c r="DQ969" s="5" t="s">
        <v>238</v>
      </c>
      <c r="DT969" s="5" t="s">
        <v>2554</v>
      </c>
      <c r="DU969" s="5" t="s">
        <v>271</v>
      </c>
      <c r="GL969" s="5" t="s">
        <v>2564</v>
      </c>
      <c r="HM969" s="5" t="s">
        <v>313</v>
      </c>
      <c r="HP969" s="5" t="s">
        <v>272</v>
      </c>
      <c r="HQ969" s="5" t="s">
        <v>272</v>
      </c>
      <c r="HR969" s="5" t="s">
        <v>238</v>
      </c>
      <c r="HS969" s="5" t="s">
        <v>238</v>
      </c>
      <c r="HT969" s="5" t="s">
        <v>238</v>
      </c>
      <c r="HU969" s="5" t="s">
        <v>238</v>
      </c>
      <c r="HV969" s="5" t="s">
        <v>238</v>
      </c>
      <c r="HW969" s="5" t="s">
        <v>238</v>
      </c>
      <c r="HX969" s="5" t="s">
        <v>238</v>
      </c>
      <c r="HY969" s="5" t="s">
        <v>238</v>
      </c>
      <c r="HZ969" s="5" t="s">
        <v>238</v>
      </c>
      <c r="IA969" s="5" t="s">
        <v>238</v>
      </c>
      <c r="IB969" s="5" t="s">
        <v>238</v>
      </c>
      <c r="IC969" s="5" t="s">
        <v>238</v>
      </c>
      <c r="ID969" s="5" t="s">
        <v>238</v>
      </c>
    </row>
    <row r="970" spans="1:238" x14ac:dyDescent="0.4">
      <c r="A970" s="5">
        <v>1066</v>
      </c>
      <c r="B970" s="5">
        <v>1</v>
      </c>
      <c r="C970" s="5">
        <v>4</v>
      </c>
      <c r="D970" s="5" t="s">
        <v>2551</v>
      </c>
      <c r="E970" s="5" t="s">
        <v>277</v>
      </c>
      <c r="F970" s="5" t="s">
        <v>282</v>
      </c>
      <c r="G970" s="5" t="s">
        <v>2485</v>
      </c>
      <c r="H970" s="6" t="s">
        <v>2553</v>
      </c>
      <c r="I970" s="5" t="s">
        <v>2505</v>
      </c>
      <c r="J970" s="7">
        <f t="shared" si="87"/>
        <v>57.96</v>
      </c>
      <c r="K970" s="5" t="s">
        <v>270</v>
      </c>
      <c r="L970" s="8">
        <f t="shared" si="88"/>
        <v>9914184</v>
      </c>
      <c r="M970" s="8">
        <f t="shared" si="89"/>
        <v>15687000</v>
      </c>
      <c r="N970" s="6" t="s">
        <v>2552</v>
      </c>
      <c r="O970" s="5" t="s">
        <v>286</v>
      </c>
      <c r="P970" s="5" t="s">
        <v>313</v>
      </c>
      <c r="Q970" s="8">
        <f t="shared" si="90"/>
        <v>721602</v>
      </c>
      <c r="R970" s="8">
        <f t="shared" si="91"/>
        <v>5772816</v>
      </c>
      <c r="S970" s="5" t="s">
        <v>240</v>
      </c>
      <c r="T970" s="5" t="s">
        <v>237</v>
      </c>
      <c r="U970" s="5" t="s">
        <v>238</v>
      </c>
      <c r="V970" s="5" t="s">
        <v>238</v>
      </c>
      <c r="W970" s="5" t="s">
        <v>241</v>
      </c>
      <c r="X970" s="5" t="s">
        <v>276</v>
      </c>
      <c r="Y970" s="5" t="s">
        <v>238</v>
      </c>
      <c r="AB970" s="5" t="s">
        <v>238</v>
      </c>
      <c r="AC970" s="6" t="s">
        <v>238</v>
      </c>
      <c r="AD970" s="6" t="s">
        <v>238</v>
      </c>
      <c r="AF970" s="6" t="s">
        <v>238</v>
      </c>
      <c r="AG970" s="6" t="s">
        <v>246</v>
      </c>
      <c r="AH970" s="5" t="s">
        <v>247</v>
      </c>
      <c r="AI970" s="5" t="s">
        <v>248</v>
      </c>
      <c r="AO970" s="5" t="s">
        <v>238</v>
      </c>
      <c r="AP970" s="5" t="s">
        <v>238</v>
      </c>
      <c r="AQ970" s="5" t="s">
        <v>238</v>
      </c>
      <c r="AR970" s="6" t="s">
        <v>238</v>
      </c>
      <c r="AS970" s="6" t="s">
        <v>238</v>
      </c>
      <c r="AT970" s="6" t="s">
        <v>238</v>
      </c>
      <c r="AW970" s="5" t="s">
        <v>304</v>
      </c>
      <c r="AX970" s="5" t="s">
        <v>304</v>
      </c>
      <c r="AY970" s="5" t="s">
        <v>250</v>
      </c>
      <c r="AZ970" s="5" t="s">
        <v>305</v>
      </c>
      <c r="BA970" s="5" t="s">
        <v>251</v>
      </c>
      <c r="BB970" s="5" t="s">
        <v>238</v>
      </c>
      <c r="BC970" s="5" t="s">
        <v>253</v>
      </c>
      <c r="BD970" s="5" t="s">
        <v>238</v>
      </c>
      <c r="BF970" s="5" t="s">
        <v>238</v>
      </c>
      <c r="BH970" s="5" t="s">
        <v>283</v>
      </c>
      <c r="BI970" s="6" t="s">
        <v>293</v>
      </c>
      <c r="BJ970" s="5" t="s">
        <v>294</v>
      </c>
      <c r="BK970" s="5" t="s">
        <v>294</v>
      </c>
      <c r="BL970" s="5" t="s">
        <v>238</v>
      </c>
      <c r="BM970" s="7">
        <f>0</f>
        <v>0</v>
      </c>
      <c r="BN970" s="8">
        <f t="shared" si="92"/>
        <v>-721602</v>
      </c>
      <c r="BO970" s="5" t="s">
        <v>257</v>
      </c>
      <c r="BP970" s="5" t="s">
        <v>258</v>
      </c>
      <c r="BQ970" s="5" t="s">
        <v>238</v>
      </c>
      <c r="BR970" s="5" t="s">
        <v>238</v>
      </c>
      <c r="BS970" s="5" t="s">
        <v>238</v>
      </c>
      <c r="BT970" s="5" t="s">
        <v>238</v>
      </c>
      <c r="CC970" s="5" t="s">
        <v>258</v>
      </c>
      <c r="CD970" s="5" t="s">
        <v>238</v>
      </c>
      <c r="CE970" s="5" t="s">
        <v>238</v>
      </c>
      <c r="CI970" s="5" t="s">
        <v>259</v>
      </c>
      <c r="CJ970" s="5" t="s">
        <v>260</v>
      </c>
      <c r="CK970" s="5" t="s">
        <v>238</v>
      </c>
      <c r="CM970" s="5" t="s">
        <v>723</v>
      </c>
      <c r="CN970" s="6" t="s">
        <v>262</v>
      </c>
      <c r="CO970" s="5" t="s">
        <v>263</v>
      </c>
      <c r="CP970" s="5" t="s">
        <v>264</v>
      </c>
      <c r="CQ970" s="5" t="s">
        <v>285</v>
      </c>
      <c r="CR970" s="5" t="s">
        <v>238</v>
      </c>
      <c r="CS970" s="5">
        <v>4.5999999999999999E-2</v>
      </c>
      <c r="CT970" s="5" t="s">
        <v>265</v>
      </c>
      <c r="CU970" s="5" t="s">
        <v>1360</v>
      </c>
      <c r="CV970" s="5" t="s">
        <v>267</v>
      </c>
      <c r="CW970" s="7">
        <f>0</f>
        <v>0</v>
      </c>
      <c r="CX970" s="8">
        <f t="shared" si="93"/>
        <v>15687000</v>
      </c>
      <c r="CY970" s="8">
        <f t="shared" si="94"/>
        <v>10635786</v>
      </c>
      <c r="DA970" s="5" t="s">
        <v>238</v>
      </c>
      <c r="DB970" s="5" t="s">
        <v>238</v>
      </c>
      <c r="DD970" s="5" t="s">
        <v>238</v>
      </c>
      <c r="DE970" s="8">
        <f>0</f>
        <v>0</v>
      </c>
      <c r="DG970" s="5" t="s">
        <v>238</v>
      </c>
      <c r="DH970" s="5" t="s">
        <v>238</v>
      </c>
      <c r="DI970" s="5" t="s">
        <v>238</v>
      </c>
      <c r="DJ970" s="5" t="s">
        <v>238</v>
      </c>
      <c r="DK970" s="5" t="s">
        <v>271</v>
      </c>
      <c r="DL970" s="5" t="s">
        <v>272</v>
      </c>
      <c r="DM970" s="7">
        <f t="shared" si="95"/>
        <v>57.96</v>
      </c>
      <c r="DN970" s="5" t="s">
        <v>238</v>
      </c>
      <c r="DO970" s="5" t="s">
        <v>238</v>
      </c>
      <c r="DP970" s="5" t="s">
        <v>238</v>
      </c>
      <c r="DQ970" s="5" t="s">
        <v>238</v>
      </c>
      <c r="DT970" s="5" t="s">
        <v>2554</v>
      </c>
      <c r="DU970" s="5" t="s">
        <v>274</v>
      </c>
      <c r="GL970" s="5" t="s">
        <v>2563</v>
      </c>
      <c r="HM970" s="5" t="s">
        <v>313</v>
      </c>
      <c r="HP970" s="5" t="s">
        <v>272</v>
      </c>
      <c r="HQ970" s="5" t="s">
        <v>272</v>
      </c>
      <c r="HR970" s="5" t="s">
        <v>238</v>
      </c>
      <c r="HS970" s="5" t="s">
        <v>238</v>
      </c>
      <c r="HT970" s="5" t="s">
        <v>238</v>
      </c>
      <c r="HU970" s="5" t="s">
        <v>238</v>
      </c>
      <c r="HV970" s="5" t="s">
        <v>238</v>
      </c>
      <c r="HW970" s="5" t="s">
        <v>238</v>
      </c>
      <c r="HX970" s="5" t="s">
        <v>238</v>
      </c>
      <c r="HY970" s="5" t="s">
        <v>238</v>
      </c>
      <c r="HZ970" s="5" t="s">
        <v>238</v>
      </c>
      <c r="IA970" s="5" t="s">
        <v>238</v>
      </c>
      <c r="IB970" s="5" t="s">
        <v>238</v>
      </c>
      <c r="IC970" s="5" t="s">
        <v>238</v>
      </c>
      <c r="ID970" s="5" t="s">
        <v>238</v>
      </c>
    </row>
    <row r="971" spans="1:238" x14ac:dyDescent="0.4">
      <c r="A971" s="5">
        <v>1067</v>
      </c>
      <c r="B971" s="5">
        <v>1</v>
      </c>
      <c r="C971" s="5">
        <v>4</v>
      </c>
      <c r="D971" s="5" t="s">
        <v>2551</v>
      </c>
      <c r="E971" s="5" t="s">
        <v>277</v>
      </c>
      <c r="F971" s="5" t="s">
        <v>282</v>
      </c>
      <c r="G971" s="5" t="s">
        <v>2485</v>
      </c>
      <c r="H971" s="6" t="s">
        <v>2553</v>
      </c>
      <c r="I971" s="5" t="s">
        <v>2516</v>
      </c>
      <c r="J971" s="7">
        <f t="shared" si="87"/>
        <v>57.96</v>
      </c>
      <c r="K971" s="5" t="s">
        <v>270</v>
      </c>
      <c r="L971" s="8">
        <f t="shared" si="88"/>
        <v>9914184</v>
      </c>
      <c r="M971" s="8">
        <f t="shared" si="89"/>
        <v>15687000</v>
      </c>
      <c r="N971" s="6" t="s">
        <v>2552</v>
      </c>
      <c r="O971" s="5" t="s">
        <v>286</v>
      </c>
      <c r="P971" s="5" t="s">
        <v>313</v>
      </c>
      <c r="Q971" s="8">
        <f t="shared" si="90"/>
        <v>721602</v>
      </c>
      <c r="R971" s="8">
        <f t="shared" si="91"/>
        <v>5772816</v>
      </c>
      <c r="S971" s="5" t="s">
        <v>240</v>
      </c>
      <c r="T971" s="5" t="s">
        <v>237</v>
      </c>
      <c r="U971" s="5" t="s">
        <v>238</v>
      </c>
      <c r="V971" s="5" t="s">
        <v>238</v>
      </c>
      <c r="W971" s="5" t="s">
        <v>241</v>
      </c>
      <c r="X971" s="5" t="s">
        <v>276</v>
      </c>
      <c r="Y971" s="5" t="s">
        <v>238</v>
      </c>
      <c r="AB971" s="5" t="s">
        <v>238</v>
      </c>
      <c r="AC971" s="6" t="s">
        <v>238</v>
      </c>
      <c r="AD971" s="6" t="s">
        <v>238</v>
      </c>
      <c r="AF971" s="6" t="s">
        <v>238</v>
      </c>
      <c r="AG971" s="6" t="s">
        <v>246</v>
      </c>
      <c r="AH971" s="5" t="s">
        <v>247</v>
      </c>
      <c r="AI971" s="5" t="s">
        <v>248</v>
      </c>
      <c r="AO971" s="5" t="s">
        <v>238</v>
      </c>
      <c r="AP971" s="5" t="s">
        <v>238</v>
      </c>
      <c r="AQ971" s="5" t="s">
        <v>238</v>
      </c>
      <c r="AR971" s="6" t="s">
        <v>238</v>
      </c>
      <c r="AS971" s="6" t="s">
        <v>238</v>
      </c>
      <c r="AT971" s="6" t="s">
        <v>238</v>
      </c>
      <c r="AW971" s="5" t="s">
        <v>304</v>
      </c>
      <c r="AX971" s="5" t="s">
        <v>304</v>
      </c>
      <c r="AY971" s="5" t="s">
        <v>250</v>
      </c>
      <c r="AZ971" s="5" t="s">
        <v>305</v>
      </c>
      <c r="BA971" s="5" t="s">
        <v>251</v>
      </c>
      <c r="BB971" s="5" t="s">
        <v>238</v>
      </c>
      <c r="BC971" s="5" t="s">
        <v>253</v>
      </c>
      <c r="BD971" s="5" t="s">
        <v>238</v>
      </c>
      <c r="BF971" s="5" t="s">
        <v>238</v>
      </c>
      <c r="BH971" s="5" t="s">
        <v>283</v>
      </c>
      <c r="BI971" s="6" t="s">
        <v>293</v>
      </c>
      <c r="BJ971" s="5" t="s">
        <v>294</v>
      </c>
      <c r="BK971" s="5" t="s">
        <v>294</v>
      </c>
      <c r="BL971" s="5" t="s">
        <v>238</v>
      </c>
      <c r="BM971" s="7">
        <f>0</f>
        <v>0</v>
      </c>
      <c r="BN971" s="8">
        <f t="shared" si="92"/>
        <v>-721602</v>
      </c>
      <c r="BO971" s="5" t="s">
        <v>257</v>
      </c>
      <c r="BP971" s="5" t="s">
        <v>258</v>
      </c>
      <c r="BQ971" s="5" t="s">
        <v>238</v>
      </c>
      <c r="BR971" s="5" t="s">
        <v>238</v>
      </c>
      <c r="BS971" s="5" t="s">
        <v>238</v>
      </c>
      <c r="BT971" s="5" t="s">
        <v>238</v>
      </c>
      <c r="CC971" s="5" t="s">
        <v>258</v>
      </c>
      <c r="CD971" s="5" t="s">
        <v>238</v>
      </c>
      <c r="CE971" s="5" t="s">
        <v>238</v>
      </c>
      <c r="CI971" s="5" t="s">
        <v>259</v>
      </c>
      <c r="CJ971" s="5" t="s">
        <v>260</v>
      </c>
      <c r="CK971" s="5" t="s">
        <v>238</v>
      </c>
      <c r="CM971" s="5" t="s">
        <v>723</v>
      </c>
      <c r="CN971" s="6" t="s">
        <v>262</v>
      </c>
      <c r="CO971" s="5" t="s">
        <v>263</v>
      </c>
      <c r="CP971" s="5" t="s">
        <v>264</v>
      </c>
      <c r="CQ971" s="5" t="s">
        <v>285</v>
      </c>
      <c r="CR971" s="5" t="s">
        <v>238</v>
      </c>
      <c r="CS971" s="5">
        <v>4.5999999999999999E-2</v>
      </c>
      <c r="CT971" s="5" t="s">
        <v>265</v>
      </c>
      <c r="CU971" s="5" t="s">
        <v>1360</v>
      </c>
      <c r="CV971" s="5" t="s">
        <v>267</v>
      </c>
      <c r="CW971" s="7">
        <f>0</f>
        <v>0</v>
      </c>
      <c r="CX971" s="8">
        <f t="shared" si="93"/>
        <v>15687000</v>
      </c>
      <c r="CY971" s="8">
        <f t="shared" si="94"/>
        <v>10635786</v>
      </c>
      <c r="DA971" s="5" t="s">
        <v>238</v>
      </c>
      <c r="DB971" s="5" t="s">
        <v>238</v>
      </c>
      <c r="DD971" s="5" t="s">
        <v>238</v>
      </c>
      <c r="DE971" s="8">
        <f>0</f>
        <v>0</v>
      </c>
      <c r="DG971" s="5" t="s">
        <v>238</v>
      </c>
      <c r="DH971" s="5" t="s">
        <v>238</v>
      </c>
      <c r="DI971" s="5" t="s">
        <v>238</v>
      </c>
      <c r="DJ971" s="5" t="s">
        <v>238</v>
      </c>
      <c r="DK971" s="5" t="s">
        <v>271</v>
      </c>
      <c r="DL971" s="5" t="s">
        <v>272</v>
      </c>
      <c r="DM971" s="7">
        <f t="shared" si="95"/>
        <v>57.96</v>
      </c>
      <c r="DN971" s="5" t="s">
        <v>238</v>
      </c>
      <c r="DO971" s="5" t="s">
        <v>238</v>
      </c>
      <c r="DP971" s="5" t="s">
        <v>238</v>
      </c>
      <c r="DQ971" s="5" t="s">
        <v>238</v>
      </c>
      <c r="DT971" s="5" t="s">
        <v>2554</v>
      </c>
      <c r="DU971" s="5" t="s">
        <v>356</v>
      </c>
      <c r="GL971" s="5" t="s">
        <v>2562</v>
      </c>
      <c r="HM971" s="5" t="s">
        <v>313</v>
      </c>
      <c r="HP971" s="5" t="s">
        <v>272</v>
      </c>
      <c r="HQ971" s="5" t="s">
        <v>272</v>
      </c>
      <c r="HR971" s="5" t="s">
        <v>238</v>
      </c>
      <c r="HS971" s="5" t="s">
        <v>238</v>
      </c>
      <c r="HT971" s="5" t="s">
        <v>238</v>
      </c>
      <c r="HU971" s="5" t="s">
        <v>238</v>
      </c>
      <c r="HV971" s="5" t="s">
        <v>238</v>
      </c>
      <c r="HW971" s="5" t="s">
        <v>238</v>
      </c>
      <c r="HX971" s="5" t="s">
        <v>238</v>
      </c>
      <c r="HY971" s="5" t="s">
        <v>238</v>
      </c>
      <c r="HZ971" s="5" t="s">
        <v>238</v>
      </c>
      <c r="IA971" s="5" t="s">
        <v>238</v>
      </c>
      <c r="IB971" s="5" t="s">
        <v>238</v>
      </c>
      <c r="IC971" s="5" t="s">
        <v>238</v>
      </c>
      <c r="ID971" s="5" t="s">
        <v>238</v>
      </c>
    </row>
    <row r="972" spans="1:238" x14ac:dyDescent="0.4">
      <c r="A972" s="5">
        <v>1068</v>
      </c>
      <c r="B972" s="5">
        <v>1</v>
      </c>
      <c r="C972" s="5">
        <v>4</v>
      </c>
      <c r="D972" s="5" t="s">
        <v>2551</v>
      </c>
      <c r="E972" s="5" t="s">
        <v>277</v>
      </c>
      <c r="F972" s="5" t="s">
        <v>282</v>
      </c>
      <c r="G972" s="5" t="s">
        <v>2485</v>
      </c>
      <c r="H972" s="6" t="s">
        <v>2553</v>
      </c>
      <c r="I972" s="5" t="s">
        <v>2521</v>
      </c>
      <c r="J972" s="7">
        <f t="shared" si="87"/>
        <v>57.96</v>
      </c>
      <c r="K972" s="5" t="s">
        <v>270</v>
      </c>
      <c r="L972" s="8">
        <f t="shared" si="88"/>
        <v>9914184</v>
      </c>
      <c r="M972" s="8">
        <f t="shared" si="89"/>
        <v>15687000</v>
      </c>
      <c r="N972" s="6" t="s">
        <v>2552</v>
      </c>
      <c r="O972" s="5" t="s">
        <v>286</v>
      </c>
      <c r="P972" s="5" t="s">
        <v>313</v>
      </c>
      <c r="Q972" s="8">
        <f t="shared" si="90"/>
        <v>721602</v>
      </c>
      <c r="R972" s="8">
        <f t="shared" si="91"/>
        <v>5772816</v>
      </c>
      <c r="S972" s="5" t="s">
        <v>240</v>
      </c>
      <c r="T972" s="5" t="s">
        <v>237</v>
      </c>
      <c r="U972" s="5" t="s">
        <v>238</v>
      </c>
      <c r="V972" s="5" t="s">
        <v>238</v>
      </c>
      <c r="W972" s="5" t="s">
        <v>241</v>
      </c>
      <c r="X972" s="5" t="s">
        <v>276</v>
      </c>
      <c r="Y972" s="5" t="s">
        <v>238</v>
      </c>
      <c r="AB972" s="5" t="s">
        <v>238</v>
      </c>
      <c r="AC972" s="6" t="s">
        <v>238</v>
      </c>
      <c r="AD972" s="6" t="s">
        <v>238</v>
      </c>
      <c r="AF972" s="6" t="s">
        <v>238</v>
      </c>
      <c r="AG972" s="6" t="s">
        <v>246</v>
      </c>
      <c r="AH972" s="5" t="s">
        <v>247</v>
      </c>
      <c r="AI972" s="5" t="s">
        <v>248</v>
      </c>
      <c r="AO972" s="5" t="s">
        <v>238</v>
      </c>
      <c r="AP972" s="5" t="s">
        <v>238</v>
      </c>
      <c r="AQ972" s="5" t="s">
        <v>238</v>
      </c>
      <c r="AR972" s="6" t="s">
        <v>238</v>
      </c>
      <c r="AS972" s="6" t="s">
        <v>238</v>
      </c>
      <c r="AT972" s="6" t="s">
        <v>238</v>
      </c>
      <c r="AW972" s="5" t="s">
        <v>304</v>
      </c>
      <c r="AX972" s="5" t="s">
        <v>304</v>
      </c>
      <c r="AY972" s="5" t="s">
        <v>250</v>
      </c>
      <c r="AZ972" s="5" t="s">
        <v>305</v>
      </c>
      <c r="BA972" s="5" t="s">
        <v>251</v>
      </c>
      <c r="BB972" s="5" t="s">
        <v>238</v>
      </c>
      <c r="BC972" s="5" t="s">
        <v>253</v>
      </c>
      <c r="BD972" s="5" t="s">
        <v>238</v>
      </c>
      <c r="BF972" s="5" t="s">
        <v>238</v>
      </c>
      <c r="BH972" s="5" t="s">
        <v>283</v>
      </c>
      <c r="BI972" s="6" t="s">
        <v>293</v>
      </c>
      <c r="BJ972" s="5" t="s">
        <v>294</v>
      </c>
      <c r="BK972" s="5" t="s">
        <v>294</v>
      </c>
      <c r="BL972" s="5" t="s">
        <v>238</v>
      </c>
      <c r="BM972" s="7">
        <f>0</f>
        <v>0</v>
      </c>
      <c r="BN972" s="8">
        <f t="shared" si="92"/>
        <v>-721602</v>
      </c>
      <c r="BO972" s="5" t="s">
        <v>257</v>
      </c>
      <c r="BP972" s="5" t="s">
        <v>258</v>
      </c>
      <c r="BQ972" s="5" t="s">
        <v>238</v>
      </c>
      <c r="BR972" s="5" t="s">
        <v>238</v>
      </c>
      <c r="BS972" s="5" t="s">
        <v>238</v>
      </c>
      <c r="BT972" s="5" t="s">
        <v>238</v>
      </c>
      <c r="CC972" s="5" t="s">
        <v>258</v>
      </c>
      <c r="CD972" s="5" t="s">
        <v>238</v>
      </c>
      <c r="CE972" s="5" t="s">
        <v>238</v>
      </c>
      <c r="CI972" s="5" t="s">
        <v>259</v>
      </c>
      <c r="CJ972" s="5" t="s">
        <v>260</v>
      </c>
      <c r="CK972" s="5" t="s">
        <v>238</v>
      </c>
      <c r="CM972" s="5" t="s">
        <v>723</v>
      </c>
      <c r="CN972" s="6" t="s">
        <v>262</v>
      </c>
      <c r="CO972" s="5" t="s">
        <v>263</v>
      </c>
      <c r="CP972" s="5" t="s">
        <v>264</v>
      </c>
      <c r="CQ972" s="5" t="s">
        <v>285</v>
      </c>
      <c r="CR972" s="5" t="s">
        <v>238</v>
      </c>
      <c r="CS972" s="5">
        <v>4.5999999999999999E-2</v>
      </c>
      <c r="CT972" s="5" t="s">
        <v>265</v>
      </c>
      <c r="CU972" s="5" t="s">
        <v>1360</v>
      </c>
      <c r="CV972" s="5" t="s">
        <v>267</v>
      </c>
      <c r="CW972" s="7">
        <f>0</f>
        <v>0</v>
      </c>
      <c r="CX972" s="8">
        <f t="shared" si="93"/>
        <v>15687000</v>
      </c>
      <c r="CY972" s="8">
        <f t="shared" si="94"/>
        <v>10635786</v>
      </c>
      <c r="DA972" s="5" t="s">
        <v>238</v>
      </c>
      <c r="DB972" s="5" t="s">
        <v>238</v>
      </c>
      <c r="DD972" s="5" t="s">
        <v>238</v>
      </c>
      <c r="DE972" s="8">
        <f>0</f>
        <v>0</v>
      </c>
      <c r="DG972" s="5" t="s">
        <v>238</v>
      </c>
      <c r="DH972" s="5" t="s">
        <v>238</v>
      </c>
      <c r="DI972" s="5" t="s">
        <v>238</v>
      </c>
      <c r="DJ972" s="5" t="s">
        <v>238</v>
      </c>
      <c r="DK972" s="5" t="s">
        <v>271</v>
      </c>
      <c r="DL972" s="5" t="s">
        <v>272</v>
      </c>
      <c r="DM972" s="7">
        <f t="shared" si="95"/>
        <v>57.96</v>
      </c>
      <c r="DN972" s="5" t="s">
        <v>238</v>
      </c>
      <c r="DO972" s="5" t="s">
        <v>238</v>
      </c>
      <c r="DP972" s="5" t="s">
        <v>238</v>
      </c>
      <c r="DQ972" s="5" t="s">
        <v>238</v>
      </c>
      <c r="DT972" s="5" t="s">
        <v>2554</v>
      </c>
      <c r="DU972" s="5" t="s">
        <v>310</v>
      </c>
      <c r="GL972" s="5" t="s">
        <v>2561</v>
      </c>
      <c r="HM972" s="5" t="s">
        <v>313</v>
      </c>
      <c r="HP972" s="5" t="s">
        <v>272</v>
      </c>
      <c r="HQ972" s="5" t="s">
        <v>272</v>
      </c>
      <c r="HR972" s="5" t="s">
        <v>238</v>
      </c>
      <c r="HS972" s="5" t="s">
        <v>238</v>
      </c>
      <c r="HT972" s="5" t="s">
        <v>238</v>
      </c>
      <c r="HU972" s="5" t="s">
        <v>238</v>
      </c>
      <c r="HV972" s="5" t="s">
        <v>238</v>
      </c>
      <c r="HW972" s="5" t="s">
        <v>238</v>
      </c>
      <c r="HX972" s="5" t="s">
        <v>238</v>
      </c>
      <c r="HY972" s="5" t="s">
        <v>238</v>
      </c>
      <c r="HZ972" s="5" t="s">
        <v>238</v>
      </c>
      <c r="IA972" s="5" t="s">
        <v>238</v>
      </c>
      <c r="IB972" s="5" t="s">
        <v>238</v>
      </c>
      <c r="IC972" s="5" t="s">
        <v>238</v>
      </c>
      <c r="ID972" s="5" t="s">
        <v>238</v>
      </c>
    </row>
    <row r="973" spans="1:238" x14ac:dyDescent="0.4">
      <c r="A973" s="5">
        <v>1069</v>
      </c>
      <c r="B973" s="5">
        <v>1</v>
      </c>
      <c r="C973" s="5">
        <v>4</v>
      </c>
      <c r="D973" s="5" t="s">
        <v>2551</v>
      </c>
      <c r="E973" s="5" t="s">
        <v>277</v>
      </c>
      <c r="F973" s="5" t="s">
        <v>282</v>
      </c>
      <c r="G973" s="5" t="s">
        <v>2485</v>
      </c>
      <c r="H973" s="6" t="s">
        <v>2553</v>
      </c>
      <c r="I973" s="5" t="s">
        <v>2500</v>
      </c>
      <c r="J973" s="7">
        <f t="shared" si="87"/>
        <v>57.96</v>
      </c>
      <c r="K973" s="5" t="s">
        <v>270</v>
      </c>
      <c r="L973" s="8">
        <f t="shared" si="88"/>
        <v>9914184</v>
      </c>
      <c r="M973" s="8">
        <f t="shared" si="89"/>
        <v>15687000</v>
      </c>
      <c r="N973" s="6" t="s">
        <v>2552</v>
      </c>
      <c r="O973" s="5" t="s">
        <v>286</v>
      </c>
      <c r="P973" s="5" t="s">
        <v>313</v>
      </c>
      <c r="Q973" s="8">
        <f t="shared" si="90"/>
        <v>721602</v>
      </c>
      <c r="R973" s="8">
        <f t="shared" si="91"/>
        <v>5772816</v>
      </c>
      <c r="S973" s="5" t="s">
        <v>240</v>
      </c>
      <c r="T973" s="5" t="s">
        <v>237</v>
      </c>
      <c r="U973" s="5" t="s">
        <v>238</v>
      </c>
      <c r="V973" s="5" t="s">
        <v>238</v>
      </c>
      <c r="W973" s="5" t="s">
        <v>241</v>
      </c>
      <c r="X973" s="5" t="s">
        <v>276</v>
      </c>
      <c r="Y973" s="5" t="s">
        <v>238</v>
      </c>
      <c r="AB973" s="5" t="s">
        <v>238</v>
      </c>
      <c r="AC973" s="6" t="s">
        <v>238</v>
      </c>
      <c r="AD973" s="6" t="s">
        <v>238</v>
      </c>
      <c r="AF973" s="6" t="s">
        <v>238</v>
      </c>
      <c r="AG973" s="6" t="s">
        <v>246</v>
      </c>
      <c r="AH973" s="5" t="s">
        <v>247</v>
      </c>
      <c r="AI973" s="5" t="s">
        <v>248</v>
      </c>
      <c r="AO973" s="5" t="s">
        <v>238</v>
      </c>
      <c r="AP973" s="5" t="s">
        <v>238</v>
      </c>
      <c r="AQ973" s="5" t="s">
        <v>238</v>
      </c>
      <c r="AR973" s="6" t="s">
        <v>238</v>
      </c>
      <c r="AS973" s="6" t="s">
        <v>238</v>
      </c>
      <c r="AT973" s="6" t="s">
        <v>238</v>
      </c>
      <c r="AW973" s="5" t="s">
        <v>304</v>
      </c>
      <c r="AX973" s="5" t="s">
        <v>304</v>
      </c>
      <c r="AY973" s="5" t="s">
        <v>250</v>
      </c>
      <c r="AZ973" s="5" t="s">
        <v>305</v>
      </c>
      <c r="BA973" s="5" t="s">
        <v>251</v>
      </c>
      <c r="BB973" s="5" t="s">
        <v>238</v>
      </c>
      <c r="BC973" s="5" t="s">
        <v>253</v>
      </c>
      <c r="BD973" s="5" t="s">
        <v>238</v>
      </c>
      <c r="BF973" s="5" t="s">
        <v>238</v>
      </c>
      <c r="BH973" s="5" t="s">
        <v>283</v>
      </c>
      <c r="BI973" s="6" t="s">
        <v>293</v>
      </c>
      <c r="BJ973" s="5" t="s">
        <v>294</v>
      </c>
      <c r="BK973" s="5" t="s">
        <v>294</v>
      </c>
      <c r="BL973" s="5" t="s">
        <v>238</v>
      </c>
      <c r="BM973" s="7">
        <f>0</f>
        <v>0</v>
      </c>
      <c r="BN973" s="8">
        <f t="shared" si="92"/>
        <v>-721602</v>
      </c>
      <c r="BO973" s="5" t="s">
        <v>257</v>
      </c>
      <c r="BP973" s="5" t="s">
        <v>258</v>
      </c>
      <c r="BQ973" s="5" t="s">
        <v>238</v>
      </c>
      <c r="BR973" s="5" t="s">
        <v>238</v>
      </c>
      <c r="BS973" s="5" t="s">
        <v>238</v>
      </c>
      <c r="BT973" s="5" t="s">
        <v>238</v>
      </c>
      <c r="CC973" s="5" t="s">
        <v>258</v>
      </c>
      <c r="CD973" s="5" t="s">
        <v>238</v>
      </c>
      <c r="CE973" s="5" t="s">
        <v>238</v>
      </c>
      <c r="CI973" s="5" t="s">
        <v>259</v>
      </c>
      <c r="CJ973" s="5" t="s">
        <v>260</v>
      </c>
      <c r="CK973" s="5" t="s">
        <v>238</v>
      </c>
      <c r="CM973" s="5" t="s">
        <v>723</v>
      </c>
      <c r="CN973" s="6" t="s">
        <v>262</v>
      </c>
      <c r="CO973" s="5" t="s">
        <v>263</v>
      </c>
      <c r="CP973" s="5" t="s">
        <v>264</v>
      </c>
      <c r="CQ973" s="5" t="s">
        <v>285</v>
      </c>
      <c r="CR973" s="5" t="s">
        <v>238</v>
      </c>
      <c r="CS973" s="5">
        <v>4.5999999999999999E-2</v>
      </c>
      <c r="CT973" s="5" t="s">
        <v>265</v>
      </c>
      <c r="CU973" s="5" t="s">
        <v>1360</v>
      </c>
      <c r="CV973" s="5" t="s">
        <v>267</v>
      </c>
      <c r="CW973" s="7">
        <f>0</f>
        <v>0</v>
      </c>
      <c r="CX973" s="8">
        <f t="shared" si="93"/>
        <v>15687000</v>
      </c>
      <c r="CY973" s="8">
        <f t="shared" si="94"/>
        <v>10635786</v>
      </c>
      <c r="DA973" s="5" t="s">
        <v>238</v>
      </c>
      <c r="DB973" s="5" t="s">
        <v>238</v>
      </c>
      <c r="DD973" s="5" t="s">
        <v>238</v>
      </c>
      <c r="DE973" s="8">
        <f>0</f>
        <v>0</v>
      </c>
      <c r="DG973" s="5" t="s">
        <v>238</v>
      </c>
      <c r="DH973" s="5" t="s">
        <v>238</v>
      </c>
      <c r="DI973" s="5" t="s">
        <v>238</v>
      </c>
      <c r="DJ973" s="5" t="s">
        <v>238</v>
      </c>
      <c r="DK973" s="5" t="s">
        <v>271</v>
      </c>
      <c r="DL973" s="5" t="s">
        <v>272</v>
      </c>
      <c r="DM973" s="7">
        <f t="shared" si="95"/>
        <v>57.96</v>
      </c>
      <c r="DN973" s="5" t="s">
        <v>238</v>
      </c>
      <c r="DO973" s="5" t="s">
        <v>238</v>
      </c>
      <c r="DP973" s="5" t="s">
        <v>238</v>
      </c>
      <c r="DQ973" s="5" t="s">
        <v>238</v>
      </c>
      <c r="DT973" s="5" t="s">
        <v>2554</v>
      </c>
      <c r="DU973" s="5" t="s">
        <v>379</v>
      </c>
      <c r="GL973" s="5" t="s">
        <v>2560</v>
      </c>
      <c r="HM973" s="5" t="s">
        <v>313</v>
      </c>
      <c r="HP973" s="5" t="s">
        <v>272</v>
      </c>
      <c r="HQ973" s="5" t="s">
        <v>272</v>
      </c>
      <c r="HR973" s="5" t="s">
        <v>238</v>
      </c>
      <c r="HS973" s="5" t="s">
        <v>238</v>
      </c>
      <c r="HT973" s="5" t="s">
        <v>238</v>
      </c>
      <c r="HU973" s="5" t="s">
        <v>238</v>
      </c>
      <c r="HV973" s="5" t="s">
        <v>238</v>
      </c>
      <c r="HW973" s="5" t="s">
        <v>238</v>
      </c>
      <c r="HX973" s="5" t="s">
        <v>238</v>
      </c>
      <c r="HY973" s="5" t="s">
        <v>238</v>
      </c>
      <c r="HZ973" s="5" t="s">
        <v>238</v>
      </c>
      <c r="IA973" s="5" t="s">
        <v>238</v>
      </c>
      <c r="IB973" s="5" t="s">
        <v>238</v>
      </c>
      <c r="IC973" s="5" t="s">
        <v>238</v>
      </c>
      <c r="ID973" s="5" t="s">
        <v>238</v>
      </c>
    </row>
    <row r="974" spans="1:238" x14ac:dyDescent="0.4">
      <c r="A974" s="5">
        <v>1070</v>
      </c>
      <c r="B974" s="5">
        <v>1</v>
      </c>
      <c r="C974" s="5">
        <v>4</v>
      </c>
      <c r="D974" s="5" t="s">
        <v>2551</v>
      </c>
      <c r="E974" s="5" t="s">
        <v>277</v>
      </c>
      <c r="F974" s="5" t="s">
        <v>282</v>
      </c>
      <c r="G974" s="5" t="s">
        <v>2485</v>
      </c>
      <c r="H974" s="6" t="s">
        <v>2553</v>
      </c>
      <c r="I974" s="5" t="s">
        <v>2526</v>
      </c>
      <c r="J974" s="7">
        <f t="shared" si="87"/>
        <v>57.96</v>
      </c>
      <c r="K974" s="5" t="s">
        <v>270</v>
      </c>
      <c r="L974" s="8">
        <f t="shared" si="88"/>
        <v>9914184</v>
      </c>
      <c r="M974" s="8">
        <f t="shared" si="89"/>
        <v>15687000</v>
      </c>
      <c r="N974" s="6" t="s">
        <v>2552</v>
      </c>
      <c r="O974" s="5" t="s">
        <v>286</v>
      </c>
      <c r="P974" s="5" t="s">
        <v>313</v>
      </c>
      <c r="Q974" s="8">
        <f t="shared" si="90"/>
        <v>721602</v>
      </c>
      <c r="R974" s="8">
        <f t="shared" si="91"/>
        <v>5772816</v>
      </c>
      <c r="S974" s="5" t="s">
        <v>240</v>
      </c>
      <c r="T974" s="5" t="s">
        <v>237</v>
      </c>
      <c r="U974" s="5" t="s">
        <v>238</v>
      </c>
      <c r="V974" s="5" t="s">
        <v>238</v>
      </c>
      <c r="W974" s="5" t="s">
        <v>241</v>
      </c>
      <c r="X974" s="5" t="s">
        <v>276</v>
      </c>
      <c r="Y974" s="5" t="s">
        <v>238</v>
      </c>
      <c r="AB974" s="5" t="s">
        <v>238</v>
      </c>
      <c r="AC974" s="6" t="s">
        <v>238</v>
      </c>
      <c r="AD974" s="6" t="s">
        <v>238</v>
      </c>
      <c r="AF974" s="6" t="s">
        <v>238</v>
      </c>
      <c r="AG974" s="6" t="s">
        <v>246</v>
      </c>
      <c r="AH974" s="5" t="s">
        <v>247</v>
      </c>
      <c r="AI974" s="5" t="s">
        <v>248</v>
      </c>
      <c r="AO974" s="5" t="s">
        <v>238</v>
      </c>
      <c r="AP974" s="5" t="s">
        <v>238</v>
      </c>
      <c r="AQ974" s="5" t="s">
        <v>238</v>
      </c>
      <c r="AR974" s="6" t="s">
        <v>238</v>
      </c>
      <c r="AS974" s="6" t="s">
        <v>238</v>
      </c>
      <c r="AT974" s="6" t="s">
        <v>238</v>
      </c>
      <c r="AW974" s="5" t="s">
        <v>304</v>
      </c>
      <c r="AX974" s="5" t="s">
        <v>304</v>
      </c>
      <c r="AY974" s="5" t="s">
        <v>250</v>
      </c>
      <c r="AZ974" s="5" t="s">
        <v>305</v>
      </c>
      <c r="BA974" s="5" t="s">
        <v>251</v>
      </c>
      <c r="BB974" s="5" t="s">
        <v>238</v>
      </c>
      <c r="BC974" s="5" t="s">
        <v>253</v>
      </c>
      <c r="BD974" s="5" t="s">
        <v>238</v>
      </c>
      <c r="BF974" s="5" t="s">
        <v>238</v>
      </c>
      <c r="BH974" s="5" t="s">
        <v>283</v>
      </c>
      <c r="BI974" s="6" t="s">
        <v>293</v>
      </c>
      <c r="BJ974" s="5" t="s">
        <v>294</v>
      </c>
      <c r="BK974" s="5" t="s">
        <v>294</v>
      </c>
      <c r="BL974" s="5" t="s">
        <v>238</v>
      </c>
      <c r="BM974" s="7">
        <f>0</f>
        <v>0</v>
      </c>
      <c r="BN974" s="8">
        <f t="shared" si="92"/>
        <v>-721602</v>
      </c>
      <c r="BO974" s="5" t="s">
        <v>257</v>
      </c>
      <c r="BP974" s="5" t="s">
        <v>258</v>
      </c>
      <c r="BQ974" s="5" t="s">
        <v>238</v>
      </c>
      <c r="BR974" s="5" t="s">
        <v>238</v>
      </c>
      <c r="BS974" s="5" t="s">
        <v>238</v>
      </c>
      <c r="BT974" s="5" t="s">
        <v>238</v>
      </c>
      <c r="CC974" s="5" t="s">
        <v>258</v>
      </c>
      <c r="CD974" s="5" t="s">
        <v>238</v>
      </c>
      <c r="CE974" s="5" t="s">
        <v>238</v>
      </c>
      <c r="CI974" s="5" t="s">
        <v>259</v>
      </c>
      <c r="CJ974" s="5" t="s">
        <v>260</v>
      </c>
      <c r="CK974" s="5" t="s">
        <v>238</v>
      </c>
      <c r="CM974" s="5" t="s">
        <v>723</v>
      </c>
      <c r="CN974" s="6" t="s">
        <v>262</v>
      </c>
      <c r="CO974" s="5" t="s">
        <v>263</v>
      </c>
      <c r="CP974" s="5" t="s">
        <v>264</v>
      </c>
      <c r="CQ974" s="5" t="s">
        <v>285</v>
      </c>
      <c r="CR974" s="5" t="s">
        <v>238</v>
      </c>
      <c r="CS974" s="5">
        <v>4.5999999999999999E-2</v>
      </c>
      <c r="CT974" s="5" t="s">
        <v>265</v>
      </c>
      <c r="CU974" s="5" t="s">
        <v>1360</v>
      </c>
      <c r="CV974" s="5" t="s">
        <v>267</v>
      </c>
      <c r="CW974" s="7">
        <f>0</f>
        <v>0</v>
      </c>
      <c r="CX974" s="8">
        <f t="shared" si="93"/>
        <v>15687000</v>
      </c>
      <c r="CY974" s="8">
        <f t="shared" si="94"/>
        <v>10635786</v>
      </c>
      <c r="DA974" s="5" t="s">
        <v>238</v>
      </c>
      <c r="DB974" s="5" t="s">
        <v>238</v>
      </c>
      <c r="DD974" s="5" t="s">
        <v>238</v>
      </c>
      <c r="DE974" s="8">
        <f>0</f>
        <v>0</v>
      </c>
      <c r="DG974" s="5" t="s">
        <v>238</v>
      </c>
      <c r="DH974" s="5" t="s">
        <v>238</v>
      </c>
      <c r="DI974" s="5" t="s">
        <v>238</v>
      </c>
      <c r="DJ974" s="5" t="s">
        <v>238</v>
      </c>
      <c r="DK974" s="5" t="s">
        <v>271</v>
      </c>
      <c r="DL974" s="5" t="s">
        <v>272</v>
      </c>
      <c r="DM974" s="7">
        <f t="shared" si="95"/>
        <v>57.96</v>
      </c>
      <c r="DN974" s="5" t="s">
        <v>238</v>
      </c>
      <c r="DO974" s="5" t="s">
        <v>238</v>
      </c>
      <c r="DP974" s="5" t="s">
        <v>238</v>
      </c>
      <c r="DQ974" s="5" t="s">
        <v>238</v>
      </c>
      <c r="DT974" s="5" t="s">
        <v>2554</v>
      </c>
      <c r="DU974" s="5" t="s">
        <v>313</v>
      </c>
      <c r="GL974" s="5" t="s">
        <v>2559</v>
      </c>
      <c r="HM974" s="5" t="s">
        <v>313</v>
      </c>
      <c r="HP974" s="5" t="s">
        <v>272</v>
      </c>
      <c r="HQ974" s="5" t="s">
        <v>272</v>
      </c>
      <c r="HR974" s="5" t="s">
        <v>238</v>
      </c>
      <c r="HS974" s="5" t="s">
        <v>238</v>
      </c>
      <c r="HT974" s="5" t="s">
        <v>238</v>
      </c>
      <c r="HU974" s="5" t="s">
        <v>238</v>
      </c>
      <c r="HV974" s="5" t="s">
        <v>238</v>
      </c>
      <c r="HW974" s="5" t="s">
        <v>238</v>
      </c>
      <c r="HX974" s="5" t="s">
        <v>238</v>
      </c>
      <c r="HY974" s="5" t="s">
        <v>238</v>
      </c>
      <c r="HZ974" s="5" t="s">
        <v>238</v>
      </c>
      <c r="IA974" s="5" t="s">
        <v>238</v>
      </c>
      <c r="IB974" s="5" t="s">
        <v>238</v>
      </c>
      <c r="IC974" s="5" t="s">
        <v>238</v>
      </c>
      <c r="ID974" s="5" t="s">
        <v>238</v>
      </c>
    </row>
    <row r="975" spans="1:238" x14ac:dyDescent="0.4">
      <c r="A975" s="5">
        <v>1071</v>
      </c>
      <c r="B975" s="5">
        <v>1</v>
      </c>
      <c r="C975" s="5">
        <v>4</v>
      </c>
      <c r="D975" s="5" t="s">
        <v>2551</v>
      </c>
      <c r="E975" s="5" t="s">
        <v>277</v>
      </c>
      <c r="F975" s="5" t="s">
        <v>282</v>
      </c>
      <c r="G975" s="5" t="s">
        <v>2485</v>
      </c>
      <c r="H975" s="6" t="s">
        <v>2553</v>
      </c>
      <c r="I975" s="5" t="s">
        <v>2504</v>
      </c>
      <c r="J975" s="7">
        <f>81.14</f>
        <v>81.14</v>
      </c>
      <c r="K975" s="5" t="s">
        <v>270</v>
      </c>
      <c r="L975" s="8">
        <f>11641440</f>
        <v>11641440</v>
      </c>
      <c r="M975" s="8">
        <f>18420000</f>
        <v>18420000</v>
      </c>
      <c r="N975" s="6" t="s">
        <v>2552</v>
      </c>
      <c r="O975" s="5" t="s">
        <v>286</v>
      </c>
      <c r="P975" s="5" t="s">
        <v>313</v>
      </c>
      <c r="Q975" s="8">
        <f>847320</f>
        <v>847320</v>
      </c>
      <c r="R975" s="8">
        <f>6778560</f>
        <v>6778560</v>
      </c>
      <c r="S975" s="5" t="s">
        <v>240</v>
      </c>
      <c r="T975" s="5" t="s">
        <v>237</v>
      </c>
      <c r="U975" s="5" t="s">
        <v>238</v>
      </c>
      <c r="V975" s="5" t="s">
        <v>238</v>
      </c>
      <c r="W975" s="5" t="s">
        <v>241</v>
      </c>
      <c r="X975" s="5" t="s">
        <v>276</v>
      </c>
      <c r="Y975" s="5" t="s">
        <v>238</v>
      </c>
      <c r="AB975" s="5" t="s">
        <v>238</v>
      </c>
      <c r="AC975" s="6" t="s">
        <v>238</v>
      </c>
      <c r="AD975" s="6" t="s">
        <v>238</v>
      </c>
      <c r="AF975" s="6" t="s">
        <v>238</v>
      </c>
      <c r="AG975" s="6" t="s">
        <v>246</v>
      </c>
      <c r="AH975" s="5" t="s">
        <v>247</v>
      </c>
      <c r="AI975" s="5" t="s">
        <v>248</v>
      </c>
      <c r="AO975" s="5" t="s">
        <v>238</v>
      </c>
      <c r="AP975" s="5" t="s">
        <v>238</v>
      </c>
      <c r="AQ975" s="5" t="s">
        <v>238</v>
      </c>
      <c r="AR975" s="6" t="s">
        <v>238</v>
      </c>
      <c r="AS975" s="6" t="s">
        <v>238</v>
      </c>
      <c r="AT975" s="6" t="s">
        <v>238</v>
      </c>
      <c r="AW975" s="5" t="s">
        <v>304</v>
      </c>
      <c r="AX975" s="5" t="s">
        <v>304</v>
      </c>
      <c r="AY975" s="5" t="s">
        <v>250</v>
      </c>
      <c r="AZ975" s="5" t="s">
        <v>305</v>
      </c>
      <c r="BA975" s="5" t="s">
        <v>251</v>
      </c>
      <c r="BB975" s="5" t="s">
        <v>238</v>
      </c>
      <c r="BC975" s="5" t="s">
        <v>253</v>
      </c>
      <c r="BD975" s="5" t="s">
        <v>238</v>
      </c>
      <c r="BF975" s="5" t="s">
        <v>238</v>
      </c>
      <c r="BH975" s="5" t="s">
        <v>283</v>
      </c>
      <c r="BI975" s="6" t="s">
        <v>293</v>
      </c>
      <c r="BJ975" s="5" t="s">
        <v>294</v>
      </c>
      <c r="BK975" s="5" t="s">
        <v>294</v>
      </c>
      <c r="BL975" s="5" t="s">
        <v>238</v>
      </c>
      <c r="BM975" s="7">
        <f>0</f>
        <v>0</v>
      </c>
      <c r="BN975" s="8">
        <f>-847320</f>
        <v>-847320</v>
      </c>
      <c r="BO975" s="5" t="s">
        <v>257</v>
      </c>
      <c r="BP975" s="5" t="s">
        <v>258</v>
      </c>
      <c r="BQ975" s="5" t="s">
        <v>238</v>
      </c>
      <c r="BR975" s="5" t="s">
        <v>238</v>
      </c>
      <c r="BS975" s="5" t="s">
        <v>238</v>
      </c>
      <c r="BT975" s="5" t="s">
        <v>238</v>
      </c>
      <c r="CC975" s="5" t="s">
        <v>258</v>
      </c>
      <c r="CD975" s="5" t="s">
        <v>238</v>
      </c>
      <c r="CE975" s="5" t="s">
        <v>238</v>
      </c>
      <c r="CI975" s="5" t="s">
        <v>259</v>
      </c>
      <c r="CJ975" s="5" t="s">
        <v>260</v>
      </c>
      <c r="CK975" s="5" t="s">
        <v>238</v>
      </c>
      <c r="CM975" s="5" t="s">
        <v>723</v>
      </c>
      <c r="CN975" s="6" t="s">
        <v>262</v>
      </c>
      <c r="CO975" s="5" t="s">
        <v>263</v>
      </c>
      <c r="CP975" s="5" t="s">
        <v>264</v>
      </c>
      <c r="CQ975" s="5" t="s">
        <v>285</v>
      </c>
      <c r="CR975" s="5" t="s">
        <v>238</v>
      </c>
      <c r="CS975" s="5">
        <v>4.5999999999999999E-2</v>
      </c>
      <c r="CT975" s="5" t="s">
        <v>265</v>
      </c>
      <c r="CU975" s="5" t="s">
        <v>1360</v>
      </c>
      <c r="CV975" s="5" t="s">
        <v>267</v>
      </c>
      <c r="CW975" s="7">
        <f>0</f>
        <v>0</v>
      </c>
      <c r="CX975" s="8">
        <f>18420000</f>
        <v>18420000</v>
      </c>
      <c r="CY975" s="8">
        <f>12488760</f>
        <v>12488760</v>
      </c>
      <c r="DA975" s="5" t="s">
        <v>238</v>
      </c>
      <c r="DB975" s="5" t="s">
        <v>238</v>
      </c>
      <c r="DD975" s="5" t="s">
        <v>238</v>
      </c>
      <c r="DE975" s="8">
        <f>0</f>
        <v>0</v>
      </c>
      <c r="DG975" s="5" t="s">
        <v>238</v>
      </c>
      <c r="DH975" s="5" t="s">
        <v>238</v>
      </c>
      <c r="DI975" s="5" t="s">
        <v>238</v>
      </c>
      <c r="DJ975" s="5" t="s">
        <v>238</v>
      </c>
      <c r="DK975" s="5" t="s">
        <v>274</v>
      </c>
      <c r="DL975" s="5" t="s">
        <v>272</v>
      </c>
      <c r="DM975" s="7">
        <f>81.14</f>
        <v>81.14</v>
      </c>
      <c r="DN975" s="5" t="s">
        <v>238</v>
      </c>
      <c r="DO975" s="5" t="s">
        <v>238</v>
      </c>
      <c r="DP975" s="5" t="s">
        <v>238</v>
      </c>
      <c r="DQ975" s="5" t="s">
        <v>238</v>
      </c>
      <c r="DT975" s="5" t="s">
        <v>2554</v>
      </c>
      <c r="DU975" s="5" t="s">
        <v>389</v>
      </c>
      <c r="GL975" s="5" t="s">
        <v>2558</v>
      </c>
      <c r="HM975" s="5" t="s">
        <v>313</v>
      </c>
      <c r="HP975" s="5" t="s">
        <v>272</v>
      </c>
      <c r="HQ975" s="5" t="s">
        <v>272</v>
      </c>
      <c r="HR975" s="5" t="s">
        <v>238</v>
      </c>
      <c r="HS975" s="5" t="s">
        <v>238</v>
      </c>
      <c r="HT975" s="5" t="s">
        <v>238</v>
      </c>
      <c r="HU975" s="5" t="s">
        <v>238</v>
      </c>
      <c r="HV975" s="5" t="s">
        <v>238</v>
      </c>
      <c r="HW975" s="5" t="s">
        <v>238</v>
      </c>
      <c r="HX975" s="5" t="s">
        <v>238</v>
      </c>
      <c r="HY975" s="5" t="s">
        <v>238</v>
      </c>
      <c r="HZ975" s="5" t="s">
        <v>238</v>
      </c>
      <c r="IA975" s="5" t="s">
        <v>238</v>
      </c>
      <c r="IB975" s="5" t="s">
        <v>238</v>
      </c>
      <c r="IC975" s="5" t="s">
        <v>238</v>
      </c>
      <c r="ID975" s="5" t="s">
        <v>238</v>
      </c>
    </row>
    <row r="976" spans="1:238" x14ac:dyDescent="0.4">
      <c r="A976" s="5">
        <v>1072</v>
      </c>
      <c r="B976" s="5">
        <v>1</v>
      </c>
      <c r="C976" s="5">
        <v>4</v>
      </c>
      <c r="D976" s="5" t="s">
        <v>2551</v>
      </c>
      <c r="E976" s="5" t="s">
        <v>277</v>
      </c>
      <c r="F976" s="5" t="s">
        <v>282</v>
      </c>
      <c r="G976" s="5" t="s">
        <v>2485</v>
      </c>
      <c r="H976" s="6" t="s">
        <v>2553</v>
      </c>
      <c r="I976" s="5" t="s">
        <v>2494</v>
      </c>
      <c r="J976" s="7">
        <f>81.14</f>
        <v>81.14</v>
      </c>
      <c r="K976" s="5" t="s">
        <v>270</v>
      </c>
      <c r="L976" s="8">
        <f>11641440</f>
        <v>11641440</v>
      </c>
      <c r="M976" s="8">
        <f>18420000</f>
        <v>18420000</v>
      </c>
      <c r="N976" s="6" t="s">
        <v>2552</v>
      </c>
      <c r="O976" s="5" t="s">
        <v>286</v>
      </c>
      <c r="P976" s="5" t="s">
        <v>313</v>
      </c>
      <c r="Q976" s="8">
        <f>847320</f>
        <v>847320</v>
      </c>
      <c r="R976" s="8">
        <f>6778560</f>
        <v>6778560</v>
      </c>
      <c r="S976" s="5" t="s">
        <v>240</v>
      </c>
      <c r="T976" s="5" t="s">
        <v>237</v>
      </c>
      <c r="U976" s="5" t="s">
        <v>238</v>
      </c>
      <c r="V976" s="5" t="s">
        <v>238</v>
      </c>
      <c r="W976" s="5" t="s">
        <v>241</v>
      </c>
      <c r="X976" s="5" t="s">
        <v>276</v>
      </c>
      <c r="Y976" s="5" t="s">
        <v>238</v>
      </c>
      <c r="AB976" s="5" t="s">
        <v>238</v>
      </c>
      <c r="AC976" s="6" t="s">
        <v>238</v>
      </c>
      <c r="AD976" s="6" t="s">
        <v>238</v>
      </c>
      <c r="AF976" s="6" t="s">
        <v>238</v>
      </c>
      <c r="AG976" s="6" t="s">
        <v>246</v>
      </c>
      <c r="AH976" s="5" t="s">
        <v>247</v>
      </c>
      <c r="AI976" s="5" t="s">
        <v>248</v>
      </c>
      <c r="AO976" s="5" t="s">
        <v>238</v>
      </c>
      <c r="AP976" s="5" t="s">
        <v>238</v>
      </c>
      <c r="AQ976" s="5" t="s">
        <v>238</v>
      </c>
      <c r="AR976" s="6" t="s">
        <v>238</v>
      </c>
      <c r="AS976" s="6" t="s">
        <v>238</v>
      </c>
      <c r="AT976" s="6" t="s">
        <v>238</v>
      </c>
      <c r="AW976" s="5" t="s">
        <v>304</v>
      </c>
      <c r="AX976" s="5" t="s">
        <v>304</v>
      </c>
      <c r="AY976" s="5" t="s">
        <v>250</v>
      </c>
      <c r="AZ976" s="5" t="s">
        <v>305</v>
      </c>
      <c r="BA976" s="5" t="s">
        <v>251</v>
      </c>
      <c r="BB976" s="5" t="s">
        <v>238</v>
      </c>
      <c r="BC976" s="5" t="s">
        <v>253</v>
      </c>
      <c r="BD976" s="5" t="s">
        <v>238</v>
      </c>
      <c r="BF976" s="5" t="s">
        <v>238</v>
      </c>
      <c r="BH976" s="5" t="s">
        <v>283</v>
      </c>
      <c r="BI976" s="6" t="s">
        <v>293</v>
      </c>
      <c r="BJ976" s="5" t="s">
        <v>294</v>
      </c>
      <c r="BK976" s="5" t="s">
        <v>294</v>
      </c>
      <c r="BL976" s="5" t="s">
        <v>238</v>
      </c>
      <c r="BM976" s="7">
        <f>0</f>
        <v>0</v>
      </c>
      <c r="BN976" s="8">
        <f>-847320</f>
        <v>-847320</v>
      </c>
      <c r="BO976" s="5" t="s">
        <v>257</v>
      </c>
      <c r="BP976" s="5" t="s">
        <v>258</v>
      </c>
      <c r="BQ976" s="5" t="s">
        <v>238</v>
      </c>
      <c r="BR976" s="5" t="s">
        <v>238</v>
      </c>
      <c r="BS976" s="5" t="s">
        <v>238</v>
      </c>
      <c r="BT976" s="5" t="s">
        <v>238</v>
      </c>
      <c r="CC976" s="5" t="s">
        <v>258</v>
      </c>
      <c r="CD976" s="5" t="s">
        <v>238</v>
      </c>
      <c r="CE976" s="5" t="s">
        <v>238</v>
      </c>
      <c r="CI976" s="5" t="s">
        <v>259</v>
      </c>
      <c r="CJ976" s="5" t="s">
        <v>260</v>
      </c>
      <c r="CK976" s="5" t="s">
        <v>238</v>
      </c>
      <c r="CM976" s="5" t="s">
        <v>723</v>
      </c>
      <c r="CN976" s="6" t="s">
        <v>262</v>
      </c>
      <c r="CO976" s="5" t="s">
        <v>263</v>
      </c>
      <c r="CP976" s="5" t="s">
        <v>264</v>
      </c>
      <c r="CQ976" s="5" t="s">
        <v>285</v>
      </c>
      <c r="CR976" s="5" t="s">
        <v>238</v>
      </c>
      <c r="CS976" s="5">
        <v>4.5999999999999999E-2</v>
      </c>
      <c r="CT976" s="5" t="s">
        <v>265</v>
      </c>
      <c r="CU976" s="5" t="s">
        <v>1360</v>
      </c>
      <c r="CV976" s="5" t="s">
        <v>267</v>
      </c>
      <c r="CW976" s="7">
        <f>0</f>
        <v>0</v>
      </c>
      <c r="CX976" s="8">
        <f>18420000</f>
        <v>18420000</v>
      </c>
      <c r="CY976" s="8">
        <f>12488760</f>
        <v>12488760</v>
      </c>
      <c r="DA976" s="5" t="s">
        <v>238</v>
      </c>
      <c r="DB976" s="5" t="s">
        <v>238</v>
      </c>
      <c r="DD976" s="5" t="s">
        <v>238</v>
      </c>
      <c r="DE976" s="8">
        <f>0</f>
        <v>0</v>
      </c>
      <c r="DG976" s="5" t="s">
        <v>238</v>
      </c>
      <c r="DH976" s="5" t="s">
        <v>238</v>
      </c>
      <c r="DI976" s="5" t="s">
        <v>238</v>
      </c>
      <c r="DJ976" s="5" t="s">
        <v>238</v>
      </c>
      <c r="DK976" s="5" t="s">
        <v>274</v>
      </c>
      <c r="DL976" s="5" t="s">
        <v>272</v>
      </c>
      <c r="DM976" s="7">
        <f>81.14</f>
        <v>81.14</v>
      </c>
      <c r="DN976" s="5" t="s">
        <v>238</v>
      </c>
      <c r="DO976" s="5" t="s">
        <v>238</v>
      </c>
      <c r="DP976" s="5" t="s">
        <v>238</v>
      </c>
      <c r="DQ976" s="5" t="s">
        <v>238</v>
      </c>
      <c r="DT976" s="5" t="s">
        <v>2554</v>
      </c>
      <c r="DU976" s="5" t="s">
        <v>354</v>
      </c>
      <c r="GL976" s="5" t="s">
        <v>2557</v>
      </c>
      <c r="HM976" s="5" t="s">
        <v>313</v>
      </c>
      <c r="HP976" s="5" t="s">
        <v>272</v>
      </c>
      <c r="HQ976" s="5" t="s">
        <v>272</v>
      </c>
      <c r="HR976" s="5" t="s">
        <v>238</v>
      </c>
      <c r="HS976" s="5" t="s">
        <v>238</v>
      </c>
      <c r="HT976" s="5" t="s">
        <v>238</v>
      </c>
      <c r="HU976" s="5" t="s">
        <v>238</v>
      </c>
      <c r="HV976" s="5" t="s">
        <v>238</v>
      </c>
      <c r="HW976" s="5" t="s">
        <v>238</v>
      </c>
      <c r="HX976" s="5" t="s">
        <v>238</v>
      </c>
      <c r="HY976" s="5" t="s">
        <v>238</v>
      </c>
      <c r="HZ976" s="5" t="s">
        <v>238</v>
      </c>
      <c r="IA976" s="5" t="s">
        <v>238</v>
      </c>
      <c r="IB976" s="5" t="s">
        <v>238</v>
      </c>
      <c r="IC976" s="5" t="s">
        <v>238</v>
      </c>
      <c r="ID976" s="5" t="s">
        <v>238</v>
      </c>
    </row>
    <row r="977" spans="1:238" x14ac:dyDescent="0.4">
      <c r="A977" s="5">
        <v>1073</v>
      </c>
      <c r="B977" s="5">
        <v>1</v>
      </c>
      <c r="C977" s="5">
        <v>4</v>
      </c>
      <c r="D977" s="5" t="s">
        <v>2551</v>
      </c>
      <c r="E977" s="5" t="s">
        <v>277</v>
      </c>
      <c r="F977" s="5" t="s">
        <v>282</v>
      </c>
      <c r="G977" s="5" t="s">
        <v>2485</v>
      </c>
      <c r="H977" s="6" t="s">
        <v>2553</v>
      </c>
      <c r="I977" s="5" t="s">
        <v>2489</v>
      </c>
      <c r="J977" s="7">
        <f>81.14</f>
        <v>81.14</v>
      </c>
      <c r="K977" s="5" t="s">
        <v>270</v>
      </c>
      <c r="L977" s="8">
        <f>11641440</f>
        <v>11641440</v>
      </c>
      <c r="M977" s="8">
        <f>18420000</f>
        <v>18420000</v>
      </c>
      <c r="N977" s="6" t="s">
        <v>2552</v>
      </c>
      <c r="O977" s="5" t="s">
        <v>286</v>
      </c>
      <c r="P977" s="5" t="s">
        <v>313</v>
      </c>
      <c r="Q977" s="8">
        <f>847320</f>
        <v>847320</v>
      </c>
      <c r="R977" s="8">
        <f>6778560</f>
        <v>6778560</v>
      </c>
      <c r="S977" s="5" t="s">
        <v>240</v>
      </c>
      <c r="T977" s="5" t="s">
        <v>237</v>
      </c>
      <c r="U977" s="5" t="s">
        <v>238</v>
      </c>
      <c r="V977" s="5" t="s">
        <v>238</v>
      </c>
      <c r="W977" s="5" t="s">
        <v>241</v>
      </c>
      <c r="X977" s="5" t="s">
        <v>276</v>
      </c>
      <c r="Y977" s="5" t="s">
        <v>238</v>
      </c>
      <c r="AB977" s="5" t="s">
        <v>238</v>
      </c>
      <c r="AC977" s="6" t="s">
        <v>238</v>
      </c>
      <c r="AD977" s="6" t="s">
        <v>238</v>
      </c>
      <c r="AF977" s="6" t="s">
        <v>238</v>
      </c>
      <c r="AG977" s="6" t="s">
        <v>246</v>
      </c>
      <c r="AH977" s="5" t="s">
        <v>247</v>
      </c>
      <c r="AI977" s="5" t="s">
        <v>248</v>
      </c>
      <c r="AO977" s="5" t="s">
        <v>238</v>
      </c>
      <c r="AP977" s="5" t="s">
        <v>238</v>
      </c>
      <c r="AQ977" s="5" t="s">
        <v>238</v>
      </c>
      <c r="AR977" s="6" t="s">
        <v>238</v>
      </c>
      <c r="AS977" s="6" t="s">
        <v>238</v>
      </c>
      <c r="AT977" s="6" t="s">
        <v>238</v>
      </c>
      <c r="AW977" s="5" t="s">
        <v>304</v>
      </c>
      <c r="AX977" s="5" t="s">
        <v>304</v>
      </c>
      <c r="AY977" s="5" t="s">
        <v>250</v>
      </c>
      <c r="AZ977" s="5" t="s">
        <v>305</v>
      </c>
      <c r="BA977" s="5" t="s">
        <v>251</v>
      </c>
      <c r="BB977" s="5" t="s">
        <v>238</v>
      </c>
      <c r="BC977" s="5" t="s">
        <v>253</v>
      </c>
      <c r="BD977" s="5" t="s">
        <v>238</v>
      </c>
      <c r="BF977" s="5" t="s">
        <v>238</v>
      </c>
      <c r="BH977" s="5" t="s">
        <v>283</v>
      </c>
      <c r="BI977" s="6" t="s">
        <v>293</v>
      </c>
      <c r="BJ977" s="5" t="s">
        <v>294</v>
      </c>
      <c r="BK977" s="5" t="s">
        <v>294</v>
      </c>
      <c r="BL977" s="5" t="s">
        <v>238</v>
      </c>
      <c r="BM977" s="7">
        <f>0</f>
        <v>0</v>
      </c>
      <c r="BN977" s="8">
        <f>-847320</f>
        <v>-847320</v>
      </c>
      <c r="BO977" s="5" t="s">
        <v>257</v>
      </c>
      <c r="BP977" s="5" t="s">
        <v>258</v>
      </c>
      <c r="BQ977" s="5" t="s">
        <v>238</v>
      </c>
      <c r="BR977" s="5" t="s">
        <v>238</v>
      </c>
      <c r="BS977" s="5" t="s">
        <v>238</v>
      </c>
      <c r="BT977" s="5" t="s">
        <v>238</v>
      </c>
      <c r="CC977" s="5" t="s">
        <v>258</v>
      </c>
      <c r="CD977" s="5" t="s">
        <v>238</v>
      </c>
      <c r="CE977" s="5" t="s">
        <v>238</v>
      </c>
      <c r="CI977" s="5" t="s">
        <v>259</v>
      </c>
      <c r="CJ977" s="5" t="s">
        <v>260</v>
      </c>
      <c r="CK977" s="5" t="s">
        <v>238</v>
      </c>
      <c r="CM977" s="5" t="s">
        <v>723</v>
      </c>
      <c r="CN977" s="6" t="s">
        <v>262</v>
      </c>
      <c r="CO977" s="5" t="s">
        <v>263</v>
      </c>
      <c r="CP977" s="5" t="s">
        <v>264</v>
      </c>
      <c r="CQ977" s="5" t="s">
        <v>285</v>
      </c>
      <c r="CR977" s="5" t="s">
        <v>238</v>
      </c>
      <c r="CS977" s="5">
        <v>4.5999999999999999E-2</v>
      </c>
      <c r="CT977" s="5" t="s">
        <v>265</v>
      </c>
      <c r="CU977" s="5" t="s">
        <v>1360</v>
      </c>
      <c r="CV977" s="5" t="s">
        <v>267</v>
      </c>
      <c r="CW977" s="7">
        <f>0</f>
        <v>0</v>
      </c>
      <c r="CX977" s="8">
        <f>18420000</f>
        <v>18420000</v>
      </c>
      <c r="CY977" s="8">
        <f>12488760</f>
        <v>12488760</v>
      </c>
      <c r="DA977" s="5" t="s">
        <v>238</v>
      </c>
      <c r="DB977" s="5" t="s">
        <v>238</v>
      </c>
      <c r="DD977" s="5" t="s">
        <v>238</v>
      </c>
      <c r="DE977" s="8">
        <f>0</f>
        <v>0</v>
      </c>
      <c r="DG977" s="5" t="s">
        <v>238</v>
      </c>
      <c r="DH977" s="5" t="s">
        <v>238</v>
      </c>
      <c r="DI977" s="5" t="s">
        <v>238</v>
      </c>
      <c r="DJ977" s="5" t="s">
        <v>238</v>
      </c>
      <c r="DK977" s="5" t="s">
        <v>274</v>
      </c>
      <c r="DL977" s="5" t="s">
        <v>272</v>
      </c>
      <c r="DM977" s="7">
        <f>81.14</f>
        <v>81.14</v>
      </c>
      <c r="DN977" s="5" t="s">
        <v>238</v>
      </c>
      <c r="DO977" s="5" t="s">
        <v>238</v>
      </c>
      <c r="DP977" s="5" t="s">
        <v>238</v>
      </c>
      <c r="DQ977" s="5" t="s">
        <v>238</v>
      </c>
      <c r="DT977" s="5" t="s">
        <v>2554</v>
      </c>
      <c r="DU977" s="5" t="s">
        <v>361</v>
      </c>
      <c r="GL977" s="5" t="s">
        <v>2556</v>
      </c>
      <c r="HM977" s="5" t="s">
        <v>313</v>
      </c>
      <c r="HP977" s="5" t="s">
        <v>272</v>
      </c>
      <c r="HQ977" s="5" t="s">
        <v>272</v>
      </c>
      <c r="HR977" s="5" t="s">
        <v>238</v>
      </c>
      <c r="HS977" s="5" t="s">
        <v>238</v>
      </c>
      <c r="HT977" s="5" t="s">
        <v>238</v>
      </c>
      <c r="HU977" s="5" t="s">
        <v>238</v>
      </c>
      <c r="HV977" s="5" t="s">
        <v>238</v>
      </c>
      <c r="HW977" s="5" t="s">
        <v>238</v>
      </c>
      <c r="HX977" s="5" t="s">
        <v>238</v>
      </c>
      <c r="HY977" s="5" t="s">
        <v>238</v>
      </c>
      <c r="HZ977" s="5" t="s">
        <v>238</v>
      </c>
      <c r="IA977" s="5" t="s">
        <v>238</v>
      </c>
      <c r="IB977" s="5" t="s">
        <v>238</v>
      </c>
      <c r="IC977" s="5" t="s">
        <v>238</v>
      </c>
      <c r="ID977" s="5" t="s">
        <v>238</v>
      </c>
    </row>
    <row r="978" spans="1:238" x14ac:dyDescent="0.4">
      <c r="A978" s="5">
        <v>1074</v>
      </c>
      <c r="B978" s="5">
        <v>1</v>
      </c>
      <c r="C978" s="5">
        <v>4</v>
      </c>
      <c r="D978" s="5" t="s">
        <v>2551</v>
      </c>
      <c r="E978" s="5" t="s">
        <v>277</v>
      </c>
      <c r="F978" s="5" t="s">
        <v>282</v>
      </c>
      <c r="G978" s="5" t="s">
        <v>2485</v>
      </c>
      <c r="H978" s="6" t="s">
        <v>2553</v>
      </c>
      <c r="I978" s="5" t="s">
        <v>2520</v>
      </c>
      <c r="J978" s="7">
        <f>81.14</f>
        <v>81.14</v>
      </c>
      <c r="K978" s="5" t="s">
        <v>270</v>
      </c>
      <c r="L978" s="8">
        <f>11641440</f>
        <v>11641440</v>
      </c>
      <c r="M978" s="8">
        <f>18420000</f>
        <v>18420000</v>
      </c>
      <c r="N978" s="6" t="s">
        <v>2552</v>
      </c>
      <c r="O978" s="5" t="s">
        <v>286</v>
      </c>
      <c r="P978" s="5" t="s">
        <v>313</v>
      </c>
      <c r="Q978" s="8">
        <f>847320</f>
        <v>847320</v>
      </c>
      <c r="R978" s="8">
        <f>6778560</f>
        <v>6778560</v>
      </c>
      <c r="S978" s="5" t="s">
        <v>240</v>
      </c>
      <c r="T978" s="5" t="s">
        <v>237</v>
      </c>
      <c r="U978" s="5" t="s">
        <v>238</v>
      </c>
      <c r="V978" s="5" t="s">
        <v>238</v>
      </c>
      <c r="W978" s="5" t="s">
        <v>241</v>
      </c>
      <c r="X978" s="5" t="s">
        <v>276</v>
      </c>
      <c r="Y978" s="5" t="s">
        <v>238</v>
      </c>
      <c r="AB978" s="5" t="s">
        <v>238</v>
      </c>
      <c r="AC978" s="6" t="s">
        <v>238</v>
      </c>
      <c r="AD978" s="6" t="s">
        <v>238</v>
      </c>
      <c r="AF978" s="6" t="s">
        <v>238</v>
      </c>
      <c r="AG978" s="6" t="s">
        <v>246</v>
      </c>
      <c r="AH978" s="5" t="s">
        <v>247</v>
      </c>
      <c r="AI978" s="5" t="s">
        <v>248</v>
      </c>
      <c r="AO978" s="5" t="s">
        <v>238</v>
      </c>
      <c r="AP978" s="5" t="s">
        <v>238</v>
      </c>
      <c r="AQ978" s="5" t="s">
        <v>238</v>
      </c>
      <c r="AR978" s="6" t="s">
        <v>238</v>
      </c>
      <c r="AS978" s="6" t="s">
        <v>238</v>
      </c>
      <c r="AT978" s="6" t="s">
        <v>238</v>
      </c>
      <c r="AW978" s="5" t="s">
        <v>304</v>
      </c>
      <c r="AX978" s="5" t="s">
        <v>304</v>
      </c>
      <c r="AY978" s="5" t="s">
        <v>250</v>
      </c>
      <c r="AZ978" s="5" t="s">
        <v>305</v>
      </c>
      <c r="BA978" s="5" t="s">
        <v>251</v>
      </c>
      <c r="BB978" s="5" t="s">
        <v>238</v>
      </c>
      <c r="BC978" s="5" t="s">
        <v>253</v>
      </c>
      <c r="BD978" s="5" t="s">
        <v>238</v>
      </c>
      <c r="BF978" s="5" t="s">
        <v>238</v>
      </c>
      <c r="BH978" s="5" t="s">
        <v>283</v>
      </c>
      <c r="BI978" s="6" t="s">
        <v>293</v>
      </c>
      <c r="BJ978" s="5" t="s">
        <v>294</v>
      </c>
      <c r="BK978" s="5" t="s">
        <v>294</v>
      </c>
      <c r="BL978" s="5" t="s">
        <v>238</v>
      </c>
      <c r="BM978" s="7">
        <f>0</f>
        <v>0</v>
      </c>
      <c r="BN978" s="8">
        <f>-847320</f>
        <v>-847320</v>
      </c>
      <c r="BO978" s="5" t="s">
        <v>257</v>
      </c>
      <c r="BP978" s="5" t="s">
        <v>258</v>
      </c>
      <c r="BQ978" s="5" t="s">
        <v>238</v>
      </c>
      <c r="BR978" s="5" t="s">
        <v>238</v>
      </c>
      <c r="BS978" s="5" t="s">
        <v>238</v>
      </c>
      <c r="BT978" s="5" t="s">
        <v>238</v>
      </c>
      <c r="CC978" s="5" t="s">
        <v>258</v>
      </c>
      <c r="CD978" s="5" t="s">
        <v>238</v>
      </c>
      <c r="CE978" s="5" t="s">
        <v>238</v>
      </c>
      <c r="CI978" s="5" t="s">
        <v>259</v>
      </c>
      <c r="CJ978" s="5" t="s">
        <v>260</v>
      </c>
      <c r="CK978" s="5" t="s">
        <v>238</v>
      </c>
      <c r="CM978" s="5" t="s">
        <v>723</v>
      </c>
      <c r="CN978" s="6" t="s">
        <v>262</v>
      </c>
      <c r="CO978" s="5" t="s">
        <v>263</v>
      </c>
      <c r="CP978" s="5" t="s">
        <v>264</v>
      </c>
      <c r="CQ978" s="5" t="s">
        <v>285</v>
      </c>
      <c r="CR978" s="5" t="s">
        <v>238</v>
      </c>
      <c r="CS978" s="5">
        <v>4.5999999999999999E-2</v>
      </c>
      <c r="CT978" s="5" t="s">
        <v>265</v>
      </c>
      <c r="CU978" s="5" t="s">
        <v>1360</v>
      </c>
      <c r="CV978" s="5" t="s">
        <v>267</v>
      </c>
      <c r="CW978" s="7">
        <f>0</f>
        <v>0</v>
      </c>
      <c r="CX978" s="8">
        <f>18420000</f>
        <v>18420000</v>
      </c>
      <c r="CY978" s="8">
        <f>12488760</f>
        <v>12488760</v>
      </c>
      <c r="DA978" s="5" t="s">
        <v>238</v>
      </c>
      <c r="DB978" s="5" t="s">
        <v>238</v>
      </c>
      <c r="DD978" s="5" t="s">
        <v>238</v>
      </c>
      <c r="DE978" s="8">
        <f>0</f>
        <v>0</v>
      </c>
      <c r="DG978" s="5" t="s">
        <v>238</v>
      </c>
      <c r="DH978" s="5" t="s">
        <v>238</v>
      </c>
      <c r="DI978" s="5" t="s">
        <v>238</v>
      </c>
      <c r="DJ978" s="5" t="s">
        <v>238</v>
      </c>
      <c r="DK978" s="5" t="s">
        <v>274</v>
      </c>
      <c r="DL978" s="5" t="s">
        <v>272</v>
      </c>
      <c r="DM978" s="7">
        <f>81.14</f>
        <v>81.14</v>
      </c>
      <c r="DN978" s="5" t="s">
        <v>238</v>
      </c>
      <c r="DO978" s="5" t="s">
        <v>238</v>
      </c>
      <c r="DP978" s="5" t="s">
        <v>238</v>
      </c>
      <c r="DQ978" s="5" t="s">
        <v>238</v>
      </c>
      <c r="DT978" s="5" t="s">
        <v>2554</v>
      </c>
      <c r="DU978" s="5" t="s">
        <v>377</v>
      </c>
      <c r="GL978" s="5" t="s">
        <v>2555</v>
      </c>
      <c r="HM978" s="5" t="s">
        <v>313</v>
      </c>
      <c r="HP978" s="5" t="s">
        <v>272</v>
      </c>
      <c r="HQ978" s="5" t="s">
        <v>272</v>
      </c>
      <c r="HR978" s="5" t="s">
        <v>238</v>
      </c>
      <c r="HS978" s="5" t="s">
        <v>238</v>
      </c>
      <c r="HT978" s="5" t="s">
        <v>238</v>
      </c>
      <c r="HU978" s="5" t="s">
        <v>238</v>
      </c>
      <c r="HV978" s="5" t="s">
        <v>238</v>
      </c>
      <c r="HW978" s="5" t="s">
        <v>238</v>
      </c>
      <c r="HX978" s="5" t="s">
        <v>238</v>
      </c>
      <c r="HY978" s="5" t="s">
        <v>238</v>
      </c>
      <c r="HZ978" s="5" t="s">
        <v>238</v>
      </c>
      <c r="IA978" s="5" t="s">
        <v>238</v>
      </c>
      <c r="IB978" s="5" t="s">
        <v>238</v>
      </c>
      <c r="IC978" s="5" t="s">
        <v>238</v>
      </c>
      <c r="ID978" s="5" t="s">
        <v>238</v>
      </c>
    </row>
    <row r="979" spans="1:238" x14ac:dyDescent="0.4">
      <c r="A979" s="5">
        <v>1075</v>
      </c>
      <c r="B979" s="5">
        <v>1</v>
      </c>
      <c r="C979" s="5">
        <v>4</v>
      </c>
      <c r="D979" s="5" t="s">
        <v>2546</v>
      </c>
      <c r="E979" s="5" t="s">
        <v>277</v>
      </c>
      <c r="F979" s="5" t="s">
        <v>282</v>
      </c>
      <c r="G979" s="5" t="s">
        <v>2485</v>
      </c>
      <c r="H979" s="6" t="s">
        <v>2548</v>
      </c>
      <c r="I979" s="5" t="s">
        <v>2482</v>
      </c>
      <c r="J979" s="7">
        <f>1479.62</f>
        <v>1479.62</v>
      </c>
      <c r="K979" s="5" t="s">
        <v>270</v>
      </c>
      <c r="L979" s="8">
        <f>386924844</f>
        <v>386924844</v>
      </c>
      <c r="M979" s="8">
        <f>471859560</f>
        <v>471859560</v>
      </c>
      <c r="N979" s="6" t="s">
        <v>2547</v>
      </c>
      <c r="O979" s="5" t="s">
        <v>755</v>
      </c>
      <c r="P979" s="5" t="s">
        <v>310</v>
      </c>
      <c r="Q979" s="8">
        <f>14155786</f>
        <v>14155786</v>
      </c>
      <c r="R979" s="8">
        <f>84934716</f>
        <v>84934716</v>
      </c>
      <c r="S979" s="5" t="s">
        <v>240</v>
      </c>
      <c r="T979" s="5" t="s">
        <v>237</v>
      </c>
      <c r="U979" s="5" t="s">
        <v>238</v>
      </c>
      <c r="V979" s="5" t="s">
        <v>238</v>
      </c>
      <c r="W979" s="5" t="s">
        <v>241</v>
      </c>
      <c r="X979" s="5" t="s">
        <v>276</v>
      </c>
      <c r="Y979" s="5" t="s">
        <v>238</v>
      </c>
      <c r="AB979" s="5" t="s">
        <v>238</v>
      </c>
      <c r="AC979" s="6" t="s">
        <v>238</v>
      </c>
      <c r="AD979" s="6" t="s">
        <v>238</v>
      </c>
      <c r="AF979" s="6" t="s">
        <v>238</v>
      </c>
      <c r="AG979" s="6" t="s">
        <v>246</v>
      </c>
      <c r="AH979" s="5" t="s">
        <v>247</v>
      </c>
      <c r="AI979" s="5" t="s">
        <v>248</v>
      </c>
      <c r="AO979" s="5" t="s">
        <v>238</v>
      </c>
      <c r="AP979" s="5" t="s">
        <v>238</v>
      </c>
      <c r="AQ979" s="5" t="s">
        <v>238</v>
      </c>
      <c r="AR979" s="6" t="s">
        <v>238</v>
      </c>
      <c r="AS979" s="6" t="s">
        <v>238</v>
      </c>
      <c r="AT979" s="6" t="s">
        <v>238</v>
      </c>
      <c r="AW979" s="5" t="s">
        <v>304</v>
      </c>
      <c r="AX979" s="5" t="s">
        <v>304</v>
      </c>
      <c r="AY979" s="5" t="s">
        <v>250</v>
      </c>
      <c r="AZ979" s="5" t="s">
        <v>305</v>
      </c>
      <c r="BA979" s="5" t="s">
        <v>251</v>
      </c>
      <c r="BB979" s="5" t="s">
        <v>238</v>
      </c>
      <c r="BC979" s="5" t="s">
        <v>253</v>
      </c>
      <c r="BD979" s="5" t="s">
        <v>238</v>
      </c>
      <c r="BF979" s="5" t="s">
        <v>238</v>
      </c>
      <c r="BH979" s="5" t="s">
        <v>283</v>
      </c>
      <c r="BI979" s="6" t="s">
        <v>293</v>
      </c>
      <c r="BJ979" s="5" t="s">
        <v>294</v>
      </c>
      <c r="BK979" s="5" t="s">
        <v>294</v>
      </c>
      <c r="BL979" s="5" t="s">
        <v>238</v>
      </c>
      <c r="BM979" s="7">
        <f>0</f>
        <v>0</v>
      </c>
      <c r="BN979" s="8">
        <f>-14155786</f>
        <v>-14155786</v>
      </c>
      <c r="BO979" s="5" t="s">
        <v>257</v>
      </c>
      <c r="BP979" s="5" t="s">
        <v>258</v>
      </c>
      <c r="BQ979" s="5" t="s">
        <v>238</v>
      </c>
      <c r="BR979" s="5" t="s">
        <v>238</v>
      </c>
      <c r="BS979" s="5" t="s">
        <v>238</v>
      </c>
      <c r="BT979" s="5" t="s">
        <v>238</v>
      </c>
      <c r="CC979" s="5" t="s">
        <v>258</v>
      </c>
      <c r="CD979" s="5" t="s">
        <v>238</v>
      </c>
      <c r="CE979" s="5" t="s">
        <v>238</v>
      </c>
      <c r="CI979" s="5" t="s">
        <v>259</v>
      </c>
      <c r="CJ979" s="5" t="s">
        <v>260</v>
      </c>
      <c r="CK979" s="5" t="s">
        <v>238</v>
      </c>
      <c r="CM979" s="5" t="s">
        <v>1202</v>
      </c>
      <c r="CN979" s="6" t="s">
        <v>262</v>
      </c>
      <c r="CO979" s="5" t="s">
        <v>263</v>
      </c>
      <c r="CP979" s="5" t="s">
        <v>264</v>
      </c>
      <c r="CQ979" s="5" t="s">
        <v>285</v>
      </c>
      <c r="CR979" s="5" t="s">
        <v>238</v>
      </c>
      <c r="CS979" s="5">
        <v>0.03</v>
      </c>
      <c r="CT979" s="5" t="s">
        <v>265</v>
      </c>
      <c r="CU979" s="5" t="s">
        <v>1360</v>
      </c>
      <c r="CV979" s="5" t="s">
        <v>649</v>
      </c>
      <c r="CW979" s="7">
        <f>0</f>
        <v>0</v>
      </c>
      <c r="CX979" s="8">
        <f>471859560</f>
        <v>471859560</v>
      </c>
      <c r="CY979" s="8">
        <f>401080630</f>
        <v>401080630</v>
      </c>
      <c r="DA979" s="5" t="s">
        <v>238</v>
      </c>
      <c r="DB979" s="5" t="s">
        <v>238</v>
      </c>
      <c r="DD979" s="5" t="s">
        <v>238</v>
      </c>
      <c r="DE979" s="8">
        <f>0</f>
        <v>0</v>
      </c>
      <c r="DG979" s="5" t="s">
        <v>238</v>
      </c>
      <c r="DH979" s="5" t="s">
        <v>238</v>
      </c>
      <c r="DI979" s="5" t="s">
        <v>238</v>
      </c>
      <c r="DJ979" s="5" t="s">
        <v>238</v>
      </c>
      <c r="DK979" s="5" t="s">
        <v>272</v>
      </c>
      <c r="DL979" s="5" t="s">
        <v>272</v>
      </c>
      <c r="DM979" s="7">
        <f>1479.62</f>
        <v>1479.62</v>
      </c>
      <c r="DN979" s="5" t="s">
        <v>238</v>
      </c>
      <c r="DO979" s="5" t="s">
        <v>238</v>
      </c>
      <c r="DP979" s="5" t="s">
        <v>238</v>
      </c>
      <c r="DQ979" s="5" t="s">
        <v>238</v>
      </c>
      <c r="DT979" s="5" t="s">
        <v>2549</v>
      </c>
      <c r="DU979" s="5" t="s">
        <v>271</v>
      </c>
      <c r="GL979" s="5" t="s">
        <v>2550</v>
      </c>
      <c r="HM979" s="5" t="s">
        <v>313</v>
      </c>
      <c r="HP979" s="5" t="s">
        <v>272</v>
      </c>
      <c r="HQ979" s="5" t="s">
        <v>272</v>
      </c>
      <c r="HR979" s="5" t="s">
        <v>238</v>
      </c>
      <c r="HS979" s="5" t="s">
        <v>238</v>
      </c>
      <c r="HT979" s="5" t="s">
        <v>238</v>
      </c>
      <c r="HU979" s="5" t="s">
        <v>238</v>
      </c>
      <c r="HV979" s="5" t="s">
        <v>238</v>
      </c>
      <c r="HW979" s="5" t="s">
        <v>238</v>
      </c>
      <c r="HX979" s="5" t="s">
        <v>238</v>
      </c>
      <c r="HY979" s="5" t="s">
        <v>238</v>
      </c>
      <c r="HZ979" s="5" t="s">
        <v>238</v>
      </c>
      <c r="IA979" s="5" t="s">
        <v>238</v>
      </c>
      <c r="IB979" s="5" t="s">
        <v>238</v>
      </c>
      <c r="IC979" s="5" t="s">
        <v>238</v>
      </c>
      <c r="ID979" s="5" t="s">
        <v>238</v>
      </c>
    </row>
    <row r="980" spans="1:238" x14ac:dyDescent="0.4">
      <c r="A980" s="5">
        <v>1242</v>
      </c>
      <c r="B980" s="5">
        <v>1</v>
      </c>
      <c r="C980" s="5">
        <v>4</v>
      </c>
      <c r="D980" s="5" t="s">
        <v>439</v>
      </c>
      <c r="E980" s="5" t="s">
        <v>440</v>
      </c>
      <c r="F980" s="5" t="s">
        <v>282</v>
      </c>
      <c r="G980" s="5" t="s">
        <v>442</v>
      </c>
      <c r="H980" s="6" t="s">
        <v>443</v>
      </c>
      <c r="I980" s="5" t="s">
        <v>438</v>
      </c>
      <c r="J980" s="7">
        <f>0</f>
        <v>0</v>
      </c>
      <c r="K980" s="5" t="s">
        <v>270</v>
      </c>
      <c r="L980" s="8">
        <f>330375</f>
        <v>330375</v>
      </c>
      <c r="M980" s="8">
        <f>496800</f>
        <v>496800</v>
      </c>
      <c r="N980" s="6" t="s">
        <v>441</v>
      </c>
      <c r="O980" s="5" t="s">
        <v>268</v>
      </c>
      <c r="P980" s="5" t="s">
        <v>356</v>
      </c>
      <c r="Q980" s="8">
        <f>33285</f>
        <v>33285</v>
      </c>
      <c r="R980" s="8">
        <f>166425</f>
        <v>166425</v>
      </c>
      <c r="S980" s="5" t="s">
        <v>240</v>
      </c>
      <c r="T980" s="5" t="s">
        <v>287</v>
      </c>
      <c r="U980" s="5" t="s">
        <v>238</v>
      </c>
      <c r="V980" s="5" t="s">
        <v>238</v>
      </c>
      <c r="W980" s="5" t="s">
        <v>241</v>
      </c>
      <c r="X980" s="5" t="s">
        <v>276</v>
      </c>
      <c r="Y980" s="5" t="s">
        <v>238</v>
      </c>
      <c r="AB980" s="5" t="s">
        <v>238</v>
      </c>
      <c r="AC980" s="6" t="s">
        <v>238</v>
      </c>
      <c r="AD980" s="6" t="s">
        <v>238</v>
      </c>
      <c r="AF980" s="6" t="s">
        <v>238</v>
      </c>
      <c r="AG980" s="6" t="s">
        <v>401</v>
      </c>
      <c r="AH980" s="5" t="s">
        <v>247</v>
      </c>
      <c r="AI980" s="5" t="s">
        <v>248</v>
      </c>
      <c r="AO980" s="5" t="s">
        <v>238</v>
      </c>
      <c r="AP980" s="5" t="s">
        <v>238</v>
      </c>
      <c r="AQ980" s="5" t="s">
        <v>238</v>
      </c>
      <c r="AR980" s="6" t="s">
        <v>238</v>
      </c>
      <c r="AS980" s="6" t="s">
        <v>238</v>
      </c>
      <c r="AT980" s="6" t="s">
        <v>238</v>
      </c>
      <c r="AW980" s="5" t="s">
        <v>304</v>
      </c>
      <c r="AX980" s="5" t="s">
        <v>304</v>
      </c>
      <c r="AY980" s="5" t="s">
        <v>250</v>
      </c>
      <c r="AZ980" s="5" t="s">
        <v>305</v>
      </c>
      <c r="BA980" s="5" t="s">
        <v>251</v>
      </c>
      <c r="BB980" s="5" t="s">
        <v>238</v>
      </c>
      <c r="BC980" s="5" t="s">
        <v>253</v>
      </c>
      <c r="BD980" s="5" t="s">
        <v>238</v>
      </c>
      <c r="BF980" s="5" t="s">
        <v>238</v>
      </c>
      <c r="BH980" s="5" t="s">
        <v>283</v>
      </c>
      <c r="BI980" s="6" t="s">
        <v>293</v>
      </c>
      <c r="BJ980" s="5" t="s">
        <v>294</v>
      </c>
      <c r="BK980" s="5" t="s">
        <v>294</v>
      </c>
      <c r="BL980" s="5" t="s">
        <v>238</v>
      </c>
      <c r="BM980" s="7">
        <f>0</f>
        <v>0</v>
      </c>
      <c r="BN980" s="8">
        <f>-33285</f>
        <v>-33285</v>
      </c>
      <c r="BO980" s="5" t="s">
        <v>257</v>
      </c>
      <c r="BP980" s="5" t="s">
        <v>258</v>
      </c>
      <c r="BQ980" s="5" t="s">
        <v>238</v>
      </c>
      <c r="BR980" s="5" t="s">
        <v>238</v>
      </c>
      <c r="BS980" s="5" t="s">
        <v>238</v>
      </c>
      <c r="BT980" s="5" t="s">
        <v>238</v>
      </c>
      <c r="CC980" s="5" t="s">
        <v>258</v>
      </c>
      <c r="CD980" s="5" t="s">
        <v>238</v>
      </c>
      <c r="CE980" s="5" t="s">
        <v>238</v>
      </c>
      <c r="CI980" s="5" t="s">
        <v>259</v>
      </c>
      <c r="CJ980" s="5" t="s">
        <v>260</v>
      </c>
      <c r="CK980" s="5" t="s">
        <v>238</v>
      </c>
      <c r="CM980" s="5" t="s">
        <v>376</v>
      </c>
      <c r="CN980" s="6" t="s">
        <v>262</v>
      </c>
      <c r="CO980" s="5" t="s">
        <v>263</v>
      </c>
      <c r="CP980" s="5" t="s">
        <v>264</v>
      </c>
      <c r="CQ980" s="5" t="s">
        <v>285</v>
      </c>
      <c r="CR980" s="5" t="s">
        <v>238</v>
      </c>
      <c r="CS980" s="5">
        <v>6.7000000000000004E-2</v>
      </c>
      <c r="CT980" s="5" t="s">
        <v>265</v>
      </c>
      <c r="CU980" s="5" t="s">
        <v>351</v>
      </c>
      <c r="CV980" s="5" t="s">
        <v>365</v>
      </c>
      <c r="CW980" s="7">
        <f>0</f>
        <v>0</v>
      </c>
      <c r="CX980" s="8">
        <f>496800</f>
        <v>496800</v>
      </c>
      <c r="CY980" s="8">
        <f>363660</f>
        <v>363660</v>
      </c>
      <c r="DA980" s="5" t="s">
        <v>238</v>
      </c>
      <c r="DB980" s="5" t="s">
        <v>238</v>
      </c>
      <c r="DD980" s="5" t="s">
        <v>238</v>
      </c>
      <c r="DE980" s="8">
        <f>0</f>
        <v>0</v>
      </c>
      <c r="DG980" s="5" t="s">
        <v>238</v>
      </c>
      <c r="DH980" s="5" t="s">
        <v>238</v>
      </c>
      <c r="DI980" s="5" t="s">
        <v>238</v>
      </c>
      <c r="DJ980" s="5" t="s">
        <v>238</v>
      </c>
      <c r="DK980" s="5" t="s">
        <v>272</v>
      </c>
      <c r="DL980" s="5" t="s">
        <v>272</v>
      </c>
      <c r="DM980" s="8" t="s">
        <v>238</v>
      </c>
      <c r="DN980" s="5" t="s">
        <v>238</v>
      </c>
      <c r="DO980" s="5" t="s">
        <v>238</v>
      </c>
      <c r="DP980" s="5" t="s">
        <v>238</v>
      </c>
      <c r="DQ980" s="5" t="s">
        <v>238</v>
      </c>
      <c r="DT980" s="5" t="s">
        <v>444</v>
      </c>
      <c r="DU980" s="5" t="s">
        <v>274</v>
      </c>
      <c r="GL980" s="5" t="s">
        <v>445</v>
      </c>
      <c r="HM980" s="5" t="s">
        <v>313</v>
      </c>
      <c r="HP980" s="5" t="s">
        <v>272</v>
      </c>
      <c r="HQ980" s="5" t="s">
        <v>272</v>
      </c>
      <c r="HR980" s="5" t="s">
        <v>238</v>
      </c>
      <c r="HS980" s="5" t="s">
        <v>238</v>
      </c>
      <c r="HT980" s="5" t="s">
        <v>238</v>
      </c>
      <c r="HU980" s="5" t="s">
        <v>238</v>
      </c>
      <c r="HV980" s="5" t="s">
        <v>238</v>
      </c>
      <c r="HW980" s="5" t="s">
        <v>238</v>
      </c>
      <c r="HX980" s="5" t="s">
        <v>238</v>
      </c>
      <c r="HY980" s="5" t="s">
        <v>238</v>
      </c>
      <c r="HZ980" s="5" t="s">
        <v>238</v>
      </c>
      <c r="IA980" s="5" t="s">
        <v>238</v>
      </c>
      <c r="IB980" s="5" t="s">
        <v>238</v>
      </c>
      <c r="IC980" s="5" t="s">
        <v>238</v>
      </c>
      <c r="ID980" s="5" t="s">
        <v>238</v>
      </c>
    </row>
    <row r="981" spans="1:238" x14ac:dyDescent="0.4">
      <c r="A981" s="5">
        <v>1243</v>
      </c>
      <c r="B981" s="5">
        <v>1</v>
      </c>
      <c r="C981" s="5">
        <v>4</v>
      </c>
      <c r="D981" s="5" t="s">
        <v>439</v>
      </c>
      <c r="E981" s="5" t="s">
        <v>440</v>
      </c>
      <c r="F981" s="5" t="s">
        <v>282</v>
      </c>
      <c r="G981" s="5" t="s">
        <v>448</v>
      </c>
      <c r="H981" s="6" t="s">
        <v>443</v>
      </c>
      <c r="I981" s="5" t="s">
        <v>446</v>
      </c>
      <c r="J981" s="7">
        <f>0</f>
        <v>0</v>
      </c>
      <c r="K981" s="5" t="s">
        <v>270</v>
      </c>
      <c r="L981" s="8">
        <f>3109810</f>
        <v>3109810</v>
      </c>
      <c r="M981" s="8">
        <f>4676400</f>
        <v>4676400</v>
      </c>
      <c r="N981" s="6" t="s">
        <v>374</v>
      </c>
      <c r="O981" s="5" t="s">
        <v>268</v>
      </c>
      <c r="P981" s="5" t="s">
        <v>356</v>
      </c>
      <c r="Q981" s="8">
        <f>313318</f>
        <v>313318</v>
      </c>
      <c r="R981" s="8">
        <f>1566590</f>
        <v>1566590</v>
      </c>
      <c r="S981" s="5" t="s">
        <v>240</v>
      </c>
      <c r="T981" s="5" t="s">
        <v>287</v>
      </c>
      <c r="U981" s="5" t="s">
        <v>238</v>
      </c>
      <c r="V981" s="5" t="s">
        <v>238</v>
      </c>
      <c r="W981" s="5" t="s">
        <v>241</v>
      </c>
      <c r="X981" s="5" t="s">
        <v>276</v>
      </c>
      <c r="Y981" s="5" t="s">
        <v>238</v>
      </c>
      <c r="AB981" s="5" t="s">
        <v>238</v>
      </c>
      <c r="AC981" s="6" t="s">
        <v>238</v>
      </c>
      <c r="AD981" s="6" t="s">
        <v>238</v>
      </c>
      <c r="AF981" s="6" t="s">
        <v>238</v>
      </c>
      <c r="AG981" s="6" t="s">
        <v>447</v>
      </c>
      <c r="AH981" s="5" t="s">
        <v>247</v>
      </c>
      <c r="AI981" s="5" t="s">
        <v>248</v>
      </c>
      <c r="AO981" s="5" t="s">
        <v>238</v>
      </c>
      <c r="AP981" s="5" t="s">
        <v>238</v>
      </c>
      <c r="AQ981" s="5" t="s">
        <v>238</v>
      </c>
      <c r="AR981" s="6" t="s">
        <v>238</v>
      </c>
      <c r="AS981" s="6" t="s">
        <v>238</v>
      </c>
      <c r="AT981" s="6" t="s">
        <v>238</v>
      </c>
      <c r="AW981" s="5" t="s">
        <v>304</v>
      </c>
      <c r="AX981" s="5" t="s">
        <v>304</v>
      </c>
      <c r="AY981" s="5" t="s">
        <v>250</v>
      </c>
      <c r="AZ981" s="5" t="s">
        <v>305</v>
      </c>
      <c r="BA981" s="5" t="s">
        <v>251</v>
      </c>
      <c r="BB981" s="5" t="s">
        <v>238</v>
      </c>
      <c r="BC981" s="5" t="s">
        <v>253</v>
      </c>
      <c r="BD981" s="5" t="s">
        <v>238</v>
      </c>
      <c r="BF981" s="5" t="s">
        <v>238</v>
      </c>
      <c r="BH981" s="5" t="s">
        <v>283</v>
      </c>
      <c r="BI981" s="6" t="s">
        <v>293</v>
      </c>
      <c r="BJ981" s="5" t="s">
        <v>294</v>
      </c>
      <c r="BK981" s="5" t="s">
        <v>294</v>
      </c>
      <c r="BL981" s="5" t="s">
        <v>238</v>
      </c>
      <c r="BM981" s="7">
        <f>0</f>
        <v>0</v>
      </c>
      <c r="BN981" s="8">
        <f>-313318</f>
        <v>-313318</v>
      </c>
      <c r="BO981" s="5" t="s">
        <v>257</v>
      </c>
      <c r="BP981" s="5" t="s">
        <v>258</v>
      </c>
      <c r="BQ981" s="5" t="s">
        <v>238</v>
      </c>
      <c r="BR981" s="5" t="s">
        <v>238</v>
      </c>
      <c r="BS981" s="5" t="s">
        <v>238</v>
      </c>
      <c r="BT981" s="5" t="s">
        <v>238</v>
      </c>
      <c r="CC981" s="5" t="s">
        <v>258</v>
      </c>
      <c r="CD981" s="5" t="s">
        <v>238</v>
      </c>
      <c r="CE981" s="5" t="s">
        <v>238</v>
      </c>
      <c r="CI981" s="5" t="s">
        <v>259</v>
      </c>
      <c r="CJ981" s="5" t="s">
        <v>260</v>
      </c>
      <c r="CK981" s="5" t="s">
        <v>238</v>
      </c>
      <c r="CM981" s="5" t="s">
        <v>376</v>
      </c>
      <c r="CN981" s="6" t="s">
        <v>262</v>
      </c>
      <c r="CO981" s="5" t="s">
        <v>263</v>
      </c>
      <c r="CP981" s="5" t="s">
        <v>264</v>
      </c>
      <c r="CQ981" s="5" t="s">
        <v>285</v>
      </c>
      <c r="CR981" s="5" t="s">
        <v>238</v>
      </c>
      <c r="CS981" s="5">
        <v>6.7000000000000004E-2</v>
      </c>
      <c r="CT981" s="5" t="s">
        <v>265</v>
      </c>
      <c r="CU981" s="5" t="s">
        <v>351</v>
      </c>
      <c r="CV981" s="5" t="s">
        <v>449</v>
      </c>
      <c r="CW981" s="7">
        <f>0</f>
        <v>0</v>
      </c>
      <c r="CX981" s="8">
        <f>4676400</f>
        <v>4676400</v>
      </c>
      <c r="CY981" s="8">
        <f>3423128</f>
        <v>3423128</v>
      </c>
      <c r="DA981" s="5" t="s">
        <v>238</v>
      </c>
      <c r="DB981" s="5" t="s">
        <v>238</v>
      </c>
      <c r="DD981" s="5" t="s">
        <v>238</v>
      </c>
      <c r="DE981" s="8">
        <f>0</f>
        <v>0</v>
      </c>
      <c r="DG981" s="5" t="s">
        <v>238</v>
      </c>
      <c r="DH981" s="5" t="s">
        <v>238</v>
      </c>
      <c r="DI981" s="5" t="s">
        <v>238</v>
      </c>
      <c r="DJ981" s="5" t="s">
        <v>238</v>
      </c>
      <c r="DK981" s="5" t="s">
        <v>272</v>
      </c>
      <c r="DL981" s="5" t="s">
        <v>272</v>
      </c>
      <c r="DM981" s="8" t="s">
        <v>238</v>
      </c>
      <c r="DN981" s="5" t="s">
        <v>238</v>
      </c>
      <c r="DO981" s="5" t="s">
        <v>238</v>
      </c>
      <c r="DP981" s="5" t="s">
        <v>238</v>
      </c>
      <c r="DQ981" s="5" t="s">
        <v>238</v>
      </c>
      <c r="DT981" s="5" t="s">
        <v>444</v>
      </c>
      <c r="DU981" s="5" t="s">
        <v>356</v>
      </c>
      <c r="GL981" s="5" t="s">
        <v>450</v>
      </c>
      <c r="HM981" s="5" t="s">
        <v>313</v>
      </c>
      <c r="HP981" s="5" t="s">
        <v>272</v>
      </c>
      <c r="HQ981" s="5" t="s">
        <v>272</v>
      </c>
      <c r="HR981" s="5" t="s">
        <v>238</v>
      </c>
      <c r="HS981" s="5" t="s">
        <v>238</v>
      </c>
      <c r="HT981" s="5" t="s">
        <v>238</v>
      </c>
      <c r="HU981" s="5" t="s">
        <v>238</v>
      </c>
      <c r="HV981" s="5" t="s">
        <v>238</v>
      </c>
      <c r="HW981" s="5" t="s">
        <v>238</v>
      </c>
      <c r="HX981" s="5" t="s">
        <v>238</v>
      </c>
      <c r="HY981" s="5" t="s">
        <v>238</v>
      </c>
      <c r="HZ981" s="5" t="s">
        <v>238</v>
      </c>
      <c r="IA981" s="5" t="s">
        <v>238</v>
      </c>
      <c r="IB981" s="5" t="s">
        <v>238</v>
      </c>
      <c r="IC981" s="5" t="s">
        <v>238</v>
      </c>
      <c r="ID981" s="5" t="s">
        <v>238</v>
      </c>
    </row>
    <row r="982" spans="1:238" x14ac:dyDescent="0.4">
      <c r="A982" s="5">
        <v>1293</v>
      </c>
      <c r="B982" s="5">
        <v>1</v>
      </c>
      <c r="C982" s="5">
        <v>5</v>
      </c>
      <c r="D982" s="5" t="s">
        <v>4213</v>
      </c>
      <c r="E982" s="5" t="s">
        <v>454</v>
      </c>
      <c r="F982" s="5" t="s">
        <v>282</v>
      </c>
      <c r="G982" s="5" t="s">
        <v>2150</v>
      </c>
      <c r="H982" s="6" t="s">
        <v>4215</v>
      </c>
      <c r="I982" s="5" t="s">
        <v>4212</v>
      </c>
      <c r="J982" s="7">
        <f>269.82</f>
        <v>269.82</v>
      </c>
      <c r="K982" s="5" t="s">
        <v>270</v>
      </c>
      <c r="L982" s="8">
        <f>3569735</f>
        <v>3569735</v>
      </c>
      <c r="M982" s="8">
        <f>36425700</f>
        <v>36425700</v>
      </c>
      <c r="N982" s="6" t="s">
        <v>4214</v>
      </c>
      <c r="O982" s="5" t="s">
        <v>898</v>
      </c>
      <c r="P982" s="5" t="s">
        <v>975</v>
      </c>
      <c r="Q982" s="8">
        <f>801365</f>
        <v>801365</v>
      </c>
      <c r="R982" s="8">
        <f>32855965</f>
        <v>32855965</v>
      </c>
      <c r="S982" s="5" t="s">
        <v>240</v>
      </c>
      <c r="T982" s="5" t="s">
        <v>237</v>
      </c>
      <c r="W982" s="5" t="s">
        <v>241</v>
      </c>
      <c r="X982" s="5" t="s">
        <v>453</v>
      </c>
      <c r="Y982" s="5" t="s">
        <v>238</v>
      </c>
      <c r="AB982" s="5" t="s">
        <v>238</v>
      </c>
      <c r="AC982" s="6" t="s">
        <v>238</v>
      </c>
      <c r="AD982" s="6" t="s">
        <v>238</v>
      </c>
      <c r="AF982" s="6" t="s">
        <v>238</v>
      </c>
      <c r="AG982" s="6" t="s">
        <v>246</v>
      </c>
      <c r="AH982" s="5" t="s">
        <v>247</v>
      </c>
      <c r="AI982" s="5" t="s">
        <v>248</v>
      </c>
      <c r="AO982" s="5" t="s">
        <v>238</v>
      </c>
      <c r="AP982" s="5" t="s">
        <v>238</v>
      </c>
      <c r="AQ982" s="5" t="s">
        <v>238</v>
      </c>
      <c r="AR982" s="6" t="s">
        <v>238</v>
      </c>
      <c r="AS982" s="6" t="s">
        <v>238</v>
      </c>
      <c r="AT982" s="6" t="s">
        <v>238</v>
      </c>
      <c r="AW982" s="5" t="s">
        <v>304</v>
      </c>
      <c r="AX982" s="5" t="s">
        <v>304</v>
      </c>
      <c r="AY982" s="5" t="s">
        <v>250</v>
      </c>
      <c r="AZ982" s="5" t="s">
        <v>305</v>
      </c>
      <c r="BA982" s="5" t="s">
        <v>251</v>
      </c>
      <c r="BB982" s="5" t="s">
        <v>238</v>
      </c>
      <c r="BC982" s="5" t="s">
        <v>253</v>
      </c>
      <c r="BD982" s="5" t="s">
        <v>238</v>
      </c>
      <c r="BF982" s="5" t="s">
        <v>238</v>
      </c>
      <c r="BH982" s="5" t="s">
        <v>283</v>
      </c>
      <c r="BI982" s="6" t="s">
        <v>293</v>
      </c>
      <c r="BJ982" s="5" t="s">
        <v>294</v>
      </c>
      <c r="BK982" s="5" t="s">
        <v>294</v>
      </c>
      <c r="BL982" s="5" t="s">
        <v>238</v>
      </c>
      <c r="BM982" s="7">
        <f>0</f>
        <v>0</v>
      </c>
      <c r="BN982" s="8">
        <f>-801365</f>
        <v>-801365</v>
      </c>
      <c r="BO982" s="5" t="s">
        <v>257</v>
      </c>
      <c r="BP982" s="5" t="s">
        <v>258</v>
      </c>
      <c r="BQ982" s="5" t="s">
        <v>238</v>
      </c>
      <c r="BR982" s="5" t="s">
        <v>238</v>
      </c>
      <c r="BS982" s="5" t="s">
        <v>238</v>
      </c>
      <c r="BT982" s="5" t="s">
        <v>238</v>
      </c>
      <c r="CC982" s="5" t="s">
        <v>258</v>
      </c>
      <c r="CD982" s="5" t="s">
        <v>238</v>
      </c>
      <c r="CE982" s="5" t="s">
        <v>238</v>
      </c>
      <c r="CI982" s="5" t="s">
        <v>527</v>
      </c>
      <c r="CJ982" s="5" t="s">
        <v>260</v>
      </c>
      <c r="CK982" s="5" t="s">
        <v>238</v>
      </c>
      <c r="CM982" s="5" t="s">
        <v>1020</v>
      </c>
      <c r="CN982" s="6" t="s">
        <v>262</v>
      </c>
      <c r="CO982" s="5" t="s">
        <v>263</v>
      </c>
      <c r="CP982" s="5" t="s">
        <v>264</v>
      </c>
      <c r="CQ982" s="5" t="s">
        <v>285</v>
      </c>
      <c r="CR982" s="5" t="s">
        <v>238</v>
      </c>
      <c r="CS982" s="5">
        <v>2.1999999999999999E-2</v>
      </c>
      <c r="CT982" s="5" t="s">
        <v>265</v>
      </c>
      <c r="CU982" s="5" t="s">
        <v>2145</v>
      </c>
      <c r="CV982" s="5" t="s">
        <v>308</v>
      </c>
      <c r="CW982" s="7">
        <f>0</f>
        <v>0</v>
      </c>
      <c r="CX982" s="8">
        <f>36425700</f>
        <v>36425700</v>
      </c>
      <c r="CY982" s="8">
        <f>3569735</f>
        <v>3569735</v>
      </c>
      <c r="DA982" s="5" t="s">
        <v>238</v>
      </c>
      <c r="DB982" s="5" t="s">
        <v>238</v>
      </c>
      <c r="DD982" s="5" t="s">
        <v>238</v>
      </c>
      <c r="DE982" s="8">
        <f>0</f>
        <v>0</v>
      </c>
      <c r="DG982" s="5" t="s">
        <v>238</v>
      </c>
      <c r="DH982" s="5" t="s">
        <v>238</v>
      </c>
      <c r="DI982" s="5" t="s">
        <v>238</v>
      </c>
      <c r="DJ982" s="5" t="s">
        <v>238</v>
      </c>
      <c r="DK982" s="5" t="s">
        <v>271</v>
      </c>
      <c r="DL982" s="5" t="s">
        <v>272</v>
      </c>
      <c r="DM982" s="7">
        <f>269.82</f>
        <v>269.82</v>
      </c>
      <c r="DN982" s="5" t="s">
        <v>238</v>
      </c>
      <c r="DO982" s="5" t="s">
        <v>238</v>
      </c>
      <c r="DP982" s="5" t="s">
        <v>238</v>
      </c>
      <c r="DQ982" s="5" t="s">
        <v>238</v>
      </c>
      <c r="DT982" s="5" t="s">
        <v>4216</v>
      </c>
      <c r="DU982" s="5" t="s">
        <v>271</v>
      </c>
      <c r="GL982" s="5" t="s">
        <v>4217</v>
      </c>
      <c r="HM982" s="5" t="s">
        <v>313</v>
      </c>
      <c r="HP982" s="5" t="s">
        <v>272</v>
      </c>
      <c r="HQ982" s="5" t="s">
        <v>272</v>
      </c>
      <c r="HR982" s="5" t="s">
        <v>238</v>
      </c>
      <c r="HS982" s="5" t="s">
        <v>238</v>
      </c>
      <c r="HT982" s="5" t="s">
        <v>238</v>
      </c>
      <c r="HU982" s="5" t="s">
        <v>238</v>
      </c>
      <c r="HV982" s="5" t="s">
        <v>238</v>
      </c>
      <c r="HW982" s="5" t="s">
        <v>238</v>
      </c>
      <c r="HX982" s="5" t="s">
        <v>238</v>
      </c>
      <c r="HY982" s="5" t="s">
        <v>238</v>
      </c>
      <c r="HZ982" s="5" t="s">
        <v>238</v>
      </c>
      <c r="IA982" s="5" t="s">
        <v>238</v>
      </c>
      <c r="IB982" s="5" t="s">
        <v>238</v>
      </c>
      <c r="IC982" s="5" t="s">
        <v>238</v>
      </c>
      <c r="ID982" s="5" t="s">
        <v>238</v>
      </c>
    </row>
    <row r="983" spans="1:238" x14ac:dyDescent="0.4">
      <c r="A983" s="5">
        <v>1297</v>
      </c>
      <c r="B983" s="5">
        <v>1</v>
      </c>
      <c r="C983" s="5">
        <v>5</v>
      </c>
      <c r="D983" s="5" t="s">
        <v>452</v>
      </c>
      <c r="E983" s="5" t="s">
        <v>454</v>
      </c>
      <c r="F983" s="5" t="s">
        <v>282</v>
      </c>
      <c r="G983" s="5" t="s">
        <v>2150</v>
      </c>
      <c r="H983" s="6" t="s">
        <v>457</v>
      </c>
      <c r="I983" s="5" t="s">
        <v>4170</v>
      </c>
      <c r="J983" s="7">
        <f>1012.9</f>
        <v>1012.9</v>
      </c>
      <c r="K983" s="5" t="s">
        <v>270</v>
      </c>
      <c r="L983" s="8">
        <f>13400667</f>
        <v>13400667</v>
      </c>
      <c r="M983" s="8">
        <f>136741500</f>
        <v>136741500</v>
      </c>
      <c r="N983" s="6" t="s">
        <v>3285</v>
      </c>
      <c r="O983" s="5" t="s">
        <v>898</v>
      </c>
      <c r="P983" s="5" t="s">
        <v>975</v>
      </c>
      <c r="Q983" s="8">
        <f>3008313</f>
        <v>3008313</v>
      </c>
      <c r="R983" s="8">
        <f>123340833</f>
        <v>123340833</v>
      </c>
      <c r="S983" s="5" t="s">
        <v>240</v>
      </c>
      <c r="T983" s="5" t="s">
        <v>237</v>
      </c>
      <c r="W983" s="5" t="s">
        <v>241</v>
      </c>
      <c r="X983" s="5" t="s">
        <v>453</v>
      </c>
      <c r="Y983" s="5" t="s">
        <v>238</v>
      </c>
      <c r="AB983" s="5" t="s">
        <v>238</v>
      </c>
      <c r="AC983" s="6" t="s">
        <v>238</v>
      </c>
      <c r="AD983" s="6" t="s">
        <v>238</v>
      </c>
      <c r="AF983" s="6" t="s">
        <v>238</v>
      </c>
      <c r="AG983" s="6" t="s">
        <v>246</v>
      </c>
      <c r="AH983" s="5" t="s">
        <v>247</v>
      </c>
      <c r="AI983" s="5" t="s">
        <v>248</v>
      </c>
      <c r="AO983" s="5" t="s">
        <v>238</v>
      </c>
      <c r="AP983" s="5" t="s">
        <v>238</v>
      </c>
      <c r="AQ983" s="5" t="s">
        <v>238</v>
      </c>
      <c r="AR983" s="6" t="s">
        <v>238</v>
      </c>
      <c r="AS983" s="6" t="s">
        <v>238</v>
      </c>
      <c r="AT983" s="6" t="s">
        <v>238</v>
      </c>
      <c r="AW983" s="5" t="s">
        <v>304</v>
      </c>
      <c r="AX983" s="5" t="s">
        <v>304</v>
      </c>
      <c r="AY983" s="5" t="s">
        <v>250</v>
      </c>
      <c r="AZ983" s="5" t="s">
        <v>305</v>
      </c>
      <c r="BA983" s="5" t="s">
        <v>251</v>
      </c>
      <c r="BB983" s="5" t="s">
        <v>238</v>
      </c>
      <c r="BC983" s="5" t="s">
        <v>253</v>
      </c>
      <c r="BD983" s="5" t="s">
        <v>238</v>
      </c>
      <c r="BF983" s="5" t="s">
        <v>238</v>
      </c>
      <c r="BH983" s="5" t="s">
        <v>283</v>
      </c>
      <c r="BI983" s="6" t="s">
        <v>293</v>
      </c>
      <c r="BJ983" s="5" t="s">
        <v>294</v>
      </c>
      <c r="BK983" s="5" t="s">
        <v>294</v>
      </c>
      <c r="BL983" s="5" t="s">
        <v>238</v>
      </c>
      <c r="BM983" s="7">
        <f>0</f>
        <v>0</v>
      </c>
      <c r="BN983" s="8">
        <f>-3008313</f>
        <v>-3008313</v>
      </c>
      <c r="BO983" s="5" t="s">
        <v>257</v>
      </c>
      <c r="BP983" s="5" t="s">
        <v>258</v>
      </c>
      <c r="BQ983" s="5" t="s">
        <v>238</v>
      </c>
      <c r="BR983" s="5" t="s">
        <v>238</v>
      </c>
      <c r="BS983" s="5" t="s">
        <v>238</v>
      </c>
      <c r="BT983" s="5" t="s">
        <v>238</v>
      </c>
      <c r="CC983" s="5" t="s">
        <v>258</v>
      </c>
      <c r="CD983" s="5" t="s">
        <v>238</v>
      </c>
      <c r="CE983" s="5" t="s">
        <v>238</v>
      </c>
      <c r="CI983" s="5" t="s">
        <v>527</v>
      </c>
      <c r="CJ983" s="5" t="s">
        <v>260</v>
      </c>
      <c r="CK983" s="5" t="s">
        <v>238</v>
      </c>
      <c r="CM983" s="5" t="s">
        <v>1020</v>
      </c>
      <c r="CN983" s="6" t="s">
        <v>262</v>
      </c>
      <c r="CO983" s="5" t="s">
        <v>263</v>
      </c>
      <c r="CP983" s="5" t="s">
        <v>264</v>
      </c>
      <c r="CQ983" s="5" t="s">
        <v>285</v>
      </c>
      <c r="CR983" s="5" t="s">
        <v>238</v>
      </c>
      <c r="CS983" s="5">
        <v>2.1999999999999999E-2</v>
      </c>
      <c r="CT983" s="5" t="s">
        <v>265</v>
      </c>
      <c r="CU983" s="5" t="s">
        <v>2145</v>
      </c>
      <c r="CV983" s="5" t="s">
        <v>308</v>
      </c>
      <c r="CW983" s="7">
        <f>0</f>
        <v>0</v>
      </c>
      <c r="CX983" s="8">
        <f>136741500</f>
        <v>136741500</v>
      </c>
      <c r="CY983" s="8">
        <f>13400667</f>
        <v>13400667</v>
      </c>
      <c r="DA983" s="5" t="s">
        <v>238</v>
      </c>
      <c r="DB983" s="5" t="s">
        <v>238</v>
      </c>
      <c r="DD983" s="5" t="s">
        <v>238</v>
      </c>
      <c r="DE983" s="8">
        <f>0</f>
        <v>0</v>
      </c>
      <c r="DG983" s="5" t="s">
        <v>238</v>
      </c>
      <c r="DH983" s="5" t="s">
        <v>238</v>
      </c>
      <c r="DI983" s="5" t="s">
        <v>238</v>
      </c>
      <c r="DJ983" s="5" t="s">
        <v>238</v>
      </c>
      <c r="DK983" s="5" t="s">
        <v>271</v>
      </c>
      <c r="DL983" s="5" t="s">
        <v>272</v>
      </c>
      <c r="DM983" s="7">
        <f>1012.9</f>
        <v>1012.9</v>
      </c>
      <c r="DN983" s="5" t="s">
        <v>238</v>
      </c>
      <c r="DO983" s="5" t="s">
        <v>238</v>
      </c>
      <c r="DP983" s="5" t="s">
        <v>238</v>
      </c>
      <c r="DQ983" s="5" t="s">
        <v>238</v>
      </c>
      <c r="DT983" s="5" t="s">
        <v>459</v>
      </c>
      <c r="DU983" s="5" t="s">
        <v>271</v>
      </c>
      <c r="GL983" s="5" t="s">
        <v>4171</v>
      </c>
      <c r="HM983" s="5" t="s">
        <v>313</v>
      </c>
      <c r="HP983" s="5" t="s">
        <v>272</v>
      </c>
      <c r="HQ983" s="5" t="s">
        <v>272</v>
      </c>
      <c r="HR983" s="5" t="s">
        <v>238</v>
      </c>
      <c r="HS983" s="5" t="s">
        <v>238</v>
      </c>
      <c r="HT983" s="5" t="s">
        <v>238</v>
      </c>
      <c r="HU983" s="5" t="s">
        <v>238</v>
      </c>
      <c r="HV983" s="5" t="s">
        <v>238</v>
      </c>
      <c r="HW983" s="5" t="s">
        <v>238</v>
      </c>
      <c r="HX983" s="5" t="s">
        <v>238</v>
      </c>
      <c r="HY983" s="5" t="s">
        <v>238</v>
      </c>
      <c r="HZ983" s="5" t="s">
        <v>238</v>
      </c>
      <c r="IA983" s="5" t="s">
        <v>238</v>
      </c>
      <c r="IB983" s="5" t="s">
        <v>238</v>
      </c>
      <c r="IC983" s="5" t="s">
        <v>238</v>
      </c>
      <c r="ID983" s="5" t="s">
        <v>238</v>
      </c>
    </row>
    <row r="984" spans="1:238" x14ac:dyDescent="0.4">
      <c r="A984" s="5">
        <v>1298</v>
      </c>
      <c r="B984" s="5">
        <v>1</v>
      </c>
      <c r="C984" s="5">
        <v>2</v>
      </c>
      <c r="D984" s="5" t="s">
        <v>452</v>
      </c>
      <c r="E984" s="5" t="s">
        <v>454</v>
      </c>
      <c r="F984" s="5" t="s">
        <v>282</v>
      </c>
      <c r="G984" s="5" t="s">
        <v>3286</v>
      </c>
      <c r="H984" s="6" t="s">
        <v>457</v>
      </c>
      <c r="I984" s="5" t="s">
        <v>3284</v>
      </c>
      <c r="J984" s="7">
        <f>45</f>
        <v>45</v>
      </c>
      <c r="K984" s="5" t="s">
        <v>270</v>
      </c>
      <c r="L984" s="8">
        <f>1</f>
        <v>1</v>
      </c>
      <c r="M984" s="8">
        <f>2700000</f>
        <v>2700000</v>
      </c>
      <c r="N984" s="6" t="s">
        <v>3285</v>
      </c>
      <c r="O984" s="5" t="s">
        <v>650</v>
      </c>
      <c r="P984" s="5" t="s">
        <v>755</v>
      </c>
      <c r="R984" s="8">
        <f>2699999</f>
        <v>2699999</v>
      </c>
      <c r="S984" s="5" t="s">
        <v>240</v>
      </c>
      <c r="T984" s="5" t="s">
        <v>237</v>
      </c>
      <c r="W984" s="5" t="s">
        <v>241</v>
      </c>
      <c r="X984" s="5" t="s">
        <v>453</v>
      </c>
      <c r="Y984" s="5" t="s">
        <v>238</v>
      </c>
      <c r="AB984" s="5" t="s">
        <v>238</v>
      </c>
      <c r="AC984" s="6" t="s">
        <v>238</v>
      </c>
      <c r="AD984" s="6" t="s">
        <v>238</v>
      </c>
      <c r="AF984" s="6" t="s">
        <v>238</v>
      </c>
      <c r="AG984" s="6" t="s">
        <v>246</v>
      </c>
      <c r="AH984" s="5" t="s">
        <v>247</v>
      </c>
      <c r="AI984" s="5" t="s">
        <v>248</v>
      </c>
      <c r="AT984" s="6" t="s">
        <v>238</v>
      </c>
      <c r="AW984" s="5" t="s">
        <v>304</v>
      </c>
      <c r="AX984" s="5" t="s">
        <v>304</v>
      </c>
      <c r="AY984" s="5" t="s">
        <v>250</v>
      </c>
      <c r="AZ984" s="5" t="s">
        <v>305</v>
      </c>
      <c r="BA984" s="5" t="s">
        <v>251</v>
      </c>
      <c r="BB984" s="5" t="s">
        <v>238</v>
      </c>
      <c r="BC984" s="5" t="s">
        <v>253</v>
      </c>
      <c r="BD984" s="5" t="s">
        <v>238</v>
      </c>
      <c r="BF984" s="5" t="s">
        <v>238</v>
      </c>
      <c r="BH984" s="5" t="s">
        <v>283</v>
      </c>
      <c r="BI984" s="6" t="s">
        <v>3283</v>
      </c>
      <c r="BJ984" s="5" t="s">
        <v>255</v>
      </c>
      <c r="BK984" s="5" t="s">
        <v>256</v>
      </c>
      <c r="BL984" s="5" t="s">
        <v>238</v>
      </c>
      <c r="BM984" s="7">
        <f>0</f>
        <v>0</v>
      </c>
      <c r="BN984" s="8">
        <f>0</f>
        <v>0</v>
      </c>
      <c r="BO984" s="5" t="s">
        <v>257</v>
      </c>
      <c r="BP984" s="5" t="s">
        <v>258</v>
      </c>
      <c r="BQ984" s="5" t="s">
        <v>238</v>
      </c>
      <c r="BR984" s="5" t="s">
        <v>238</v>
      </c>
      <c r="BS984" s="5" t="s">
        <v>238</v>
      </c>
      <c r="BT984" s="5" t="s">
        <v>238</v>
      </c>
      <c r="CC984" s="5" t="s">
        <v>258</v>
      </c>
      <c r="CD984" s="5" t="s">
        <v>238</v>
      </c>
      <c r="CE984" s="5" t="s">
        <v>238</v>
      </c>
      <c r="CI984" s="5" t="s">
        <v>527</v>
      </c>
      <c r="CJ984" s="5" t="s">
        <v>260</v>
      </c>
      <c r="CK984" s="5" t="s">
        <v>238</v>
      </c>
      <c r="CM984" s="5" t="s">
        <v>1020</v>
      </c>
      <c r="CN984" s="6" t="s">
        <v>262</v>
      </c>
      <c r="CO984" s="5" t="s">
        <v>263</v>
      </c>
      <c r="CP984" s="5" t="s">
        <v>264</v>
      </c>
      <c r="CQ984" s="5" t="s">
        <v>285</v>
      </c>
      <c r="CR984" s="5" t="s">
        <v>238</v>
      </c>
      <c r="CS984" s="5">
        <v>0</v>
      </c>
      <c r="CT984" s="5" t="s">
        <v>265</v>
      </c>
      <c r="CU984" s="5" t="s">
        <v>266</v>
      </c>
      <c r="CV984" s="5" t="s">
        <v>649</v>
      </c>
      <c r="CW984" s="7">
        <f>0</f>
        <v>0</v>
      </c>
      <c r="CX984" s="8">
        <f>2700000</f>
        <v>2700000</v>
      </c>
      <c r="CY984" s="8">
        <f>1</f>
        <v>1</v>
      </c>
      <c r="DA984" s="5" t="s">
        <v>238</v>
      </c>
      <c r="DB984" s="5" t="s">
        <v>238</v>
      </c>
      <c r="DD984" s="5" t="s">
        <v>238</v>
      </c>
      <c r="DE984" s="8">
        <f>0</f>
        <v>0</v>
      </c>
      <c r="DG984" s="5" t="s">
        <v>238</v>
      </c>
      <c r="DH984" s="5" t="s">
        <v>238</v>
      </c>
      <c r="DI984" s="5" t="s">
        <v>238</v>
      </c>
      <c r="DJ984" s="5" t="s">
        <v>238</v>
      </c>
      <c r="DK984" s="5" t="s">
        <v>271</v>
      </c>
      <c r="DL984" s="5" t="s">
        <v>272</v>
      </c>
      <c r="DM984" s="7">
        <f>45</f>
        <v>45</v>
      </c>
      <c r="DN984" s="5" t="s">
        <v>238</v>
      </c>
      <c r="DO984" s="5" t="s">
        <v>238</v>
      </c>
      <c r="DP984" s="5" t="s">
        <v>238</v>
      </c>
      <c r="DQ984" s="5" t="s">
        <v>238</v>
      </c>
      <c r="DT984" s="5" t="s">
        <v>459</v>
      </c>
      <c r="DU984" s="5" t="s">
        <v>274</v>
      </c>
      <c r="HM984" s="5" t="s">
        <v>271</v>
      </c>
      <c r="HP984" s="5" t="s">
        <v>272</v>
      </c>
      <c r="HQ984" s="5" t="s">
        <v>272</v>
      </c>
      <c r="HR984" s="5" t="s">
        <v>238</v>
      </c>
      <c r="HS984" s="5" t="s">
        <v>238</v>
      </c>
      <c r="HT984" s="5" t="s">
        <v>238</v>
      </c>
      <c r="HU984" s="5" t="s">
        <v>238</v>
      </c>
      <c r="HV984" s="5" t="s">
        <v>238</v>
      </c>
      <c r="HW984" s="5" t="s">
        <v>238</v>
      </c>
      <c r="HX984" s="5" t="s">
        <v>238</v>
      </c>
      <c r="HY984" s="5" t="s">
        <v>238</v>
      </c>
      <c r="HZ984" s="5" t="s">
        <v>238</v>
      </c>
      <c r="IA984" s="5" t="s">
        <v>238</v>
      </c>
      <c r="IB984" s="5" t="s">
        <v>238</v>
      </c>
      <c r="IC984" s="5" t="s">
        <v>238</v>
      </c>
      <c r="ID984" s="5" t="s">
        <v>238</v>
      </c>
    </row>
    <row r="985" spans="1:238" x14ac:dyDescent="0.4">
      <c r="A985" s="5">
        <v>1299</v>
      </c>
      <c r="B985" s="5">
        <v>1</v>
      </c>
      <c r="C985" s="5">
        <v>4</v>
      </c>
      <c r="D985" s="5" t="s">
        <v>452</v>
      </c>
      <c r="E985" s="5" t="s">
        <v>454</v>
      </c>
      <c r="F985" s="5" t="s">
        <v>282</v>
      </c>
      <c r="G985" s="5" t="s">
        <v>2172</v>
      </c>
      <c r="H985" s="6" t="s">
        <v>457</v>
      </c>
      <c r="I985" s="5" t="s">
        <v>2171</v>
      </c>
      <c r="J985" s="7">
        <f>0</f>
        <v>0</v>
      </c>
      <c r="K985" s="5" t="s">
        <v>270</v>
      </c>
      <c r="L985" s="8">
        <f>12407170</f>
        <v>12407170</v>
      </c>
      <c r="M985" s="8">
        <f>13940640</f>
        <v>13940640</v>
      </c>
      <c r="N985" s="6" t="s">
        <v>1498</v>
      </c>
      <c r="O985" s="5" t="s">
        <v>898</v>
      </c>
      <c r="P985" s="5" t="s">
        <v>356</v>
      </c>
      <c r="Q985" s="8">
        <f>306694</f>
        <v>306694</v>
      </c>
      <c r="R985" s="8">
        <f>1533470</f>
        <v>1533470</v>
      </c>
      <c r="S985" s="5" t="s">
        <v>240</v>
      </c>
      <c r="T985" s="5" t="s">
        <v>287</v>
      </c>
      <c r="U985" s="5" t="s">
        <v>238</v>
      </c>
      <c r="V985" s="5" t="s">
        <v>238</v>
      </c>
      <c r="W985" s="5" t="s">
        <v>241</v>
      </c>
      <c r="X985" s="5" t="s">
        <v>453</v>
      </c>
      <c r="Y985" s="5" t="s">
        <v>238</v>
      </c>
      <c r="AB985" s="5" t="s">
        <v>238</v>
      </c>
      <c r="AC985" s="6" t="s">
        <v>238</v>
      </c>
      <c r="AD985" s="6" t="s">
        <v>238</v>
      </c>
      <c r="AF985" s="6" t="s">
        <v>238</v>
      </c>
      <c r="AG985" s="6" t="s">
        <v>246</v>
      </c>
      <c r="AH985" s="5" t="s">
        <v>247</v>
      </c>
      <c r="AI985" s="5" t="s">
        <v>248</v>
      </c>
      <c r="AO985" s="5" t="s">
        <v>238</v>
      </c>
      <c r="AP985" s="5" t="s">
        <v>238</v>
      </c>
      <c r="AQ985" s="5" t="s">
        <v>238</v>
      </c>
      <c r="AR985" s="6" t="s">
        <v>238</v>
      </c>
      <c r="AS985" s="6" t="s">
        <v>238</v>
      </c>
      <c r="AT985" s="6" t="s">
        <v>238</v>
      </c>
      <c r="AW985" s="5" t="s">
        <v>304</v>
      </c>
      <c r="AX985" s="5" t="s">
        <v>304</v>
      </c>
      <c r="AY985" s="5" t="s">
        <v>250</v>
      </c>
      <c r="AZ985" s="5" t="s">
        <v>305</v>
      </c>
      <c r="BA985" s="5" t="s">
        <v>251</v>
      </c>
      <c r="BB985" s="5" t="s">
        <v>238</v>
      </c>
      <c r="BC985" s="5" t="s">
        <v>253</v>
      </c>
      <c r="BD985" s="5" t="s">
        <v>238</v>
      </c>
      <c r="BF985" s="5" t="s">
        <v>238</v>
      </c>
      <c r="BH985" s="5" t="s">
        <v>283</v>
      </c>
      <c r="BI985" s="6" t="s">
        <v>293</v>
      </c>
      <c r="BJ985" s="5" t="s">
        <v>294</v>
      </c>
      <c r="BK985" s="5" t="s">
        <v>294</v>
      </c>
      <c r="BL985" s="5" t="s">
        <v>238</v>
      </c>
      <c r="BM985" s="7">
        <f>0</f>
        <v>0</v>
      </c>
      <c r="BN985" s="8">
        <f>-306694</f>
        <v>-306694</v>
      </c>
      <c r="BO985" s="5" t="s">
        <v>257</v>
      </c>
      <c r="BP985" s="5" t="s">
        <v>258</v>
      </c>
      <c r="BQ985" s="5" t="s">
        <v>238</v>
      </c>
      <c r="BR985" s="5" t="s">
        <v>238</v>
      </c>
      <c r="BS985" s="5" t="s">
        <v>238</v>
      </c>
      <c r="BT985" s="5" t="s">
        <v>238</v>
      </c>
      <c r="CC985" s="5" t="s">
        <v>258</v>
      </c>
      <c r="CD985" s="5" t="s">
        <v>238</v>
      </c>
      <c r="CE985" s="5" t="s">
        <v>238</v>
      </c>
      <c r="CI985" s="5" t="s">
        <v>259</v>
      </c>
      <c r="CJ985" s="5" t="s">
        <v>260</v>
      </c>
      <c r="CK985" s="5" t="s">
        <v>238</v>
      </c>
      <c r="CM985" s="5" t="s">
        <v>376</v>
      </c>
      <c r="CN985" s="6" t="s">
        <v>262</v>
      </c>
      <c r="CO985" s="5" t="s">
        <v>263</v>
      </c>
      <c r="CP985" s="5" t="s">
        <v>264</v>
      </c>
      <c r="CQ985" s="5" t="s">
        <v>285</v>
      </c>
      <c r="CR985" s="5" t="s">
        <v>238</v>
      </c>
      <c r="CS985" s="5">
        <v>2.1999999999999999E-2</v>
      </c>
      <c r="CT985" s="5" t="s">
        <v>265</v>
      </c>
      <c r="CU985" s="5" t="s">
        <v>2145</v>
      </c>
      <c r="CV985" s="5" t="s">
        <v>308</v>
      </c>
      <c r="CW985" s="7">
        <f>0</f>
        <v>0</v>
      </c>
      <c r="CX985" s="8">
        <f>13940640</f>
        <v>13940640</v>
      </c>
      <c r="CY985" s="8">
        <f>12713864</f>
        <v>12713864</v>
      </c>
      <c r="DA985" s="5" t="s">
        <v>238</v>
      </c>
      <c r="DB985" s="5" t="s">
        <v>238</v>
      </c>
      <c r="DD985" s="5" t="s">
        <v>238</v>
      </c>
      <c r="DE985" s="8">
        <f>0</f>
        <v>0</v>
      </c>
      <c r="DG985" s="5" t="s">
        <v>238</v>
      </c>
      <c r="DH985" s="5" t="s">
        <v>238</v>
      </c>
      <c r="DI985" s="5" t="s">
        <v>238</v>
      </c>
      <c r="DJ985" s="5" t="s">
        <v>238</v>
      </c>
      <c r="DK985" s="5" t="s">
        <v>272</v>
      </c>
      <c r="DL985" s="5" t="s">
        <v>272</v>
      </c>
      <c r="DM985" s="8" t="s">
        <v>238</v>
      </c>
      <c r="DN985" s="5" t="s">
        <v>238</v>
      </c>
      <c r="DO985" s="5" t="s">
        <v>238</v>
      </c>
      <c r="DP985" s="5" t="s">
        <v>238</v>
      </c>
      <c r="DQ985" s="5" t="s">
        <v>238</v>
      </c>
      <c r="DT985" s="5" t="s">
        <v>459</v>
      </c>
      <c r="DU985" s="5" t="s">
        <v>356</v>
      </c>
      <c r="GL985" s="5" t="s">
        <v>2173</v>
      </c>
      <c r="HM985" s="5" t="s">
        <v>379</v>
      </c>
      <c r="HP985" s="5" t="s">
        <v>272</v>
      </c>
      <c r="HQ985" s="5" t="s">
        <v>272</v>
      </c>
      <c r="HR985" s="5" t="s">
        <v>238</v>
      </c>
      <c r="HS985" s="5" t="s">
        <v>238</v>
      </c>
      <c r="HT985" s="5" t="s">
        <v>238</v>
      </c>
      <c r="HU985" s="5" t="s">
        <v>238</v>
      </c>
      <c r="HV985" s="5" t="s">
        <v>238</v>
      </c>
      <c r="HW985" s="5" t="s">
        <v>238</v>
      </c>
      <c r="HX985" s="5" t="s">
        <v>238</v>
      </c>
      <c r="HY985" s="5" t="s">
        <v>238</v>
      </c>
      <c r="HZ985" s="5" t="s">
        <v>238</v>
      </c>
      <c r="IA985" s="5" t="s">
        <v>238</v>
      </c>
      <c r="IB985" s="5" t="s">
        <v>238</v>
      </c>
      <c r="IC985" s="5" t="s">
        <v>238</v>
      </c>
      <c r="ID985" s="5" t="s">
        <v>238</v>
      </c>
    </row>
    <row r="986" spans="1:238" x14ac:dyDescent="0.4">
      <c r="A986" s="5">
        <v>1300</v>
      </c>
      <c r="B986" s="5">
        <v>1</v>
      </c>
      <c r="C986" s="5">
        <v>4</v>
      </c>
      <c r="D986" s="5" t="s">
        <v>452</v>
      </c>
      <c r="E986" s="5" t="s">
        <v>454</v>
      </c>
      <c r="F986" s="5" t="s">
        <v>282</v>
      </c>
      <c r="G986" s="5" t="s">
        <v>2165</v>
      </c>
      <c r="H986" s="6" t="s">
        <v>457</v>
      </c>
      <c r="I986" s="5" t="s">
        <v>2163</v>
      </c>
      <c r="J986" s="7">
        <f>0</f>
        <v>0</v>
      </c>
      <c r="K986" s="5" t="s">
        <v>270</v>
      </c>
      <c r="L986" s="8">
        <f>87935</f>
        <v>87935</v>
      </c>
      <c r="M986" s="8">
        <f>98800</f>
        <v>98800</v>
      </c>
      <c r="N986" s="6" t="s">
        <v>2164</v>
      </c>
      <c r="O986" s="5" t="s">
        <v>898</v>
      </c>
      <c r="P986" s="5" t="s">
        <v>356</v>
      </c>
      <c r="Q986" s="8">
        <f>2173</f>
        <v>2173</v>
      </c>
      <c r="R986" s="8">
        <f>10865</f>
        <v>10865</v>
      </c>
      <c r="S986" s="5" t="s">
        <v>240</v>
      </c>
      <c r="T986" s="5" t="s">
        <v>287</v>
      </c>
      <c r="U986" s="5" t="s">
        <v>238</v>
      </c>
      <c r="V986" s="5" t="s">
        <v>238</v>
      </c>
      <c r="W986" s="5" t="s">
        <v>241</v>
      </c>
      <c r="X986" s="5" t="s">
        <v>453</v>
      </c>
      <c r="Y986" s="5" t="s">
        <v>238</v>
      </c>
      <c r="AB986" s="5" t="s">
        <v>238</v>
      </c>
      <c r="AC986" s="6" t="s">
        <v>238</v>
      </c>
      <c r="AD986" s="6" t="s">
        <v>238</v>
      </c>
      <c r="AF986" s="6" t="s">
        <v>238</v>
      </c>
      <c r="AG986" s="6" t="s">
        <v>246</v>
      </c>
      <c r="AH986" s="5" t="s">
        <v>247</v>
      </c>
      <c r="AI986" s="5" t="s">
        <v>248</v>
      </c>
      <c r="AO986" s="5" t="s">
        <v>238</v>
      </c>
      <c r="AP986" s="5" t="s">
        <v>238</v>
      </c>
      <c r="AQ986" s="5" t="s">
        <v>238</v>
      </c>
      <c r="AR986" s="6" t="s">
        <v>238</v>
      </c>
      <c r="AS986" s="6" t="s">
        <v>238</v>
      </c>
      <c r="AT986" s="6" t="s">
        <v>238</v>
      </c>
      <c r="AW986" s="5" t="s">
        <v>304</v>
      </c>
      <c r="AX986" s="5" t="s">
        <v>304</v>
      </c>
      <c r="AY986" s="5" t="s">
        <v>250</v>
      </c>
      <c r="AZ986" s="5" t="s">
        <v>305</v>
      </c>
      <c r="BA986" s="5" t="s">
        <v>251</v>
      </c>
      <c r="BB986" s="5" t="s">
        <v>238</v>
      </c>
      <c r="BC986" s="5" t="s">
        <v>253</v>
      </c>
      <c r="BD986" s="5" t="s">
        <v>238</v>
      </c>
      <c r="BF986" s="5" t="s">
        <v>238</v>
      </c>
      <c r="BH986" s="5" t="s">
        <v>283</v>
      </c>
      <c r="BI986" s="6" t="s">
        <v>293</v>
      </c>
      <c r="BJ986" s="5" t="s">
        <v>294</v>
      </c>
      <c r="BK986" s="5" t="s">
        <v>294</v>
      </c>
      <c r="BL986" s="5" t="s">
        <v>238</v>
      </c>
      <c r="BM986" s="7">
        <f>0</f>
        <v>0</v>
      </c>
      <c r="BN986" s="8">
        <f>-2173</f>
        <v>-2173</v>
      </c>
      <c r="BO986" s="5" t="s">
        <v>257</v>
      </c>
      <c r="BP986" s="5" t="s">
        <v>258</v>
      </c>
      <c r="BQ986" s="5" t="s">
        <v>238</v>
      </c>
      <c r="BR986" s="5" t="s">
        <v>238</v>
      </c>
      <c r="BS986" s="5" t="s">
        <v>238</v>
      </c>
      <c r="BT986" s="5" t="s">
        <v>238</v>
      </c>
      <c r="CC986" s="5" t="s">
        <v>258</v>
      </c>
      <c r="CD986" s="5" t="s">
        <v>238</v>
      </c>
      <c r="CE986" s="5" t="s">
        <v>238</v>
      </c>
      <c r="CI986" s="5" t="s">
        <v>259</v>
      </c>
      <c r="CJ986" s="5" t="s">
        <v>260</v>
      </c>
      <c r="CK986" s="5" t="s">
        <v>238</v>
      </c>
      <c r="CM986" s="5" t="s">
        <v>376</v>
      </c>
      <c r="CN986" s="6" t="s">
        <v>262</v>
      </c>
      <c r="CO986" s="5" t="s">
        <v>263</v>
      </c>
      <c r="CP986" s="5" t="s">
        <v>264</v>
      </c>
      <c r="CQ986" s="5" t="s">
        <v>285</v>
      </c>
      <c r="CR986" s="5" t="s">
        <v>238</v>
      </c>
      <c r="CS986" s="5">
        <v>2.1999999999999999E-2</v>
      </c>
      <c r="CT986" s="5" t="s">
        <v>265</v>
      </c>
      <c r="CU986" s="5" t="s">
        <v>2145</v>
      </c>
      <c r="CV986" s="5" t="s">
        <v>308</v>
      </c>
      <c r="CW986" s="7">
        <f>0</f>
        <v>0</v>
      </c>
      <c r="CX986" s="8">
        <f>98800</f>
        <v>98800</v>
      </c>
      <c r="CY986" s="8">
        <f>90108</f>
        <v>90108</v>
      </c>
      <c r="DA986" s="5" t="s">
        <v>238</v>
      </c>
      <c r="DB986" s="5" t="s">
        <v>238</v>
      </c>
      <c r="DD986" s="5" t="s">
        <v>238</v>
      </c>
      <c r="DE986" s="8">
        <f>0</f>
        <v>0</v>
      </c>
      <c r="DG986" s="5" t="s">
        <v>238</v>
      </c>
      <c r="DH986" s="5" t="s">
        <v>238</v>
      </c>
      <c r="DI986" s="5" t="s">
        <v>238</v>
      </c>
      <c r="DJ986" s="5" t="s">
        <v>238</v>
      </c>
      <c r="DK986" s="5" t="s">
        <v>272</v>
      </c>
      <c r="DL986" s="5" t="s">
        <v>272</v>
      </c>
      <c r="DM986" s="8" t="s">
        <v>238</v>
      </c>
      <c r="DN986" s="5" t="s">
        <v>238</v>
      </c>
      <c r="DO986" s="5" t="s">
        <v>238</v>
      </c>
      <c r="DP986" s="5" t="s">
        <v>238</v>
      </c>
      <c r="DQ986" s="5" t="s">
        <v>238</v>
      </c>
      <c r="DT986" s="5" t="s">
        <v>459</v>
      </c>
      <c r="DU986" s="5" t="s">
        <v>310</v>
      </c>
      <c r="GL986" s="5" t="s">
        <v>2166</v>
      </c>
      <c r="HM986" s="5" t="s">
        <v>379</v>
      </c>
      <c r="HP986" s="5" t="s">
        <v>272</v>
      </c>
      <c r="HQ986" s="5" t="s">
        <v>272</v>
      </c>
      <c r="HR986" s="5" t="s">
        <v>238</v>
      </c>
      <c r="HS986" s="5" t="s">
        <v>238</v>
      </c>
      <c r="HT986" s="5" t="s">
        <v>238</v>
      </c>
      <c r="HU986" s="5" t="s">
        <v>238</v>
      </c>
      <c r="HV986" s="5" t="s">
        <v>238</v>
      </c>
      <c r="HW986" s="5" t="s">
        <v>238</v>
      </c>
      <c r="HX986" s="5" t="s">
        <v>238</v>
      </c>
      <c r="HY986" s="5" t="s">
        <v>238</v>
      </c>
      <c r="HZ986" s="5" t="s">
        <v>238</v>
      </c>
      <c r="IA986" s="5" t="s">
        <v>238</v>
      </c>
      <c r="IB986" s="5" t="s">
        <v>238</v>
      </c>
      <c r="IC986" s="5" t="s">
        <v>238</v>
      </c>
      <c r="ID986" s="5" t="s">
        <v>238</v>
      </c>
    </row>
    <row r="987" spans="1:238" x14ac:dyDescent="0.4">
      <c r="A987" s="5">
        <v>1301</v>
      </c>
      <c r="B987" s="5">
        <v>1</v>
      </c>
      <c r="C987" s="5">
        <v>4</v>
      </c>
      <c r="D987" s="5" t="s">
        <v>452</v>
      </c>
      <c r="E987" s="5" t="s">
        <v>454</v>
      </c>
      <c r="F987" s="5" t="s">
        <v>282</v>
      </c>
      <c r="G987" s="5" t="s">
        <v>456</v>
      </c>
      <c r="H987" s="6" t="s">
        <v>457</v>
      </c>
      <c r="I987" s="5" t="s">
        <v>451</v>
      </c>
      <c r="J987" s="7">
        <f>0</f>
        <v>0</v>
      </c>
      <c r="K987" s="5" t="s">
        <v>270</v>
      </c>
      <c r="L987" s="8">
        <f>6220800</f>
        <v>6220800</v>
      </c>
      <c r="M987" s="8">
        <f>12441600</f>
        <v>12441600</v>
      </c>
      <c r="N987" s="6" t="s">
        <v>455</v>
      </c>
      <c r="O987" s="5" t="s">
        <v>377</v>
      </c>
      <c r="P987" s="5" t="s">
        <v>356</v>
      </c>
      <c r="Q987" s="8">
        <f>1244160</f>
        <v>1244160</v>
      </c>
      <c r="R987" s="8">
        <f>6220800</f>
        <v>6220800</v>
      </c>
      <c r="S987" s="5" t="s">
        <v>240</v>
      </c>
      <c r="T987" s="5" t="s">
        <v>287</v>
      </c>
      <c r="U987" s="5" t="s">
        <v>238</v>
      </c>
      <c r="V987" s="5" t="s">
        <v>238</v>
      </c>
      <c r="W987" s="5" t="s">
        <v>241</v>
      </c>
      <c r="X987" s="5" t="s">
        <v>453</v>
      </c>
      <c r="Y987" s="5" t="s">
        <v>238</v>
      </c>
      <c r="AB987" s="5" t="s">
        <v>238</v>
      </c>
      <c r="AC987" s="6" t="s">
        <v>238</v>
      </c>
      <c r="AD987" s="6" t="s">
        <v>238</v>
      </c>
      <c r="AF987" s="6" t="s">
        <v>238</v>
      </c>
      <c r="AG987" s="6" t="s">
        <v>246</v>
      </c>
      <c r="AH987" s="5" t="s">
        <v>247</v>
      </c>
      <c r="AI987" s="5" t="s">
        <v>248</v>
      </c>
      <c r="AO987" s="5" t="s">
        <v>238</v>
      </c>
      <c r="AP987" s="5" t="s">
        <v>238</v>
      </c>
      <c r="AQ987" s="5" t="s">
        <v>238</v>
      </c>
      <c r="AR987" s="6" t="s">
        <v>238</v>
      </c>
      <c r="AS987" s="6" t="s">
        <v>238</v>
      </c>
      <c r="AT987" s="6" t="s">
        <v>238</v>
      </c>
      <c r="AW987" s="5" t="s">
        <v>304</v>
      </c>
      <c r="AX987" s="5" t="s">
        <v>304</v>
      </c>
      <c r="AY987" s="5" t="s">
        <v>250</v>
      </c>
      <c r="AZ987" s="5" t="s">
        <v>305</v>
      </c>
      <c r="BA987" s="5" t="s">
        <v>251</v>
      </c>
      <c r="BB987" s="5" t="s">
        <v>238</v>
      </c>
      <c r="BC987" s="5" t="s">
        <v>253</v>
      </c>
      <c r="BD987" s="5" t="s">
        <v>238</v>
      </c>
      <c r="BF987" s="5" t="s">
        <v>238</v>
      </c>
      <c r="BH987" s="5" t="s">
        <v>283</v>
      </c>
      <c r="BI987" s="6" t="s">
        <v>293</v>
      </c>
      <c r="BJ987" s="5" t="s">
        <v>294</v>
      </c>
      <c r="BK987" s="5" t="s">
        <v>294</v>
      </c>
      <c r="BL987" s="5" t="s">
        <v>238</v>
      </c>
      <c r="BM987" s="7">
        <f>0</f>
        <v>0</v>
      </c>
      <c r="BN987" s="8">
        <f>-1244160</f>
        <v>-1244160</v>
      </c>
      <c r="BO987" s="5" t="s">
        <v>257</v>
      </c>
      <c r="BP987" s="5" t="s">
        <v>258</v>
      </c>
      <c r="BQ987" s="5" t="s">
        <v>238</v>
      </c>
      <c r="BR987" s="5" t="s">
        <v>238</v>
      </c>
      <c r="BS987" s="5" t="s">
        <v>238</v>
      </c>
      <c r="BT987" s="5" t="s">
        <v>238</v>
      </c>
      <c r="CC987" s="5" t="s">
        <v>258</v>
      </c>
      <c r="CD987" s="5" t="s">
        <v>238</v>
      </c>
      <c r="CE987" s="5" t="s">
        <v>238</v>
      </c>
      <c r="CI987" s="5" t="s">
        <v>259</v>
      </c>
      <c r="CJ987" s="5" t="s">
        <v>260</v>
      </c>
      <c r="CK987" s="5" t="s">
        <v>238</v>
      </c>
      <c r="CM987" s="5" t="s">
        <v>376</v>
      </c>
      <c r="CN987" s="6" t="s">
        <v>262</v>
      </c>
      <c r="CO987" s="5" t="s">
        <v>263</v>
      </c>
      <c r="CP987" s="5" t="s">
        <v>264</v>
      </c>
      <c r="CQ987" s="5" t="s">
        <v>285</v>
      </c>
      <c r="CR987" s="5" t="s">
        <v>238</v>
      </c>
      <c r="CS987" s="5">
        <v>0.1</v>
      </c>
      <c r="CT987" s="5" t="s">
        <v>265</v>
      </c>
      <c r="CU987" s="5" t="s">
        <v>351</v>
      </c>
      <c r="CV987" s="5" t="s">
        <v>458</v>
      </c>
      <c r="CW987" s="7">
        <f>0</f>
        <v>0</v>
      </c>
      <c r="CX987" s="8">
        <f>12441600</f>
        <v>12441600</v>
      </c>
      <c r="CY987" s="8">
        <f>7464960</f>
        <v>7464960</v>
      </c>
      <c r="DA987" s="5" t="s">
        <v>238</v>
      </c>
      <c r="DB987" s="5" t="s">
        <v>238</v>
      </c>
      <c r="DD987" s="5" t="s">
        <v>238</v>
      </c>
      <c r="DE987" s="8">
        <f>0</f>
        <v>0</v>
      </c>
      <c r="DG987" s="5" t="s">
        <v>238</v>
      </c>
      <c r="DH987" s="5" t="s">
        <v>238</v>
      </c>
      <c r="DI987" s="5" t="s">
        <v>238</v>
      </c>
      <c r="DJ987" s="5" t="s">
        <v>238</v>
      </c>
      <c r="DK987" s="5" t="s">
        <v>272</v>
      </c>
      <c r="DL987" s="5" t="s">
        <v>272</v>
      </c>
      <c r="DM987" s="8" t="s">
        <v>238</v>
      </c>
      <c r="DN987" s="5" t="s">
        <v>238</v>
      </c>
      <c r="DO987" s="5" t="s">
        <v>238</v>
      </c>
      <c r="DP987" s="5" t="s">
        <v>238</v>
      </c>
      <c r="DQ987" s="5" t="s">
        <v>238</v>
      </c>
      <c r="DT987" s="5" t="s">
        <v>459</v>
      </c>
      <c r="DU987" s="5" t="s">
        <v>379</v>
      </c>
      <c r="GL987" s="5" t="s">
        <v>460</v>
      </c>
      <c r="HM987" s="5" t="s">
        <v>379</v>
      </c>
      <c r="HP987" s="5" t="s">
        <v>272</v>
      </c>
      <c r="HQ987" s="5" t="s">
        <v>272</v>
      </c>
      <c r="HR987" s="5" t="s">
        <v>238</v>
      </c>
      <c r="HS987" s="5" t="s">
        <v>238</v>
      </c>
      <c r="HT987" s="5" t="s">
        <v>238</v>
      </c>
      <c r="HU987" s="5" t="s">
        <v>238</v>
      </c>
      <c r="HV987" s="5" t="s">
        <v>238</v>
      </c>
      <c r="HW987" s="5" t="s">
        <v>238</v>
      </c>
      <c r="HX987" s="5" t="s">
        <v>238</v>
      </c>
      <c r="HY987" s="5" t="s">
        <v>238</v>
      </c>
      <c r="HZ987" s="5" t="s">
        <v>238</v>
      </c>
      <c r="IA987" s="5" t="s">
        <v>238</v>
      </c>
      <c r="IB987" s="5" t="s">
        <v>238</v>
      </c>
      <c r="IC987" s="5" t="s">
        <v>238</v>
      </c>
      <c r="ID987" s="5" t="s">
        <v>238</v>
      </c>
    </row>
    <row r="988" spans="1:238" x14ac:dyDescent="0.4">
      <c r="A988" s="5">
        <v>1302</v>
      </c>
      <c r="B988" s="5">
        <v>1</v>
      </c>
      <c r="C988" s="5">
        <v>4</v>
      </c>
      <c r="D988" s="5" t="s">
        <v>452</v>
      </c>
      <c r="E988" s="5" t="s">
        <v>454</v>
      </c>
      <c r="F988" s="5" t="s">
        <v>282</v>
      </c>
      <c r="G988" s="5" t="s">
        <v>467</v>
      </c>
      <c r="H988" s="6" t="s">
        <v>457</v>
      </c>
      <c r="I988" s="5" t="s">
        <v>465</v>
      </c>
      <c r="J988" s="7">
        <f>0</f>
        <v>0</v>
      </c>
      <c r="K988" s="5" t="s">
        <v>270</v>
      </c>
      <c r="L988" s="8">
        <f>81160</f>
        <v>81160</v>
      </c>
      <c r="M988" s="8">
        <f>122040</f>
        <v>122040</v>
      </c>
      <c r="N988" s="6" t="s">
        <v>466</v>
      </c>
      <c r="O988" s="5" t="s">
        <v>268</v>
      </c>
      <c r="P988" s="5" t="s">
        <v>356</v>
      </c>
      <c r="Q988" s="8">
        <f>8176</f>
        <v>8176</v>
      </c>
      <c r="R988" s="8">
        <f>40880</f>
        <v>40880</v>
      </c>
      <c r="S988" s="5" t="s">
        <v>240</v>
      </c>
      <c r="T988" s="5" t="s">
        <v>287</v>
      </c>
      <c r="U988" s="5" t="s">
        <v>238</v>
      </c>
      <c r="V988" s="5" t="s">
        <v>238</v>
      </c>
      <c r="W988" s="5" t="s">
        <v>241</v>
      </c>
      <c r="X988" s="5" t="s">
        <v>453</v>
      </c>
      <c r="Y988" s="5" t="s">
        <v>238</v>
      </c>
      <c r="AB988" s="5" t="s">
        <v>238</v>
      </c>
      <c r="AC988" s="6" t="s">
        <v>238</v>
      </c>
      <c r="AD988" s="6" t="s">
        <v>238</v>
      </c>
      <c r="AF988" s="6" t="s">
        <v>238</v>
      </c>
      <c r="AG988" s="6" t="s">
        <v>246</v>
      </c>
      <c r="AH988" s="5" t="s">
        <v>247</v>
      </c>
      <c r="AI988" s="5" t="s">
        <v>248</v>
      </c>
      <c r="AO988" s="5" t="s">
        <v>238</v>
      </c>
      <c r="AP988" s="5" t="s">
        <v>238</v>
      </c>
      <c r="AQ988" s="5" t="s">
        <v>238</v>
      </c>
      <c r="AR988" s="6" t="s">
        <v>238</v>
      </c>
      <c r="AS988" s="6" t="s">
        <v>238</v>
      </c>
      <c r="AT988" s="6" t="s">
        <v>238</v>
      </c>
      <c r="AW988" s="5" t="s">
        <v>304</v>
      </c>
      <c r="AX988" s="5" t="s">
        <v>304</v>
      </c>
      <c r="AY988" s="5" t="s">
        <v>250</v>
      </c>
      <c r="AZ988" s="5" t="s">
        <v>305</v>
      </c>
      <c r="BA988" s="5" t="s">
        <v>251</v>
      </c>
      <c r="BB988" s="5" t="s">
        <v>238</v>
      </c>
      <c r="BC988" s="5" t="s">
        <v>253</v>
      </c>
      <c r="BD988" s="5" t="s">
        <v>238</v>
      </c>
      <c r="BF988" s="5" t="s">
        <v>238</v>
      </c>
      <c r="BH988" s="5" t="s">
        <v>283</v>
      </c>
      <c r="BI988" s="6" t="s">
        <v>293</v>
      </c>
      <c r="BJ988" s="5" t="s">
        <v>294</v>
      </c>
      <c r="BK988" s="5" t="s">
        <v>294</v>
      </c>
      <c r="BL988" s="5" t="s">
        <v>238</v>
      </c>
      <c r="BM988" s="7">
        <f>0</f>
        <v>0</v>
      </c>
      <c r="BN988" s="8">
        <f>-8176</f>
        <v>-8176</v>
      </c>
      <c r="BO988" s="5" t="s">
        <v>257</v>
      </c>
      <c r="BP988" s="5" t="s">
        <v>258</v>
      </c>
      <c r="BQ988" s="5" t="s">
        <v>238</v>
      </c>
      <c r="BR988" s="5" t="s">
        <v>238</v>
      </c>
      <c r="BS988" s="5" t="s">
        <v>238</v>
      </c>
      <c r="BT988" s="5" t="s">
        <v>238</v>
      </c>
      <c r="CC988" s="5" t="s">
        <v>258</v>
      </c>
      <c r="CD988" s="5" t="s">
        <v>238</v>
      </c>
      <c r="CE988" s="5" t="s">
        <v>238</v>
      </c>
      <c r="CI988" s="5" t="s">
        <v>259</v>
      </c>
      <c r="CJ988" s="5" t="s">
        <v>260</v>
      </c>
      <c r="CK988" s="5" t="s">
        <v>238</v>
      </c>
      <c r="CM988" s="5" t="s">
        <v>376</v>
      </c>
      <c r="CN988" s="6" t="s">
        <v>262</v>
      </c>
      <c r="CO988" s="5" t="s">
        <v>263</v>
      </c>
      <c r="CP988" s="5" t="s">
        <v>264</v>
      </c>
      <c r="CQ988" s="5" t="s">
        <v>285</v>
      </c>
      <c r="CR988" s="5" t="s">
        <v>238</v>
      </c>
      <c r="CS988" s="5">
        <v>6.7000000000000004E-2</v>
      </c>
      <c r="CT988" s="5" t="s">
        <v>265</v>
      </c>
      <c r="CU988" s="5" t="s">
        <v>351</v>
      </c>
      <c r="CV988" s="5" t="s">
        <v>394</v>
      </c>
      <c r="CW988" s="7">
        <f>0</f>
        <v>0</v>
      </c>
      <c r="CX988" s="8">
        <f>122040</f>
        <v>122040</v>
      </c>
      <c r="CY988" s="8">
        <f>89336</f>
        <v>89336</v>
      </c>
      <c r="DA988" s="5" t="s">
        <v>238</v>
      </c>
      <c r="DB988" s="5" t="s">
        <v>238</v>
      </c>
      <c r="DD988" s="5" t="s">
        <v>238</v>
      </c>
      <c r="DE988" s="8">
        <f>0</f>
        <v>0</v>
      </c>
      <c r="DG988" s="5" t="s">
        <v>238</v>
      </c>
      <c r="DH988" s="5" t="s">
        <v>238</v>
      </c>
      <c r="DI988" s="5" t="s">
        <v>238</v>
      </c>
      <c r="DJ988" s="5" t="s">
        <v>238</v>
      </c>
      <c r="DK988" s="5" t="s">
        <v>272</v>
      </c>
      <c r="DL988" s="5" t="s">
        <v>272</v>
      </c>
      <c r="DM988" s="8" t="s">
        <v>238</v>
      </c>
      <c r="DN988" s="5" t="s">
        <v>238</v>
      </c>
      <c r="DO988" s="5" t="s">
        <v>238</v>
      </c>
      <c r="DP988" s="5" t="s">
        <v>238</v>
      </c>
      <c r="DQ988" s="5" t="s">
        <v>238</v>
      </c>
      <c r="DT988" s="5" t="s">
        <v>459</v>
      </c>
      <c r="DU988" s="5" t="s">
        <v>313</v>
      </c>
      <c r="GL988" s="5" t="s">
        <v>468</v>
      </c>
      <c r="HM988" s="5" t="s">
        <v>379</v>
      </c>
      <c r="HP988" s="5" t="s">
        <v>272</v>
      </c>
      <c r="HQ988" s="5" t="s">
        <v>272</v>
      </c>
      <c r="HR988" s="5" t="s">
        <v>238</v>
      </c>
      <c r="HS988" s="5" t="s">
        <v>238</v>
      </c>
      <c r="HT988" s="5" t="s">
        <v>238</v>
      </c>
      <c r="HU988" s="5" t="s">
        <v>238</v>
      </c>
      <c r="HV988" s="5" t="s">
        <v>238</v>
      </c>
      <c r="HW988" s="5" t="s">
        <v>238</v>
      </c>
      <c r="HX988" s="5" t="s">
        <v>238</v>
      </c>
      <c r="HY988" s="5" t="s">
        <v>238</v>
      </c>
      <c r="HZ988" s="5" t="s">
        <v>238</v>
      </c>
      <c r="IA988" s="5" t="s">
        <v>238</v>
      </c>
      <c r="IB988" s="5" t="s">
        <v>238</v>
      </c>
      <c r="IC988" s="5" t="s">
        <v>238</v>
      </c>
      <c r="ID988" s="5" t="s">
        <v>238</v>
      </c>
    </row>
    <row r="989" spans="1:238" x14ac:dyDescent="0.4">
      <c r="A989" s="5">
        <v>1303</v>
      </c>
      <c r="B989" s="5">
        <v>1</v>
      </c>
      <c r="C989" s="5">
        <v>4</v>
      </c>
      <c r="D989" s="5" t="s">
        <v>452</v>
      </c>
      <c r="E989" s="5" t="s">
        <v>454</v>
      </c>
      <c r="F989" s="5" t="s">
        <v>282</v>
      </c>
      <c r="G989" s="5" t="s">
        <v>349</v>
      </c>
      <c r="H989" s="6" t="s">
        <v>457</v>
      </c>
      <c r="I989" s="5" t="s">
        <v>477</v>
      </c>
      <c r="J989" s="7">
        <f>0</f>
        <v>0</v>
      </c>
      <c r="K989" s="5" t="s">
        <v>270</v>
      </c>
      <c r="L989" s="8">
        <f>14322625</f>
        <v>14322625</v>
      </c>
      <c r="M989" s="8">
        <f>18625000</f>
        <v>18625000</v>
      </c>
      <c r="N989" s="6" t="s">
        <v>478</v>
      </c>
      <c r="O989" s="5" t="s">
        <v>319</v>
      </c>
      <c r="P989" s="5" t="s">
        <v>271</v>
      </c>
      <c r="Q989" s="8">
        <f>1434125</f>
        <v>1434125</v>
      </c>
      <c r="R989" s="8">
        <f>4302375</f>
        <v>4302375</v>
      </c>
      <c r="S989" s="5" t="s">
        <v>240</v>
      </c>
      <c r="T989" s="5" t="s">
        <v>287</v>
      </c>
      <c r="U989" s="5" t="s">
        <v>238</v>
      </c>
      <c r="V989" s="5" t="s">
        <v>238</v>
      </c>
      <c r="W989" s="5" t="s">
        <v>241</v>
      </c>
      <c r="X989" s="5" t="s">
        <v>238</v>
      </c>
      <c r="Y989" s="5" t="s">
        <v>238</v>
      </c>
      <c r="AB989" s="5" t="s">
        <v>238</v>
      </c>
      <c r="AC989" s="6" t="s">
        <v>238</v>
      </c>
      <c r="AD989" s="6" t="s">
        <v>238</v>
      </c>
      <c r="AF989" s="6" t="s">
        <v>238</v>
      </c>
      <c r="AG989" s="6" t="s">
        <v>246</v>
      </c>
      <c r="AH989" s="5" t="s">
        <v>247</v>
      </c>
      <c r="AI989" s="5" t="s">
        <v>248</v>
      </c>
      <c r="AO989" s="5" t="s">
        <v>238</v>
      </c>
      <c r="AP989" s="5" t="s">
        <v>238</v>
      </c>
      <c r="AQ989" s="5" t="s">
        <v>238</v>
      </c>
      <c r="AR989" s="6" t="s">
        <v>238</v>
      </c>
      <c r="AS989" s="6" t="s">
        <v>238</v>
      </c>
      <c r="AT989" s="6" t="s">
        <v>238</v>
      </c>
      <c r="AW989" s="5" t="s">
        <v>304</v>
      </c>
      <c r="AX989" s="5" t="s">
        <v>304</v>
      </c>
      <c r="AY989" s="5" t="s">
        <v>250</v>
      </c>
      <c r="AZ989" s="5" t="s">
        <v>305</v>
      </c>
      <c r="BA989" s="5" t="s">
        <v>251</v>
      </c>
      <c r="BB989" s="5" t="s">
        <v>238</v>
      </c>
      <c r="BC989" s="5" t="s">
        <v>253</v>
      </c>
      <c r="BD989" s="5" t="s">
        <v>238</v>
      </c>
      <c r="BF989" s="5" t="s">
        <v>238</v>
      </c>
      <c r="BH989" s="5" t="s">
        <v>283</v>
      </c>
      <c r="BI989" s="6" t="s">
        <v>293</v>
      </c>
      <c r="BJ989" s="5" t="s">
        <v>294</v>
      </c>
      <c r="BK989" s="5" t="s">
        <v>294</v>
      </c>
      <c r="BL989" s="5" t="s">
        <v>238</v>
      </c>
      <c r="BM989" s="7">
        <f>0</f>
        <v>0</v>
      </c>
      <c r="BN989" s="8">
        <f>-1434125</f>
        <v>-1434125</v>
      </c>
      <c r="BO989" s="5" t="s">
        <v>257</v>
      </c>
      <c r="BP989" s="5" t="s">
        <v>258</v>
      </c>
      <c r="BQ989" s="5" t="s">
        <v>238</v>
      </c>
      <c r="BR989" s="5" t="s">
        <v>238</v>
      </c>
      <c r="BS989" s="5" t="s">
        <v>238</v>
      </c>
      <c r="BT989" s="5" t="s">
        <v>238</v>
      </c>
      <c r="CC989" s="5" t="s">
        <v>258</v>
      </c>
      <c r="CD989" s="5" t="s">
        <v>238</v>
      </c>
      <c r="CE989" s="5" t="s">
        <v>238</v>
      </c>
      <c r="CI989" s="5" t="s">
        <v>259</v>
      </c>
      <c r="CJ989" s="5" t="s">
        <v>260</v>
      </c>
      <c r="CK989" s="5" t="s">
        <v>238</v>
      </c>
      <c r="CM989" s="5" t="s">
        <v>291</v>
      </c>
      <c r="CN989" s="6" t="s">
        <v>262</v>
      </c>
      <c r="CO989" s="5" t="s">
        <v>263</v>
      </c>
      <c r="CP989" s="5" t="s">
        <v>264</v>
      </c>
      <c r="CQ989" s="5" t="s">
        <v>285</v>
      </c>
      <c r="CR989" s="5" t="s">
        <v>238</v>
      </c>
      <c r="CS989" s="5">
        <v>7.6999999999999999E-2</v>
      </c>
      <c r="CT989" s="5" t="s">
        <v>265</v>
      </c>
      <c r="CU989" s="5" t="s">
        <v>351</v>
      </c>
      <c r="CV989" s="5" t="s">
        <v>352</v>
      </c>
      <c r="CW989" s="7">
        <f>0</f>
        <v>0</v>
      </c>
      <c r="CX989" s="8">
        <f>18625000</f>
        <v>18625000</v>
      </c>
      <c r="CY989" s="8">
        <f>15756750</f>
        <v>15756750</v>
      </c>
      <c r="DA989" s="5" t="s">
        <v>238</v>
      </c>
      <c r="DB989" s="5" t="s">
        <v>238</v>
      </c>
      <c r="DD989" s="5" t="s">
        <v>238</v>
      </c>
      <c r="DE989" s="8">
        <f>0</f>
        <v>0</v>
      </c>
      <c r="DG989" s="5" t="s">
        <v>238</v>
      </c>
      <c r="DH989" s="5" t="s">
        <v>238</v>
      </c>
      <c r="DI989" s="5" t="s">
        <v>238</v>
      </c>
      <c r="DJ989" s="5" t="s">
        <v>238</v>
      </c>
      <c r="DK989" s="5" t="s">
        <v>272</v>
      </c>
      <c r="DL989" s="5" t="s">
        <v>272</v>
      </c>
      <c r="DM989" s="8" t="s">
        <v>238</v>
      </c>
      <c r="DN989" s="5" t="s">
        <v>238</v>
      </c>
      <c r="DO989" s="5" t="s">
        <v>238</v>
      </c>
      <c r="DP989" s="5" t="s">
        <v>238</v>
      </c>
      <c r="DQ989" s="5" t="s">
        <v>238</v>
      </c>
      <c r="DT989" s="5" t="s">
        <v>459</v>
      </c>
      <c r="DU989" s="5" t="s">
        <v>389</v>
      </c>
      <c r="GL989" s="5" t="s">
        <v>479</v>
      </c>
      <c r="HM989" s="5" t="s">
        <v>356</v>
      </c>
      <c r="HP989" s="5" t="s">
        <v>272</v>
      </c>
      <c r="HQ989" s="5" t="s">
        <v>272</v>
      </c>
      <c r="HR989" s="5" t="s">
        <v>238</v>
      </c>
      <c r="HS989" s="5" t="s">
        <v>238</v>
      </c>
      <c r="HT989" s="5" t="s">
        <v>238</v>
      </c>
      <c r="HU989" s="5" t="s">
        <v>238</v>
      </c>
      <c r="HV989" s="5" t="s">
        <v>238</v>
      </c>
      <c r="HW989" s="5" t="s">
        <v>238</v>
      </c>
      <c r="HX989" s="5" t="s">
        <v>238</v>
      </c>
      <c r="HY989" s="5" t="s">
        <v>238</v>
      </c>
      <c r="HZ989" s="5" t="s">
        <v>238</v>
      </c>
      <c r="IA989" s="5" t="s">
        <v>238</v>
      </c>
      <c r="IB989" s="5" t="s">
        <v>238</v>
      </c>
      <c r="IC989" s="5" t="s">
        <v>238</v>
      </c>
      <c r="ID989" s="5" t="s">
        <v>238</v>
      </c>
    </row>
    <row r="990" spans="1:238" x14ac:dyDescent="0.4">
      <c r="A990" s="5">
        <v>1304</v>
      </c>
      <c r="B990" s="5">
        <v>1</v>
      </c>
      <c r="C990" s="5">
        <v>4</v>
      </c>
      <c r="D990" s="5" t="s">
        <v>452</v>
      </c>
      <c r="E990" s="5" t="s">
        <v>454</v>
      </c>
      <c r="F990" s="5" t="s">
        <v>282</v>
      </c>
      <c r="G990" s="5" t="s">
        <v>349</v>
      </c>
      <c r="H990" s="6" t="s">
        <v>457</v>
      </c>
      <c r="I990" s="5" t="s">
        <v>2154</v>
      </c>
      <c r="J990" s="7">
        <f>0</f>
        <v>0</v>
      </c>
      <c r="K990" s="5" t="s">
        <v>270</v>
      </c>
      <c r="L990" s="8">
        <f>4511364</f>
        <v>4511364</v>
      </c>
      <c r="M990" s="8">
        <f>4719000</f>
        <v>4719000</v>
      </c>
      <c r="N990" s="6" t="s">
        <v>2155</v>
      </c>
      <c r="O990" s="5" t="s">
        <v>898</v>
      </c>
      <c r="P990" s="5" t="s">
        <v>272</v>
      </c>
      <c r="Q990" s="8">
        <f>4718999</f>
        <v>4718999</v>
      </c>
      <c r="R990" s="8">
        <f>207636</f>
        <v>207636</v>
      </c>
      <c r="S990" s="5" t="s">
        <v>240</v>
      </c>
      <c r="T990" s="5" t="s">
        <v>287</v>
      </c>
      <c r="U990" s="5" t="s">
        <v>238</v>
      </c>
      <c r="V990" s="5" t="s">
        <v>238</v>
      </c>
      <c r="W990" s="5" t="s">
        <v>241</v>
      </c>
      <c r="X990" s="5" t="s">
        <v>238</v>
      </c>
      <c r="Y990" s="5" t="s">
        <v>238</v>
      </c>
      <c r="AB990" s="5" t="s">
        <v>238</v>
      </c>
      <c r="AC990" s="6" t="s">
        <v>238</v>
      </c>
      <c r="AD990" s="6" t="s">
        <v>238</v>
      </c>
      <c r="AF990" s="6" t="s">
        <v>238</v>
      </c>
      <c r="AG990" s="6" t="s">
        <v>246</v>
      </c>
      <c r="AH990" s="5" t="s">
        <v>247</v>
      </c>
      <c r="AI990" s="5" t="s">
        <v>248</v>
      </c>
      <c r="AO990" s="5" t="s">
        <v>238</v>
      </c>
      <c r="AP990" s="5" t="s">
        <v>238</v>
      </c>
      <c r="AQ990" s="5" t="s">
        <v>238</v>
      </c>
      <c r="AR990" s="6" t="s">
        <v>238</v>
      </c>
      <c r="AS990" s="6" t="s">
        <v>238</v>
      </c>
      <c r="AT990" s="6" t="s">
        <v>238</v>
      </c>
      <c r="AW990" s="5" t="s">
        <v>304</v>
      </c>
      <c r="AX990" s="5" t="s">
        <v>304</v>
      </c>
      <c r="AY990" s="5" t="s">
        <v>250</v>
      </c>
      <c r="AZ990" s="5" t="s">
        <v>305</v>
      </c>
      <c r="BA990" s="5" t="s">
        <v>251</v>
      </c>
      <c r="BB990" s="5" t="s">
        <v>238</v>
      </c>
      <c r="BC990" s="5" t="s">
        <v>253</v>
      </c>
      <c r="BD990" s="5" t="s">
        <v>238</v>
      </c>
      <c r="BF990" s="5" t="s">
        <v>238</v>
      </c>
      <c r="BH990" s="5" t="s">
        <v>283</v>
      </c>
      <c r="BI990" s="6" t="s">
        <v>293</v>
      </c>
      <c r="BJ990" s="5" t="s">
        <v>294</v>
      </c>
      <c r="BK990" s="5" t="s">
        <v>294</v>
      </c>
      <c r="BL990" s="5" t="s">
        <v>238</v>
      </c>
      <c r="BM990" s="7">
        <f>0</f>
        <v>0</v>
      </c>
      <c r="BN990" s="8">
        <f>-103818</f>
        <v>-103818</v>
      </c>
      <c r="BO990" s="5" t="s">
        <v>257</v>
      </c>
      <c r="BP990" s="5" t="s">
        <v>258</v>
      </c>
      <c r="BQ990" s="5" t="s">
        <v>238</v>
      </c>
      <c r="BR990" s="5" t="s">
        <v>238</v>
      </c>
      <c r="BS990" s="5" t="s">
        <v>238</v>
      </c>
      <c r="BT990" s="5" t="s">
        <v>238</v>
      </c>
      <c r="CC990" s="5" t="s">
        <v>258</v>
      </c>
      <c r="CD990" s="5" t="s">
        <v>238</v>
      </c>
      <c r="CE990" s="5" t="s">
        <v>238</v>
      </c>
      <c r="CI990" s="5" t="s">
        <v>259</v>
      </c>
      <c r="CJ990" s="5" t="s">
        <v>260</v>
      </c>
      <c r="CK990" s="5" t="s">
        <v>238</v>
      </c>
      <c r="CM990" s="5" t="s">
        <v>408</v>
      </c>
      <c r="CN990" s="6" t="s">
        <v>262</v>
      </c>
      <c r="CO990" s="5" t="s">
        <v>263</v>
      </c>
      <c r="CP990" s="5" t="s">
        <v>264</v>
      </c>
      <c r="CQ990" s="5" t="s">
        <v>285</v>
      </c>
      <c r="CR990" s="5" t="s">
        <v>238</v>
      </c>
      <c r="CS990" s="5">
        <v>2.1999999999999999E-2</v>
      </c>
      <c r="CT990" s="5" t="s">
        <v>265</v>
      </c>
      <c r="CU990" s="5" t="s">
        <v>2145</v>
      </c>
      <c r="CV990" s="5" t="s">
        <v>308</v>
      </c>
      <c r="CW990" s="7">
        <f>0</f>
        <v>0</v>
      </c>
      <c r="CX990" s="8">
        <f>4719000</f>
        <v>4719000</v>
      </c>
      <c r="CY990" s="8">
        <f>4615182</f>
        <v>4615182</v>
      </c>
      <c r="DA990" s="5" t="s">
        <v>238</v>
      </c>
      <c r="DB990" s="5" t="s">
        <v>238</v>
      </c>
      <c r="DD990" s="5" t="s">
        <v>238</v>
      </c>
      <c r="DE990" s="8">
        <f>0</f>
        <v>0</v>
      </c>
      <c r="DG990" s="5" t="s">
        <v>238</v>
      </c>
      <c r="DH990" s="5" t="s">
        <v>238</v>
      </c>
      <c r="DI990" s="5" t="s">
        <v>238</v>
      </c>
      <c r="DJ990" s="5" t="s">
        <v>238</v>
      </c>
      <c r="DK990" s="5" t="s">
        <v>272</v>
      </c>
      <c r="DL990" s="5" t="s">
        <v>272</v>
      </c>
      <c r="DM990" s="8" t="s">
        <v>238</v>
      </c>
      <c r="DN990" s="5" t="s">
        <v>238</v>
      </c>
      <c r="DO990" s="5" t="s">
        <v>238</v>
      </c>
      <c r="DP990" s="5" t="s">
        <v>238</v>
      </c>
      <c r="DQ990" s="5" t="s">
        <v>238</v>
      </c>
      <c r="DT990" s="5" t="s">
        <v>459</v>
      </c>
      <c r="DU990" s="5" t="s">
        <v>354</v>
      </c>
      <c r="GL990" s="5" t="s">
        <v>2156</v>
      </c>
      <c r="HM990" s="5" t="s">
        <v>274</v>
      </c>
      <c r="HP990" s="5" t="s">
        <v>272</v>
      </c>
      <c r="HQ990" s="5" t="s">
        <v>272</v>
      </c>
      <c r="HR990" s="5" t="s">
        <v>238</v>
      </c>
      <c r="HS990" s="5" t="s">
        <v>238</v>
      </c>
      <c r="HT990" s="5" t="s">
        <v>238</v>
      </c>
      <c r="HU990" s="5" t="s">
        <v>238</v>
      </c>
      <c r="HV990" s="5" t="s">
        <v>238</v>
      </c>
      <c r="HW990" s="5" t="s">
        <v>238</v>
      </c>
      <c r="HX990" s="5" t="s">
        <v>238</v>
      </c>
      <c r="HY990" s="5" t="s">
        <v>238</v>
      </c>
      <c r="HZ990" s="5" t="s">
        <v>238</v>
      </c>
      <c r="IA990" s="5" t="s">
        <v>238</v>
      </c>
      <c r="IB990" s="5" t="s">
        <v>238</v>
      </c>
      <c r="IC990" s="5" t="s">
        <v>238</v>
      </c>
      <c r="ID990" s="5" t="s">
        <v>238</v>
      </c>
    </row>
    <row r="991" spans="1:238" x14ac:dyDescent="0.4">
      <c r="A991" s="5">
        <v>1305</v>
      </c>
      <c r="B991" s="5">
        <v>1</v>
      </c>
      <c r="C991" s="5">
        <v>1</v>
      </c>
      <c r="D991" s="5" t="s">
        <v>2167</v>
      </c>
      <c r="E991" s="5" t="s">
        <v>454</v>
      </c>
      <c r="F991" s="5" t="s">
        <v>282</v>
      </c>
      <c r="G991" s="5" t="s">
        <v>2148</v>
      </c>
      <c r="H991" s="6" t="s">
        <v>2169</v>
      </c>
      <c r="I991" s="5" t="s">
        <v>2148</v>
      </c>
      <c r="J991" s="7">
        <f>666.54</f>
        <v>666.54</v>
      </c>
      <c r="K991" s="5" t="s">
        <v>270</v>
      </c>
      <c r="L991" s="8">
        <f>1</f>
        <v>1</v>
      </c>
      <c r="M991" s="8">
        <f>53323200</f>
        <v>53323200</v>
      </c>
      <c r="N991" s="6" t="s">
        <v>2168</v>
      </c>
      <c r="O991" s="5" t="s">
        <v>755</v>
      </c>
      <c r="P991" s="5" t="s">
        <v>915</v>
      </c>
      <c r="R991" s="8">
        <f>53323199</f>
        <v>53323199</v>
      </c>
      <c r="S991" s="5" t="s">
        <v>240</v>
      </c>
      <c r="T991" s="5" t="s">
        <v>237</v>
      </c>
      <c r="U991" s="5" t="s">
        <v>238</v>
      </c>
      <c r="V991" s="5" t="s">
        <v>238</v>
      </c>
      <c r="W991" s="5" t="s">
        <v>241</v>
      </c>
      <c r="X991" s="5" t="s">
        <v>453</v>
      </c>
      <c r="Y991" s="5" t="s">
        <v>238</v>
      </c>
      <c r="AB991" s="5" t="s">
        <v>238</v>
      </c>
      <c r="AD991" s="6" t="s">
        <v>238</v>
      </c>
      <c r="AG991" s="6" t="s">
        <v>246</v>
      </c>
      <c r="AH991" s="5" t="s">
        <v>247</v>
      </c>
      <c r="AI991" s="5" t="s">
        <v>248</v>
      </c>
      <c r="AY991" s="5" t="s">
        <v>250</v>
      </c>
      <c r="AZ991" s="5" t="s">
        <v>238</v>
      </c>
      <c r="BA991" s="5" t="s">
        <v>251</v>
      </c>
      <c r="BB991" s="5" t="s">
        <v>238</v>
      </c>
      <c r="BC991" s="5" t="s">
        <v>253</v>
      </c>
      <c r="BD991" s="5" t="s">
        <v>238</v>
      </c>
      <c r="BF991" s="5" t="s">
        <v>238</v>
      </c>
      <c r="BH991" s="5" t="s">
        <v>859</v>
      </c>
      <c r="BI991" s="6" t="s">
        <v>368</v>
      </c>
      <c r="BJ991" s="5" t="s">
        <v>255</v>
      </c>
      <c r="BK991" s="5" t="s">
        <v>256</v>
      </c>
      <c r="BL991" s="5" t="s">
        <v>238</v>
      </c>
      <c r="BM991" s="7">
        <f>0</f>
        <v>0</v>
      </c>
      <c r="BN991" s="8">
        <f>0</f>
        <v>0</v>
      </c>
      <c r="BO991" s="5" t="s">
        <v>257</v>
      </c>
      <c r="BP991" s="5" t="s">
        <v>258</v>
      </c>
      <c r="CD991" s="5" t="s">
        <v>238</v>
      </c>
      <c r="CE991" s="5" t="s">
        <v>238</v>
      </c>
      <c r="CI991" s="5" t="s">
        <v>527</v>
      </c>
      <c r="CJ991" s="5" t="s">
        <v>260</v>
      </c>
      <c r="CK991" s="5" t="s">
        <v>238</v>
      </c>
      <c r="CM991" s="5" t="s">
        <v>914</v>
      </c>
      <c r="CN991" s="6" t="s">
        <v>262</v>
      </c>
      <c r="CO991" s="5" t="s">
        <v>263</v>
      </c>
      <c r="CP991" s="5" t="s">
        <v>264</v>
      </c>
      <c r="CQ991" s="5" t="s">
        <v>238</v>
      </c>
      <c r="CR991" s="5" t="s">
        <v>238</v>
      </c>
      <c r="CS991" s="5">
        <v>0</v>
      </c>
      <c r="CT991" s="5" t="s">
        <v>265</v>
      </c>
      <c r="CU991" s="5" t="s">
        <v>2145</v>
      </c>
      <c r="CV991" s="5" t="s">
        <v>649</v>
      </c>
      <c r="CX991" s="8">
        <f>53323200</f>
        <v>53323200</v>
      </c>
      <c r="CY991" s="8">
        <f>0</f>
        <v>0</v>
      </c>
      <c r="DA991" s="5" t="s">
        <v>238</v>
      </c>
      <c r="DB991" s="5" t="s">
        <v>238</v>
      </c>
      <c r="DD991" s="5" t="s">
        <v>238</v>
      </c>
      <c r="DG991" s="5" t="s">
        <v>238</v>
      </c>
      <c r="DH991" s="5" t="s">
        <v>238</v>
      </c>
      <c r="DI991" s="5" t="s">
        <v>238</v>
      </c>
      <c r="DJ991" s="5" t="s">
        <v>238</v>
      </c>
      <c r="DK991" s="5" t="s">
        <v>271</v>
      </c>
      <c r="DL991" s="5" t="s">
        <v>272</v>
      </c>
      <c r="DM991" s="7">
        <f>666.54</f>
        <v>666.54</v>
      </c>
      <c r="DN991" s="5" t="s">
        <v>238</v>
      </c>
      <c r="DO991" s="5" t="s">
        <v>238</v>
      </c>
      <c r="DP991" s="5" t="s">
        <v>238</v>
      </c>
      <c r="DQ991" s="5" t="s">
        <v>238</v>
      </c>
      <c r="DT991" s="5" t="s">
        <v>2170</v>
      </c>
      <c r="DU991" s="5" t="s">
        <v>271</v>
      </c>
      <c r="HM991" s="5" t="s">
        <v>271</v>
      </c>
      <c r="HP991" s="5" t="s">
        <v>272</v>
      </c>
      <c r="HQ991" s="5" t="s">
        <v>272</v>
      </c>
    </row>
    <row r="992" spans="1:238" x14ac:dyDescent="0.4">
      <c r="A992" s="5">
        <v>1306</v>
      </c>
      <c r="B992" s="5">
        <v>1</v>
      </c>
      <c r="C992" s="5">
        <v>5</v>
      </c>
      <c r="D992" s="5" t="s">
        <v>485</v>
      </c>
      <c r="E992" s="5" t="s">
        <v>454</v>
      </c>
      <c r="F992" s="5" t="s">
        <v>282</v>
      </c>
      <c r="G992" s="5" t="s">
        <v>2150</v>
      </c>
      <c r="H992" s="6" t="s">
        <v>486</v>
      </c>
      <c r="I992" s="5" t="s">
        <v>4205</v>
      </c>
      <c r="J992" s="7">
        <f>945.45</f>
        <v>945.45</v>
      </c>
      <c r="K992" s="5" t="s">
        <v>270</v>
      </c>
      <c r="L992" s="8">
        <f>8004186</f>
        <v>8004186</v>
      </c>
      <c r="M992" s="8">
        <f>235417050</f>
        <v>235417050</v>
      </c>
      <c r="N992" s="6" t="s">
        <v>4206</v>
      </c>
      <c r="O992" s="5" t="s">
        <v>286</v>
      </c>
      <c r="P992" s="5" t="s">
        <v>658</v>
      </c>
      <c r="Q992" s="8">
        <f>10829184</f>
        <v>10829184</v>
      </c>
      <c r="R992" s="8">
        <f>227412864</f>
        <v>227412864</v>
      </c>
      <c r="S992" s="5" t="s">
        <v>240</v>
      </c>
      <c r="T992" s="5" t="s">
        <v>237</v>
      </c>
      <c r="W992" s="5" t="s">
        <v>241</v>
      </c>
      <c r="X992" s="5" t="s">
        <v>453</v>
      </c>
      <c r="Y992" s="5" t="s">
        <v>238</v>
      </c>
      <c r="AB992" s="5" t="s">
        <v>238</v>
      </c>
      <c r="AC992" s="6" t="s">
        <v>238</v>
      </c>
      <c r="AD992" s="6" t="s">
        <v>238</v>
      </c>
      <c r="AF992" s="6" t="s">
        <v>238</v>
      </c>
      <c r="AG992" s="6" t="s">
        <v>246</v>
      </c>
      <c r="AH992" s="5" t="s">
        <v>247</v>
      </c>
      <c r="AI992" s="5" t="s">
        <v>248</v>
      </c>
      <c r="AO992" s="5" t="s">
        <v>238</v>
      </c>
      <c r="AP992" s="5" t="s">
        <v>238</v>
      </c>
      <c r="AQ992" s="5" t="s">
        <v>238</v>
      </c>
      <c r="AR992" s="6" t="s">
        <v>238</v>
      </c>
      <c r="AS992" s="6" t="s">
        <v>238</v>
      </c>
      <c r="AT992" s="6" t="s">
        <v>238</v>
      </c>
      <c r="AW992" s="5" t="s">
        <v>304</v>
      </c>
      <c r="AX992" s="5" t="s">
        <v>304</v>
      </c>
      <c r="AY992" s="5" t="s">
        <v>250</v>
      </c>
      <c r="AZ992" s="5" t="s">
        <v>305</v>
      </c>
      <c r="BA992" s="5" t="s">
        <v>251</v>
      </c>
      <c r="BB992" s="5" t="s">
        <v>238</v>
      </c>
      <c r="BC992" s="5" t="s">
        <v>253</v>
      </c>
      <c r="BD992" s="5" t="s">
        <v>238</v>
      </c>
      <c r="BF992" s="5" t="s">
        <v>238</v>
      </c>
      <c r="BH992" s="5" t="s">
        <v>283</v>
      </c>
      <c r="BI992" s="6" t="s">
        <v>293</v>
      </c>
      <c r="BJ992" s="5" t="s">
        <v>294</v>
      </c>
      <c r="BK992" s="5" t="s">
        <v>294</v>
      </c>
      <c r="BL992" s="5" t="s">
        <v>238</v>
      </c>
      <c r="BM992" s="7">
        <f>0</f>
        <v>0</v>
      </c>
      <c r="BN992" s="8">
        <f>-10829184</f>
        <v>-10829184</v>
      </c>
      <c r="BO992" s="5" t="s">
        <v>257</v>
      </c>
      <c r="BP992" s="5" t="s">
        <v>258</v>
      </c>
      <c r="BQ992" s="5" t="s">
        <v>238</v>
      </c>
      <c r="BR992" s="5" t="s">
        <v>238</v>
      </c>
      <c r="BS992" s="5" t="s">
        <v>238</v>
      </c>
      <c r="BT992" s="5" t="s">
        <v>238</v>
      </c>
      <c r="CC992" s="5" t="s">
        <v>258</v>
      </c>
      <c r="CD992" s="5" t="s">
        <v>238</v>
      </c>
      <c r="CE992" s="5" t="s">
        <v>238</v>
      </c>
      <c r="CI992" s="5" t="s">
        <v>259</v>
      </c>
      <c r="CJ992" s="5" t="s">
        <v>260</v>
      </c>
      <c r="CK992" s="5" t="s">
        <v>238</v>
      </c>
      <c r="CM992" s="5" t="s">
        <v>657</v>
      </c>
      <c r="CN992" s="6" t="s">
        <v>262</v>
      </c>
      <c r="CO992" s="5" t="s">
        <v>263</v>
      </c>
      <c r="CP992" s="5" t="s">
        <v>264</v>
      </c>
      <c r="CQ992" s="5" t="s">
        <v>285</v>
      </c>
      <c r="CR992" s="5" t="s">
        <v>238</v>
      </c>
      <c r="CS992" s="5">
        <v>4.5999999999999999E-2</v>
      </c>
      <c r="CT992" s="5" t="s">
        <v>265</v>
      </c>
      <c r="CU992" s="5" t="s">
        <v>2145</v>
      </c>
      <c r="CV992" s="5" t="s">
        <v>267</v>
      </c>
      <c r="CW992" s="7">
        <f>0</f>
        <v>0</v>
      </c>
      <c r="CX992" s="8">
        <f>235417050</f>
        <v>235417050</v>
      </c>
      <c r="CY992" s="8">
        <f>8004186</f>
        <v>8004186</v>
      </c>
      <c r="DA992" s="5" t="s">
        <v>238</v>
      </c>
      <c r="DB992" s="5" t="s">
        <v>238</v>
      </c>
      <c r="DD992" s="5" t="s">
        <v>238</v>
      </c>
      <c r="DE992" s="8">
        <f>0</f>
        <v>0</v>
      </c>
      <c r="DG992" s="5" t="s">
        <v>238</v>
      </c>
      <c r="DH992" s="5" t="s">
        <v>238</v>
      </c>
      <c r="DI992" s="5" t="s">
        <v>238</v>
      </c>
      <c r="DJ992" s="5" t="s">
        <v>238</v>
      </c>
      <c r="DK992" s="5" t="s">
        <v>271</v>
      </c>
      <c r="DL992" s="5" t="s">
        <v>272</v>
      </c>
      <c r="DM992" s="7">
        <f>945.45</f>
        <v>945.45</v>
      </c>
      <c r="DN992" s="5" t="s">
        <v>238</v>
      </c>
      <c r="DO992" s="5" t="s">
        <v>238</v>
      </c>
      <c r="DP992" s="5" t="s">
        <v>238</v>
      </c>
      <c r="DQ992" s="5" t="s">
        <v>238</v>
      </c>
      <c r="DT992" s="5" t="s">
        <v>487</v>
      </c>
      <c r="DU992" s="5" t="s">
        <v>271</v>
      </c>
      <c r="GL992" s="5" t="s">
        <v>4207</v>
      </c>
      <c r="HM992" s="5" t="s">
        <v>313</v>
      </c>
      <c r="HP992" s="5" t="s">
        <v>272</v>
      </c>
      <c r="HQ992" s="5" t="s">
        <v>272</v>
      </c>
      <c r="HR992" s="5" t="s">
        <v>238</v>
      </c>
      <c r="HS992" s="5" t="s">
        <v>238</v>
      </c>
      <c r="HT992" s="5" t="s">
        <v>238</v>
      </c>
      <c r="HU992" s="5" t="s">
        <v>238</v>
      </c>
      <c r="HV992" s="5" t="s">
        <v>238</v>
      </c>
      <c r="HW992" s="5" t="s">
        <v>238</v>
      </c>
      <c r="HX992" s="5" t="s">
        <v>238</v>
      </c>
      <c r="HY992" s="5" t="s">
        <v>238</v>
      </c>
      <c r="HZ992" s="5" t="s">
        <v>238</v>
      </c>
      <c r="IA992" s="5" t="s">
        <v>238</v>
      </c>
      <c r="IB992" s="5" t="s">
        <v>238</v>
      </c>
      <c r="IC992" s="5" t="s">
        <v>238</v>
      </c>
      <c r="ID992" s="5" t="s">
        <v>238</v>
      </c>
    </row>
    <row r="993" spans="1:238" x14ac:dyDescent="0.4">
      <c r="A993" s="5">
        <v>1307</v>
      </c>
      <c r="B993" s="5">
        <v>1</v>
      </c>
      <c r="C993" s="5">
        <v>4</v>
      </c>
      <c r="D993" s="5" t="s">
        <v>485</v>
      </c>
      <c r="E993" s="5" t="s">
        <v>454</v>
      </c>
      <c r="F993" s="5" t="s">
        <v>282</v>
      </c>
      <c r="G993" s="5" t="s">
        <v>349</v>
      </c>
      <c r="H993" s="6" t="s">
        <v>486</v>
      </c>
      <c r="I993" s="5" t="s">
        <v>484</v>
      </c>
      <c r="J993" s="7">
        <f>0</f>
        <v>0</v>
      </c>
      <c r="K993" s="5" t="s">
        <v>270</v>
      </c>
      <c r="L993" s="8">
        <f>21403800</f>
        <v>21403800</v>
      </c>
      <c r="M993" s="8">
        <f>25300000</f>
        <v>25300000</v>
      </c>
      <c r="N993" s="6" t="s">
        <v>406</v>
      </c>
      <c r="O993" s="5" t="s">
        <v>319</v>
      </c>
      <c r="P993" s="5" t="s">
        <v>272</v>
      </c>
      <c r="Q993" s="8">
        <f>25299999</f>
        <v>25299999</v>
      </c>
      <c r="R993" s="8">
        <f>3896200</f>
        <v>3896200</v>
      </c>
      <c r="S993" s="5" t="s">
        <v>240</v>
      </c>
      <c r="T993" s="5" t="s">
        <v>287</v>
      </c>
      <c r="U993" s="5" t="s">
        <v>238</v>
      </c>
      <c r="V993" s="5" t="s">
        <v>238</v>
      </c>
      <c r="W993" s="5" t="s">
        <v>241</v>
      </c>
      <c r="X993" s="5" t="s">
        <v>238</v>
      </c>
      <c r="Y993" s="5" t="s">
        <v>238</v>
      </c>
      <c r="AB993" s="5" t="s">
        <v>238</v>
      </c>
      <c r="AC993" s="6" t="s">
        <v>238</v>
      </c>
      <c r="AD993" s="6" t="s">
        <v>238</v>
      </c>
      <c r="AF993" s="6" t="s">
        <v>238</v>
      </c>
      <c r="AG993" s="6" t="s">
        <v>246</v>
      </c>
      <c r="AH993" s="5" t="s">
        <v>247</v>
      </c>
      <c r="AI993" s="5" t="s">
        <v>248</v>
      </c>
      <c r="AO993" s="5" t="s">
        <v>238</v>
      </c>
      <c r="AP993" s="5" t="s">
        <v>238</v>
      </c>
      <c r="AQ993" s="5" t="s">
        <v>238</v>
      </c>
      <c r="AR993" s="6" t="s">
        <v>238</v>
      </c>
      <c r="AS993" s="6" t="s">
        <v>238</v>
      </c>
      <c r="AT993" s="6" t="s">
        <v>238</v>
      </c>
      <c r="AW993" s="5" t="s">
        <v>304</v>
      </c>
      <c r="AX993" s="5" t="s">
        <v>304</v>
      </c>
      <c r="AY993" s="5" t="s">
        <v>250</v>
      </c>
      <c r="AZ993" s="5" t="s">
        <v>305</v>
      </c>
      <c r="BA993" s="5" t="s">
        <v>251</v>
      </c>
      <c r="BB993" s="5" t="s">
        <v>238</v>
      </c>
      <c r="BC993" s="5" t="s">
        <v>253</v>
      </c>
      <c r="BD993" s="5" t="s">
        <v>238</v>
      </c>
      <c r="BF993" s="5" t="s">
        <v>238</v>
      </c>
      <c r="BH993" s="5" t="s">
        <v>283</v>
      </c>
      <c r="BI993" s="6" t="s">
        <v>293</v>
      </c>
      <c r="BJ993" s="5" t="s">
        <v>294</v>
      </c>
      <c r="BK993" s="5" t="s">
        <v>294</v>
      </c>
      <c r="BL993" s="5" t="s">
        <v>238</v>
      </c>
      <c r="BM993" s="7">
        <f>0</f>
        <v>0</v>
      </c>
      <c r="BN993" s="8">
        <f>-1948100</f>
        <v>-1948100</v>
      </c>
      <c r="BO993" s="5" t="s">
        <v>257</v>
      </c>
      <c r="BP993" s="5" t="s">
        <v>258</v>
      </c>
      <c r="BQ993" s="5" t="s">
        <v>238</v>
      </c>
      <c r="BR993" s="5" t="s">
        <v>238</v>
      </c>
      <c r="BS993" s="5" t="s">
        <v>238</v>
      </c>
      <c r="BT993" s="5" t="s">
        <v>238</v>
      </c>
      <c r="CC993" s="5" t="s">
        <v>258</v>
      </c>
      <c r="CD993" s="5" t="s">
        <v>238</v>
      </c>
      <c r="CE993" s="5" t="s">
        <v>238</v>
      </c>
      <c r="CI993" s="5" t="s">
        <v>259</v>
      </c>
      <c r="CJ993" s="5" t="s">
        <v>260</v>
      </c>
      <c r="CK993" s="5" t="s">
        <v>238</v>
      </c>
      <c r="CM993" s="5" t="s">
        <v>408</v>
      </c>
      <c r="CN993" s="6" t="s">
        <v>262</v>
      </c>
      <c r="CO993" s="5" t="s">
        <v>263</v>
      </c>
      <c r="CP993" s="5" t="s">
        <v>264</v>
      </c>
      <c r="CQ993" s="5" t="s">
        <v>285</v>
      </c>
      <c r="CR993" s="5" t="s">
        <v>238</v>
      </c>
      <c r="CS993" s="5">
        <v>7.6999999999999999E-2</v>
      </c>
      <c r="CT993" s="5" t="s">
        <v>265</v>
      </c>
      <c r="CU993" s="5" t="s">
        <v>351</v>
      </c>
      <c r="CV993" s="5" t="s">
        <v>352</v>
      </c>
      <c r="CW993" s="7">
        <f>0</f>
        <v>0</v>
      </c>
      <c r="CX993" s="8">
        <f>25300000</f>
        <v>25300000</v>
      </c>
      <c r="CY993" s="8">
        <f>23351900</f>
        <v>23351900</v>
      </c>
      <c r="DA993" s="5" t="s">
        <v>238</v>
      </c>
      <c r="DB993" s="5" t="s">
        <v>238</v>
      </c>
      <c r="DD993" s="5" t="s">
        <v>238</v>
      </c>
      <c r="DE993" s="8">
        <f>0</f>
        <v>0</v>
      </c>
      <c r="DG993" s="5" t="s">
        <v>238</v>
      </c>
      <c r="DH993" s="5" t="s">
        <v>238</v>
      </c>
      <c r="DI993" s="5" t="s">
        <v>238</v>
      </c>
      <c r="DJ993" s="5" t="s">
        <v>238</v>
      </c>
      <c r="DK993" s="5" t="s">
        <v>272</v>
      </c>
      <c r="DL993" s="5" t="s">
        <v>272</v>
      </c>
      <c r="DM993" s="8" t="s">
        <v>238</v>
      </c>
      <c r="DN993" s="5" t="s">
        <v>238</v>
      </c>
      <c r="DO993" s="5" t="s">
        <v>238</v>
      </c>
      <c r="DP993" s="5" t="s">
        <v>238</v>
      </c>
      <c r="DQ993" s="5" t="s">
        <v>238</v>
      </c>
      <c r="DT993" s="5" t="s">
        <v>487</v>
      </c>
      <c r="DU993" s="5" t="s">
        <v>274</v>
      </c>
      <c r="GL993" s="5" t="s">
        <v>488</v>
      </c>
      <c r="HM993" s="5" t="s">
        <v>274</v>
      </c>
      <c r="HP993" s="5" t="s">
        <v>272</v>
      </c>
      <c r="HQ993" s="5" t="s">
        <v>272</v>
      </c>
      <c r="HR993" s="5" t="s">
        <v>238</v>
      </c>
      <c r="HS993" s="5" t="s">
        <v>238</v>
      </c>
      <c r="HT993" s="5" t="s">
        <v>238</v>
      </c>
      <c r="HU993" s="5" t="s">
        <v>238</v>
      </c>
      <c r="HV993" s="5" t="s">
        <v>238</v>
      </c>
      <c r="HW993" s="5" t="s">
        <v>238</v>
      </c>
      <c r="HX993" s="5" t="s">
        <v>238</v>
      </c>
      <c r="HY993" s="5" t="s">
        <v>238</v>
      </c>
      <c r="HZ993" s="5" t="s">
        <v>238</v>
      </c>
      <c r="IA993" s="5" t="s">
        <v>238</v>
      </c>
      <c r="IB993" s="5" t="s">
        <v>238</v>
      </c>
      <c r="IC993" s="5" t="s">
        <v>238</v>
      </c>
      <c r="ID993" s="5" t="s">
        <v>238</v>
      </c>
    </row>
    <row r="994" spans="1:238" x14ac:dyDescent="0.4">
      <c r="A994" s="5">
        <v>1311</v>
      </c>
      <c r="B994" s="5">
        <v>1</v>
      </c>
      <c r="C994" s="5">
        <v>7</v>
      </c>
      <c r="D994" s="5" t="s">
        <v>1502</v>
      </c>
      <c r="E994" s="5" t="s">
        <v>1503</v>
      </c>
      <c r="F994" s="5" t="s">
        <v>282</v>
      </c>
      <c r="G994" s="5" t="s">
        <v>1513</v>
      </c>
      <c r="H994" s="6" t="s">
        <v>1506</v>
      </c>
      <c r="I994" s="5" t="s">
        <v>1967</v>
      </c>
      <c r="J994" s="7">
        <f>64.63</f>
        <v>64.63</v>
      </c>
      <c r="K994" s="5" t="s">
        <v>270</v>
      </c>
      <c r="L994" s="8">
        <f>4811881</f>
        <v>4811881</v>
      </c>
      <c r="M994" s="8">
        <f>24550383</f>
        <v>24550383</v>
      </c>
      <c r="N994" s="6" t="s">
        <v>2196</v>
      </c>
      <c r="O994" s="5" t="s">
        <v>268</v>
      </c>
      <c r="P994" s="5" t="s">
        <v>377</v>
      </c>
      <c r="Q994" s="8">
        <f>2231853</f>
        <v>2231853</v>
      </c>
      <c r="R994" s="8">
        <f>19738502</f>
        <v>19738502</v>
      </c>
      <c r="S994" s="5" t="s">
        <v>240</v>
      </c>
      <c r="T994" s="5" t="s">
        <v>237</v>
      </c>
      <c r="U994" s="5" t="s">
        <v>238</v>
      </c>
      <c r="V994" s="5" t="s">
        <v>238</v>
      </c>
      <c r="W994" s="5" t="s">
        <v>241</v>
      </c>
      <c r="X994" s="5" t="s">
        <v>453</v>
      </c>
      <c r="Y994" s="5" t="s">
        <v>238</v>
      </c>
      <c r="AB994" s="5" t="s">
        <v>238</v>
      </c>
      <c r="AC994" s="6" t="s">
        <v>238</v>
      </c>
      <c r="AD994" s="6" t="s">
        <v>238</v>
      </c>
      <c r="AF994" s="6" t="s">
        <v>238</v>
      </c>
      <c r="AG994" s="6" t="s">
        <v>1348</v>
      </c>
      <c r="AH994" s="5" t="s">
        <v>247</v>
      </c>
      <c r="AI994" s="5" t="s">
        <v>248</v>
      </c>
      <c r="AO994" s="5" t="s">
        <v>238</v>
      </c>
      <c r="AP994" s="5" t="s">
        <v>238</v>
      </c>
      <c r="AQ994" s="5" t="s">
        <v>238</v>
      </c>
      <c r="AR994" s="6" t="s">
        <v>238</v>
      </c>
      <c r="AS994" s="6" t="s">
        <v>238</v>
      </c>
      <c r="AT994" s="6" t="s">
        <v>238</v>
      </c>
      <c r="AW994" s="5" t="s">
        <v>304</v>
      </c>
      <c r="AX994" s="5" t="s">
        <v>304</v>
      </c>
      <c r="AY994" s="5" t="s">
        <v>250</v>
      </c>
      <c r="AZ994" s="5" t="s">
        <v>305</v>
      </c>
      <c r="BA994" s="5" t="s">
        <v>251</v>
      </c>
      <c r="BB994" s="5" t="s">
        <v>238</v>
      </c>
      <c r="BC994" s="5" t="s">
        <v>253</v>
      </c>
      <c r="BD994" s="5" t="s">
        <v>238</v>
      </c>
      <c r="BF994" s="5" t="s">
        <v>238</v>
      </c>
      <c r="BH994" s="5" t="s">
        <v>283</v>
      </c>
      <c r="BI994" s="6" t="s">
        <v>293</v>
      </c>
      <c r="BJ994" s="5" t="s">
        <v>294</v>
      </c>
      <c r="BK994" s="5" t="s">
        <v>294</v>
      </c>
      <c r="BL994" s="5" t="s">
        <v>238</v>
      </c>
      <c r="BM994" s="7">
        <f>0</f>
        <v>0</v>
      </c>
      <c r="BN994" s="8">
        <f>-1644875</f>
        <v>-1644875</v>
      </c>
      <c r="BO994" s="5" t="s">
        <v>257</v>
      </c>
      <c r="BP994" s="5" t="s">
        <v>258</v>
      </c>
      <c r="BQ994" s="5" t="s">
        <v>238</v>
      </c>
      <c r="BR994" s="5" t="s">
        <v>238</v>
      </c>
      <c r="BS994" s="5" t="s">
        <v>238</v>
      </c>
      <c r="BT994" s="5" t="s">
        <v>238</v>
      </c>
      <c r="CC994" s="5" t="s">
        <v>258</v>
      </c>
      <c r="CD994" s="5" t="s">
        <v>238</v>
      </c>
      <c r="CE994" s="5" t="s">
        <v>238</v>
      </c>
      <c r="CI994" s="5" t="s">
        <v>259</v>
      </c>
      <c r="CJ994" s="5" t="s">
        <v>260</v>
      </c>
      <c r="CK994" s="5" t="s">
        <v>238</v>
      </c>
      <c r="CM994" s="5" t="s">
        <v>1955</v>
      </c>
      <c r="CN994" s="6" t="s">
        <v>262</v>
      </c>
      <c r="CO994" s="5" t="s">
        <v>263</v>
      </c>
      <c r="CP994" s="5" t="s">
        <v>264</v>
      </c>
      <c r="CQ994" s="5" t="s">
        <v>285</v>
      </c>
      <c r="CR994" s="5" t="s">
        <v>238</v>
      </c>
      <c r="CS994" s="5">
        <v>6.7000000000000004E-2</v>
      </c>
      <c r="CT994" s="5" t="s">
        <v>265</v>
      </c>
      <c r="CU994" s="5" t="s">
        <v>1342</v>
      </c>
      <c r="CV994" s="5" t="s">
        <v>267</v>
      </c>
      <c r="CW994" s="7">
        <f>0</f>
        <v>0</v>
      </c>
      <c r="CX994" s="8">
        <f>33311250</f>
        <v>33311250</v>
      </c>
      <c r="CY994" s="8">
        <f>6456756</f>
        <v>6456756</v>
      </c>
      <c r="DA994" s="5" t="s">
        <v>238</v>
      </c>
      <c r="DB994" s="5" t="s">
        <v>238</v>
      </c>
      <c r="DD994" s="5" t="s">
        <v>238</v>
      </c>
      <c r="DE994" s="8">
        <f>0</f>
        <v>0</v>
      </c>
      <c r="DG994" s="5" t="s">
        <v>238</v>
      </c>
      <c r="DH994" s="5" t="s">
        <v>238</v>
      </c>
      <c r="DI994" s="5" t="s">
        <v>238</v>
      </c>
      <c r="DJ994" s="5" t="s">
        <v>238</v>
      </c>
      <c r="DK994" s="5" t="s">
        <v>271</v>
      </c>
      <c r="DL994" s="5" t="s">
        <v>272</v>
      </c>
      <c r="DM994" s="7">
        <f>64.63</f>
        <v>64.63</v>
      </c>
      <c r="DN994" s="5" t="s">
        <v>238</v>
      </c>
      <c r="DO994" s="5" t="s">
        <v>238</v>
      </c>
      <c r="DP994" s="5" t="s">
        <v>238</v>
      </c>
      <c r="DQ994" s="5" t="s">
        <v>238</v>
      </c>
      <c r="DT994" s="5" t="s">
        <v>1507</v>
      </c>
      <c r="DU994" s="5" t="s">
        <v>274</v>
      </c>
      <c r="GL994" s="5" t="s">
        <v>2197</v>
      </c>
      <c r="HM994" s="5" t="s">
        <v>313</v>
      </c>
      <c r="HP994" s="5" t="s">
        <v>272</v>
      </c>
      <c r="HQ994" s="5" t="s">
        <v>272</v>
      </c>
      <c r="HR994" s="5" t="s">
        <v>238</v>
      </c>
      <c r="HS994" s="5" t="s">
        <v>238</v>
      </c>
      <c r="HT994" s="5" t="s">
        <v>238</v>
      </c>
      <c r="HU994" s="5" t="s">
        <v>238</v>
      </c>
      <c r="HV994" s="5" t="s">
        <v>238</v>
      </c>
      <c r="HW994" s="5" t="s">
        <v>238</v>
      </c>
      <c r="HX994" s="5" t="s">
        <v>238</v>
      </c>
      <c r="HY994" s="5" t="s">
        <v>238</v>
      </c>
      <c r="HZ994" s="5" t="s">
        <v>238</v>
      </c>
      <c r="IA994" s="5" t="s">
        <v>238</v>
      </c>
      <c r="IB994" s="5" t="s">
        <v>238</v>
      </c>
      <c r="IC994" s="5" t="s">
        <v>238</v>
      </c>
      <c r="ID994" s="5" t="s">
        <v>238</v>
      </c>
    </row>
    <row r="995" spans="1:238" x14ac:dyDescent="0.4">
      <c r="A995" s="5">
        <v>1314</v>
      </c>
      <c r="B995" s="5">
        <v>1</v>
      </c>
      <c r="C995" s="5">
        <v>7</v>
      </c>
      <c r="D995" s="5" t="s">
        <v>1502</v>
      </c>
      <c r="E995" s="5" t="s">
        <v>1503</v>
      </c>
      <c r="F995" s="5" t="s">
        <v>282</v>
      </c>
      <c r="G995" s="5" t="s">
        <v>1505</v>
      </c>
      <c r="H995" s="6" t="s">
        <v>1506</v>
      </c>
      <c r="I995" s="5" t="s">
        <v>1501</v>
      </c>
      <c r="J995" s="7">
        <f>0</f>
        <v>0</v>
      </c>
      <c r="K995" s="5" t="s">
        <v>270</v>
      </c>
      <c r="L995" s="8">
        <f>443435</f>
        <v>443435</v>
      </c>
      <c r="M995" s="8">
        <f>575888</f>
        <v>575888</v>
      </c>
      <c r="N995" s="6" t="s">
        <v>1504</v>
      </c>
      <c r="O995" s="5" t="s">
        <v>286</v>
      </c>
      <c r="P995" s="5" t="s">
        <v>356</v>
      </c>
      <c r="Q995" s="8">
        <f>143972</f>
        <v>143972</v>
      </c>
      <c r="R995" s="8">
        <f>132453</f>
        <v>132453</v>
      </c>
      <c r="S995" s="5" t="s">
        <v>240</v>
      </c>
      <c r="T995" s="5" t="s">
        <v>287</v>
      </c>
      <c r="U995" s="5" t="s">
        <v>238</v>
      </c>
      <c r="V995" s="5" t="s">
        <v>238</v>
      </c>
      <c r="W995" s="5" t="s">
        <v>241</v>
      </c>
      <c r="X995" s="5" t="s">
        <v>453</v>
      </c>
      <c r="Y995" s="5" t="s">
        <v>238</v>
      </c>
      <c r="AB995" s="5" t="s">
        <v>238</v>
      </c>
      <c r="AC995" s="6" t="s">
        <v>238</v>
      </c>
      <c r="AD995" s="6" t="s">
        <v>238</v>
      </c>
      <c r="AF995" s="6" t="s">
        <v>238</v>
      </c>
      <c r="AG995" s="6" t="s">
        <v>246</v>
      </c>
      <c r="AH995" s="5" t="s">
        <v>247</v>
      </c>
      <c r="AI995" s="5" t="s">
        <v>248</v>
      </c>
      <c r="AO995" s="5" t="s">
        <v>238</v>
      </c>
      <c r="AP995" s="5" t="s">
        <v>238</v>
      </c>
      <c r="AQ995" s="5" t="s">
        <v>238</v>
      </c>
      <c r="AR995" s="6" t="s">
        <v>238</v>
      </c>
      <c r="AS995" s="6" t="s">
        <v>238</v>
      </c>
      <c r="AT995" s="6" t="s">
        <v>238</v>
      </c>
      <c r="AW995" s="5" t="s">
        <v>304</v>
      </c>
      <c r="AX995" s="5" t="s">
        <v>304</v>
      </c>
      <c r="AY995" s="5" t="s">
        <v>250</v>
      </c>
      <c r="AZ995" s="5" t="s">
        <v>305</v>
      </c>
      <c r="BA995" s="5" t="s">
        <v>251</v>
      </c>
      <c r="BB995" s="5" t="s">
        <v>238</v>
      </c>
      <c r="BC995" s="5" t="s">
        <v>253</v>
      </c>
      <c r="BD995" s="5" t="s">
        <v>238</v>
      </c>
      <c r="BF995" s="5" t="s">
        <v>710</v>
      </c>
      <c r="BH995" s="5" t="s">
        <v>283</v>
      </c>
      <c r="BI995" s="6" t="s">
        <v>293</v>
      </c>
      <c r="BJ995" s="5" t="s">
        <v>294</v>
      </c>
      <c r="BK995" s="5" t="s">
        <v>294</v>
      </c>
      <c r="BL995" s="5" t="s">
        <v>238</v>
      </c>
      <c r="BM995" s="7">
        <f>0</f>
        <v>0</v>
      </c>
      <c r="BN995" s="8">
        <f>-26490</f>
        <v>-26490</v>
      </c>
      <c r="BO995" s="5" t="s">
        <v>257</v>
      </c>
      <c r="BP995" s="5" t="s">
        <v>258</v>
      </c>
      <c r="BQ995" s="5" t="s">
        <v>238</v>
      </c>
      <c r="BR995" s="5" t="s">
        <v>238</v>
      </c>
      <c r="BS995" s="5" t="s">
        <v>238</v>
      </c>
      <c r="BT995" s="5" t="s">
        <v>238</v>
      </c>
      <c r="CC995" s="5" t="s">
        <v>258</v>
      </c>
      <c r="CD995" s="5" t="s">
        <v>238</v>
      </c>
      <c r="CE995" s="5" t="s">
        <v>238</v>
      </c>
      <c r="CI995" s="5" t="s">
        <v>259</v>
      </c>
      <c r="CJ995" s="5" t="s">
        <v>260</v>
      </c>
      <c r="CK995" s="5" t="s">
        <v>238</v>
      </c>
      <c r="CM995" s="5" t="s">
        <v>376</v>
      </c>
      <c r="CN995" s="6" t="s">
        <v>262</v>
      </c>
      <c r="CO995" s="5" t="s">
        <v>263</v>
      </c>
      <c r="CP995" s="5" t="s">
        <v>264</v>
      </c>
      <c r="CQ995" s="5" t="s">
        <v>285</v>
      </c>
      <c r="CR995" s="5" t="s">
        <v>238</v>
      </c>
      <c r="CS995" s="5">
        <v>4.5999999999999999E-2</v>
      </c>
      <c r="CT995" s="5" t="s">
        <v>265</v>
      </c>
      <c r="CU995" s="5" t="s">
        <v>1493</v>
      </c>
      <c r="CV995" s="5" t="s">
        <v>267</v>
      </c>
      <c r="CW995" s="7">
        <f>0</f>
        <v>0</v>
      </c>
      <c r="CX995" s="8">
        <f>3129840</f>
        <v>3129840</v>
      </c>
      <c r="CY995" s="8">
        <f>469925</f>
        <v>469925</v>
      </c>
      <c r="DA995" s="5" t="s">
        <v>238</v>
      </c>
      <c r="DB995" s="5" t="s">
        <v>238</v>
      </c>
      <c r="DD995" s="5" t="s">
        <v>238</v>
      </c>
      <c r="DE995" s="8">
        <f>0</f>
        <v>0</v>
      </c>
      <c r="DG995" s="5" t="s">
        <v>238</v>
      </c>
      <c r="DH995" s="5" t="s">
        <v>238</v>
      </c>
      <c r="DI995" s="5" t="s">
        <v>238</v>
      </c>
      <c r="DJ995" s="5" t="s">
        <v>238</v>
      </c>
      <c r="DK995" s="5" t="s">
        <v>272</v>
      </c>
      <c r="DL995" s="5" t="s">
        <v>272</v>
      </c>
      <c r="DM995" s="8" t="s">
        <v>238</v>
      </c>
      <c r="DN995" s="5" t="s">
        <v>238</v>
      </c>
      <c r="DO995" s="5" t="s">
        <v>238</v>
      </c>
      <c r="DP995" s="5" t="s">
        <v>238</v>
      </c>
      <c r="DQ995" s="5" t="s">
        <v>238</v>
      </c>
      <c r="DT995" s="5" t="s">
        <v>1507</v>
      </c>
      <c r="DU995" s="5" t="s">
        <v>379</v>
      </c>
      <c r="GL995" s="5" t="s">
        <v>1508</v>
      </c>
      <c r="HM995" s="5" t="s">
        <v>379</v>
      </c>
      <c r="HP995" s="5" t="s">
        <v>272</v>
      </c>
      <c r="HQ995" s="5" t="s">
        <v>272</v>
      </c>
      <c r="HR995" s="5" t="s">
        <v>238</v>
      </c>
      <c r="HS995" s="5" t="s">
        <v>238</v>
      </c>
      <c r="HT995" s="5" t="s">
        <v>238</v>
      </c>
      <c r="HU995" s="5" t="s">
        <v>238</v>
      </c>
      <c r="HV995" s="5" t="s">
        <v>238</v>
      </c>
      <c r="HW995" s="5" t="s">
        <v>238</v>
      </c>
      <c r="HX995" s="5" t="s">
        <v>238</v>
      </c>
      <c r="HY995" s="5" t="s">
        <v>238</v>
      </c>
      <c r="HZ995" s="5" t="s">
        <v>238</v>
      </c>
      <c r="IA995" s="5" t="s">
        <v>238</v>
      </c>
      <c r="IB995" s="5" t="s">
        <v>238</v>
      </c>
      <c r="IC995" s="5" t="s">
        <v>238</v>
      </c>
      <c r="ID995" s="5" t="s">
        <v>238</v>
      </c>
    </row>
    <row r="996" spans="1:238" x14ac:dyDescent="0.4">
      <c r="A996" s="5">
        <v>1315</v>
      </c>
      <c r="B996" s="5">
        <v>1</v>
      </c>
      <c r="C996" s="5">
        <v>7</v>
      </c>
      <c r="D996" s="5" t="s">
        <v>1502</v>
      </c>
      <c r="E996" s="5" t="s">
        <v>1503</v>
      </c>
      <c r="F996" s="5" t="s">
        <v>282</v>
      </c>
      <c r="G996" s="5" t="s">
        <v>1513</v>
      </c>
      <c r="H996" s="6" t="s">
        <v>1506</v>
      </c>
      <c r="I996" s="5" t="s">
        <v>1511</v>
      </c>
      <c r="J996" s="7">
        <f>0</f>
        <v>0</v>
      </c>
      <c r="K996" s="5" t="s">
        <v>270</v>
      </c>
      <c r="L996" s="8">
        <f>452992</f>
        <v>452992</v>
      </c>
      <c r="M996" s="8">
        <f>497792</f>
        <v>497792</v>
      </c>
      <c r="N996" s="6" t="s">
        <v>1512</v>
      </c>
      <c r="O996" s="5" t="s">
        <v>755</v>
      </c>
      <c r="P996" s="5" t="s">
        <v>271</v>
      </c>
      <c r="Q996" s="8">
        <f>248896</f>
        <v>248896</v>
      </c>
      <c r="R996" s="8">
        <f>44800</f>
        <v>44800</v>
      </c>
      <c r="S996" s="5" t="s">
        <v>240</v>
      </c>
      <c r="T996" s="5" t="s">
        <v>287</v>
      </c>
      <c r="U996" s="5" t="s">
        <v>238</v>
      </c>
      <c r="V996" s="5" t="s">
        <v>238</v>
      </c>
      <c r="W996" s="5" t="s">
        <v>241</v>
      </c>
      <c r="X996" s="5" t="s">
        <v>453</v>
      </c>
      <c r="Y996" s="5" t="s">
        <v>238</v>
      </c>
      <c r="AB996" s="5" t="s">
        <v>238</v>
      </c>
      <c r="AC996" s="6" t="s">
        <v>238</v>
      </c>
      <c r="AD996" s="6" t="s">
        <v>238</v>
      </c>
      <c r="AF996" s="6" t="s">
        <v>238</v>
      </c>
      <c r="AG996" s="6" t="s">
        <v>246</v>
      </c>
      <c r="AH996" s="5" t="s">
        <v>247</v>
      </c>
      <c r="AI996" s="5" t="s">
        <v>248</v>
      </c>
      <c r="AO996" s="5" t="s">
        <v>238</v>
      </c>
      <c r="AP996" s="5" t="s">
        <v>238</v>
      </c>
      <c r="AQ996" s="5" t="s">
        <v>238</v>
      </c>
      <c r="AR996" s="6" t="s">
        <v>238</v>
      </c>
      <c r="AS996" s="6" t="s">
        <v>238</v>
      </c>
      <c r="AT996" s="6" t="s">
        <v>238</v>
      </c>
      <c r="AW996" s="5" t="s">
        <v>304</v>
      </c>
      <c r="AX996" s="5" t="s">
        <v>304</v>
      </c>
      <c r="AY996" s="5" t="s">
        <v>250</v>
      </c>
      <c r="AZ996" s="5" t="s">
        <v>305</v>
      </c>
      <c r="BA996" s="5" t="s">
        <v>251</v>
      </c>
      <c r="BB996" s="5" t="s">
        <v>238</v>
      </c>
      <c r="BC996" s="5" t="s">
        <v>253</v>
      </c>
      <c r="BD996" s="5" t="s">
        <v>238</v>
      </c>
      <c r="BF996" s="5" t="s">
        <v>238</v>
      </c>
      <c r="BH996" s="5" t="s">
        <v>283</v>
      </c>
      <c r="BI996" s="6" t="s">
        <v>293</v>
      </c>
      <c r="BJ996" s="5" t="s">
        <v>294</v>
      </c>
      <c r="BK996" s="5" t="s">
        <v>294</v>
      </c>
      <c r="BL996" s="5" t="s">
        <v>238</v>
      </c>
      <c r="BM996" s="7">
        <f>0</f>
        <v>0</v>
      </c>
      <c r="BN996" s="8">
        <f>-14933</f>
        <v>-14933</v>
      </c>
      <c r="BO996" s="5" t="s">
        <v>257</v>
      </c>
      <c r="BP996" s="5" t="s">
        <v>258</v>
      </c>
      <c r="BQ996" s="5" t="s">
        <v>238</v>
      </c>
      <c r="BR996" s="5" t="s">
        <v>238</v>
      </c>
      <c r="BS996" s="5" t="s">
        <v>238</v>
      </c>
      <c r="BT996" s="5" t="s">
        <v>238</v>
      </c>
      <c r="CC996" s="5" t="s">
        <v>258</v>
      </c>
      <c r="CD996" s="5" t="s">
        <v>238</v>
      </c>
      <c r="CE996" s="5" t="s">
        <v>238</v>
      </c>
      <c r="CI996" s="5" t="s">
        <v>259</v>
      </c>
      <c r="CJ996" s="5" t="s">
        <v>260</v>
      </c>
      <c r="CK996" s="5" t="s">
        <v>238</v>
      </c>
      <c r="CM996" s="5" t="s">
        <v>291</v>
      </c>
      <c r="CN996" s="6" t="s">
        <v>262</v>
      </c>
      <c r="CO996" s="5" t="s">
        <v>263</v>
      </c>
      <c r="CP996" s="5" t="s">
        <v>264</v>
      </c>
      <c r="CQ996" s="5" t="s">
        <v>285</v>
      </c>
      <c r="CR996" s="5" t="s">
        <v>238</v>
      </c>
      <c r="CS996" s="5">
        <v>0.03</v>
      </c>
      <c r="CT996" s="5" t="s">
        <v>265</v>
      </c>
      <c r="CU996" s="5" t="s">
        <v>1493</v>
      </c>
      <c r="CV996" s="5" t="s">
        <v>649</v>
      </c>
      <c r="CW996" s="7">
        <f>0</f>
        <v>0</v>
      </c>
      <c r="CX996" s="8">
        <f>8296560</f>
        <v>8296560</v>
      </c>
      <c r="CY996" s="8">
        <f>467925</f>
        <v>467925</v>
      </c>
      <c r="DA996" s="5" t="s">
        <v>238</v>
      </c>
      <c r="DB996" s="5" t="s">
        <v>238</v>
      </c>
      <c r="DD996" s="5" t="s">
        <v>238</v>
      </c>
      <c r="DE996" s="8">
        <f>0</f>
        <v>0</v>
      </c>
      <c r="DG996" s="5" t="s">
        <v>238</v>
      </c>
      <c r="DH996" s="5" t="s">
        <v>238</v>
      </c>
      <c r="DI996" s="5" t="s">
        <v>238</v>
      </c>
      <c r="DJ996" s="5" t="s">
        <v>238</v>
      </c>
      <c r="DK996" s="5" t="s">
        <v>272</v>
      </c>
      <c r="DL996" s="5" t="s">
        <v>272</v>
      </c>
      <c r="DM996" s="8" t="s">
        <v>238</v>
      </c>
      <c r="DN996" s="5" t="s">
        <v>238</v>
      </c>
      <c r="DO996" s="5" t="s">
        <v>238</v>
      </c>
      <c r="DP996" s="5" t="s">
        <v>238</v>
      </c>
      <c r="DQ996" s="5" t="s">
        <v>238</v>
      </c>
      <c r="DT996" s="5" t="s">
        <v>1507</v>
      </c>
      <c r="DU996" s="5" t="s">
        <v>313</v>
      </c>
      <c r="GL996" s="5" t="s">
        <v>1514</v>
      </c>
      <c r="HM996" s="5" t="s">
        <v>356</v>
      </c>
      <c r="HP996" s="5" t="s">
        <v>272</v>
      </c>
      <c r="HQ996" s="5" t="s">
        <v>272</v>
      </c>
      <c r="HR996" s="5" t="s">
        <v>238</v>
      </c>
      <c r="HS996" s="5" t="s">
        <v>238</v>
      </c>
      <c r="HT996" s="5" t="s">
        <v>238</v>
      </c>
      <c r="HU996" s="5" t="s">
        <v>238</v>
      </c>
      <c r="HV996" s="5" t="s">
        <v>238</v>
      </c>
      <c r="HW996" s="5" t="s">
        <v>238</v>
      </c>
      <c r="HX996" s="5" t="s">
        <v>238</v>
      </c>
      <c r="HY996" s="5" t="s">
        <v>238</v>
      </c>
      <c r="HZ996" s="5" t="s">
        <v>238</v>
      </c>
      <c r="IA996" s="5" t="s">
        <v>238</v>
      </c>
      <c r="IB996" s="5" t="s">
        <v>238</v>
      </c>
      <c r="IC996" s="5" t="s">
        <v>238</v>
      </c>
      <c r="ID996" s="5" t="s">
        <v>238</v>
      </c>
    </row>
    <row r="997" spans="1:238" x14ac:dyDescent="0.4">
      <c r="A997" s="5">
        <v>1320</v>
      </c>
      <c r="B997" s="5">
        <v>1</v>
      </c>
      <c r="C997" s="5">
        <v>4</v>
      </c>
      <c r="D997" s="5" t="s">
        <v>1236</v>
      </c>
      <c r="E997" s="5" t="s">
        <v>491</v>
      </c>
      <c r="F997" s="5" t="s">
        <v>282</v>
      </c>
      <c r="G997" s="5" t="s">
        <v>2047</v>
      </c>
      <c r="H997" s="6" t="s">
        <v>1239</v>
      </c>
      <c r="I997" s="5" t="s">
        <v>1978</v>
      </c>
      <c r="J997" s="7">
        <f>1085.83</f>
        <v>1085.83</v>
      </c>
      <c r="K997" s="5" t="s">
        <v>270</v>
      </c>
      <c r="L997" s="8">
        <f>112985280</f>
        <v>112985280</v>
      </c>
      <c r="M997" s="8">
        <f>313848000</f>
        <v>313848000</v>
      </c>
      <c r="N997" s="6" t="s">
        <v>2046</v>
      </c>
      <c r="O997" s="5" t="s">
        <v>279</v>
      </c>
      <c r="P997" s="5" t="s">
        <v>332</v>
      </c>
      <c r="Q997" s="8">
        <f>6276960</f>
        <v>6276960</v>
      </c>
      <c r="R997" s="8">
        <f>200862720</f>
        <v>200862720</v>
      </c>
      <c r="S997" s="5" t="s">
        <v>240</v>
      </c>
      <c r="T997" s="5" t="s">
        <v>237</v>
      </c>
      <c r="U997" s="5" t="s">
        <v>238</v>
      </c>
      <c r="V997" s="5" t="s">
        <v>238</v>
      </c>
      <c r="W997" s="5" t="s">
        <v>241</v>
      </c>
      <c r="X997" s="5" t="s">
        <v>453</v>
      </c>
      <c r="Y997" s="5" t="s">
        <v>238</v>
      </c>
      <c r="AB997" s="5" t="s">
        <v>238</v>
      </c>
      <c r="AC997" s="6" t="s">
        <v>238</v>
      </c>
      <c r="AD997" s="6" t="s">
        <v>238</v>
      </c>
      <c r="AF997" s="6" t="s">
        <v>238</v>
      </c>
      <c r="AG997" s="6" t="s">
        <v>246</v>
      </c>
      <c r="AH997" s="5" t="s">
        <v>247</v>
      </c>
      <c r="AI997" s="5" t="s">
        <v>248</v>
      </c>
      <c r="AO997" s="5" t="s">
        <v>238</v>
      </c>
      <c r="AP997" s="5" t="s">
        <v>238</v>
      </c>
      <c r="AQ997" s="5" t="s">
        <v>238</v>
      </c>
      <c r="AR997" s="6" t="s">
        <v>238</v>
      </c>
      <c r="AS997" s="6" t="s">
        <v>238</v>
      </c>
      <c r="AT997" s="6" t="s">
        <v>238</v>
      </c>
      <c r="AW997" s="5" t="s">
        <v>304</v>
      </c>
      <c r="AX997" s="5" t="s">
        <v>304</v>
      </c>
      <c r="AY997" s="5" t="s">
        <v>250</v>
      </c>
      <c r="AZ997" s="5" t="s">
        <v>305</v>
      </c>
      <c r="BA997" s="5" t="s">
        <v>251</v>
      </c>
      <c r="BB997" s="5" t="s">
        <v>238</v>
      </c>
      <c r="BC997" s="5" t="s">
        <v>253</v>
      </c>
      <c r="BD997" s="5" t="s">
        <v>238</v>
      </c>
      <c r="BF997" s="5" t="s">
        <v>710</v>
      </c>
      <c r="BH997" s="5" t="s">
        <v>283</v>
      </c>
      <c r="BI997" s="6" t="s">
        <v>293</v>
      </c>
      <c r="BJ997" s="5" t="s">
        <v>294</v>
      </c>
      <c r="BK997" s="5" t="s">
        <v>294</v>
      </c>
      <c r="BL997" s="5" t="s">
        <v>238</v>
      </c>
      <c r="BM997" s="7">
        <f>0</f>
        <v>0</v>
      </c>
      <c r="BN997" s="8">
        <f>-6276960</f>
        <v>-6276960</v>
      </c>
      <c r="BO997" s="5" t="s">
        <v>257</v>
      </c>
      <c r="BP997" s="5" t="s">
        <v>258</v>
      </c>
      <c r="BQ997" s="5" t="s">
        <v>238</v>
      </c>
      <c r="BR997" s="5" t="s">
        <v>238</v>
      </c>
      <c r="BS997" s="5" t="s">
        <v>238</v>
      </c>
      <c r="BT997" s="5" t="s">
        <v>238</v>
      </c>
      <c r="CC997" s="5" t="s">
        <v>258</v>
      </c>
      <c r="CD997" s="5" t="s">
        <v>238</v>
      </c>
      <c r="CE997" s="5" t="s">
        <v>238</v>
      </c>
      <c r="CI997" s="5" t="s">
        <v>259</v>
      </c>
      <c r="CJ997" s="5" t="s">
        <v>260</v>
      </c>
      <c r="CK997" s="5" t="s">
        <v>238</v>
      </c>
      <c r="CM997" s="5" t="s">
        <v>342</v>
      </c>
      <c r="CN997" s="6" t="s">
        <v>262</v>
      </c>
      <c r="CO997" s="5" t="s">
        <v>263</v>
      </c>
      <c r="CP997" s="5" t="s">
        <v>264</v>
      </c>
      <c r="CQ997" s="5" t="s">
        <v>285</v>
      </c>
      <c r="CR997" s="5" t="s">
        <v>238</v>
      </c>
      <c r="CS997" s="5">
        <v>0.02</v>
      </c>
      <c r="CT997" s="5" t="s">
        <v>265</v>
      </c>
      <c r="CU997" s="5" t="s">
        <v>1333</v>
      </c>
      <c r="CV997" s="5" t="s">
        <v>308</v>
      </c>
      <c r="CW997" s="7">
        <f>0</f>
        <v>0</v>
      </c>
      <c r="CX997" s="8">
        <f>313848000</f>
        <v>313848000</v>
      </c>
      <c r="CY997" s="8">
        <f>119262240</f>
        <v>119262240</v>
      </c>
      <c r="DA997" s="5" t="s">
        <v>238</v>
      </c>
      <c r="DB997" s="5" t="s">
        <v>238</v>
      </c>
      <c r="DD997" s="5" t="s">
        <v>238</v>
      </c>
      <c r="DE997" s="8">
        <f>0</f>
        <v>0</v>
      </c>
      <c r="DG997" s="5" t="s">
        <v>238</v>
      </c>
      <c r="DH997" s="5" t="s">
        <v>238</v>
      </c>
      <c r="DI997" s="5" t="s">
        <v>238</v>
      </c>
      <c r="DJ997" s="5" t="s">
        <v>238</v>
      </c>
      <c r="DK997" s="5" t="s">
        <v>271</v>
      </c>
      <c r="DL997" s="5" t="s">
        <v>272</v>
      </c>
      <c r="DM997" s="7">
        <f>1085.83</f>
        <v>1085.83</v>
      </c>
      <c r="DN997" s="5" t="s">
        <v>238</v>
      </c>
      <c r="DO997" s="5" t="s">
        <v>238</v>
      </c>
      <c r="DP997" s="5" t="s">
        <v>238</v>
      </c>
      <c r="DQ997" s="5" t="s">
        <v>238</v>
      </c>
      <c r="DT997" s="5" t="s">
        <v>1240</v>
      </c>
      <c r="DU997" s="5" t="s">
        <v>271</v>
      </c>
      <c r="GL997" s="5" t="s">
        <v>2048</v>
      </c>
      <c r="HM997" s="5" t="s">
        <v>389</v>
      </c>
      <c r="HP997" s="5" t="s">
        <v>272</v>
      </c>
      <c r="HQ997" s="5" t="s">
        <v>272</v>
      </c>
      <c r="HR997" s="5" t="s">
        <v>238</v>
      </c>
      <c r="HS997" s="5" t="s">
        <v>238</v>
      </c>
      <c r="HT997" s="5" t="s">
        <v>238</v>
      </c>
      <c r="HU997" s="5" t="s">
        <v>238</v>
      </c>
      <c r="HV997" s="5" t="s">
        <v>238</v>
      </c>
      <c r="HW997" s="5" t="s">
        <v>238</v>
      </c>
      <c r="HX997" s="5" t="s">
        <v>238</v>
      </c>
      <c r="HY997" s="5" t="s">
        <v>238</v>
      </c>
      <c r="HZ997" s="5" t="s">
        <v>238</v>
      </c>
      <c r="IA997" s="5" t="s">
        <v>238</v>
      </c>
      <c r="IB997" s="5" t="s">
        <v>238</v>
      </c>
      <c r="IC997" s="5" t="s">
        <v>238</v>
      </c>
      <c r="ID997" s="5" t="s">
        <v>238</v>
      </c>
    </row>
    <row r="998" spans="1:238" x14ac:dyDescent="0.4">
      <c r="A998" s="5">
        <v>1321</v>
      </c>
      <c r="B998" s="5">
        <v>1</v>
      </c>
      <c r="C998" s="5">
        <v>4</v>
      </c>
      <c r="D998" s="5" t="s">
        <v>1236</v>
      </c>
      <c r="E998" s="5" t="s">
        <v>491</v>
      </c>
      <c r="F998" s="5" t="s">
        <v>282</v>
      </c>
      <c r="G998" s="5" t="s">
        <v>1185</v>
      </c>
      <c r="H998" s="6" t="s">
        <v>1239</v>
      </c>
      <c r="I998" s="5" t="s">
        <v>1181</v>
      </c>
      <c r="J998" s="7">
        <f>195.2</f>
        <v>195.2</v>
      </c>
      <c r="K998" s="5" t="s">
        <v>270</v>
      </c>
      <c r="L998" s="8">
        <f>1</f>
        <v>1</v>
      </c>
      <c r="M998" s="8">
        <f>18739200</f>
        <v>18739200</v>
      </c>
      <c r="N998" s="6" t="s">
        <v>1107</v>
      </c>
      <c r="O998" s="5" t="s">
        <v>650</v>
      </c>
      <c r="P998" s="5" t="s">
        <v>690</v>
      </c>
      <c r="Q998" s="8">
        <f>618393</f>
        <v>618393</v>
      </c>
      <c r="R998" s="8">
        <f>18739199</f>
        <v>18739199</v>
      </c>
      <c r="S998" s="5" t="s">
        <v>240</v>
      </c>
      <c r="T998" s="5" t="s">
        <v>237</v>
      </c>
      <c r="U998" s="5" t="s">
        <v>238</v>
      </c>
      <c r="V998" s="5" t="s">
        <v>238</v>
      </c>
      <c r="W998" s="5" t="s">
        <v>241</v>
      </c>
      <c r="X998" s="5" t="s">
        <v>453</v>
      </c>
      <c r="Y998" s="5" t="s">
        <v>238</v>
      </c>
      <c r="AB998" s="5" t="s">
        <v>238</v>
      </c>
      <c r="AC998" s="6" t="s">
        <v>238</v>
      </c>
      <c r="AD998" s="6" t="s">
        <v>238</v>
      </c>
      <c r="AF998" s="6" t="s">
        <v>238</v>
      </c>
      <c r="AG998" s="6" t="s">
        <v>246</v>
      </c>
      <c r="AH998" s="5" t="s">
        <v>247</v>
      </c>
      <c r="AI998" s="5" t="s">
        <v>248</v>
      </c>
      <c r="AO998" s="5" t="s">
        <v>238</v>
      </c>
      <c r="AP998" s="5" t="s">
        <v>238</v>
      </c>
      <c r="AQ998" s="5" t="s">
        <v>238</v>
      </c>
      <c r="AR998" s="6" t="s">
        <v>238</v>
      </c>
      <c r="AS998" s="6" t="s">
        <v>238</v>
      </c>
      <c r="AT998" s="6" t="s">
        <v>238</v>
      </c>
      <c r="AW998" s="5" t="s">
        <v>304</v>
      </c>
      <c r="AX998" s="5" t="s">
        <v>304</v>
      </c>
      <c r="AY998" s="5" t="s">
        <v>250</v>
      </c>
      <c r="AZ998" s="5" t="s">
        <v>305</v>
      </c>
      <c r="BA998" s="5" t="s">
        <v>251</v>
      </c>
      <c r="BB998" s="5" t="s">
        <v>238</v>
      </c>
      <c r="BC998" s="5" t="s">
        <v>253</v>
      </c>
      <c r="BD998" s="5" t="s">
        <v>238</v>
      </c>
      <c r="BF998" s="5" t="s">
        <v>238</v>
      </c>
      <c r="BH998" s="5" t="s">
        <v>283</v>
      </c>
      <c r="BI998" s="6" t="s">
        <v>293</v>
      </c>
      <c r="BJ998" s="5" t="s">
        <v>294</v>
      </c>
      <c r="BK998" s="5" t="s">
        <v>294</v>
      </c>
      <c r="BL998" s="5" t="s">
        <v>238</v>
      </c>
      <c r="BM998" s="7">
        <f>0</f>
        <v>0</v>
      </c>
      <c r="BN998" s="8">
        <f>-187409</f>
        <v>-187409</v>
      </c>
      <c r="BO998" s="5" t="s">
        <v>257</v>
      </c>
      <c r="BP998" s="5" t="s">
        <v>258</v>
      </c>
      <c r="BQ998" s="5" t="s">
        <v>238</v>
      </c>
      <c r="BR998" s="5" t="s">
        <v>238</v>
      </c>
      <c r="BS998" s="5" t="s">
        <v>238</v>
      </c>
      <c r="BT998" s="5" t="s">
        <v>238</v>
      </c>
      <c r="CC998" s="5" t="s">
        <v>258</v>
      </c>
      <c r="CD998" s="5" t="s">
        <v>238</v>
      </c>
      <c r="CE998" s="5" t="s">
        <v>238</v>
      </c>
      <c r="CI998" s="5" t="s">
        <v>259</v>
      </c>
      <c r="CJ998" s="5" t="s">
        <v>260</v>
      </c>
      <c r="CK998" s="5" t="s">
        <v>238</v>
      </c>
      <c r="CM998" s="5" t="s">
        <v>768</v>
      </c>
      <c r="CN998" s="6" t="s">
        <v>262</v>
      </c>
      <c r="CO998" s="5" t="s">
        <v>263</v>
      </c>
      <c r="CP998" s="5" t="s">
        <v>264</v>
      </c>
      <c r="CQ998" s="5" t="s">
        <v>285</v>
      </c>
      <c r="CR998" s="5" t="s">
        <v>238</v>
      </c>
      <c r="CS998" s="5">
        <v>3.3000000000000002E-2</v>
      </c>
      <c r="CT998" s="5" t="s">
        <v>265</v>
      </c>
      <c r="CU998" s="5" t="s">
        <v>1187</v>
      </c>
      <c r="CV998" s="5" t="s">
        <v>649</v>
      </c>
      <c r="CW998" s="7">
        <f>0</f>
        <v>0</v>
      </c>
      <c r="CX998" s="8">
        <f>18739200</f>
        <v>18739200</v>
      </c>
      <c r="CY998" s="8">
        <f>187410</f>
        <v>187410</v>
      </c>
      <c r="DA998" s="5" t="s">
        <v>238</v>
      </c>
      <c r="DB998" s="5" t="s">
        <v>238</v>
      </c>
      <c r="DD998" s="5" t="s">
        <v>238</v>
      </c>
      <c r="DE998" s="8">
        <f>0</f>
        <v>0</v>
      </c>
      <c r="DG998" s="5" t="s">
        <v>238</v>
      </c>
      <c r="DH998" s="5" t="s">
        <v>238</v>
      </c>
      <c r="DI998" s="5" t="s">
        <v>238</v>
      </c>
      <c r="DJ998" s="5" t="s">
        <v>238</v>
      </c>
      <c r="DK998" s="5" t="s">
        <v>271</v>
      </c>
      <c r="DL998" s="5" t="s">
        <v>272</v>
      </c>
      <c r="DM998" s="7">
        <f>195.2</f>
        <v>195.2</v>
      </c>
      <c r="DN998" s="5" t="s">
        <v>238</v>
      </c>
      <c r="DO998" s="5" t="s">
        <v>238</v>
      </c>
      <c r="DP998" s="5" t="s">
        <v>238</v>
      </c>
      <c r="DQ998" s="5" t="s">
        <v>238</v>
      </c>
      <c r="DT998" s="5" t="s">
        <v>1240</v>
      </c>
      <c r="DU998" s="5" t="s">
        <v>274</v>
      </c>
      <c r="GL998" s="5" t="s">
        <v>1242</v>
      </c>
      <c r="HM998" s="5" t="s">
        <v>313</v>
      </c>
      <c r="HP998" s="5" t="s">
        <v>272</v>
      </c>
      <c r="HQ998" s="5" t="s">
        <v>272</v>
      </c>
      <c r="HR998" s="5" t="s">
        <v>238</v>
      </c>
      <c r="HS998" s="5" t="s">
        <v>238</v>
      </c>
      <c r="HT998" s="5" t="s">
        <v>238</v>
      </c>
      <c r="HU998" s="5" t="s">
        <v>238</v>
      </c>
      <c r="HV998" s="5" t="s">
        <v>238</v>
      </c>
      <c r="HW998" s="5" t="s">
        <v>238</v>
      </c>
      <c r="HX998" s="5" t="s">
        <v>238</v>
      </c>
      <c r="HY998" s="5" t="s">
        <v>238</v>
      </c>
      <c r="HZ998" s="5" t="s">
        <v>238</v>
      </c>
      <c r="IA998" s="5" t="s">
        <v>238</v>
      </c>
      <c r="IB998" s="5" t="s">
        <v>238</v>
      </c>
      <c r="IC998" s="5" t="s">
        <v>238</v>
      </c>
      <c r="ID998" s="5" t="s">
        <v>238</v>
      </c>
    </row>
    <row r="999" spans="1:238" x14ac:dyDescent="0.4">
      <c r="A999" s="5">
        <v>1322</v>
      </c>
      <c r="B999" s="5">
        <v>1</v>
      </c>
      <c r="C999" s="5">
        <v>4</v>
      </c>
      <c r="D999" s="5" t="s">
        <v>1236</v>
      </c>
      <c r="E999" s="5" t="s">
        <v>491</v>
      </c>
      <c r="F999" s="5" t="s">
        <v>282</v>
      </c>
      <c r="G999" s="5" t="s">
        <v>2027</v>
      </c>
      <c r="H999" s="6" t="s">
        <v>1239</v>
      </c>
      <c r="I999" s="5" t="s">
        <v>2025</v>
      </c>
      <c r="J999" s="7">
        <f>120.04</f>
        <v>120.04</v>
      </c>
      <c r="K999" s="5" t="s">
        <v>270</v>
      </c>
      <c r="L999" s="8">
        <f>4677963</f>
        <v>4677963</v>
      </c>
      <c r="M999" s="8">
        <f>10803600</f>
        <v>10803600</v>
      </c>
      <c r="N999" s="6" t="s">
        <v>2026</v>
      </c>
      <c r="O999" s="5" t="s">
        <v>639</v>
      </c>
      <c r="P999" s="5" t="s">
        <v>658</v>
      </c>
      <c r="Q999" s="8">
        <f>291697</f>
        <v>291697</v>
      </c>
      <c r="R999" s="8">
        <f>6125637</f>
        <v>6125637</v>
      </c>
      <c r="S999" s="5" t="s">
        <v>240</v>
      </c>
      <c r="T999" s="5" t="s">
        <v>237</v>
      </c>
      <c r="U999" s="5" t="s">
        <v>238</v>
      </c>
      <c r="V999" s="5" t="s">
        <v>238</v>
      </c>
      <c r="W999" s="5" t="s">
        <v>241</v>
      </c>
      <c r="X999" s="5" t="s">
        <v>453</v>
      </c>
      <c r="Y999" s="5" t="s">
        <v>238</v>
      </c>
      <c r="AB999" s="5" t="s">
        <v>238</v>
      </c>
      <c r="AC999" s="6" t="s">
        <v>238</v>
      </c>
      <c r="AD999" s="6" t="s">
        <v>238</v>
      </c>
      <c r="AF999" s="6" t="s">
        <v>238</v>
      </c>
      <c r="AG999" s="6" t="s">
        <v>246</v>
      </c>
      <c r="AH999" s="5" t="s">
        <v>247</v>
      </c>
      <c r="AI999" s="5" t="s">
        <v>248</v>
      </c>
      <c r="AO999" s="5" t="s">
        <v>238</v>
      </c>
      <c r="AP999" s="5" t="s">
        <v>238</v>
      </c>
      <c r="AQ999" s="5" t="s">
        <v>238</v>
      </c>
      <c r="AR999" s="6" t="s">
        <v>238</v>
      </c>
      <c r="AS999" s="6" t="s">
        <v>238</v>
      </c>
      <c r="AT999" s="6" t="s">
        <v>238</v>
      </c>
      <c r="AW999" s="5" t="s">
        <v>304</v>
      </c>
      <c r="AX999" s="5" t="s">
        <v>304</v>
      </c>
      <c r="AY999" s="5" t="s">
        <v>250</v>
      </c>
      <c r="AZ999" s="5" t="s">
        <v>305</v>
      </c>
      <c r="BA999" s="5" t="s">
        <v>251</v>
      </c>
      <c r="BB999" s="5" t="s">
        <v>238</v>
      </c>
      <c r="BC999" s="5" t="s">
        <v>253</v>
      </c>
      <c r="BD999" s="5" t="s">
        <v>238</v>
      </c>
      <c r="BF999" s="5" t="s">
        <v>238</v>
      </c>
      <c r="BH999" s="5" t="s">
        <v>283</v>
      </c>
      <c r="BI999" s="6" t="s">
        <v>293</v>
      </c>
      <c r="BJ999" s="5" t="s">
        <v>294</v>
      </c>
      <c r="BK999" s="5" t="s">
        <v>294</v>
      </c>
      <c r="BL999" s="5" t="s">
        <v>238</v>
      </c>
      <c r="BM999" s="7">
        <f>0</f>
        <v>0</v>
      </c>
      <c r="BN999" s="8">
        <f>-291697</f>
        <v>-291697</v>
      </c>
      <c r="BO999" s="5" t="s">
        <v>257</v>
      </c>
      <c r="BP999" s="5" t="s">
        <v>258</v>
      </c>
      <c r="BQ999" s="5" t="s">
        <v>238</v>
      </c>
      <c r="BR999" s="5" t="s">
        <v>238</v>
      </c>
      <c r="BS999" s="5" t="s">
        <v>238</v>
      </c>
      <c r="BT999" s="5" t="s">
        <v>238</v>
      </c>
      <c r="CC999" s="5" t="s">
        <v>258</v>
      </c>
      <c r="CD999" s="5" t="s">
        <v>238</v>
      </c>
      <c r="CE999" s="5" t="s">
        <v>238</v>
      </c>
      <c r="CI999" s="5" t="s">
        <v>527</v>
      </c>
      <c r="CJ999" s="5" t="s">
        <v>260</v>
      </c>
      <c r="CK999" s="5" t="s">
        <v>238</v>
      </c>
      <c r="CM999" s="5" t="s">
        <v>657</v>
      </c>
      <c r="CN999" s="6" t="s">
        <v>262</v>
      </c>
      <c r="CO999" s="5" t="s">
        <v>263</v>
      </c>
      <c r="CP999" s="5" t="s">
        <v>264</v>
      </c>
      <c r="CQ999" s="5" t="s">
        <v>285</v>
      </c>
      <c r="CR999" s="5" t="s">
        <v>238</v>
      </c>
      <c r="CS999" s="5">
        <v>2.7E-2</v>
      </c>
      <c r="CT999" s="5" t="s">
        <v>265</v>
      </c>
      <c r="CU999" s="5" t="s">
        <v>1333</v>
      </c>
      <c r="CV999" s="5" t="s">
        <v>649</v>
      </c>
      <c r="CW999" s="7">
        <f>0</f>
        <v>0</v>
      </c>
      <c r="CX999" s="8">
        <f>10803600</f>
        <v>10803600</v>
      </c>
      <c r="CY999" s="8">
        <f>4969660</f>
        <v>4969660</v>
      </c>
      <c r="DA999" s="5" t="s">
        <v>238</v>
      </c>
      <c r="DB999" s="5" t="s">
        <v>238</v>
      </c>
      <c r="DD999" s="5" t="s">
        <v>238</v>
      </c>
      <c r="DE999" s="8">
        <f>0</f>
        <v>0</v>
      </c>
      <c r="DG999" s="5" t="s">
        <v>238</v>
      </c>
      <c r="DH999" s="5" t="s">
        <v>238</v>
      </c>
      <c r="DI999" s="5" t="s">
        <v>238</v>
      </c>
      <c r="DJ999" s="5" t="s">
        <v>238</v>
      </c>
      <c r="DK999" s="5" t="s">
        <v>272</v>
      </c>
      <c r="DL999" s="5" t="s">
        <v>272</v>
      </c>
      <c r="DM999" s="7">
        <f>120.04</f>
        <v>120.04</v>
      </c>
      <c r="DN999" s="5" t="s">
        <v>238</v>
      </c>
      <c r="DO999" s="5" t="s">
        <v>238</v>
      </c>
      <c r="DP999" s="5" t="s">
        <v>238</v>
      </c>
      <c r="DQ999" s="5" t="s">
        <v>238</v>
      </c>
      <c r="DT999" s="5" t="s">
        <v>1240</v>
      </c>
      <c r="DU999" s="5" t="s">
        <v>356</v>
      </c>
      <c r="GL999" s="5" t="s">
        <v>2028</v>
      </c>
      <c r="HM999" s="5" t="s">
        <v>313</v>
      </c>
      <c r="HP999" s="5" t="s">
        <v>272</v>
      </c>
      <c r="HQ999" s="5" t="s">
        <v>272</v>
      </c>
      <c r="HR999" s="5" t="s">
        <v>238</v>
      </c>
      <c r="HS999" s="5" t="s">
        <v>238</v>
      </c>
      <c r="HT999" s="5" t="s">
        <v>238</v>
      </c>
      <c r="HU999" s="5" t="s">
        <v>238</v>
      </c>
      <c r="HV999" s="5" t="s">
        <v>238</v>
      </c>
      <c r="HW999" s="5" t="s">
        <v>238</v>
      </c>
      <c r="HX999" s="5" t="s">
        <v>238</v>
      </c>
      <c r="HY999" s="5" t="s">
        <v>238</v>
      </c>
      <c r="HZ999" s="5" t="s">
        <v>238</v>
      </c>
      <c r="IA999" s="5" t="s">
        <v>238</v>
      </c>
      <c r="IB999" s="5" t="s">
        <v>238</v>
      </c>
      <c r="IC999" s="5" t="s">
        <v>238</v>
      </c>
      <c r="ID999" s="5" t="s">
        <v>238</v>
      </c>
    </row>
    <row r="1000" spans="1:238" x14ac:dyDescent="0.4">
      <c r="A1000" s="5">
        <v>1323</v>
      </c>
      <c r="B1000" s="5">
        <v>1</v>
      </c>
      <c r="C1000" s="5">
        <v>1</v>
      </c>
      <c r="D1000" s="5" t="s">
        <v>1236</v>
      </c>
      <c r="E1000" s="5" t="s">
        <v>491</v>
      </c>
      <c r="F1000" s="5" t="s">
        <v>282</v>
      </c>
      <c r="G1000" s="5" t="s">
        <v>2263</v>
      </c>
      <c r="H1000" s="6" t="s">
        <v>1239</v>
      </c>
      <c r="I1000" s="5" t="s">
        <v>2263</v>
      </c>
      <c r="J1000" s="7">
        <f>10.36</f>
        <v>10.36</v>
      </c>
      <c r="K1000" s="5" t="s">
        <v>270</v>
      </c>
      <c r="L1000" s="8">
        <f>1</f>
        <v>1</v>
      </c>
      <c r="M1000" s="8">
        <f>984200</f>
        <v>984200</v>
      </c>
      <c r="N1000" s="6" t="s">
        <v>906</v>
      </c>
      <c r="O1000" s="5" t="s">
        <v>268</v>
      </c>
      <c r="P1000" s="5" t="s">
        <v>909</v>
      </c>
      <c r="R1000" s="8">
        <f>984199</f>
        <v>984199</v>
      </c>
      <c r="S1000" s="5" t="s">
        <v>240</v>
      </c>
      <c r="T1000" s="5" t="s">
        <v>237</v>
      </c>
      <c r="U1000" s="5" t="s">
        <v>238</v>
      </c>
      <c r="V1000" s="5" t="s">
        <v>238</v>
      </c>
      <c r="W1000" s="5" t="s">
        <v>241</v>
      </c>
      <c r="X1000" s="5" t="s">
        <v>453</v>
      </c>
      <c r="Y1000" s="5" t="s">
        <v>238</v>
      </c>
      <c r="AB1000" s="5" t="s">
        <v>238</v>
      </c>
      <c r="AD1000" s="6" t="s">
        <v>238</v>
      </c>
      <c r="AG1000" s="6" t="s">
        <v>246</v>
      </c>
      <c r="AH1000" s="5" t="s">
        <v>247</v>
      </c>
      <c r="AI1000" s="5" t="s">
        <v>248</v>
      </c>
      <c r="AY1000" s="5" t="s">
        <v>250</v>
      </c>
      <c r="AZ1000" s="5" t="s">
        <v>238</v>
      </c>
      <c r="BA1000" s="5" t="s">
        <v>251</v>
      </c>
      <c r="BB1000" s="5" t="s">
        <v>238</v>
      </c>
      <c r="BC1000" s="5" t="s">
        <v>253</v>
      </c>
      <c r="BD1000" s="5" t="s">
        <v>238</v>
      </c>
      <c r="BF1000" s="5" t="s">
        <v>238</v>
      </c>
      <c r="BH1000" s="5" t="s">
        <v>254</v>
      </c>
      <c r="BI1000" s="6" t="s">
        <v>246</v>
      </c>
      <c r="BJ1000" s="5" t="s">
        <v>255</v>
      </c>
      <c r="BK1000" s="5" t="s">
        <v>256</v>
      </c>
      <c r="BL1000" s="5" t="s">
        <v>238</v>
      </c>
      <c r="BM1000" s="7">
        <f>0</f>
        <v>0</v>
      </c>
      <c r="BN1000" s="8">
        <f>0</f>
        <v>0</v>
      </c>
      <c r="BO1000" s="5" t="s">
        <v>257</v>
      </c>
      <c r="BP1000" s="5" t="s">
        <v>258</v>
      </c>
      <c r="CD1000" s="5" t="s">
        <v>238</v>
      </c>
      <c r="CE1000" s="5" t="s">
        <v>238</v>
      </c>
      <c r="CI1000" s="5" t="s">
        <v>527</v>
      </c>
      <c r="CJ1000" s="5" t="s">
        <v>260</v>
      </c>
      <c r="CK1000" s="5" t="s">
        <v>238</v>
      </c>
      <c r="CM1000" s="5" t="s">
        <v>908</v>
      </c>
      <c r="CN1000" s="6" t="s">
        <v>262</v>
      </c>
      <c r="CO1000" s="5" t="s">
        <v>263</v>
      </c>
      <c r="CP1000" s="5" t="s">
        <v>264</v>
      </c>
      <c r="CQ1000" s="5" t="s">
        <v>238</v>
      </c>
      <c r="CR1000" s="5" t="s">
        <v>238</v>
      </c>
      <c r="CS1000" s="5">
        <v>0</v>
      </c>
      <c r="CT1000" s="5" t="s">
        <v>265</v>
      </c>
      <c r="CU1000" s="5" t="s">
        <v>2254</v>
      </c>
      <c r="CV1000" s="5" t="s">
        <v>267</v>
      </c>
      <c r="CX1000" s="8">
        <f>984200</f>
        <v>984200</v>
      </c>
      <c r="CY1000" s="8">
        <f>0</f>
        <v>0</v>
      </c>
      <c r="DA1000" s="5" t="s">
        <v>238</v>
      </c>
      <c r="DB1000" s="5" t="s">
        <v>238</v>
      </c>
      <c r="DD1000" s="5" t="s">
        <v>238</v>
      </c>
      <c r="DG1000" s="5" t="s">
        <v>238</v>
      </c>
      <c r="DH1000" s="5" t="s">
        <v>238</v>
      </c>
      <c r="DI1000" s="5" t="s">
        <v>238</v>
      </c>
      <c r="DJ1000" s="5" t="s">
        <v>238</v>
      </c>
      <c r="DK1000" s="5" t="s">
        <v>271</v>
      </c>
      <c r="DL1000" s="5" t="s">
        <v>272</v>
      </c>
      <c r="DM1000" s="7">
        <f>10.36</f>
        <v>10.36</v>
      </c>
      <c r="DN1000" s="5" t="s">
        <v>238</v>
      </c>
      <c r="DO1000" s="5" t="s">
        <v>238</v>
      </c>
      <c r="DP1000" s="5" t="s">
        <v>238</v>
      </c>
      <c r="DQ1000" s="5" t="s">
        <v>238</v>
      </c>
      <c r="DT1000" s="5" t="s">
        <v>1240</v>
      </c>
      <c r="DU1000" s="5" t="s">
        <v>310</v>
      </c>
      <c r="HM1000" s="5" t="s">
        <v>271</v>
      </c>
      <c r="HP1000" s="5" t="s">
        <v>272</v>
      </c>
      <c r="HQ1000" s="5" t="s">
        <v>272</v>
      </c>
    </row>
    <row r="1001" spans="1:238" x14ac:dyDescent="0.4">
      <c r="A1001" s="5">
        <v>1324</v>
      </c>
      <c r="B1001" s="5">
        <v>1</v>
      </c>
      <c r="C1001" s="5">
        <v>4</v>
      </c>
      <c r="D1001" s="5" t="s">
        <v>1236</v>
      </c>
      <c r="E1001" s="5" t="s">
        <v>491</v>
      </c>
      <c r="F1001" s="5" t="s">
        <v>282</v>
      </c>
      <c r="G1001" s="5" t="s">
        <v>1238</v>
      </c>
      <c r="H1001" s="6" t="s">
        <v>1239</v>
      </c>
      <c r="I1001" s="5" t="s">
        <v>1235</v>
      </c>
      <c r="J1001" s="7">
        <f>0</f>
        <v>0</v>
      </c>
      <c r="K1001" s="5" t="s">
        <v>270</v>
      </c>
      <c r="L1001" s="8">
        <f>649300</f>
        <v>649300</v>
      </c>
      <c r="M1001" s="8">
        <f>777600</f>
        <v>777600</v>
      </c>
      <c r="N1001" s="6" t="s">
        <v>1237</v>
      </c>
      <c r="O1001" s="5" t="s">
        <v>650</v>
      </c>
      <c r="P1001" s="5" t="s">
        <v>356</v>
      </c>
      <c r="Q1001" s="8">
        <f>25660</f>
        <v>25660</v>
      </c>
      <c r="R1001" s="8">
        <f>128300</f>
        <v>128300</v>
      </c>
      <c r="S1001" s="5" t="s">
        <v>240</v>
      </c>
      <c r="T1001" s="5" t="s">
        <v>287</v>
      </c>
      <c r="U1001" s="5" t="s">
        <v>238</v>
      </c>
      <c r="V1001" s="5" t="s">
        <v>238</v>
      </c>
      <c r="W1001" s="5" t="s">
        <v>241</v>
      </c>
      <c r="X1001" s="5" t="s">
        <v>453</v>
      </c>
      <c r="Y1001" s="5" t="s">
        <v>238</v>
      </c>
      <c r="AB1001" s="5" t="s">
        <v>238</v>
      </c>
      <c r="AC1001" s="6" t="s">
        <v>238</v>
      </c>
      <c r="AD1001" s="6" t="s">
        <v>238</v>
      </c>
      <c r="AF1001" s="6" t="s">
        <v>238</v>
      </c>
      <c r="AG1001" s="6" t="s">
        <v>246</v>
      </c>
      <c r="AH1001" s="5" t="s">
        <v>247</v>
      </c>
      <c r="AI1001" s="5" t="s">
        <v>248</v>
      </c>
      <c r="AO1001" s="5" t="s">
        <v>238</v>
      </c>
      <c r="AP1001" s="5" t="s">
        <v>238</v>
      </c>
      <c r="AQ1001" s="5" t="s">
        <v>238</v>
      </c>
      <c r="AR1001" s="6" t="s">
        <v>238</v>
      </c>
      <c r="AS1001" s="6" t="s">
        <v>238</v>
      </c>
      <c r="AT1001" s="6" t="s">
        <v>238</v>
      </c>
      <c r="AW1001" s="5" t="s">
        <v>304</v>
      </c>
      <c r="AX1001" s="5" t="s">
        <v>304</v>
      </c>
      <c r="AY1001" s="5" t="s">
        <v>250</v>
      </c>
      <c r="AZ1001" s="5" t="s">
        <v>305</v>
      </c>
      <c r="BA1001" s="5" t="s">
        <v>251</v>
      </c>
      <c r="BB1001" s="5" t="s">
        <v>238</v>
      </c>
      <c r="BC1001" s="5" t="s">
        <v>253</v>
      </c>
      <c r="BD1001" s="5" t="s">
        <v>238</v>
      </c>
      <c r="BF1001" s="5" t="s">
        <v>238</v>
      </c>
      <c r="BH1001" s="5" t="s">
        <v>283</v>
      </c>
      <c r="BI1001" s="6" t="s">
        <v>293</v>
      </c>
      <c r="BJ1001" s="5" t="s">
        <v>294</v>
      </c>
      <c r="BK1001" s="5" t="s">
        <v>294</v>
      </c>
      <c r="BL1001" s="5" t="s">
        <v>238</v>
      </c>
      <c r="BM1001" s="7">
        <f>0</f>
        <v>0</v>
      </c>
      <c r="BN1001" s="8">
        <f>-25660</f>
        <v>-25660</v>
      </c>
      <c r="BO1001" s="5" t="s">
        <v>257</v>
      </c>
      <c r="BP1001" s="5" t="s">
        <v>258</v>
      </c>
      <c r="BQ1001" s="5" t="s">
        <v>238</v>
      </c>
      <c r="BR1001" s="5" t="s">
        <v>238</v>
      </c>
      <c r="BS1001" s="5" t="s">
        <v>238</v>
      </c>
      <c r="BT1001" s="5" t="s">
        <v>238</v>
      </c>
      <c r="CC1001" s="5" t="s">
        <v>258</v>
      </c>
      <c r="CD1001" s="5" t="s">
        <v>238</v>
      </c>
      <c r="CE1001" s="5" t="s">
        <v>238</v>
      </c>
      <c r="CI1001" s="5" t="s">
        <v>259</v>
      </c>
      <c r="CJ1001" s="5" t="s">
        <v>260</v>
      </c>
      <c r="CK1001" s="5" t="s">
        <v>238</v>
      </c>
      <c r="CM1001" s="5" t="s">
        <v>376</v>
      </c>
      <c r="CN1001" s="6" t="s">
        <v>262</v>
      </c>
      <c r="CO1001" s="5" t="s">
        <v>263</v>
      </c>
      <c r="CP1001" s="5" t="s">
        <v>264</v>
      </c>
      <c r="CQ1001" s="5" t="s">
        <v>285</v>
      </c>
      <c r="CR1001" s="5" t="s">
        <v>238</v>
      </c>
      <c r="CS1001" s="5">
        <v>3.3000000000000002E-2</v>
      </c>
      <c r="CT1001" s="5" t="s">
        <v>265</v>
      </c>
      <c r="CU1001" s="5" t="s">
        <v>1187</v>
      </c>
      <c r="CV1001" s="5" t="s">
        <v>649</v>
      </c>
      <c r="CW1001" s="7">
        <f>0</f>
        <v>0</v>
      </c>
      <c r="CX1001" s="8">
        <f>777600</f>
        <v>777600</v>
      </c>
      <c r="CY1001" s="8">
        <f>674960</f>
        <v>674960</v>
      </c>
      <c r="DA1001" s="5" t="s">
        <v>238</v>
      </c>
      <c r="DB1001" s="5" t="s">
        <v>238</v>
      </c>
      <c r="DD1001" s="5" t="s">
        <v>238</v>
      </c>
      <c r="DE1001" s="8">
        <f>0</f>
        <v>0</v>
      </c>
      <c r="DG1001" s="5" t="s">
        <v>238</v>
      </c>
      <c r="DH1001" s="5" t="s">
        <v>238</v>
      </c>
      <c r="DI1001" s="5" t="s">
        <v>238</v>
      </c>
      <c r="DJ1001" s="5" t="s">
        <v>238</v>
      </c>
      <c r="DK1001" s="5" t="s">
        <v>272</v>
      </c>
      <c r="DL1001" s="5" t="s">
        <v>272</v>
      </c>
      <c r="DM1001" s="8" t="s">
        <v>238</v>
      </c>
      <c r="DN1001" s="5" t="s">
        <v>238</v>
      </c>
      <c r="DO1001" s="5" t="s">
        <v>238</v>
      </c>
      <c r="DP1001" s="5" t="s">
        <v>238</v>
      </c>
      <c r="DQ1001" s="5" t="s">
        <v>238</v>
      </c>
      <c r="DT1001" s="5" t="s">
        <v>1240</v>
      </c>
      <c r="DU1001" s="5" t="s">
        <v>379</v>
      </c>
      <c r="GL1001" s="5" t="s">
        <v>1241</v>
      </c>
      <c r="HM1001" s="5" t="s">
        <v>379</v>
      </c>
      <c r="HP1001" s="5" t="s">
        <v>272</v>
      </c>
      <c r="HQ1001" s="5" t="s">
        <v>272</v>
      </c>
      <c r="HR1001" s="5" t="s">
        <v>238</v>
      </c>
      <c r="HS1001" s="5" t="s">
        <v>238</v>
      </c>
      <c r="HT1001" s="5" t="s">
        <v>238</v>
      </c>
      <c r="HU1001" s="5" t="s">
        <v>238</v>
      </c>
      <c r="HV1001" s="5" t="s">
        <v>238</v>
      </c>
      <c r="HW1001" s="5" t="s">
        <v>238</v>
      </c>
      <c r="HX1001" s="5" t="s">
        <v>238</v>
      </c>
      <c r="HY1001" s="5" t="s">
        <v>238</v>
      </c>
      <c r="HZ1001" s="5" t="s">
        <v>238</v>
      </c>
      <c r="IA1001" s="5" t="s">
        <v>238</v>
      </c>
      <c r="IB1001" s="5" t="s">
        <v>238</v>
      </c>
      <c r="IC1001" s="5" t="s">
        <v>238</v>
      </c>
      <c r="ID1001" s="5" t="s">
        <v>238</v>
      </c>
    </row>
    <row r="1002" spans="1:238" x14ac:dyDescent="0.4">
      <c r="A1002" s="5">
        <v>1325</v>
      </c>
      <c r="B1002" s="5">
        <v>1</v>
      </c>
      <c r="C1002" s="5">
        <v>4</v>
      </c>
      <c r="D1002" s="5" t="s">
        <v>2001</v>
      </c>
      <c r="E1002" s="5" t="s">
        <v>491</v>
      </c>
      <c r="F1002" s="5" t="s">
        <v>282</v>
      </c>
      <c r="G1002" s="5" t="s">
        <v>1981</v>
      </c>
      <c r="H1002" s="6" t="s">
        <v>2002</v>
      </c>
      <c r="I1002" s="5" t="s">
        <v>1978</v>
      </c>
      <c r="J1002" s="7">
        <f>153.92</f>
        <v>153.91999999999999</v>
      </c>
      <c r="K1002" s="5" t="s">
        <v>270</v>
      </c>
      <c r="L1002" s="8">
        <f>9625401</f>
        <v>9625401</v>
      </c>
      <c r="M1002" s="8">
        <f>25396800</f>
        <v>25396800</v>
      </c>
      <c r="N1002" s="6" t="s">
        <v>816</v>
      </c>
      <c r="O1002" s="5" t="s">
        <v>639</v>
      </c>
      <c r="P1002" s="5" t="s">
        <v>818</v>
      </c>
      <c r="Q1002" s="8">
        <f>685713</f>
        <v>685713</v>
      </c>
      <c r="R1002" s="8">
        <f>15771399</f>
        <v>15771399</v>
      </c>
      <c r="S1002" s="5" t="s">
        <v>240</v>
      </c>
      <c r="T1002" s="5" t="s">
        <v>237</v>
      </c>
      <c r="U1002" s="5" t="s">
        <v>238</v>
      </c>
      <c r="V1002" s="5" t="s">
        <v>238</v>
      </c>
      <c r="W1002" s="5" t="s">
        <v>241</v>
      </c>
      <c r="X1002" s="5" t="s">
        <v>453</v>
      </c>
      <c r="Y1002" s="5" t="s">
        <v>238</v>
      </c>
      <c r="AB1002" s="5" t="s">
        <v>238</v>
      </c>
      <c r="AC1002" s="6" t="s">
        <v>238</v>
      </c>
      <c r="AD1002" s="6" t="s">
        <v>238</v>
      </c>
      <c r="AF1002" s="6" t="s">
        <v>238</v>
      </c>
      <c r="AG1002" s="6" t="s">
        <v>246</v>
      </c>
      <c r="AH1002" s="5" t="s">
        <v>247</v>
      </c>
      <c r="AI1002" s="5" t="s">
        <v>248</v>
      </c>
      <c r="AO1002" s="5" t="s">
        <v>238</v>
      </c>
      <c r="AP1002" s="5" t="s">
        <v>238</v>
      </c>
      <c r="AQ1002" s="5" t="s">
        <v>238</v>
      </c>
      <c r="AR1002" s="6" t="s">
        <v>238</v>
      </c>
      <c r="AS1002" s="6" t="s">
        <v>238</v>
      </c>
      <c r="AT1002" s="6" t="s">
        <v>238</v>
      </c>
      <c r="AW1002" s="5" t="s">
        <v>304</v>
      </c>
      <c r="AX1002" s="5" t="s">
        <v>304</v>
      </c>
      <c r="AY1002" s="5" t="s">
        <v>250</v>
      </c>
      <c r="AZ1002" s="5" t="s">
        <v>305</v>
      </c>
      <c r="BA1002" s="5" t="s">
        <v>251</v>
      </c>
      <c r="BB1002" s="5" t="s">
        <v>238</v>
      </c>
      <c r="BC1002" s="5" t="s">
        <v>253</v>
      </c>
      <c r="BD1002" s="5" t="s">
        <v>238</v>
      </c>
      <c r="BF1002" s="5" t="s">
        <v>238</v>
      </c>
      <c r="BH1002" s="5" t="s">
        <v>283</v>
      </c>
      <c r="BI1002" s="6" t="s">
        <v>293</v>
      </c>
      <c r="BJ1002" s="5" t="s">
        <v>294</v>
      </c>
      <c r="BK1002" s="5" t="s">
        <v>294</v>
      </c>
      <c r="BL1002" s="5" t="s">
        <v>238</v>
      </c>
      <c r="BM1002" s="7">
        <f>0</f>
        <v>0</v>
      </c>
      <c r="BN1002" s="8">
        <f>-685713</f>
        <v>-685713</v>
      </c>
      <c r="BO1002" s="5" t="s">
        <v>257</v>
      </c>
      <c r="BP1002" s="5" t="s">
        <v>258</v>
      </c>
      <c r="BQ1002" s="5" t="s">
        <v>238</v>
      </c>
      <c r="BR1002" s="5" t="s">
        <v>238</v>
      </c>
      <c r="BS1002" s="5" t="s">
        <v>238</v>
      </c>
      <c r="BT1002" s="5" t="s">
        <v>238</v>
      </c>
      <c r="CC1002" s="5" t="s">
        <v>258</v>
      </c>
      <c r="CD1002" s="5" t="s">
        <v>238</v>
      </c>
      <c r="CE1002" s="5" t="s">
        <v>238</v>
      </c>
      <c r="CI1002" s="5" t="s">
        <v>259</v>
      </c>
      <c r="CJ1002" s="5" t="s">
        <v>260</v>
      </c>
      <c r="CK1002" s="5" t="s">
        <v>238</v>
      </c>
      <c r="CM1002" s="5" t="s">
        <v>261</v>
      </c>
      <c r="CN1002" s="6" t="s">
        <v>262</v>
      </c>
      <c r="CO1002" s="5" t="s">
        <v>263</v>
      </c>
      <c r="CP1002" s="5" t="s">
        <v>264</v>
      </c>
      <c r="CQ1002" s="5" t="s">
        <v>285</v>
      </c>
      <c r="CR1002" s="5" t="s">
        <v>238</v>
      </c>
      <c r="CS1002" s="5">
        <v>2.7E-2</v>
      </c>
      <c r="CT1002" s="5" t="s">
        <v>265</v>
      </c>
      <c r="CU1002" s="5" t="s">
        <v>1333</v>
      </c>
      <c r="CV1002" s="5" t="s">
        <v>649</v>
      </c>
      <c r="CW1002" s="7">
        <f>0</f>
        <v>0</v>
      </c>
      <c r="CX1002" s="8">
        <f>25396800</f>
        <v>25396800</v>
      </c>
      <c r="CY1002" s="8">
        <f>10311114</f>
        <v>10311114</v>
      </c>
      <c r="DA1002" s="5" t="s">
        <v>238</v>
      </c>
      <c r="DB1002" s="5" t="s">
        <v>238</v>
      </c>
      <c r="DD1002" s="5" t="s">
        <v>238</v>
      </c>
      <c r="DE1002" s="8">
        <f>0</f>
        <v>0</v>
      </c>
      <c r="DG1002" s="5" t="s">
        <v>238</v>
      </c>
      <c r="DH1002" s="5" t="s">
        <v>238</v>
      </c>
      <c r="DI1002" s="5" t="s">
        <v>238</v>
      </c>
      <c r="DJ1002" s="5" t="s">
        <v>238</v>
      </c>
      <c r="DK1002" s="5" t="s">
        <v>271</v>
      </c>
      <c r="DL1002" s="5" t="s">
        <v>272</v>
      </c>
      <c r="DM1002" s="7">
        <f>153.92</f>
        <v>153.91999999999999</v>
      </c>
      <c r="DN1002" s="5" t="s">
        <v>238</v>
      </c>
      <c r="DO1002" s="5" t="s">
        <v>238</v>
      </c>
      <c r="DP1002" s="5" t="s">
        <v>238</v>
      </c>
      <c r="DQ1002" s="5" t="s">
        <v>238</v>
      </c>
      <c r="DT1002" s="5" t="s">
        <v>2003</v>
      </c>
      <c r="DU1002" s="5" t="s">
        <v>271</v>
      </c>
      <c r="GL1002" s="5" t="s">
        <v>2024</v>
      </c>
      <c r="HM1002" s="5" t="s">
        <v>313</v>
      </c>
      <c r="HP1002" s="5" t="s">
        <v>272</v>
      </c>
      <c r="HQ1002" s="5" t="s">
        <v>272</v>
      </c>
      <c r="HR1002" s="5" t="s">
        <v>238</v>
      </c>
      <c r="HS1002" s="5" t="s">
        <v>238</v>
      </c>
      <c r="HT1002" s="5" t="s">
        <v>238</v>
      </c>
      <c r="HU1002" s="5" t="s">
        <v>238</v>
      </c>
      <c r="HV1002" s="5" t="s">
        <v>238</v>
      </c>
      <c r="HW1002" s="5" t="s">
        <v>238</v>
      </c>
      <c r="HX1002" s="5" t="s">
        <v>238</v>
      </c>
      <c r="HY1002" s="5" t="s">
        <v>238</v>
      </c>
      <c r="HZ1002" s="5" t="s">
        <v>238</v>
      </c>
      <c r="IA1002" s="5" t="s">
        <v>238</v>
      </c>
      <c r="IB1002" s="5" t="s">
        <v>238</v>
      </c>
      <c r="IC1002" s="5" t="s">
        <v>238</v>
      </c>
      <c r="ID1002" s="5" t="s">
        <v>238</v>
      </c>
    </row>
    <row r="1003" spans="1:238" x14ac:dyDescent="0.4">
      <c r="A1003" s="5">
        <v>1326</v>
      </c>
      <c r="B1003" s="5">
        <v>1</v>
      </c>
      <c r="C1003" s="5">
        <v>4</v>
      </c>
      <c r="D1003" s="5" t="s">
        <v>2001</v>
      </c>
      <c r="E1003" s="5" t="s">
        <v>491</v>
      </c>
      <c r="F1003" s="5" t="s">
        <v>282</v>
      </c>
      <c r="G1003" s="5" t="s">
        <v>1981</v>
      </c>
      <c r="H1003" s="6" t="s">
        <v>2002</v>
      </c>
      <c r="I1003" s="5" t="s">
        <v>1978</v>
      </c>
      <c r="J1003" s="7">
        <f>579.24</f>
        <v>579.24</v>
      </c>
      <c r="K1003" s="5" t="s">
        <v>270</v>
      </c>
      <c r="L1003" s="8">
        <f>20852640</f>
        <v>20852640</v>
      </c>
      <c r="M1003" s="8">
        <f>104263200</f>
        <v>104263200</v>
      </c>
      <c r="N1003" s="6" t="s">
        <v>1066</v>
      </c>
      <c r="O1003" s="5" t="s">
        <v>279</v>
      </c>
      <c r="P1003" s="5" t="s">
        <v>639</v>
      </c>
      <c r="Q1003" s="8">
        <f>2085264</f>
        <v>2085264</v>
      </c>
      <c r="R1003" s="8">
        <f>83410560</f>
        <v>83410560</v>
      </c>
      <c r="S1003" s="5" t="s">
        <v>240</v>
      </c>
      <c r="T1003" s="5" t="s">
        <v>237</v>
      </c>
      <c r="U1003" s="5" t="s">
        <v>238</v>
      </c>
      <c r="V1003" s="5" t="s">
        <v>238</v>
      </c>
      <c r="W1003" s="5" t="s">
        <v>241</v>
      </c>
      <c r="X1003" s="5" t="s">
        <v>453</v>
      </c>
      <c r="Y1003" s="5" t="s">
        <v>238</v>
      </c>
      <c r="AB1003" s="5" t="s">
        <v>238</v>
      </c>
      <c r="AC1003" s="6" t="s">
        <v>238</v>
      </c>
      <c r="AD1003" s="6" t="s">
        <v>238</v>
      </c>
      <c r="AF1003" s="6" t="s">
        <v>238</v>
      </c>
      <c r="AG1003" s="6" t="s">
        <v>246</v>
      </c>
      <c r="AH1003" s="5" t="s">
        <v>247</v>
      </c>
      <c r="AI1003" s="5" t="s">
        <v>248</v>
      </c>
      <c r="AO1003" s="5" t="s">
        <v>238</v>
      </c>
      <c r="AP1003" s="5" t="s">
        <v>238</v>
      </c>
      <c r="AQ1003" s="5" t="s">
        <v>238</v>
      </c>
      <c r="AR1003" s="6" t="s">
        <v>238</v>
      </c>
      <c r="AS1003" s="6" t="s">
        <v>238</v>
      </c>
      <c r="AT1003" s="6" t="s">
        <v>238</v>
      </c>
      <c r="AW1003" s="5" t="s">
        <v>304</v>
      </c>
      <c r="AX1003" s="5" t="s">
        <v>304</v>
      </c>
      <c r="AY1003" s="5" t="s">
        <v>250</v>
      </c>
      <c r="AZ1003" s="5" t="s">
        <v>305</v>
      </c>
      <c r="BA1003" s="5" t="s">
        <v>251</v>
      </c>
      <c r="BB1003" s="5" t="s">
        <v>238</v>
      </c>
      <c r="BC1003" s="5" t="s">
        <v>253</v>
      </c>
      <c r="BD1003" s="5" t="s">
        <v>238</v>
      </c>
      <c r="BF1003" s="5" t="s">
        <v>238</v>
      </c>
      <c r="BH1003" s="5" t="s">
        <v>283</v>
      </c>
      <c r="BI1003" s="6" t="s">
        <v>293</v>
      </c>
      <c r="BJ1003" s="5" t="s">
        <v>294</v>
      </c>
      <c r="BK1003" s="5" t="s">
        <v>294</v>
      </c>
      <c r="BL1003" s="5" t="s">
        <v>238</v>
      </c>
      <c r="BM1003" s="7">
        <f>0</f>
        <v>0</v>
      </c>
      <c r="BN1003" s="8">
        <f>-2085264</f>
        <v>-2085264</v>
      </c>
      <c r="BO1003" s="5" t="s">
        <v>257</v>
      </c>
      <c r="BP1003" s="5" t="s">
        <v>258</v>
      </c>
      <c r="BQ1003" s="5" t="s">
        <v>238</v>
      </c>
      <c r="BR1003" s="5" t="s">
        <v>238</v>
      </c>
      <c r="BS1003" s="5" t="s">
        <v>238</v>
      </c>
      <c r="BT1003" s="5" t="s">
        <v>238</v>
      </c>
      <c r="CC1003" s="5" t="s">
        <v>258</v>
      </c>
      <c r="CD1003" s="5" t="s">
        <v>238</v>
      </c>
      <c r="CE1003" s="5" t="s">
        <v>238</v>
      </c>
      <c r="CI1003" s="5" t="s">
        <v>527</v>
      </c>
      <c r="CJ1003" s="5" t="s">
        <v>260</v>
      </c>
      <c r="CK1003" s="5" t="s">
        <v>238</v>
      </c>
      <c r="CM1003" s="5" t="s">
        <v>822</v>
      </c>
      <c r="CN1003" s="6" t="s">
        <v>262</v>
      </c>
      <c r="CO1003" s="5" t="s">
        <v>263</v>
      </c>
      <c r="CP1003" s="5" t="s">
        <v>264</v>
      </c>
      <c r="CQ1003" s="5" t="s">
        <v>285</v>
      </c>
      <c r="CR1003" s="5" t="s">
        <v>238</v>
      </c>
      <c r="CS1003" s="5">
        <v>0.02</v>
      </c>
      <c r="CT1003" s="5" t="s">
        <v>265</v>
      </c>
      <c r="CU1003" s="5" t="s">
        <v>1333</v>
      </c>
      <c r="CV1003" s="5" t="s">
        <v>308</v>
      </c>
      <c r="CW1003" s="7">
        <f>0</f>
        <v>0</v>
      </c>
      <c r="CX1003" s="8">
        <f>104263200</f>
        <v>104263200</v>
      </c>
      <c r="CY1003" s="8">
        <f>22937904</f>
        <v>22937904</v>
      </c>
      <c r="DA1003" s="5" t="s">
        <v>238</v>
      </c>
      <c r="DB1003" s="5" t="s">
        <v>238</v>
      </c>
      <c r="DD1003" s="5" t="s">
        <v>238</v>
      </c>
      <c r="DE1003" s="8">
        <f>0</f>
        <v>0</v>
      </c>
      <c r="DG1003" s="5" t="s">
        <v>238</v>
      </c>
      <c r="DH1003" s="5" t="s">
        <v>238</v>
      </c>
      <c r="DI1003" s="5" t="s">
        <v>238</v>
      </c>
      <c r="DJ1003" s="5" t="s">
        <v>238</v>
      </c>
      <c r="DK1003" s="5" t="s">
        <v>271</v>
      </c>
      <c r="DL1003" s="5" t="s">
        <v>272</v>
      </c>
      <c r="DM1003" s="7">
        <f>579.24</f>
        <v>579.24</v>
      </c>
      <c r="DN1003" s="5" t="s">
        <v>238</v>
      </c>
      <c r="DO1003" s="5" t="s">
        <v>238</v>
      </c>
      <c r="DP1003" s="5" t="s">
        <v>238</v>
      </c>
      <c r="DQ1003" s="5" t="s">
        <v>238</v>
      </c>
      <c r="DT1003" s="5" t="s">
        <v>2003</v>
      </c>
      <c r="DU1003" s="5" t="s">
        <v>274</v>
      </c>
      <c r="GL1003" s="5" t="s">
        <v>2004</v>
      </c>
      <c r="HM1003" s="5" t="s">
        <v>313</v>
      </c>
      <c r="HP1003" s="5" t="s">
        <v>272</v>
      </c>
      <c r="HQ1003" s="5" t="s">
        <v>272</v>
      </c>
      <c r="HR1003" s="5" t="s">
        <v>238</v>
      </c>
      <c r="HS1003" s="5" t="s">
        <v>238</v>
      </c>
      <c r="HT1003" s="5" t="s">
        <v>238</v>
      </c>
      <c r="HU1003" s="5" t="s">
        <v>238</v>
      </c>
      <c r="HV1003" s="5" t="s">
        <v>238</v>
      </c>
      <c r="HW1003" s="5" t="s">
        <v>238</v>
      </c>
      <c r="HX1003" s="5" t="s">
        <v>238</v>
      </c>
      <c r="HY1003" s="5" t="s">
        <v>238</v>
      </c>
      <c r="HZ1003" s="5" t="s">
        <v>238</v>
      </c>
      <c r="IA1003" s="5" t="s">
        <v>238</v>
      </c>
      <c r="IB1003" s="5" t="s">
        <v>238</v>
      </c>
      <c r="IC1003" s="5" t="s">
        <v>238</v>
      </c>
      <c r="ID1003" s="5" t="s">
        <v>238</v>
      </c>
    </row>
    <row r="1004" spans="1:238" x14ac:dyDescent="0.4">
      <c r="A1004" s="5">
        <v>1327</v>
      </c>
      <c r="B1004" s="5">
        <v>1</v>
      </c>
      <c r="C1004" s="5">
        <v>4</v>
      </c>
      <c r="D1004" s="5" t="s">
        <v>490</v>
      </c>
      <c r="E1004" s="5" t="s">
        <v>491</v>
      </c>
      <c r="F1004" s="5" t="s">
        <v>282</v>
      </c>
      <c r="G1004" s="5" t="s">
        <v>1981</v>
      </c>
      <c r="H1004" s="6" t="s">
        <v>303</v>
      </c>
      <c r="I1004" s="5" t="s">
        <v>1978</v>
      </c>
      <c r="J1004" s="7">
        <f>1349.36</f>
        <v>1349.36</v>
      </c>
      <c r="K1004" s="5" t="s">
        <v>270</v>
      </c>
      <c r="L1004" s="8">
        <f>48576960</f>
        <v>48576960</v>
      </c>
      <c r="M1004" s="8">
        <f>242884800</f>
        <v>242884800</v>
      </c>
      <c r="N1004" s="6" t="s">
        <v>1985</v>
      </c>
      <c r="O1004" s="5" t="s">
        <v>279</v>
      </c>
      <c r="P1004" s="5" t="s">
        <v>639</v>
      </c>
      <c r="Q1004" s="8">
        <f>4857696</f>
        <v>4857696</v>
      </c>
      <c r="R1004" s="8">
        <f>194307840</f>
        <v>194307840</v>
      </c>
      <c r="S1004" s="5" t="s">
        <v>240</v>
      </c>
      <c r="T1004" s="5" t="s">
        <v>237</v>
      </c>
      <c r="U1004" s="5" t="s">
        <v>238</v>
      </c>
      <c r="V1004" s="5" t="s">
        <v>238</v>
      </c>
      <c r="W1004" s="5" t="s">
        <v>241</v>
      </c>
      <c r="X1004" s="5" t="s">
        <v>453</v>
      </c>
      <c r="Y1004" s="5" t="s">
        <v>238</v>
      </c>
      <c r="AB1004" s="5" t="s">
        <v>238</v>
      </c>
      <c r="AC1004" s="6" t="s">
        <v>238</v>
      </c>
      <c r="AD1004" s="6" t="s">
        <v>238</v>
      </c>
      <c r="AF1004" s="6" t="s">
        <v>238</v>
      </c>
      <c r="AG1004" s="6" t="s">
        <v>246</v>
      </c>
      <c r="AH1004" s="5" t="s">
        <v>247</v>
      </c>
      <c r="AI1004" s="5" t="s">
        <v>248</v>
      </c>
      <c r="AO1004" s="5" t="s">
        <v>238</v>
      </c>
      <c r="AP1004" s="5" t="s">
        <v>238</v>
      </c>
      <c r="AQ1004" s="5" t="s">
        <v>238</v>
      </c>
      <c r="AR1004" s="6" t="s">
        <v>238</v>
      </c>
      <c r="AS1004" s="6" t="s">
        <v>238</v>
      </c>
      <c r="AT1004" s="6" t="s">
        <v>238</v>
      </c>
      <c r="AW1004" s="5" t="s">
        <v>304</v>
      </c>
      <c r="AX1004" s="5" t="s">
        <v>304</v>
      </c>
      <c r="AY1004" s="5" t="s">
        <v>250</v>
      </c>
      <c r="AZ1004" s="5" t="s">
        <v>305</v>
      </c>
      <c r="BA1004" s="5" t="s">
        <v>251</v>
      </c>
      <c r="BB1004" s="5" t="s">
        <v>238</v>
      </c>
      <c r="BC1004" s="5" t="s">
        <v>253</v>
      </c>
      <c r="BD1004" s="5" t="s">
        <v>238</v>
      </c>
      <c r="BF1004" s="5" t="s">
        <v>238</v>
      </c>
      <c r="BH1004" s="5" t="s">
        <v>283</v>
      </c>
      <c r="BI1004" s="6" t="s">
        <v>293</v>
      </c>
      <c r="BJ1004" s="5" t="s">
        <v>294</v>
      </c>
      <c r="BK1004" s="5" t="s">
        <v>294</v>
      </c>
      <c r="BL1004" s="5" t="s">
        <v>238</v>
      </c>
      <c r="BM1004" s="7">
        <f>0</f>
        <v>0</v>
      </c>
      <c r="BN1004" s="8">
        <f>-4857696</f>
        <v>-4857696</v>
      </c>
      <c r="BO1004" s="5" t="s">
        <v>257</v>
      </c>
      <c r="BP1004" s="5" t="s">
        <v>258</v>
      </c>
      <c r="BQ1004" s="5" t="s">
        <v>238</v>
      </c>
      <c r="BR1004" s="5" t="s">
        <v>238</v>
      </c>
      <c r="BS1004" s="5" t="s">
        <v>238</v>
      </c>
      <c r="BT1004" s="5" t="s">
        <v>238</v>
      </c>
      <c r="CC1004" s="5" t="s">
        <v>258</v>
      </c>
      <c r="CD1004" s="5" t="s">
        <v>238</v>
      </c>
      <c r="CE1004" s="5" t="s">
        <v>238</v>
      </c>
      <c r="CI1004" s="5" t="s">
        <v>527</v>
      </c>
      <c r="CJ1004" s="5" t="s">
        <v>260</v>
      </c>
      <c r="CK1004" s="5" t="s">
        <v>238</v>
      </c>
      <c r="CM1004" s="5" t="s">
        <v>822</v>
      </c>
      <c r="CN1004" s="6" t="s">
        <v>262</v>
      </c>
      <c r="CO1004" s="5" t="s">
        <v>263</v>
      </c>
      <c r="CP1004" s="5" t="s">
        <v>264</v>
      </c>
      <c r="CQ1004" s="5" t="s">
        <v>285</v>
      </c>
      <c r="CR1004" s="5" t="s">
        <v>238</v>
      </c>
      <c r="CS1004" s="5">
        <v>0.02</v>
      </c>
      <c r="CT1004" s="5" t="s">
        <v>265</v>
      </c>
      <c r="CU1004" s="5" t="s">
        <v>1333</v>
      </c>
      <c r="CV1004" s="5" t="s">
        <v>308</v>
      </c>
      <c r="CW1004" s="7">
        <f>0</f>
        <v>0</v>
      </c>
      <c r="CX1004" s="8">
        <f>242884800</f>
        <v>242884800</v>
      </c>
      <c r="CY1004" s="8">
        <f>53434656</f>
        <v>53434656</v>
      </c>
      <c r="DA1004" s="5" t="s">
        <v>238</v>
      </c>
      <c r="DB1004" s="5" t="s">
        <v>238</v>
      </c>
      <c r="DD1004" s="5" t="s">
        <v>238</v>
      </c>
      <c r="DE1004" s="8">
        <f>0</f>
        <v>0</v>
      </c>
      <c r="DG1004" s="5" t="s">
        <v>238</v>
      </c>
      <c r="DH1004" s="5" t="s">
        <v>238</v>
      </c>
      <c r="DI1004" s="5" t="s">
        <v>238</v>
      </c>
      <c r="DJ1004" s="5" t="s">
        <v>238</v>
      </c>
      <c r="DK1004" s="5" t="s">
        <v>274</v>
      </c>
      <c r="DL1004" s="5" t="s">
        <v>272</v>
      </c>
      <c r="DM1004" s="7">
        <f>1349.36</f>
        <v>1349.36</v>
      </c>
      <c r="DN1004" s="5" t="s">
        <v>238</v>
      </c>
      <c r="DO1004" s="5" t="s">
        <v>238</v>
      </c>
      <c r="DP1004" s="5" t="s">
        <v>238</v>
      </c>
      <c r="DQ1004" s="5" t="s">
        <v>238</v>
      </c>
      <c r="DT1004" s="5" t="s">
        <v>495</v>
      </c>
      <c r="DU1004" s="5" t="s">
        <v>271</v>
      </c>
      <c r="GL1004" s="5" t="s">
        <v>1986</v>
      </c>
      <c r="HM1004" s="5" t="s">
        <v>313</v>
      </c>
      <c r="HP1004" s="5" t="s">
        <v>272</v>
      </c>
      <c r="HQ1004" s="5" t="s">
        <v>272</v>
      </c>
      <c r="HR1004" s="5" t="s">
        <v>238</v>
      </c>
      <c r="HS1004" s="5" t="s">
        <v>238</v>
      </c>
      <c r="HT1004" s="5" t="s">
        <v>238</v>
      </c>
      <c r="HU1004" s="5" t="s">
        <v>238</v>
      </c>
      <c r="HV1004" s="5" t="s">
        <v>238</v>
      </c>
      <c r="HW1004" s="5" t="s">
        <v>238</v>
      </c>
      <c r="HX1004" s="5" t="s">
        <v>238</v>
      </c>
      <c r="HY1004" s="5" t="s">
        <v>238</v>
      </c>
      <c r="HZ1004" s="5" t="s">
        <v>238</v>
      </c>
      <c r="IA1004" s="5" t="s">
        <v>238</v>
      </c>
      <c r="IB1004" s="5" t="s">
        <v>238</v>
      </c>
      <c r="IC1004" s="5" t="s">
        <v>238</v>
      </c>
      <c r="ID1004" s="5" t="s">
        <v>238</v>
      </c>
    </row>
    <row r="1005" spans="1:238" x14ac:dyDescent="0.4">
      <c r="A1005" s="5">
        <v>1328</v>
      </c>
      <c r="B1005" s="5">
        <v>1</v>
      </c>
      <c r="C1005" s="5">
        <v>4</v>
      </c>
      <c r="D1005" s="5" t="s">
        <v>490</v>
      </c>
      <c r="E1005" s="5" t="s">
        <v>491</v>
      </c>
      <c r="F1005" s="5" t="s">
        <v>282</v>
      </c>
      <c r="G1005" s="5" t="s">
        <v>493</v>
      </c>
      <c r="H1005" s="6" t="s">
        <v>303</v>
      </c>
      <c r="I1005" s="5" t="s">
        <v>489</v>
      </c>
      <c r="J1005" s="7">
        <f>0</f>
        <v>0</v>
      </c>
      <c r="K1005" s="5" t="s">
        <v>270</v>
      </c>
      <c r="L1005" s="8">
        <f>66015</f>
        <v>66015</v>
      </c>
      <c r="M1005" s="8">
        <f>176040</f>
        <v>176040</v>
      </c>
      <c r="N1005" s="6" t="s">
        <v>492</v>
      </c>
      <c r="O1005" s="5" t="s">
        <v>354</v>
      </c>
      <c r="P1005" s="5" t="s">
        <v>356</v>
      </c>
      <c r="Q1005" s="8">
        <f>22005</f>
        <v>22005</v>
      </c>
      <c r="R1005" s="8">
        <f>110025</f>
        <v>110025</v>
      </c>
      <c r="S1005" s="5" t="s">
        <v>240</v>
      </c>
      <c r="T1005" s="5" t="s">
        <v>287</v>
      </c>
      <c r="U1005" s="5" t="s">
        <v>238</v>
      </c>
      <c r="V1005" s="5" t="s">
        <v>238</v>
      </c>
      <c r="W1005" s="5" t="s">
        <v>241</v>
      </c>
      <c r="X1005" s="5" t="s">
        <v>453</v>
      </c>
      <c r="Y1005" s="5" t="s">
        <v>238</v>
      </c>
      <c r="AB1005" s="5" t="s">
        <v>238</v>
      </c>
      <c r="AC1005" s="6" t="s">
        <v>238</v>
      </c>
      <c r="AD1005" s="6" t="s">
        <v>238</v>
      </c>
      <c r="AF1005" s="6" t="s">
        <v>238</v>
      </c>
      <c r="AG1005" s="6" t="s">
        <v>246</v>
      </c>
      <c r="AH1005" s="5" t="s">
        <v>247</v>
      </c>
      <c r="AI1005" s="5" t="s">
        <v>248</v>
      </c>
      <c r="AO1005" s="5" t="s">
        <v>238</v>
      </c>
      <c r="AP1005" s="5" t="s">
        <v>238</v>
      </c>
      <c r="AQ1005" s="5" t="s">
        <v>238</v>
      </c>
      <c r="AR1005" s="6" t="s">
        <v>238</v>
      </c>
      <c r="AS1005" s="6" t="s">
        <v>238</v>
      </c>
      <c r="AT1005" s="6" t="s">
        <v>238</v>
      </c>
      <c r="AW1005" s="5" t="s">
        <v>304</v>
      </c>
      <c r="AX1005" s="5" t="s">
        <v>304</v>
      </c>
      <c r="AY1005" s="5" t="s">
        <v>250</v>
      </c>
      <c r="AZ1005" s="5" t="s">
        <v>305</v>
      </c>
      <c r="BA1005" s="5" t="s">
        <v>251</v>
      </c>
      <c r="BB1005" s="5" t="s">
        <v>238</v>
      </c>
      <c r="BC1005" s="5" t="s">
        <v>253</v>
      </c>
      <c r="BD1005" s="5" t="s">
        <v>238</v>
      </c>
      <c r="BF1005" s="5" t="s">
        <v>238</v>
      </c>
      <c r="BH1005" s="5" t="s">
        <v>283</v>
      </c>
      <c r="BI1005" s="6" t="s">
        <v>293</v>
      </c>
      <c r="BJ1005" s="5" t="s">
        <v>294</v>
      </c>
      <c r="BK1005" s="5" t="s">
        <v>294</v>
      </c>
      <c r="BL1005" s="5" t="s">
        <v>238</v>
      </c>
      <c r="BM1005" s="7">
        <f>0</f>
        <v>0</v>
      </c>
      <c r="BN1005" s="8">
        <f>-22005</f>
        <v>-22005</v>
      </c>
      <c r="BO1005" s="5" t="s">
        <v>257</v>
      </c>
      <c r="BP1005" s="5" t="s">
        <v>258</v>
      </c>
      <c r="BQ1005" s="5" t="s">
        <v>238</v>
      </c>
      <c r="BR1005" s="5" t="s">
        <v>238</v>
      </c>
      <c r="BS1005" s="5" t="s">
        <v>238</v>
      </c>
      <c r="BT1005" s="5" t="s">
        <v>238</v>
      </c>
      <c r="CC1005" s="5" t="s">
        <v>258</v>
      </c>
      <c r="CD1005" s="5" t="s">
        <v>238</v>
      </c>
      <c r="CE1005" s="5" t="s">
        <v>238</v>
      </c>
      <c r="CI1005" s="5" t="s">
        <v>259</v>
      </c>
      <c r="CJ1005" s="5" t="s">
        <v>260</v>
      </c>
      <c r="CK1005" s="5" t="s">
        <v>238</v>
      </c>
      <c r="CM1005" s="5" t="s">
        <v>376</v>
      </c>
      <c r="CN1005" s="6" t="s">
        <v>262</v>
      </c>
      <c r="CO1005" s="5" t="s">
        <v>263</v>
      </c>
      <c r="CP1005" s="5" t="s">
        <v>264</v>
      </c>
      <c r="CQ1005" s="5" t="s">
        <v>285</v>
      </c>
      <c r="CR1005" s="5" t="s">
        <v>238</v>
      </c>
      <c r="CS1005" s="5">
        <v>0.125</v>
      </c>
      <c r="CT1005" s="5" t="s">
        <v>265</v>
      </c>
      <c r="CU1005" s="5" t="s">
        <v>351</v>
      </c>
      <c r="CV1005" s="5" t="s">
        <v>494</v>
      </c>
      <c r="CW1005" s="7">
        <f>0</f>
        <v>0</v>
      </c>
      <c r="CX1005" s="8">
        <f>176040</f>
        <v>176040</v>
      </c>
      <c r="CY1005" s="8">
        <f>88020</f>
        <v>88020</v>
      </c>
      <c r="DA1005" s="5" t="s">
        <v>238</v>
      </c>
      <c r="DB1005" s="5" t="s">
        <v>238</v>
      </c>
      <c r="DD1005" s="5" t="s">
        <v>238</v>
      </c>
      <c r="DE1005" s="8">
        <f>0</f>
        <v>0</v>
      </c>
      <c r="DG1005" s="5" t="s">
        <v>238</v>
      </c>
      <c r="DH1005" s="5" t="s">
        <v>238</v>
      </c>
      <c r="DI1005" s="5" t="s">
        <v>238</v>
      </c>
      <c r="DJ1005" s="5" t="s">
        <v>238</v>
      </c>
      <c r="DK1005" s="5" t="s">
        <v>272</v>
      </c>
      <c r="DL1005" s="5" t="s">
        <v>272</v>
      </c>
      <c r="DM1005" s="8" t="s">
        <v>238</v>
      </c>
      <c r="DN1005" s="5" t="s">
        <v>238</v>
      </c>
      <c r="DO1005" s="5" t="s">
        <v>238</v>
      </c>
      <c r="DP1005" s="5" t="s">
        <v>238</v>
      </c>
      <c r="DQ1005" s="5" t="s">
        <v>238</v>
      </c>
      <c r="DT1005" s="5" t="s">
        <v>495</v>
      </c>
      <c r="DU1005" s="5" t="s">
        <v>274</v>
      </c>
      <c r="GL1005" s="5" t="s">
        <v>496</v>
      </c>
      <c r="HM1005" s="5" t="s">
        <v>379</v>
      </c>
      <c r="HP1005" s="5" t="s">
        <v>272</v>
      </c>
      <c r="HQ1005" s="5" t="s">
        <v>272</v>
      </c>
      <c r="HR1005" s="5" t="s">
        <v>238</v>
      </c>
      <c r="HS1005" s="5" t="s">
        <v>238</v>
      </c>
      <c r="HT1005" s="5" t="s">
        <v>238</v>
      </c>
      <c r="HU1005" s="5" t="s">
        <v>238</v>
      </c>
      <c r="HV1005" s="5" t="s">
        <v>238</v>
      </c>
      <c r="HW1005" s="5" t="s">
        <v>238</v>
      </c>
      <c r="HX1005" s="5" t="s">
        <v>238</v>
      </c>
      <c r="HY1005" s="5" t="s">
        <v>238</v>
      </c>
      <c r="HZ1005" s="5" t="s">
        <v>238</v>
      </c>
      <c r="IA1005" s="5" t="s">
        <v>238</v>
      </c>
      <c r="IB1005" s="5" t="s">
        <v>238</v>
      </c>
      <c r="IC1005" s="5" t="s">
        <v>238</v>
      </c>
      <c r="ID1005" s="5" t="s">
        <v>238</v>
      </c>
    </row>
    <row r="1006" spans="1:238" x14ac:dyDescent="0.4">
      <c r="A1006" s="5">
        <v>1331</v>
      </c>
      <c r="B1006" s="5">
        <v>1</v>
      </c>
      <c r="C1006" s="5">
        <v>4</v>
      </c>
      <c r="D1006" s="5" t="s">
        <v>1980</v>
      </c>
      <c r="E1006" s="5" t="s">
        <v>491</v>
      </c>
      <c r="F1006" s="5" t="s">
        <v>282</v>
      </c>
      <c r="G1006" s="5" t="s">
        <v>1981</v>
      </c>
      <c r="H1006" s="6" t="s">
        <v>1982</v>
      </c>
      <c r="I1006" s="5" t="s">
        <v>1978</v>
      </c>
      <c r="J1006" s="7">
        <f>947.62</f>
        <v>947.62</v>
      </c>
      <c r="K1006" s="5" t="s">
        <v>270</v>
      </c>
      <c r="L1006" s="8">
        <f>7296692</f>
        <v>7296692</v>
      </c>
      <c r="M1006" s="8">
        <f>260595500</f>
        <v>260595500</v>
      </c>
      <c r="N1006" s="6" t="s">
        <v>1127</v>
      </c>
      <c r="O1006" s="5" t="s">
        <v>639</v>
      </c>
      <c r="P1006" s="5" t="s">
        <v>755</v>
      </c>
      <c r="Q1006" s="8">
        <f>7036078</f>
        <v>7036078</v>
      </c>
      <c r="R1006" s="8">
        <f>253298808</f>
        <v>253298808</v>
      </c>
      <c r="S1006" s="5" t="s">
        <v>240</v>
      </c>
      <c r="T1006" s="5" t="s">
        <v>237</v>
      </c>
      <c r="U1006" s="5" t="s">
        <v>238</v>
      </c>
      <c r="V1006" s="5" t="s">
        <v>238</v>
      </c>
      <c r="W1006" s="5" t="s">
        <v>241</v>
      </c>
      <c r="X1006" s="5" t="s">
        <v>453</v>
      </c>
      <c r="Y1006" s="5" t="s">
        <v>238</v>
      </c>
      <c r="AB1006" s="5" t="s">
        <v>238</v>
      </c>
      <c r="AC1006" s="6" t="s">
        <v>238</v>
      </c>
      <c r="AD1006" s="6" t="s">
        <v>238</v>
      </c>
      <c r="AF1006" s="6" t="s">
        <v>238</v>
      </c>
      <c r="AG1006" s="6" t="s">
        <v>246</v>
      </c>
      <c r="AH1006" s="5" t="s">
        <v>247</v>
      </c>
      <c r="AI1006" s="5" t="s">
        <v>248</v>
      </c>
      <c r="AO1006" s="5" t="s">
        <v>238</v>
      </c>
      <c r="AP1006" s="5" t="s">
        <v>238</v>
      </c>
      <c r="AQ1006" s="5" t="s">
        <v>238</v>
      </c>
      <c r="AR1006" s="6" t="s">
        <v>238</v>
      </c>
      <c r="AS1006" s="6" t="s">
        <v>238</v>
      </c>
      <c r="AT1006" s="6" t="s">
        <v>238</v>
      </c>
      <c r="AW1006" s="5" t="s">
        <v>304</v>
      </c>
      <c r="AX1006" s="5" t="s">
        <v>304</v>
      </c>
      <c r="AY1006" s="5" t="s">
        <v>250</v>
      </c>
      <c r="AZ1006" s="5" t="s">
        <v>305</v>
      </c>
      <c r="BA1006" s="5" t="s">
        <v>251</v>
      </c>
      <c r="BB1006" s="5" t="s">
        <v>238</v>
      </c>
      <c r="BC1006" s="5" t="s">
        <v>253</v>
      </c>
      <c r="BD1006" s="5" t="s">
        <v>238</v>
      </c>
      <c r="BF1006" s="5" t="s">
        <v>238</v>
      </c>
      <c r="BH1006" s="5" t="s">
        <v>283</v>
      </c>
      <c r="BI1006" s="6" t="s">
        <v>293</v>
      </c>
      <c r="BJ1006" s="5" t="s">
        <v>294</v>
      </c>
      <c r="BK1006" s="5" t="s">
        <v>294</v>
      </c>
      <c r="BL1006" s="5" t="s">
        <v>238</v>
      </c>
      <c r="BM1006" s="7">
        <f>0</f>
        <v>0</v>
      </c>
      <c r="BN1006" s="8">
        <f>-7036078</f>
        <v>-7036078</v>
      </c>
      <c r="BO1006" s="5" t="s">
        <v>257</v>
      </c>
      <c r="BP1006" s="5" t="s">
        <v>258</v>
      </c>
      <c r="BQ1006" s="5" t="s">
        <v>238</v>
      </c>
      <c r="BR1006" s="5" t="s">
        <v>238</v>
      </c>
      <c r="BS1006" s="5" t="s">
        <v>238</v>
      </c>
      <c r="BT1006" s="5" t="s">
        <v>238</v>
      </c>
      <c r="CC1006" s="5" t="s">
        <v>258</v>
      </c>
      <c r="CD1006" s="5" t="s">
        <v>238</v>
      </c>
      <c r="CE1006" s="5" t="s">
        <v>238</v>
      </c>
      <c r="CI1006" s="5" t="s">
        <v>259</v>
      </c>
      <c r="CJ1006" s="5" t="s">
        <v>260</v>
      </c>
      <c r="CK1006" s="5" t="s">
        <v>238</v>
      </c>
      <c r="CM1006" s="5" t="s">
        <v>689</v>
      </c>
      <c r="CN1006" s="6" t="s">
        <v>262</v>
      </c>
      <c r="CO1006" s="5" t="s">
        <v>263</v>
      </c>
      <c r="CP1006" s="5" t="s">
        <v>264</v>
      </c>
      <c r="CQ1006" s="5" t="s">
        <v>285</v>
      </c>
      <c r="CR1006" s="5" t="s">
        <v>238</v>
      </c>
      <c r="CS1006" s="5">
        <v>2.7E-2</v>
      </c>
      <c r="CT1006" s="5" t="s">
        <v>265</v>
      </c>
      <c r="CU1006" s="5" t="s">
        <v>1333</v>
      </c>
      <c r="CV1006" s="5" t="s">
        <v>649</v>
      </c>
      <c r="CW1006" s="7">
        <f>0</f>
        <v>0</v>
      </c>
      <c r="CX1006" s="8">
        <f>260595500</f>
        <v>260595500</v>
      </c>
      <c r="CY1006" s="8">
        <f>14332770</f>
        <v>14332770</v>
      </c>
      <c r="DA1006" s="5" t="s">
        <v>238</v>
      </c>
      <c r="DB1006" s="5" t="s">
        <v>238</v>
      </c>
      <c r="DD1006" s="5" t="s">
        <v>238</v>
      </c>
      <c r="DE1006" s="8">
        <f>0</f>
        <v>0</v>
      </c>
      <c r="DG1006" s="5" t="s">
        <v>238</v>
      </c>
      <c r="DH1006" s="5" t="s">
        <v>238</v>
      </c>
      <c r="DI1006" s="5" t="s">
        <v>238</v>
      </c>
      <c r="DJ1006" s="5" t="s">
        <v>238</v>
      </c>
      <c r="DK1006" s="5" t="s">
        <v>271</v>
      </c>
      <c r="DL1006" s="5" t="s">
        <v>272</v>
      </c>
      <c r="DM1006" s="7">
        <f>947.62</f>
        <v>947.62</v>
      </c>
      <c r="DN1006" s="5" t="s">
        <v>238</v>
      </c>
      <c r="DO1006" s="5" t="s">
        <v>238</v>
      </c>
      <c r="DP1006" s="5" t="s">
        <v>238</v>
      </c>
      <c r="DQ1006" s="5" t="s">
        <v>238</v>
      </c>
      <c r="DT1006" s="5" t="s">
        <v>1983</v>
      </c>
      <c r="DU1006" s="5" t="s">
        <v>271</v>
      </c>
      <c r="GL1006" s="5" t="s">
        <v>1984</v>
      </c>
      <c r="HM1006" s="5" t="s">
        <v>313</v>
      </c>
      <c r="HP1006" s="5" t="s">
        <v>272</v>
      </c>
      <c r="HQ1006" s="5" t="s">
        <v>272</v>
      </c>
      <c r="HR1006" s="5" t="s">
        <v>238</v>
      </c>
      <c r="HS1006" s="5" t="s">
        <v>238</v>
      </c>
      <c r="HT1006" s="5" t="s">
        <v>238</v>
      </c>
      <c r="HU1006" s="5" t="s">
        <v>238</v>
      </c>
      <c r="HV1006" s="5" t="s">
        <v>238</v>
      </c>
      <c r="HW1006" s="5" t="s">
        <v>238</v>
      </c>
      <c r="HX1006" s="5" t="s">
        <v>238</v>
      </c>
      <c r="HY1006" s="5" t="s">
        <v>238</v>
      </c>
      <c r="HZ1006" s="5" t="s">
        <v>238</v>
      </c>
      <c r="IA1006" s="5" t="s">
        <v>238</v>
      </c>
      <c r="IB1006" s="5" t="s">
        <v>238</v>
      </c>
      <c r="IC1006" s="5" t="s">
        <v>238</v>
      </c>
      <c r="ID1006" s="5" t="s">
        <v>238</v>
      </c>
    </row>
    <row r="1007" spans="1:238" x14ac:dyDescent="0.4">
      <c r="A1007" s="5">
        <v>1332</v>
      </c>
      <c r="B1007" s="5">
        <v>1</v>
      </c>
      <c r="C1007" s="5">
        <v>4</v>
      </c>
      <c r="D1007" s="5" t="s">
        <v>503</v>
      </c>
      <c r="E1007" s="5" t="s">
        <v>491</v>
      </c>
      <c r="F1007" s="5" t="s">
        <v>282</v>
      </c>
      <c r="G1007" s="5" t="s">
        <v>1969</v>
      </c>
      <c r="H1007" s="6" t="s">
        <v>506</v>
      </c>
      <c r="I1007" s="5" t="s">
        <v>1967</v>
      </c>
      <c r="J1007" s="7">
        <f>1124.47</f>
        <v>1124.47</v>
      </c>
      <c r="K1007" s="5" t="s">
        <v>270</v>
      </c>
      <c r="L1007" s="8">
        <f>61603330</f>
        <v>61603330</v>
      </c>
      <c r="M1007" s="8">
        <f>377934367</f>
        <v>377934367</v>
      </c>
      <c r="N1007" s="6" t="s">
        <v>1107</v>
      </c>
      <c r="O1007" s="5" t="s">
        <v>639</v>
      </c>
      <c r="P1007" s="5" t="s">
        <v>690</v>
      </c>
      <c r="Q1007" s="8">
        <f>10204227</f>
        <v>10204227</v>
      </c>
      <c r="R1007" s="8">
        <f>316331037</f>
        <v>316331037</v>
      </c>
      <c r="S1007" s="5" t="s">
        <v>240</v>
      </c>
      <c r="T1007" s="5" t="s">
        <v>237</v>
      </c>
      <c r="U1007" s="5" t="s">
        <v>238</v>
      </c>
      <c r="V1007" s="5" t="s">
        <v>238</v>
      </c>
      <c r="W1007" s="5" t="s">
        <v>241</v>
      </c>
      <c r="X1007" s="5" t="s">
        <v>453</v>
      </c>
      <c r="Y1007" s="5" t="s">
        <v>238</v>
      </c>
      <c r="AB1007" s="5" t="s">
        <v>238</v>
      </c>
      <c r="AC1007" s="6" t="s">
        <v>238</v>
      </c>
      <c r="AD1007" s="6" t="s">
        <v>238</v>
      </c>
      <c r="AF1007" s="6" t="s">
        <v>238</v>
      </c>
      <c r="AG1007" s="6" t="s">
        <v>246</v>
      </c>
      <c r="AH1007" s="5" t="s">
        <v>247</v>
      </c>
      <c r="AI1007" s="5" t="s">
        <v>248</v>
      </c>
      <c r="AO1007" s="5" t="s">
        <v>238</v>
      </c>
      <c r="AP1007" s="5" t="s">
        <v>238</v>
      </c>
      <c r="AQ1007" s="5" t="s">
        <v>238</v>
      </c>
      <c r="AR1007" s="6" t="s">
        <v>238</v>
      </c>
      <c r="AS1007" s="6" t="s">
        <v>238</v>
      </c>
      <c r="AT1007" s="6" t="s">
        <v>238</v>
      </c>
      <c r="AW1007" s="5" t="s">
        <v>304</v>
      </c>
      <c r="AX1007" s="5" t="s">
        <v>304</v>
      </c>
      <c r="AY1007" s="5" t="s">
        <v>250</v>
      </c>
      <c r="AZ1007" s="5" t="s">
        <v>305</v>
      </c>
      <c r="BA1007" s="5" t="s">
        <v>251</v>
      </c>
      <c r="BB1007" s="5" t="s">
        <v>238</v>
      </c>
      <c r="BC1007" s="5" t="s">
        <v>253</v>
      </c>
      <c r="BD1007" s="5" t="s">
        <v>238</v>
      </c>
      <c r="BF1007" s="5" t="s">
        <v>710</v>
      </c>
      <c r="BH1007" s="5" t="s">
        <v>283</v>
      </c>
      <c r="BI1007" s="6" t="s">
        <v>293</v>
      </c>
      <c r="BJ1007" s="5" t="s">
        <v>294</v>
      </c>
      <c r="BK1007" s="5" t="s">
        <v>294</v>
      </c>
      <c r="BL1007" s="5" t="s">
        <v>238</v>
      </c>
      <c r="BM1007" s="7">
        <f>0</f>
        <v>0</v>
      </c>
      <c r="BN1007" s="8">
        <f>-10204227</f>
        <v>-10204227</v>
      </c>
      <c r="BO1007" s="5" t="s">
        <v>257</v>
      </c>
      <c r="BP1007" s="5" t="s">
        <v>258</v>
      </c>
      <c r="BQ1007" s="5" t="s">
        <v>238</v>
      </c>
      <c r="BR1007" s="5" t="s">
        <v>238</v>
      </c>
      <c r="BS1007" s="5" t="s">
        <v>238</v>
      </c>
      <c r="BT1007" s="5" t="s">
        <v>238</v>
      </c>
      <c r="CC1007" s="5" t="s">
        <v>258</v>
      </c>
      <c r="CD1007" s="5" t="s">
        <v>238</v>
      </c>
      <c r="CE1007" s="5" t="s">
        <v>238</v>
      </c>
      <c r="CI1007" s="5" t="s">
        <v>259</v>
      </c>
      <c r="CJ1007" s="5" t="s">
        <v>260</v>
      </c>
      <c r="CK1007" s="5" t="s">
        <v>238</v>
      </c>
      <c r="CM1007" s="5" t="s">
        <v>768</v>
      </c>
      <c r="CN1007" s="6" t="s">
        <v>262</v>
      </c>
      <c r="CO1007" s="5" t="s">
        <v>263</v>
      </c>
      <c r="CP1007" s="5" t="s">
        <v>264</v>
      </c>
      <c r="CQ1007" s="5" t="s">
        <v>285</v>
      </c>
      <c r="CR1007" s="5" t="s">
        <v>238</v>
      </c>
      <c r="CS1007" s="5">
        <v>2.7E-2</v>
      </c>
      <c r="CT1007" s="5" t="s">
        <v>265</v>
      </c>
      <c r="CU1007" s="5" t="s">
        <v>1333</v>
      </c>
      <c r="CV1007" s="5" t="s">
        <v>649</v>
      </c>
      <c r="CW1007" s="7">
        <f>0</f>
        <v>0</v>
      </c>
      <c r="CX1007" s="8">
        <f>377934367</f>
        <v>377934367</v>
      </c>
      <c r="CY1007" s="8">
        <f>71807557</f>
        <v>71807557</v>
      </c>
      <c r="DA1007" s="5" t="s">
        <v>238</v>
      </c>
      <c r="DB1007" s="5" t="s">
        <v>238</v>
      </c>
      <c r="DD1007" s="5" t="s">
        <v>238</v>
      </c>
      <c r="DE1007" s="8">
        <f>0</f>
        <v>0</v>
      </c>
      <c r="DG1007" s="5" t="s">
        <v>238</v>
      </c>
      <c r="DH1007" s="5" t="s">
        <v>238</v>
      </c>
      <c r="DI1007" s="5" t="s">
        <v>238</v>
      </c>
      <c r="DJ1007" s="5" t="s">
        <v>238</v>
      </c>
      <c r="DK1007" s="5" t="s">
        <v>271</v>
      </c>
      <c r="DL1007" s="5" t="s">
        <v>272</v>
      </c>
      <c r="DM1007" s="7">
        <f>1124.47</f>
        <v>1124.47</v>
      </c>
      <c r="DN1007" s="5" t="s">
        <v>238</v>
      </c>
      <c r="DO1007" s="5" t="s">
        <v>238</v>
      </c>
      <c r="DP1007" s="5" t="s">
        <v>238</v>
      </c>
      <c r="DQ1007" s="5" t="s">
        <v>238</v>
      </c>
      <c r="DT1007" s="5" t="s">
        <v>507</v>
      </c>
      <c r="DU1007" s="5" t="s">
        <v>271</v>
      </c>
      <c r="GL1007" s="5" t="s">
        <v>1977</v>
      </c>
      <c r="HM1007" s="5" t="s">
        <v>313</v>
      </c>
      <c r="HP1007" s="5" t="s">
        <v>272</v>
      </c>
      <c r="HQ1007" s="5" t="s">
        <v>272</v>
      </c>
      <c r="HR1007" s="5" t="s">
        <v>238</v>
      </c>
      <c r="HS1007" s="5" t="s">
        <v>238</v>
      </c>
      <c r="HT1007" s="5" t="s">
        <v>238</v>
      </c>
      <c r="HU1007" s="5" t="s">
        <v>238</v>
      </c>
      <c r="HV1007" s="5" t="s">
        <v>238</v>
      </c>
      <c r="HW1007" s="5" t="s">
        <v>238</v>
      </c>
      <c r="HX1007" s="5" t="s">
        <v>238</v>
      </c>
      <c r="HY1007" s="5" t="s">
        <v>238</v>
      </c>
      <c r="HZ1007" s="5" t="s">
        <v>238</v>
      </c>
      <c r="IA1007" s="5" t="s">
        <v>238</v>
      </c>
      <c r="IB1007" s="5" t="s">
        <v>238</v>
      </c>
      <c r="IC1007" s="5" t="s">
        <v>238</v>
      </c>
      <c r="ID1007" s="5" t="s">
        <v>238</v>
      </c>
    </row>
    <row r="1008" spans="1:238" x14ac:dyDescent="0.4">
      <c r="A1008" s="5">
        <v>1333</v>
      </c>
      <c r="B1008" s="5">
        <v>1</v>
      </c>
      <c r="C1008" s="5">
        <v>4</v>
      </c>
      <c r="D1008" s="5" t="s">
        <v>503</v>
      </c>
      <c r="E1008" s="5" t="s">
        <v>491</v>
      </c>
      <c r="F1008" s="5" t="s">
        <v>282</v>
      </c>
      <c r="G1008" s="5" t="s">
        <v>505</v>
      </c>
      <c r="H1008" s="6" t="s">
        <v>506</v>
      </c>
      <c r="I1008" s="5" t="s">
        <v>502</v>
      </c>
      <c r="J1008" s="7">
        <f>0</f>
        <v>0</v>
      </c>
      <c r="K1008" s="5" t="s">
        <v>270</v>
      </c>
      <c r="L1008" s="8">
        <f>2039690</f>
        <v>2039690</v>
      </c>
      <c r="M1008" s="8">
        <f>3067200</f>
        <v>3067200</v>
      </c>
      <c r="N1008" s="6" t="s">
        <v>504</v>
      </c>
      <c r="O1008" s="5" t="s">
        <v>268</v>
      </c>
      <c r="P1008" s="5" t="s">
        <v>356</v>
      </c>
      <c r="Q1008" s="8">
        <f>205502</f>
        <v>205502</v>
      </c>
      <c r="R1008" s="8">
        <f>1027510</f>
        <v>1027510</v>
      </c>
      <c r="S1008" s="5" t="s">
        <v>240</v>
      </c>
      <c r="T1008" s="5" t="s">
        <v>287</v>
      </c>
      <c r="U1008" s="5" t="s">
        <v>238</v>
      </c>
      <c r="V1008" s="5" t="s">
        <v>238</v>
      </c>
      <c r="W1008" s="5" t="s">
        <v>241</v>
      </c>
      <c r="X1008" s="5" t="s">
        <v>453</v>
      </c>
      <c r="Y1008" s="5" t="s">
        <v>238</v>
      </c>
      <c r="AB1008" s="5" t="s">
        <v>238</v>
      </c>
      <c r="AC1008" s="6" t="s">
        <v>238</v>
      </c>
      <c r="AD1008" s="6" t="s">
        <v>238</v>
      </c>
      <c r="AF1008" s="6" t="s">
        <v>238</v>
      </c>
      <c r="AG1008" s="6" t="s">
        <v>246</v>
      </c>
      <c r="AH1008" s="5" t="s">
        <v>247</v>
      </c>
      <c r="AI1008" s="5" t="s">
        <v>248</v>
      </c>
      <c r="AO1008" s="5" t="s">
        <v>238</v>
      </c>
      <c r="AP1008" s="5" t="s">
        <v>238</v>
      </c>
      <c r="AQ1008" s="5" t="s">
        <v>238</v>
      </c>
      <c r="AR1008" s="6" t="s">
        <v>238</v>
      </c>
      <c r="AS1008" s="6" t="s">
        <v>238</v>
      </c>
      <c r="AT1008" s="6" t="s">
        <v>238</v>
      </c>
      <c r="AW1008" s="5" t="s">
        <v>304</v>
      </c>
      <c r="AX1008" s="5" t="s">
        <v>304</v>
      </c>
      <c r="AY1008" s="5" t="s">
        <v>250</v>
      </c>
      <c r="AZ1008" s="5" t="s">
        <v>305</v>
      </c>
      <c r="BA1008" s="5" t="s">
        <v>251</v>
      </c>
      <c r="BB1008" s="5" t="s">
        <v>238</v>
      </c>
      <c r="BC1008" s="5" t="s">
        <v>253</v>
      </c>
      <c r="BD1008" s="5" t="s">
        <v>238</v>
      </c>
      <c r="BF1008" s="5" t="s">
        <v>238</v>
      </c>
      <c r="BH1008" s="5" t="s">
        <v>283</v>
      </c>
      <c r="BI1008" s="6" t="s">
        <v>293</v>
      </c>
      <c r="BJ1008" s="5" t="s">
        <v>294</v>
      </c>
      <c r="BK1008" s="5" t="s">
        <v>294</v>
      </c>
      <c r="BL1008" s="5" t="s">
        <v>238</v>
      </c>
      <c r="BM1008" s="7">
        <f>0</f>
        <v>0</v>
      </c>
      <c r="BN1008" s="8">
        <f>-205502</f>
        <v>-205502</v>
      </c>
      <c r="BO1008" s="5" t="s">
        <v>257</v>
      </c>
      <c r="BP1008" s="5" t="s">
        <v>258</v>
      </c>
      <c r="BQ1008" s="5" t="s">
        <v>238</v>
      </c>
      <c r="BR1008" s="5" t="s">
        <v>238</v>
      </c>
      <c r="BS1008" s="5" t="s">
        <v>238</v>
      </c>
      <c r="BT1008" s="5" t="s">
        <v>238</v>
      </c>
      <c r="CC1008" s="5" t="s">
        <v>258</v>
      </c>
      <c r="CD1008" s="5" t="s">
        <v>238</v>
      </c>
      <c r="CE1008" s="5" t="s">
        <v>238</v>
      </c>
      <c r="CI1008" s="5" t="s">
        <v>259</v>
      </c>
      <c r="CJ1008" s="5" t="s">
        <v>260</v>
      </c>
      <c r="CK1008" s="5" t="s">
        <v>238</v>
      </c>
      <c r="CM1008" s="5" t="s">
        <v>376</v>
      </c>
      <c r="CN1008" s="6" t="s">
        <v>262</v>
      </c>
      <c r="CO1008" s="5" t="s">
        <v>263</v>
      </c>
      <c r="CP1008" s="5" t="s">
        <v>264</v>
      </c>
      <c r="CQ1008" s="5" t="s">
        <v>285</v>
      </c>
      <c r="CR1008" s="5" t="s">
        <v>238</v>
      </c>
      <c r="CS1008" s="5">
        <v>6.7000000000000004E-2</v>
      </c>
      <c r="CT1008" s="5" t="s">
        <v>265</v>
      </c>
      <c r="CU1008" s="5" t="s">
        <v>351</v>
      </c>
      <c r="CV1008" s="5" t="s">
        <v>365</v>
      </c>
      <c r="CW1008" s="7">
        <f>0</f>
        <v>0</v>
      </c>
      <c r="CX1008" s="8">
        <f>3067200</f>
        <v>3067200</v>
      </c>
      <c r="CY1008" s="8">
        <f>2245192</f>
        <v>2245192</v>
      </c>
      <c r="DA1008" s="5" t="s">
        <v>238</v>
      </c>
      <c r="DB1008" s="5" t="s">
        <v>238</v>
      </c>
      <c r="DD1008" s="5" t="s">
        <v>238</v>
      </c>
      <c r="DE1008" s="8">
        <f>0</f>
        <v>0</v>
      </c>
      <c r="DG1008" s="5" t="s">
        <v>238</v>
      </c>
      <c r="DH1008" s="5" t="s">
        <v>238</v>
      </c>
      <c r="DI1008" s="5" t="s">
        <v>238</v>
      </c>
      <c r="DJ1008" s="5" t="s">
        <v>238</v>
      </c>
      <c r="DK1008" s="5" t="s">
        <v>272</v>
      </c>
      <c r="DL1008" s="5" t="s">
        <v>272</v>
      </c>
      <c r="DM1008" s="8" t="s">
        <v>238</v>
      </c>
      <c r="DN1008" s="5" t="s">
        <v>238</v>
      </c>
      <c r="DO1008" s="5" t="s">
        <v>238</v>
      </c>
      <c r="DP1008" s="5" t="s">
        <v>238</v>
      </c>
      <c r="DQ1008" s="5" t="s">
        <v>238</v>
      </c>
      <c r="DT1008" s="5" t="s">
        <v>507</v>
      </c>
      <c r="DU1008" s="5" t="s">
        <v>274</v>
      </c>
      <c r="GL1008" s="5" t="s">
        <v>508</v>
      </c>
      <c r="HM1008" s="5" t="s">
        <v>379</v>
      </c>
      <c r="HP1008" s="5" t="s">
        <v>272</v>
      </c>
      <c r="HQ1008" s="5" t="s">
        <v>272</v>
      </c>
      <c r="HR1008" s="5" t="s">
        <v>238</v>
      </c>
      <c r="HS1008" s="5" t="s">
        <v>238</v>
      </c>
      <c r="HT1008" s="5" t="s">
        <v>238</v>
      </c>
      <c r="HU1008" s="5" t="s">
        <v>238</v>
      </c>
      <c r="HV1008" s="5" t="s">
        <v>238</v>
      </c>
      <c r="HW1008" s="5" t="s">
        <v>238</v>
      </c>
      <c r="HX1008" s="5" t="s">
        <v>238</v>
      </c>
      <c r="HY1008" s="5" t="s">
        <v>238</v>
      </c>
      <c r="HZ1008" s="5" t="s">
        <v>238</v>
      </c>
      <c r="IA1008" s="5" t="s">
        <v>238</v>
      </c>
      <c r="IB1008" s="5" t="s">
        <v>238</v>
      </c>
      <c r="IC1008" s="5" t="s">
        <v>238</v>
      </c>
      <c r="ID1008" s="5" t="s">
        <v>238</v>
      </c>
    </row>
    <row r="1009" spans="1:238" x14ac:dyDescent="0.4">
      <c r="A1009" s="5">
        <v>1334</v>
      </c>
      <c r="B1009" s="5">
        <v>1</v>
      </c>
      <c r="C1009" s="5">
        <v>4</v>
      </c>
      <c r="D1009" s="5" t="s">
        <v>1968</v>
      </c>
      <c r="E1009" s="5" t="s">
        <v>491</v>
      </c>
      <c r="F1009" s="5" t="s">
        <v>282</v>
      </c>
      <c r="G1009" s="5" t="s">
        <v>1969</v>
      </c>
      <c r="H1009" s="6" t="s">
        <v>1970</v>
      </c>
      <c r="I1009" s="5" t="s">
        <v>1967</v>
      </c>
      <c r="J1009" s="7">
        <f>680.58</f>
        <v>680.58</v>
      </c>
      <c r="K1009" s="5" t="s">
        <v>270</v>
      </c>
      <c r="L1009" s="8">
        <f>131106940</f>
        <v>131106940</v>
      </c>
      <c r="M1009" s="8">
        <f>234119520</f>
        <v>234119520</v>
      </c>
      <c r="N1009" s="6" t="s">
        <v>708</v>
      </c>
      <c r="O1009" s="5" t="s">
        <v>279</v>
      </c>
      <c r="P1009" s="5" t="s">
        <v>712</v>
      </c>
      <c r="Q1009" s="8">
        <f>4682390</f>
        <v>4682390</v>
      </c>
      <c r="R1009" s="8">
        <f>103012580</f>
        <v>103012580</v>
      </c>
      <c r="S1009" s="5" t="s">
        <v>240</v>
      </c>
      <c r="T1009" s="5" t="s">
        <v>237</v>
      </c>
      <c r="U1009" s="5" t="s">
        <v>238</v>
      </c>
      <c r="V1009" s="5" t="s">
        <v>238</v>
      </c>
      <c r="W1009" s="5" t="s">
        <v>241</v>
      </c>
      <c r="X1009" s="5" t="s">
        <v>453</v>
      </c>
      <c r="Y1009" s="5" t="s">
        <v>238</v>
      </c>
      <c r="AB1009" s="5" t="s">
        <v>238</v>
      </c>
      <c r="AC1009" s="6" t="s">
        <v>238</v>
      </c>
      <c r="AD1009" s="6" t="s">
        <v>238</v>
      </c>
      <c r="AF1009" s="6" t="s">
        <v>238</v>
      </c>
      <c r="AG1009" s="6" t="s">
        <v>246</v>
      </c>
      <c r="AH1009" s="5" t="s">
        <v>247</v>
      </c>
      <c r="AI1009" s="5" t="s">
        <v>248</v>
      </c>
      <c r="AO1009" s="5" t="s">
        <v>238</v>
      </c>
      <c r="AP1009" s="5" t="s">
        <v>238</v>
      </c>
      <c r="AQ1009" s="5" t="s">
        <v>238</v>
      </c>
      <c r="AR1009" s="6" t="s">
        <v>238</v>
      </c>
      <c r="AS1009" s="6" t="s">
        <v>238</v>
      </c>
      <c r="AT1009" s="6" t="s">
        <v>238</v>
      </c>
      <c r="AW1009" s="5" t="s">
        <v>304</v>
      </c>
      <c r="AX1009" s="5" t="s">
        <v>304</v>
      </c>
      <c r="AY1009" s="5" t="s">
        <v>250</v>
      </c>
      <c r="AZ1009" s="5" t="s">
        <v>305</v>
      </c>
      <c r="BA1009" s="5" t="s">
        <v>251</v>
      </c>
      <c r="BB1009" s="5" t="s">
        <v>238</v>
      </c>
      <c r="BC1009" s="5" t="s">
        <v>253</v>
      </c>
      <c r="BD1009" s="5" t="s">
        <v>238</v>
      </c>
      <c r="BF1009" s="5" t="s">
        <v>238</v>
      </c>
      <c r="BH1009" s="5" t="s">
        <v>283</v>
      </c>
      <c r="BI1009" s="6" t="s">
        <v>293</v>
      </c>
      <c r="BJ1009" s="5" t="s">
        <v>294</v>
      </c>
      <c r="BK1009" s="5" t="s">
        <v>294</v>
      </c>
      <c r="BL1009" s="5" t="s">
        <v>238</v>
      </c>
      <c r="BM1009" s="7">
        <f>0</f>
        <v>0</v>
      </c>
      <c r="BN1009" s="8">
        <f>-4682390</f>
        <v>-4682390</v>
      </c>
      <c r="BO1009" s="5" t="s">
        <v>257</v>
      </c>
      <c r="BP1009" s="5" t="s">
        <v>258</v>
      </c>
      <c r="BQ1009" s="5" t="s">
        <v>238</v>
      </c>
      <c r="BR1009" s="5" t="s">
        <v>238</v>
      </c>
      <c r="BS1009" s="5" t="s">
        <v>238</v>
      </c>
      <c r="BT1009" s="5" t="s">
        <v>238</v>
      </c>
      <c r="CC1009" s="5" t="s">
        <v>258</v>
      </c>
      <c r="CD1009" s="5" t="s">
        <v>238</v>
      </c>
      <c r="CE1009" s="5" t="s">
        <v>238</v>
      </c>
      <c r="CI1009" s="5" t="s">
        <v>259</v>
      </c>
      <c r="CJ1009" s="5" t="s">
        <v>260</v>
      </c>
      <c r="CK1009" s="5" t="s">
        <v>238</v>
      </c>
      <c r="CM1009" s="5" t="s">
        <v>711</v>
      </c>
      <c r="CN1009" s="6" t="s">
        <v>262</v>
      </c>
      <c r="CO1009" s="5" t="s">
        <v>263</v>
      </c>
      <c r="CP1009" s="5" t="s">
        <v>264</v>
      </c>
      <c r="CQ1009" s="5" t="s">
        <v>285</v>
      </c>
      <c r="CR1009" s="5" t="s">
        <v>238</v>
      </c>
      <c r="CS1009" s="5">
        <v>0.02</v>
      </c>
      <c r="CT1009" s="5" t="s">
        <v>265</v>
      </c>
      <c r="CU1009" s="5" t="s">
        <v>1333</v>
      </c>
      <c r="CV1009" s="5" t="s">
        <v>308</v>
      </c>
      <c r="CW1009" s="7">
        <f>0</f>
        <v>0</v>
      </c>
      <c r="CX1009" s="8">
        <f>234119520</f>
        <v>234119520</v>
      </c>
      <c r="CY1009" s="8">
        <f>135789330</f>
        <v>135789330</v>
      </c>
      <c r="DA1009" s="5" t="s">
        <v>238</v>
      </c>
      <c r="DB1009" s="5" t="s">
        <v>238</v>
      </c>
      <c r="DD1009" s="5" t="s">
        <v>238</v>
      </c>
      <c r="DE1009" s="8">
        <f>0</f>
        <v>0</v>
      </c>
      <c r="DG1009" s="5" t="s">
        <v>238</v>
      </c>
      <c r="DH1009" s="5" t="s">
        <v>238</v>
      </c>
      <c r="DI1009" s="5" t="s">
        <v>238</v>
      </c>
      <c r="DJ1009" s="5" t="s">
        <v>238</v>
      </c>
      <c r="DK1009" s="5" t="s">
        <v>271</v>
      </c>
      <c r="DL1009" s="5" t="s">
        <v>272</v>
      </c>
      <c r="DM1009" s="7">
        <f>680.58</f>
        <v>680.58</v>
      </c>
      <c r="DN1009" s="5" t="s">
        <v>238</v>
      </c>
      <c r="DO1009" s="5" t="s">
        <v>238</v>
      </c>
      <c r="DP1009" s="5" t="s">
        <v>238</v>
      </c>
      <c r="DQ1009" s="5" t="s">
        <v>238</v>
      </c>
      <c r="DT1009" s="5" t="s">
        <v>1971</v>
      </c>
      <c r="DU1009" s="5" t="s">
        <v>271</v>
      </c>
      <c r="GL1009" s="5" t="s">
        <v>1972</v>
      </c>
      <c r="HM1009" s="5" t="s">
        <v>313</v>
      </c>
      <c r="HP1009" s="5" t="s">
        <v>272</v>
      </c>
      <c r="HQ1009" s="5" t="s">
        <v>272</v>
      </c>
      <c r="HR1009" s="5" t="s">
        <v>238</v>
      </c>
      <c r="HS1009" s="5" t="s">
        <v>238</v>
      </c>
      <c r="HT1009" s="5" t="s">
        <v>238</v>
      </c>
      <c r="HU1009" s="5" t="s">
        <v>238</v>
      </c>
      <c r="HV1009" s="5" t="s">
        <v>238</v>
      </c>
      <c r="HW1009" s="5" t="s">
        <v>238</v>
      </c>
      <c r="HX1009" s="5" t="s">
        <v>238</v>
      </c>
      <c r="HY1009" s="5" t="s">
        <v>238</v>
      </c>
      <c r="HZ1009" s="5" t="s">
        <v>238</v>
      </c>
      <c r="IA1009" s="5" t="s">
        <v>238</v>
      </c>
      <c r="IB1009" s="5" t="s">
        <v>238</v>
      </c>
      <c r="IC1009" s="5" t="s">
        <v>238</v>
      </c>
      <c r="ID1009" s="5" t="s">
        <v>238</v>
      </c>
    </row>
    <row r="1010" spans="1:238" x14ac:dyDescent="0.4">
      <c r="A1010" s="5">
        <v>1337</v>
      </c>
      <c r="B1010" s="5">
        <v>1</v>
      </c>
      <c r="C1010" s="5">
        <v>1</v>
      </c>
      <c r="D1010" s="5" t="s">
        <v>510</v>
      </c>
      <c r="E1010" s="5" t="s">
        <v>338</v>
      </c>
      <c r="F1010" s="5" t="s">
        <v>282</v>
      </c>
      <c r="G1010" s="5" t="s">
        <v>2265</v>
      </c>
      <c r="H1010" s="6" t="s">
        <v>512</v>
      </c>
      <c r="I1010" s="5" t="s">
        <v>2263</v>
      </c>
      <c r="J1010" s="7">
        <f>48.75</f>
        <v>48.75</v>
      </c>
      <c r="K1010" s="5" t="s">
        <v>270</v>
      </c>
      <c r="L1010" s="8">
        <f>1</f>
        <v>1</v>
      </c>
      <c r="M1010" s="8">
        <f>10481250</f>
        <v>10481250</v>
      </c>
      <c r="N1010" s="6" t="s">
        <v>2264</v>
      </c>
      <c r="O1010" s="5" t="s">
        <v>268</v>
      </c>
      <c r="P1010" s="5" t="s">
        <v>268</v>
      </c>
      <c r="R1010" s="8">
        <f>10481249</f>
        <v>10481249</v>
      </c>
      <c r="S1010" s="5" t="s">
        <v>240</v>
      </c>
      <c r="T1010" s="5" t="s">
        <v>237</v>
      </c>
      <c r="U1010" s="5" t="s">
        <v>238</v>
      </c>
      <c r="V1010" s="5" t="s">
        <v>238</v>
      </c>
      <c r="W1010" s="5" t="s">
        <v>241</v>
      </c>
      <c r="X1010" s="5" t="s">
        <v>453</v>
      </c>
      <c r="Y1010" s="5" t="s">
        <v>238</v>
      </c>
      <c r="AB1010" s="5" t="s">
        <v>238</v>
      </c>
      <c r="AD1010" s="6" t="s">
        <v>238</v>
      </c>
      <c r="AG1010" s="6" t="s">
        <v>246</v>
      </c>
      <c r="AH1010" s="5" t="s">
        <v>247</v>
      </c>
      <c r="AI1010" s="5" t="s">
        <v>248</v>
      </c>
      <c r="AY1010" s="5" t="s">
        <v>250</v>
      </c>
      <c r="AZ1010" s="5" t="s">
        <v>238</v>
      </c>
      <c r="BA1010" s="5" t="s">
        <v>251</v>
      </c>
      <c r="BB1010" s="5" t="s">
        <v>238</v>
      </c>
      <c r="BC1010" s="5" t="s">
        <v>253</v>
      </c>
      <c r="BD1010" s="5" t="s">
        <v>238</v>
      </c>
      <c r="BF1010" s="5" t="s">
        <v>238</v>
      </c>
      <c r="BH1010" s="5" t="s">
        <v>254</v>
      </c>
      <c r="BI1010" s="6" t="s">
        <v>246</v>
      </c>
      <c r="BJ1010" s="5" t="s">
        <v>255</v>
      </c>
      <c r="BK1010" s="5" t="s">
        <v>294</v>
      </c>
      <c r="BL1010" s="5" t="s">
        <v>238</v>
      </c>
      <c r="BM1010" s="7">
        <f>0</f>
        <v>0</v>
      </c>
      <c r="BN1010" s="8">
        <f>0</f>
        <v>0</v>
      </c>
      <c r="BO1010" s="5" t="s">
        <v>257</v>
      </c>
      <c r="BP1010" s="5" t="s">
        <v>258</v>
      </c>
      <c r="CD1010" s="5" t="s">
        <v>238</v>
      </c>
      <c r="CE1010" s="5" t="s">
        <v>238</v>
      </c>
      <c r="CI1010" s="5" t="s">
        <v>259</v>
      </c>
      <c r="CJ1010" s="5" t="s">
        <v>260</v>
      </c>
      <c r="CK1010" s="5" t="s">
        <v>238</v>
      </c>
      <c r="CM1010" s="5" t="s">
        <v>1357</v>
      </c>
      <c r="CN1010" s="6" t="s">
        <v>262</v>
      </c>
      <c r="CO1010" s="5" t="s">
        <v>263</v>
      </c>
      <c r="CP1010" s="5" t="s">
        <v>264</v>
      </c>
      <c r="CQ1010" s="5" t="s">
        <v>238</v>
      </c>
      <c r="CR1010" s="5" t="s">
        <v>238</v>
      </c>
      <c r="CS1010" s="5">
        <v>0</v>
      </c>
      <c r="CT1010" s="5" t="s">
        <v>265</v>
      </c>
      <c r="CU1010" s="5" t="s">
        <v>2254</v>
      </c>
      <c r="CV1010" s="5" t="s">
        <v>267</v>
      </c>
      <c r="CX1010" s="8">
        <f>10481250</f>
        <v>10481250</v>
      </c>
      <c r="CY1010" s="8">
        <f>0</f>
        <v>0</v>
      </c>
      <c r="DA1010" s="5" t="s">
        <v>238</v>
      </c>
      <c r="DB1010" s="5" t="s">
        <v>238</v>
      </c>
      <c r="DD1010" s="5" t="s">
        <v>238</v>
      </c>
      <c r="DG1010" s="5" t="s">
        <v>238</v>
      </c>
      <c r="DH1010" s="5" t="s">
        <v>238</v>
      </c>
      <c r="DI1010" s="5" t="s">
        <v>238</v>
      </c>
      <c r="DJ1010" s="5" t="s">
        <v>238</v>
      </c>
      <c r="DK1010" s="5" t="s">
        <v>271</v>
      </c>
      <c r="DL1010" s="5" t="s">
        <v>272</v>
      </c>
      <c r="DM1010" s="7">
        <f>48.75</f>
        <v>48.75</v>
      </c>
      <c r="DN1010" s="5" t="s">
        <v>238</v>
      </c>
      <c r="DO1010" s="5" t="s">
        <v>238</v>
      </c>
      <c r="DP1010" s="5" t="s">
        <v>238</v>
      </c>
      <c r="DQ1010" s="5" t="s">
        <v>238</v>
      </c>
      <c r="DT1010" s="5" t="s">
        <v>513</v>
      </c>
      <c r="DU1010" s="5" t="s">
        <v>356</v>
      </c>
      <c r="HM1010" s="5" t="s">
        <v>313</v>
      </c>
      <c r="HP1010" s="5" t="s">
        <v>272</v>
      </c>
      <c r="HQ1010" s="5" t="s">
        <v>272</v>
      </c>
    </row>
    <row r="1011" spans="1:238" x14ac:dyDescent="0.4">
      <c r="A1011" s="5">
        <v>1338</v>
      </c>
      <c r="B1011" s="5">
        <v>1</v>
      </c>
      <c r="C1011" s="5">
        <v>1</v>
      </c>
      <c r="D1011" s="5" t="s">
        <v>510</v>
      </c>
      <c r="E1011" s="5" t="s">
        <v>338</v>
      </c>
      <c r="F1011" s="5" t="s">
        <v>282</v>
      </c>
      <c r="G1011" s="5" t="s">
        <v>1979</v>
      </c>
      <c r="H1011" s="6" t="s">
        <v>512</v>
      </c>
      <c r="I1011" s="5" t="s">
        <v>1978</v>
      </c>
      <c r="J1011" s="7">
        <f>610.21</f>
        <v>610.21</v>
      </c>
      <c r="K1011" s="5" t="s">
        <v>270</v>
      </c>
      <c r="L1011" s="8">
        <f>1</f>
        <v>1</v>
      </c>
      <c r="M1011" s="8">
        <f>54918900</f>
        <v>54918900</v>
      </c>
      <c r="N1011" s="6" t="s">
        <v>1117</v>
      </c>
      <c r="O1011" s="5" t="s">
        <v>639</v>
      </c>
      <c r="P1011" s="5" t="s">
        <v>639</v>
      </c>
      <c r="R1011" s="8">
        <f>54918899</f>
        <v>54918899</v>
      </c>
      <c r="S1011" s="5" t="s">
        <v>240</v>
      </c>
      <c r="T1011" s="5" t="s">
        <v>237</v>
      </c>
      <c r="U1011" s="5" t="s">
        <v>238</v>
      </c>
      <c r="V1011" s="5" t="s">
        <v>238</v>
      </c>
      <c r="W1011" s="5" t="s">
        <v>241</v>
      </c>
      <c r="X1011" s="5" t="s">
        <v>453</v>
      </c>
      <c r="Y1011" s="5" t="s">
        <v>238</v>
      </c>
      <c r="AB1011" s="5" t="s">
        <v>238</v>
      </c>
      <c r="AD1011" s="6" t="s">
        <v>238</v>
      </c>
      <c r="AG1011" s="6" t="s">
        <v>246</v>
      </c>
      <c r="AH1011" s="5" t="s">
        <v>247</v>
      </c>
      <c r="AI1011" s="5" t="s">
        <v>248</v>
      </c>
      <c r="AY1011" s="5" t="s">
        <v>250</v>
      </c>
      <c r="AZ1011" s="5" t="s">
        <v>238</v>
      </c>
      <c r="BA1011" s="5" t="s">
        <v>251</v>
      </c>
      <c r="BB1011" s="5" t="s">
        <v>238</v>
      </c>
      <c r="BC1011" s="5" t="s">
        <v>253</v>
      </c>
      <c r="BD1011" s="5" t="s">
        <v>238</v>
      </c>
      <c r="BF1011" s="5" t="s">
        <v>238</v>
      </c>
      <c r="BH1011" s="5" t="s">
        <v>254</v>
      </c>
      <c r="BI1011" s="6" t="s">
        <v>246</v>
      </c>
      <c r="BJ1011" s="5" t="s">
        <v>255</v>
      </c>
      <c r="BK1011" s="5" t="s">
        <v>294</v>
      </c>
      <c r="BL1011" s="5" t="s">
        <v>238</v>
      </c>
      <c r="BM1011" s="7">
        <f>0</f>
        <v>0</v>
      </c>
      <c r="BN1011" s="8">
        <f>0</f>
        <v>0</v>
      </c>
      <c r="BO1011" s="5" t="s">
        <v>257</v>
      </c>
      <c r="BP1011" s="5" t="s">
        <v>258</v>
      </c>
      <c r="CD1011" s="5" t="s">
        <v>238</v>
      </c>
      <c r="CE1011" s="5" t="s">
        <v>238</v>
      </c>
      <c r="CI1011" s="5" t="s">
        <v>527</v>
      </c>
      <c r="CJ1011" s="5" t="s">
        <v>260</v>
      </c>
      <c r="CK1011" s="5" t="s">
        <v>238</v>
      </c>
      <c r="CM1011" s="5" t="s">
        <v>970</v>
      </c>
      <c r="CN1011" s="6" t="s">
        <v>262</v>
      </c>
      <c r="CO1011" s="5" t="s">
        <v>263</v>
      </c>
      <c r="CP1011" s="5" t="s">
        <v>264</v>
      </c>
      <c r="CQ1011" s="5" t="s">
        <v>238</v>
      </c>
      <c r="CR1011" s="5" t="s">
        <v>238</v>
      </c>
      <c r="CS1011" s="5">
        <v>0</v>
      </c>
      <c r="CT1011" s="5" t="s">
        <v>265</v>
      </c>
      <c r="CU1011" s="5" t="s">
        <v>1333</v>
      </c>
      <c r="CV1011" s="5" t="s">
        <v>649</v>
      </c>
      <c r="CX1011" s="8">
        <f>54918900</f>
        <v>54918900</v>
      </c>
      <c r="CY1011" s="8">
        <f>0</f>
        <v>0</v>
      </c>
      <c r="DA1011" s="5" t="s">
        <v>238</v>
      </c>
      <c r="DB1011" s="5" t="s">
        <v>238</v>
      </c>
      <c r="DD1011" s="5" t="s">
        <v>238</v>
      </c>
      <c r="DG1011" s="5" t="s">
        <v>238</v>
      </c>
      <c r="DH1011" s="5" t="s">
        <v>238</v>
      </c>
      <c r="DI1011" s="5" t="s">
        <v>238</v>
      </c>
      <c r="DJ1011" s="5" t="s">
        <v>238</v>
      </c>
      <c r="DK1011" s="5" t="s">
        <v>271</v>
      </c>
      <c r="DL1011" s="5" t="s">
        <v>272</v>
      </c>
      <c r="DM1011" s="7">
        <f>610.21</f>
        <v>610.21</v>
      </c>
      <c r="DN1011" s="5" t="s">
        <v>238</v>
      </c>
      <c r="DO1011" s="5" t="s">
        <v>238</v>
      </c>
      <c r="DP1011" s="5" t="s">
        <v>238</v>
      </c>
      <c r="DQ1011" s="5" t="s">
        <v>238</v>
      </c>
      <c r="DT1011" s="5" t="s">
        <v>513</v>
      </c>
      <c r="DU1011" s="5" t="s">
        <v>310</v>
      </c>
      <c r="HM1011" s="5" t="s">
        <v>379</v>
      </c>
      <c r="HP1011" s="5" t="s">
        <v>272</v>
      </c>
      <c r="HQ1011" s="5" t="s">
        <v>272</v>
      </c>
    </row>
    <row r="1012" spans="1:238" x14ac:dyDescent="0.4">
      <c r="A1012" s="5">
        <v>1339</v>
      </c>
      <c r="B1012" s="5">
        <v>1</v>
      </c>
      <c r="C1012" s="5">
        <v>4</v>
      </c>
      <c r="D1012" s="5" t="s">
        <v>510</v>
      </c>
      <c r="E1012" s="5" t="s">
        <v>338</v>
      </c>
      <c r="F1012" s="5" t="s">
        <v>282</v>
      </c>
      <c r="G1012" s="5" t="s">
        <v>349</v>
      </c>
      <c r="H1012" s="6" t="s">
        <v>512</v>
      </c>
      <c r="I1012" s="5" t="s">
        <v>509</v>
      </c>
      <c r="J1012" s="7">
        <f>0</f>
        <v>0</v>
      </c>
      <c r="K1012" s="5" t="s">
        <v>270</v>
      </c>
      <c r="L1012" s="8">
        <f>160064</f>
        <v>160064</v>
      </c>
      <c r="M1012" s="8">
        <f>189200</f>
        <v>189200</v>
      </c>
      <c r="N1012" s="6" t="s">
        <v>511</v>
      </c>
      <c r="O1012" s="5" t="s">
        <v>319</v>
      </c>
      <c r="P1012" s="5" t="s">
        <v>272</v>
      </c>
      <c r="Q1012" s="8">
        <f>189199</f>
        <v>189199</v>
      </c>
      <c r="R1012" s="8">
        <f>29136</f>
        <v>29136</v>
      </c>
      <c r="S1012" s="5" t="s">
        <v>240</v>
      </c>
      <c r="T1012" s="5" t="s">
        <v>287</v>
      </c>
      <c r="U1012" s="5" t="s">
        <v>238</v>
      </c>
      <c r="V1012" s="5" t="s">
        <v>238</v>
      </c>
      <c r="W1012" s="5" t="s">
        <v>241</v>
      </c>
      <c r="X1012" s="5" t="s">
        <v>238</v>
      </c>
      <c r="Y1012" s="5" t="s">
        <v>238</v>
      </c>
      <c r="AB1012" s="5" t="s">
        <v>238</v>
      </c>
      <c r="AC1012" s="6" t="s">
        <v>238</v>
      </c>
      <c r="AD1012" s="6" t="s">
        <v>238</v>
      </c>
      <c r="AF1012" s="6" t="s">
        <v>238</v>
      </c>
      <c r="AG1012" s="6" t="s">
        <v>246</v>
      </c>
      <c r="AH1012" s="5" t="s">
        <v>247</v>
      </c>
      <c r="AI1012" s="5" t="s">
        <v>248</v>
      </c>
      <c r="AO1012" s="5" t="s">
        <v>238</v>
      </c>
      <c r="AP1012" s="5" t="s">
        <v>238</v>
      </c>
      <c r="AQ1012" s="5" t="s">
        <v>238</v>
      </c>
      <c r="AR1012" s="6" t="s">
        <v>238</v>
      </c>
      <c r="AS1012" s="6" t="s">
        <v>238</v>
      </c>
      <c r="AT1012" s="6" t="s">
        <v>238</v>
      </c>
      <c r="AW1012" s="5" t="s">
        <v>304</v>
      </c>
      <c r="AX1012" s="5" t="s">
        <v>304</v>
      </c>
      <c r="AY1012" s="5" t="s">
        <v>250</v>
      </c>
      <c r="AZ1012" s="5" t="s">
        <v>305</v>
      </c>
      <c r="BA1012" s="5" t="s">
        <v>251</v>
      </c>
      <c r="BB1012" s="5" t="s">
        <v>238</v>
      </c>
      <c r="BC1012" s="5" t="s">
        <v>253</v>
      </c>
      <c r="BD1012" s="5" t="s">
        <v>238</v>
      </c>
      <c r="BF1012" s="5" t="s">
        <v>238</v>
      </c>
      <c r="BH1012" s="5" t="s">
        <v>283</v>
      </c>
      <c r="BI1012" s="6" t="s">
        <v>293</v>
      </c>
      <c r="BJ1012" s="5" t="s">
        <v>294</v>
      </c>
      <c r="BK1012" s="5" t="s">
        <v>294</v>
      </c>
      <c r="BL1012" s="5" t="s">
        <v>238</v>
      </c>
      <c r="BM1012" s="7">
        <f>0</f>
        <v>0</v>
      </c>
      <c r="BN1012" s="8">
        <f>-14568</f>
        <v>-14568</v>
      </c>
      <c r="BO1012" s="5" t="s">
        <v>257</v>
      </c>
      <c r="BP1012" s="5" t="s">
        <v>258</v>
      </c>
      <c r="BQ1012" s="5" t="s">
        <v>238</v>
      </c>
      <c r="BR1012" s="5" t="s">
        <v>238</v>
      </c>
      <c r="BS1012" s="5" t="s">
        <v>238</v>
      </c>
      <c r="BT1012" s="5" t="s">
        <v>238</v>
      </c>
      <c r="CC1012" s="5" t="s">
        <v>258</v>
      </c>
      <c r="CD1012" s="5" t="s">
        <v>238</v>
      </c>
      <c r="CE1012" s="5" t="s">
        <v>238</v>
      </c>
      <c r="CI1012" s="5" t="s">
        <v>259</v>
      </c>
      <c r="CJ1012" s="5" t="s">
        <v>260</v>
      </c>
      <c r="CK1012" s="5" t="s">
        <v>238</v>
      </c>
      <c r="CM1012" s="5" t="s">
        <v>408</v>
      </c>
      <c r="CN1012" s="6" t="s">
        <v>262</v>
      </c>
      <c r="CO1012" s="5" t="s">
        <v>263</v>
      </c>
      <c r="CP1012" s="5" t="s">
        <v>264</v>
      </c>
      <c r="CQ1012" s="5" t="s">
        <v>285</v>
      </c>
      <c r="CR1012" s="5" t="s">
        <v>238</v>
      </c>
      <c r="CS1012" s="5">
        <v>7.6999999999999999E-2</v>
      </c>
      <c r="CT1012" s="5" t="s">
        <v>265</v>
      </c>
      <c r="CU1012" s="5" t="s">
        <v>351</v>
      </c>
      <c r="CV1012" s="5" t="s">
        <v>352</v>
      </c>
      <c r="CW1012" s="7">
        <f>0</f>
        <v>0</v>
      </c>
      <c r="CX1012" s="8">
        <f>189200</f>
        <v>189200</v>
      </c>
      <c r="CY1012" s="8">
        <f>174632</f>
        <v>174632</v>
      </c>
      <c r="DA1012" s="5" t="s">
        <v>238</v>
      </c>
      <c r="DB1012" s="5" t="s">
        <v>238</v>
      </c>
      <c r="DD1012" s="5" t="s">
        <v>238</v>
      </c>
      <c r="DE1012" s="8">
        <f>0</f>
        <v>0</v>
      </c>
      <c r="DG1012" s="5" t="s">
        <v>238</v>
      </c>
      <c r="DH1012" s="5" t="s">
        <v>238</v>
      </c>
      <c r="DI1012" s="5" t="s">
        <v>238</v>
      </c>
      <c r="DJ1012" s="5" t="s">
        <v>238</v>
      </c>
      <c r="DK1012" s="5" t="s">
        <v>272</v>
      </c>
      <c r="DL1012" s="5" t="s">
        <v>272</v>
      </c>
      <c r="DM1012" s="8" t="s">
        <v>238</v>
      </c>
      <c r="DN1012" s="5" t="s">
        <v>238</v>
      </c>
      <c r="DO1012" s="5" t="s">
        <v>238</v>
      </c>
      <c r="DP1012" s="5" t="s">
        <v>238</v>
      </c>
      <c r="DQ1012" s="5" t="s">
        <v>238</v>
      </c>
      <c r="DT1012" s="5" t="s">
        <v>513</v>
      </c>
      <c r="DU1012" s="5" t="s">
        <v>379</v>
      </c>
      <c r="GL1012" s="5" t="s">
        <v>514</v>
      </c>
      <c r="HM1012" s="5" t="s">
        <v>274</v>
      </c>
      <c r="HP1012" s="5" t="s">
        <v>272</v>
      </c>
      <c r="HQ1012" s="5" t="s">
        <v>272</v>
      </c>
      <c r="HR1012" s="5" t="s">
        <v>238</v>
      </c>
      <c r="HS1012" s="5" t="s">
        <v>238</v>
      </c>
      <c r="HT1012" s="5" t="s">
        <v>238</v>
      </c>
      <c r="HU1012" s="5" t="s">
        <v>238</v>
      </c>
      <c r="HV1012" s="5" t="s">
        <v>238</v>
      </c>
      <c r="HW1012" s="5" t="s">
        <v>238</v>
      </c>
      <c r="HX1012" s="5" t="s">
        <v>238</v>
      </c>
      <c r="HY1012" s="5" t="s">
        <v>238</v>
      </c>
      <c r="HZ1012" s="5" t="s">
        <v>238</v>
      </c>
      <c r="IA1012" s="5" t="s">
        <v>238</v>
      </c>
      <c r="IB1012" s="5" t="s">
        <v>238</v>
      </c>
      <c r="IC1012" s="5" t="s">
        <v>238</v>
      </c>
      <c r="ID1012" s="5" t="s">
        <v>238</v>
      </c>
    </row>
    <row r="1013" spans="1:238" x14ac:dyDescent="0.4">
      <c r="A1013" s="5">
        <v>1341</v>
      </c>
      <c r="B1013" s="5">
        <v>1</v>
      </c>
      <c r="C1013" s="5">
        <v>5</v>
      </c>
      <c r="D1013" s="5" t="s">
        <v>3974</v>
      </c>
      <c r="E1013" s="5" t="s">
        <v>454</v>
      </c>
      <c r="F1013" s="5" t="s">
        <v>282</v>
      </c>
      <c r="G1013" s="5" t="s">
        <v>3976</v>
      </c>
      <c r="H1013" s="6" t="s">
        <v>563</v>
      </c>
      <c r="I1013" s="5" t="s">
        <v>3973</v>
      </c>
      <c r="J1013" s="7">
        <f>1350</f>
        <v>1350</v>
      </c>
      <c r="K1013" s="5" t="s">
        <v>270</v>
      </c>
      <c r="L1013" s="8">
        <f>376957604</f>
        <v>376957604</v>
      </c>
      <c r="M1013" s="8">
        <f>453074040</f>
        <v>453074040</v>
      </c>
      <c r="N1013" s="6" t="s">
        <v>3975</v>
      </c>
      <c r="O1013" s="5" t="s">
        <v>651</v>
      </c>
      <c r="P1013" s="5" t="s">
        <v>274</v>
      </c>
      <c r="Q1013" s="8">
        <f>19029109</f>
        <v>19029109</v>
      </c>
      <c r="R1013" s="8">
        <f>76116436</f>
        <v>76116436</v>
      </c>
      <c r="S1013" s="5" t="s">
        <v>240</v>
      </c>
      <c r="T1013" s="5" t="s">
        <v>237</v>
      </c>
      <c r="W1013" s="5" t="s">
        <v>241</v>
      </c>
      <c r="X1013" s="5" t="s">
        <v>453</v>
      </c>
      <c r="Y1013" s="5" t="s">
        <v>238</v>
      </c>
      <c r="AB1013" s="5" t="s">
        <v>238</v>
      </c>
      <c r="AC1013" s="6" t="s">
        <v>238</v>
      </c>
      <c r="AD1013" s="6" t="s">
        <v>238</v>
      </c>
      <c r="AF1013" s="6" t="s">
        <v>238</v>
      </c>
      <c r="AG1013" s="6" t="s">
        <v>246</v>
      </c>
      <c r="AH1013" s="5" t="s">
        <v>247</v>
      </c>
      <c r="AI1013" s="5" t="s">
        <v>248</v>
      </c>
      <c r="AO1013" s="5" t="s">
        <v>238</v>
      </c>
      <c r="AP1013" s="5" t="s">
        <v>238</v>
      </c>
      <c r="AQ1013" s="5" t="s">
        <v>238</v>
      </c>
      <c r="AR1013" s="6" t="s">
        <v>238</v>
      </c>
      <c r="AS1013" s="6" t="s">
        <v>238</v>
      </c>
      <c r="AT1013" s="6" t="s">
        <v>238</v>
      </c>
      <c r="AW1013" s="5" t="s">
        <v>304</v>
      </c>
      <c r="AX1013" s="5" t="s">
        <v>304</v>
      </c>
      <c r="AY1013" s="5" t="s">
        <v>250</v>
      </c>
      <c r="AZ1013" s="5" t="s">
        <v>305</v>
      </c>
      <c r="BA1013" s="5" t="s">
        <v>251</v>
      </c>
      <c r="BB1013" s="5" t="s">
        <v>238</v>
      </c>
      <c r="BC1013" s="5" t="s">
        <v>253</v>
      </c>
      <c r="BD1013" s="5" t="s">
        <v>238</v>
      </c>
      <c r="BF1013" s="5" t="s">
        <v>238</v>
      </c>
      <c r="BH1013" s="5" t="s">
        <v>283</v>
      </c>
      <c r="BI1013" s="6" t="s">
        <v>293</v>
      </c>
      <c r="BJ1013" s="5" t="s">
        <v>294</v>
      </c>
      <c r="BK1013" s="5" t="s">
        <v>294</v>
      </c>
      <c r="BL1013" s="5" t="s">
        <v>238</v>
      </c>
      <c r="BM1013" s="7">
        <f>0</f>
        <v>0</v>
      </c>
      <c r="BN1013" s="8">
        <f>-19029109</f>
        <v>-19029109</v>
      </c>
      <c r="BO1013" s="5" t="s">
        <v>257</v>
      </c>
      <c r="BP1013" s="5" t="s">
        <v>258</v>
      </c>
      <c r="BQ1013" s="5" t="s">
        <v>238</v>
      </c>
      <c r="BR1013" s="5" t="s">
        <v>238</v>
      </c>
      <c r="BS1013" s="5" t="s">
        <v>238</v>
      </c>
      <c r="BT1013" s="5" t="s">
        <v>238</v>
      </c>
      <c r="CC1013" s="5" t="s">
        <v>258</v>
      </c>
      <c r="CD1013" s="5" t="s">
        <v>238</v>
      </c>
      <c r="CE1013" s="5" t="s">
        <v>238</v>
      </c>
      <c r="CI1013" s="5" t="s">
        <v>259</v>
      </c>
      <c r="CJ1013" s="5" t="s">
        <v>260</v>
      </c>
      <c r="CK1013" s="5" t="s">
        <v>238</v>
      </c>
      <c r="CM1013" s="5" t="s">
        <v>402</v>
      </c>
      <c r="CN1013" s="6" t="s">
        <v>262</v>
      </c>
      <c r="CO1013" s="5" t="s">
        <v>263</v>
      </c>
      <c r="CP1013" s="5" t="s">
        <v>264</v>
      </c>
      <c r="CQ1013" s="5" t="s">
        <v>285</v>
      </c>
      <c r="CR1013" s="5" t="s">
        <v>238</v>
      </c>
      <c r="CS1013" s="5">
        <v>4.2000000000000003E-2</v>
      </c>
      <c r="CT1013" s="5" t="s">
        <v>265</v>
      </c>
      <c r="CU1013" s="5" t="s">
        <v>1333</v>
      </c>
      <c r="CV1013" s="5" t="s">
        <v>267</v>
      </c>
      <c r="CW1013" s="7">
        <f>0</f>
        <v>0</v>
      </c>
      <c r="CX1013" s="8">
        <f>453074040</f>
        <v>453074040</v>
      </c>
      <c r="CY1013" s="8">
        <f>376957604</f>
        <v>376957604</v>
      </c>
      <c r="DA1013" s="5" t="s">
        <v>238</v>
      </c>
      <c r="DB1013" s="5" t="s">
        <v>238</v>
      </c>
      <c r="DD1013" s="5" t="s">
        <v>238</v>
      </c>
      <c r="DE1013" s="8">
        <f>0</f>
        <v>0</v>
      </c>
      <c r="DG1013" s="5" t="s">
        <v>238</v>
      </c>
      <c r="DH1013" s="5" t="s">
        <v>238</v>
      </c>
      <c r="DI1013" s="5" t="s">
        <v>238</v>
      </c>
      <c r="DJ1013" s="5" t="s">
        <v>238</v>
      </c>
      <c r="DK1013" s="5" t="s">
        <v>271</v>
      </c>
      <c r="DL1013" s="5" t="s">
        <v>272</v>
      </c>
      <c r="DM1013" s="7">
        <f>1350</f>
        <v>1350</v>
      </c>
      <c r="DN1013" s="5" t="s">
        <v>238</v>
      </c>
      <c r="DO1013" s="5" t="s">
        <v>238</v>
      </c>
      <c r="DP1013" s="5" t="s">
        <v>238</v>
      </c>
      <c r="DQ1013" s="5" t="s">
        <v>238</v>
      </c>
      <c r="DT1013" s="5" t="s">
        <v>3977</v>
      </c>
      <c r="DU1013" s="5" t="s">
        <v>274</v>
      </c>
      <c r="GL1013" s="5" t="s">
        <v>3978</v>
      </c>
      <c r="HM1013" s="5" t="s">
        <v>310</v>
      </c>
      <c r="HP1013" s="5" t="s">
        <v>272</v>
      </c>
      <c r="HQ1013" s="5" t="s">
        <v>272</v>
      </c>
      <c r="HR1013" s="5" t="s">
        <v>238</v>
      </c>
      <c r="HS1013" s="5" t="s">
        <v>238</v>
      </c>
      <c r="HT1013" s="5" t="s">
        <v>238</v>
      </c>
      <c r="HU1013" s="5" t="s">
        <v>238</v>
      </c>
      <c r="HV1013" s="5" t="s">
        <v>238</v>
      </c>
      <c r="HW1013" s="5" t="s">
        <v>238</v>
      </c>
      <c r="HX1013" s="5" t="s">
        <v>238</v>
      </c>
      <c r="HY1013" s="5" t="s">
        <v>238</v>
      </c>
      <c r="HZ1013" s="5" t="s">
        <v>238</v>
      </c>
      <c r="IA1013" s="5" t="s">
        <v>238</v>
      </c>
      <c r="IB1013" s="5" t="s">
        <v>238</v>
      </c>
      <c r="IC1013" s="5" t="s">
        <v>238</v>
      </c>
      <c r="ID1013" s="5" t="s">
        <v>238</v>
      </c>
    </row>
    <row r="1014" spans="1:238" x14ac:dyDescent="0.4">
      <c r="A1014" s="5">
        <v>1342</v>
      </c>
      <c r="B1014" s="5">
        <v>1</v>
      </c>
      <c r="C1014" s="5">
        <v>5</v>
      </c>
      <c r="D1014" s="5" t="s">
        <v>524</v>
      </c>
      <c r="E1014" s="5" t="s">
        <v>454</v>
      </c>
      <c r="F1014" s="5" t="s">
        <v>282</v>
      </c>
      <c r="G1014" s="5" t="s">
        <v>3976</v>
      </c>
      <c r="H1014" s="6" t="s">
        <v>526</v>
      </c>
      <c r="I1014" s="5" t="s">
        <v>4179</v>
      </c>
      <c r="J1014" s="7">
        <f>365.4</f>
        <v>365.4</v>
      </c>
      <c r="K1014" s="5" t="s">
        <v>270</v>
      </c>
      <c r="L1014" s="8">
        <f>28027524</f>
        <v>28027524</v>
      </c>
      <c r="M1014" s="8">
        <f>78729000</f>
        <v>78729000</v>
      </c>
      <c r="N1014" s="6" t="s">
        <v>4180</v>
      </c>
      <c r="O1014" s="5" t="s">
        <v>286</v>
      </c>
      <c r="P1014" s="5" t="s">
        <v>395</v>
      </c>
      <c r="Q1014" s="8">
        <f>3621534</f>
        <v>3621534</v>
      </c>
      <c r="R1014" s="8">
        <f>50701476</f>
        <v>50701476</v>
      </c>
      <c r="S1014" s="5" t="s">
        <v>240</v>
      </c>
      <c r="T1014" s="5" t="s">
        <v>237</v>
      </c>
      <c r="W1014" s="5" t="s">
        <v>241</v>
      </c>
      <c r="X1014" s="5" t="s">
        <v>453</v>
      </c>
      <c r="Y1014" s="5" t="s">
        <v>238</v>
      </c>
      <c r="AB1014" s="5" t="s">
        <v>238</v>
      </c>
      <c r="AC1014" s="6" t="s">
        <v>238</v>
      </c>
      <c r="AD1014" s="6" t="s">
        <v>238</v>
      </c>
      <c r="AF1014" s="6" t="s">
        <v>238</v>
      </c>
      <c r="AG1014" s="6" t="s">
        <v>246</v>
      </c>
      <c r="AH1014" s="5" t="s">
        <v>247</v>
      </c>
      <c r="AI1014" s="5" t="s">
        <v>248</v>
      </c>
      <c r="AO1014" s="5" t="s">
        <v>238</v>
      </c>
      <c r="AP1014" s="5" t="s">
        <v>238</v>
      </c>
      <c r="AQ1014" s="5" t="s">
        <v>238</v>
      </c>
      <c r="AR1014" s="6" t="s">
        <v>238</v>
      </c>
      <c r="AS1014" s="6" t="s">
        <v>238</v>
      </c>
      <c r="AT1014" s="6" t="s">
        <v>238</v>
      </c>
      <c r="AW1014" s="5" t="s">
        <v>304</v>
      </c>
      <c r="AX1014" s="5" t="s">
        <v>304</v>
      </c>
      <c r="AY1014" s="5" t="s">
        <v>250</v>
      </c>
      <c r="AZ1014" s="5" t="s">
        <v>305</v>
      </c>
      <c r="BA1014" s="5" t="s">
        <v>251</v>
      </c>
      <c r="BB1014" s="5" t="s">
        <v>238</v>
      </c>
      <c r="BC1014" s="5" t="s">
        <v>253</v>
      </c>
      <c r="BD1014" s="5" t="s">
        <v>238</v>
      </c>
      <c r="BF1014" s="5" t="s">
        <v>238</v>
      </c>
      <c r="BH1014" s="5" t="s">
        <v>283</v>
      </c>
      <c r="BI1014" s="6" t="s">
        <v>293</v>
      </c>
      <c r="BJ1014" s="5" t="s">
        <v>294</v>
      </c>
      <c r="BK1014" s="5" t="s">
        <v>294</v>
      </c>
      <c r="BL1014" s="5" t="s">
        <v>238</v>
      </c>
      <c r="BM1014" s="7">
        <f>0</f>
        <v>0</v>
      </c>
      <c r="BN1014" s="8">
        <f>-3621534</f>
        <v>-3621534</v>
      </c>
      <c r="BO1014" s="5" t="s">
        <v>257</v>
      </c>
      <c r="BP1014" s="5" t="s">
        <v>258</v>
      </c>
      <c r="BQ1014" s="5" t="s">
        <v>238</v>
      </c>
      <c r="BR1014" s="5" t="s">
        <v>238</v>
      </c>
      <c r="BS1014" s="5" t="s">
        <v>238</v>
      </c>
      <c r="BT1014" s="5" t="s">
        <v>238</v>
      </c>
      <c r="CC1014" s="5" t="s">
        <v>258</v>
      </c>
      <c r="CD1014" s="5" t="s">
        <v>238</v>
      </c>
      <c r="CE1014" s="5" t="s">
        <v>238</v>
      </c>
      <c r="CI1014" s="5" t="s">
        <v>259</v>
      </c>
      <c r="CJ1014" s="5" t="s">
        <v>260</v>
      </c>
      <c r="CK1014" s="5" t="s">
        <v>238</v>
      </c>
      <c r="CM1014" s="5" t="s">
        <v>393</v>
      </c>
      <c r="CN1014" s="6" t="s">
        <v>262</v>
      </c>
      <c r="CO1014" s="5" t="s">
        <v>263</v>
      </c>
      <c r="CP1014" s="5" t="s">
        <v>264</v>
      </c>
      <c r="CQ1014" s="5" t="s">
        <v>285</v>
      </c>
      <c r="CR1014" s="5" t="s">
        <v>238</v>
      </c>
      <c r="CS1014" s="5">
        <v>4.5999999999999999E-2</v>
      </c>
      <c r="CT1014" s="5" t="s">
        <v>265</v>
      </c>
      <c r="CU1014" s="5" t="s">
        <v>2145</v>
      </c>
      <c r="CV1014" s="5" t="s">
        <v>267</v>
      </c>
      <c r="CW1014" s="7">
        <f>0</f>
        <v>0</v>
      </c>
      <c r="CX1014" s="8">
        <f>78729000</f>
        <v>78729000</v>
      </c>
      <c r="CY1014" s="8">
        <f>28027524</f>
        <v>28027524</v>
      </c>
      <c r="DA1014" s="5" t="s">
        <v>238</v>
      </c>
      <c r="DB1014" s="5" t="s">
        <v>238</v>
      </c>
      <c r="DD1014" s="5" t="s">
        <v>238</v>
      </c>
      <c r="DE1014" s="8">
        <f>0</f>
        <v>0</v>
      </c>
      <c r="DG1014" s="5" t="s">
        <v>238</v>
      </c>
      <c r="DH1014" s="5" t="s">
        <v>238</v>
      </c>
      <c r="DI1014" s="5" t="s">
        <v>238</v>
      </c>
      <c r="DJ1014" s="5" t="s">
        <v>238</v>
      </c>
      <c r="DK1014" s="5" t="s">
        <v>272</v>
      </c>
      <c r="DL1014" s="5" t="s">
        <v>272</v>
      </c>
      <c r="DM1014" s="7">
        <f>365.4</f>
        <v>365.4</v>
      </c>
      <c r="DN1014" s="5" t="s">
        <v>238</v>
      </c>
      <c r="DO1014" s="5" t="s">
        <v>238</v>
      </c>
      <c r="DP1014" s="5" t="s">
        <v>238</v>
      </c>
      <c r="DQ1014" s="5" t="s">
        <v>238</v>
      </c>
      <c r="DT1014" s="5" t="s">
        <v>528</v>
      </c>
      <c r="DU1014" s="5" t="s">
        <v>271</v>
      </c>
      <c r="GL1014" s="5" t="s">
        <v>4181</v>
      </c>
      <c r="HM1014" s="5" t="s">
        <v>313</v>
      </c>
      <c r="HP1014" s="5" t="s">
        <v>272</v>
      </c>
      <c r="HQ1014" s="5" t="s">
        <v>272</v>
      </c>
      <c r="HR1014" s="5" t="s">
        <v>238</v>
      </c>
      <c r="HS1014" s="5" t="s">
        <v>238</v>
      </c>
      <c r="HT1014" s="5" t="s">
        <v>238</v>
      </c>
      <c r="HU1014" s="5" t="s">
        <v>238</v>
      </c>
      <c r="HV1014" s="5" t="s">
        <v>238</v>
      </c>
      <c r="HW1014" s="5" t="s">
        <v>238</v>
      </c>
      <c r="HX1014" s="5" t="s">
        <v>238</v>
      </c>
      <c r="HY1014" s="5" t="s">
        <v>238</v>
      </c>
      <c r="HZ1014" s="5" t="s">
        <v>238</v>
      </c>
      <c r="IA1014" s="5" t="s">
        <v>238</v>
      </c>
      <c r="IB1014" s="5" t="s">
        <v>238</v>
      </c>
      <c r="IC1014" s="5" t="s">
        <v>238</v>
      </c>
      <c r="ID1014" s="5" t="s">
        <v>238</v>
      </c>
    </row>
    <row r="1015" spans="1:238" x14ac:dyDescent="0.4">
      <c r="A1015" s="5">
        <v>1343</v>
      </c>
      <c r="B1015" s="5">
        <v>1</v>
      </c>
      <c r="C1015" s="5">
        <v>4</v>
      </c>
      <c r="D1015" s="5" t="s">
        <v>524</v>
      </c>
      <c r="E1015" s="5" t="s">
        <v>454</v>
      </c>
      <c r="F1015" s="5" t="s">
        <v>282</v>
      </c>
      <c r="G1015" s="5" t="s">
        <v>349</v>
      </c>
      <c r="H1015" s="6" t="s">
        <v>526</v>
      </c>
      <c r="I1015" s="5" t="s">
        <v>523</v>
      </c>
      <c r="J1015" s="7">
        <f>0</f>
        <v>0</v>
      </c>
      <c r="K1015" s="5" t="s">
        <v>270</v>
      </c>
      <c r="L1015" s="8">
        <f>3686358</f>
        <v>3686358</v>
      </c>
      <c r="M1015" s="8">
        <f>5327106</f>
        <v>5327106</v>
      </c>
      <c r="N1015" s="6" t="s">
        <v>525</v>
      </c>
      <c r="O1015" s="5" t="s">
        <v>319</v>
      </c>
      <c r="P1015" s="5" t="s">
        <v>274</v>
      </c>
      <c r="Q1015" s="8">
        <f>410187</f>
        <v>410187</v>
      </c>
      <c r="R1015" s="8">
        <f>1640748</f>
        <v>1640748</v>
      </c>
      <c r="S1015" s="5" t="s">
        <v>240</v>
      </c>
      <c r="T1015" s="5" t="s">
        <v>287</v>
      </c>
      <c r="U1015" s="5" t="s">
        <v>238</v>
      </c>
      <c r="V1015" s="5" t="s">
        <v>238</v>
      </c>
      <c r="W1015" s="5" t="s">
        <v>241</v>
      </c>
      <c r="X1015" s="5" t="s">
        <v>238</v>
      </c>
      <c r="Y1015" s="5" t="s">
        <v>238</v>
      </c>
      <c r="AB1015" s="5" t="s">
        <v>238</v>
      </c>
      <c r="AC1015" s="6" t="s">
        <v>238</v>
      </c>
      <c r="AD1015" s="6" t="s">
        <v>238</v>
      </c>
      <c r="AF1015" s="6" t="s">
        <v>238</v>
      </c>
      <c r="AG1015" s="6" t="s">
        <v>246</v>
      </c>
      <c r="AH1015" s="5" t="s">
        <v>247</v>
      </c>
      <c r="AI1015" s="5" t="s">
        <v>248</v>
      </c>
      <c r="AO1015" s="5" t="s">
        <v>238</v>
      </c>
      <c r="AP1015" s="5" t="s">
        <v>238</v>
      </c>
      <c r="AQ1015" s="5" t="s">
        <v>238</v>
      </c>
      <c r="AR1015" s="6" t="s">
        <v>238</v>
      </c>
      <c r="AS1015" s="6" t="s">
        <v>238</v>
      </c>
      <c r="AT1015" s="6" t="s">
        <v>238</v>
      </c>
      <c r="AW1015" s="5" t="s">
        <v>304</v>
      </c>
      <c r="AX1015" s="5" t="s">
        <v>304</v>
      </c>
      <c r="AY1015" s="5" t="s">
        <v>250</v>
      </c>
      <c r="AZ1015" s="5" t="s">
        <v>305</v>
      </c>
      <c r="BA1015" s="5" t="s">
        <v>251</v>
      </c>
      <c r="BB1015" s="5" t="s">
        <v>238</v>
      </c>
      <c r="BC1015" s="5" t="s">
        <v>253</v>
      </c>
      <c r="BD1015" s="5" t="s">
        <v>238</v>
      </c>
      <c r="BF1015" s="5" t="s">
        <v>238</v>
      </c>
      <c r="BH1015" s="5" t="s">
        <v>283</v>
      </c>
      <c r="BI1015" s="6" t="s">
        <v>293</v>
      </c>
      <c r="BJ1015" s="5" t="s">
        <v>294</v>
      </c>
      <c r="BK1015" s="5" t="s">
        <v>294</v>
      </c>
      <c r="BL1015" s="5" t="s">
        <v>238</v>
      </c>
      <c r="BM1015" s="7">
        <f>0</f>
        <v>0</v>
      </c>
      <c r="BN1015" s="8">
        <f>-410187</f>
        <v>-410187</v>
      </c>
      <c r="BO1015" s="5" t="s">
        <v>257</v>
      </c>
      <c r="BP1015" s="5" t="s">
        <v>258</v>
      </c>
      <c r="BQ1015" s="5" t="s">
        <v>238</v>
      </c>
      <c r="BR1015" s="5" t="s">
        <v>238</v>
      </c>
      <c r="BS1015" s="5" t="s">
        <v>238</v>
      </c>
      <c r="BT1015" s="5" t="s">
        <v>238</v>
      </c>
      <c r="CC1015" s="5" t="s">
        <v>258</v>
      </c>
      <c r="CD1015" s="5" t="s">
        <v>238</v>
      </c>
      <c r="CE1015" s="5" t="s">
        <v>238</v>
      </c>
      <c r="CI1015" s="5" t="s">
        <v>527</v>
      </c>
      <c r="CJ1015" s="5" t="s">
        <v>260</v>
      </c>
      <c r="CK1015" s="5" t="s">
        <v>238</v>
      </c>
      <c r="CM1015" s="5" t="s">
        <v>402</v>
      </c>
      <c r="CN1015" s="6" t="s">
        <v>262</v>
      </c>
      <c r="CO1015" s="5" t="s">
        <v>263</v>
      </c>
      <c r="CP1015" s="5" t="s">
        <v>264</v>
      </c>
      <c r="CQ1015" s="5" t="s">
        <v>285</v>
      </c>
      <c r="CR1015" s="5" t="s">
        <v>238</v>
      </c>
      <c r="CS1015" s="5">
        <v>7.6999999999999999E-2</v>
      </c>
      <c r="CT1015" s="5" t="s">
        <v>265</v>
      </c>
      <c r="CU1015" s="5" t="s">
        <v>351</v>
      </c>
      <c r="CV1015" s="5" t="s">
        <v>352</v>
      </c>
      <c r="CW1015" s="7">
        <f>0</f>
        <v>0</v>
      </c>
      <c r="CX1015" s="8">
        <f>5327106</f>
        <v>5327106</v>
      </c>
      <c r="CY1015" s="8">
        <f>4096545</f>
        <v>4096545</v>
      </c>
      <c r="DA1015" s="5" t="s">
        <v>238</v>
      </c>
      <c r="DB1015" s="5" t="s">
        <v>238</v>
      </c>
      <c r="DD1015" s="5" t="s">
        <v>238</v>
      </c>
      <c r="DE1015" s="8">
        <f>0</f>
        <v>0</v>
      </c>
      <c r="DG1015" s="5" t="s">
        <v>238</v>
      </c>
      <c r="DH1015" s="5" t="s">
        <v>238</v>
      </c>
      <c r="DI1015" s="5" t="s">
        <v>238</v>
      </c>
      <c r="DJ1015" s="5" t="s">
        <v>238</v>
      </c>
      <c r="DK1015" s="5" t="s">
        <v>272</v>
      </c>
      <c r="DL1015" s="5" t="s">
        <v>272</v>
      </c>
      <c r="DM1015" s="8" t="s">
        <v>238</v>
      </c>
      <c r="DN1015" s="5" t="s">
        <v>238</v>
      </c>
      <c r="DO1015" s="5" t="s">
        <v>238</v>
      </c>
      <c r="DP1015" s="5" t="s">
        <v>238</v>
      </c>
      <c r="DQ1015" s="5" t="s">
        <v>238</v>
      </c>
      <c r="DT1015" s="5" t="s">
        <v>528</v>
      </c>
      <c r="DU1015" s="5" t="s">
        <v>274</v>
      </c>
      <c r="GL1015" s="5" t="s">
        <v>529</v>
      </c>
      <c r="HM1015" s="5" t="s">
        <v>310</v>
      </c>
      <c r="HP1015" s="5" t="s">
        <v>272</v>
      </c>
      <c r="HQ1015" s="5" t="s">
        <v>272</v>
      </c>
      <c r="HR1015" s="5" t="s">
        <v>238</v>
      </c>
      <c r="HS1015" s="5" t="s">
        <v>238</v>
      </c>
      <c r="HT1015" s="5" t="s">
        <v>238</v>
      </c>
      <c r="HU1015" s="5" t="s">
        <v>238</v>
      </c>
      <c r="HV1015" s="5" t="s">
        <v>238</v>
      </c>
      <c r="HW1015" s="5" t="s">
        <v>238</v>
      </c>
      <c r="HX1015" s="5" t="s">
        <v>238</v>
      </c>
      <c r="HY1015" s="5" t="s">
        <v>238</v>
      </c>
      <c r="HZ1015" s="5" t="s">
        <v>238</v>
      </c>
      <c r="IA1015" s="5" t="s">
        <v>238</v>
      </c>
      <c r="IB1015" s="5" t="s">
        <v>238</v>
      </c>
      <c r="IC1015" s="5" t="s">
        <v>238</v>
      </c>
      <c r="ID1015" s="5" t="s">
        <v>238</v>
      </c>
    </row>
    <row r="1016" spans="1:238" x14ac:dyDescent="0.4">
      <c r="A1016" s="5">
        <v>1344</v>
      </c>
      <c r="B1016" s="5">
        <v>1</v>
      </c>
      <c r="C1016" s="5">
        <v>5</v>
      </c>
      <c r="D1016" s="5" t="s">
        <v>3273</v>
      </c>
      <c r="E1016" s="5" t="s">
        <v>454</v>
      </c>
      <c r="F1016" s="5" t="s">
        <v>282</v>
      </c>
      <c r="G1016" s="5" t="s">
        <v>3976</v>
      </c>
      <c r="H1016" s="6" t="s">
        <v>3276</v>
      </c>
      <c r="I1016" s="5" t="s">
        <v>4182</v>
      </c>
      <c r="J1016" s="7">
        <f>408.15</f>
        <v>408.15</v>
      </c>
      <c r="K1016" s="5" t="s">
        <v>270</v>
      </c>
      <c r="L1016" s="8">
        <f>5926420</f>
        <v>5926420</v>
      </c>
      <c r="M1016" s="8">
        <f>74080240</f>
        <v>74080240</v>
      </c>
      <c r="N1016" s="6" t="s">
        <v>657</v>
      </c>
      <c r="O1016" s="5" t="s">
        <v>286</v>
      </c>
      <c r="P1016" s="5" t="s">
        <v>611</v>
      </c>
      <c r="Q1016" s="8">
        <f>3407691</f>
        <v>3407691</v>
      </c>
      <c r="R1016" s="8">
        <f>68153820</f>
        <v>68153820</v>
      </c>
      <c r="S1016" s="5" t="s">
        <v>240</v>
      </c>
      <c r="T1016" s="5" t="s">
        <v>237</v>
      </c>
      <c r="W1016" s="5" t="s">
        <v>241</v>
      </c>
      <c r="X1016" s="5" t="s">
        <v>453</v>
      </c>
      <c r="Y1016" s="5" t="s">
        <v>238</v>
      </c>
      <c r="AB1016" s="5" t="s">
        <v>238</v>
      </c>
      <c r="AC1016" s="6" t="s">
        <v>238</v>
      </c>
      <c r="AD1016" s="6" t="s">
        <v>238</v>
      </c>
      <c r="AF1016" s="6" t="s">
        <v>238</v>
      </c>
      <c r="AG1016" s="6" t="s">
        <v>246</v>
      </c>
      <c r="AH1016" s="5" t="s">
        <v>247</v>
      </c>
      <c r="AI1016" s="5" t="s">
        <v>248</v>
      </c>
      <c r="AO1016" s="5" t="s">
        <v>238</v>
      </c>
      <c r="AP1016" s="5" t="s">
        <v>238</v>
      </c>
      <c r="AQ1016" s="5" t="s">
        <v>238</v>
      </c>
      <c r="AR1016" s="6" t="s">
        <v>238</v>
      </c>
      <c r="AS1016" s="6" t="s">
        <v>238</v>
      </c>
      <c r="AT1016" s="6" t="s">
        <v>238</v>
      </c>
      <c r="AW1016" s="5" t="s">
        <v>304</v>
      </c>
      <c r="AX1016" s="5" t="s">
        <v>304</v>
      </c>
      <c r="AY1016" s="5" t="s">
        <v>250</v>
      </c>
      <c r="AZ1016" s="5" t="s">
        <v>305</v>
      </c>
      <c r="BA1016" s="5" t="s">
        <v>251</v>
      </c>
      <c r="BB1016" s="5" t="s">
        <v>238</v>
      </c>
      <c r="BC1016" s="5" t="s">
        <v>253</v>
      </c>
      <c r="BD1016" s="5" t="s">
        <v>238</v>
      </c>
      <c r="BF1016" s="5" t="s">
        <v>238</v>
      </c>
      <c r="BH1016" s="5" t="s">
        <v>283</v>
      </c>
      <c r="BI1016" s="6" t="s">
        <v>293</v>
      </c>
      <c r="BJ1016" s="5" t="s">
        <v>294</v>
      </c>
      <c r="BK1016" s="5" t="s">
        <v>294</v>
      </c>
      <c r="BL1016" s="5" t="s">
        <v>238</v>
      </c>
      <c r="BM1016" s="7">
        <f>0</f>
        <v>0</v>
      </c>
      <c r="BN1016" s="8">
        <f>-3407691</f>
        <v>-3407691</v>
      </c>
      <c r="BO1016" s="5" t="s">
        <v>257</v>
      </c>
      <c r="BP1016" s="5" t="s">
        <v>258</v>
      </c>
      <c r="BQ1016" s="5" t="s">
        <v>238</v>
      </c>
      <c r="BR1016" s="5" t="s">
        <v>238</v>
      </c>
      <c r="BS1016" s="5" t="s">
        <v>238</v>
      </c>
      <c r="BT1016" s="5" t="s">
        <v>238</v>
      </c>
      <c r="CC1016" s="5" t="s">
        <v>258</v>
      </c>
      <c r="CD1016" s="5" t="s">
        <v>238</v>
      </c>
      <c r="CE1016" s="5" t="s">
        <v>238</v>
      </c>
      <c r="CI1016" s="5" t="s">
        <v>259</v>
      </c>
      <c r="CJ1016" s="5" t="s">
        <v>260</v>
      </c>
      <c r="CK1016" s="5" t="s">
        <v>238</v>
      </c>
      <c r="CM1016" s="5" t="s">
        <v>1357</v>
      </c>
      <c r="CN1016" s="6" t="s">
        <v>262</v>
      </c>
      <c r="CO1016" s="5" t="s">
        <v>263</v>
      </c>
      <c r="CP1016" s="5" t="s">
        <v>264</v>
      </c>
      <c r="CQ1016" s="5" t="s">
        <v>285</v>
      </c>
      <c r="CR1016" s="5" t="s">
        <v>238</v>
      </c>
      <c r="CS1016" s="5">
        <v>4.5999999999999999E-2</v>
      </c>
      <c r="CT1016" s="5" t="s">
        <v>265</v>
      </c>
      <c r="CU1016" s="5" t="s">
        <v>2145</v>
      </c>
      <c r="CV1016" s="5" t="s">
        <v>267</v>
      </c>
      <c r="CW1016" s="7">
        <f>0</f>
        <v>0</v>
      </c>
      <c r="CX1016" s="8">
        <f>74080240</f>
        <v>74080240</v>
      </c>
      <c r="CY1016" s="8">
        <f>5926420</f>
        <v>5926420</v>
      </c>
      <c r="DA1016" s="5" t="s">
        <v>238</v>
      </c>
      <c r="DB1016" s="5" t="s">
        <v>238</v>
      </c>
      <c r="DD1016" s="5" t="s">
        <v>238</v>
      </c>
      <c r="DE1016" s="8">
        <f>0</f>
        <v>0</v>
      </c>
      <c r="DG1016" s="5" t="s">
        <v>238</v>
      </c>
      <c r="DH1016" s="5" t="s">
        <v>238</v>
      </c>
      <c r="DI1016" s="5" t="s">
        <v>238</v>
      </c>
      <c r="DJ1016" s="5" t="s">
        <v>238</v>
      </c>
      <c r="DK1016" s="5" t="s">
        <v>271</v>
      </c>
      <c r="DL1016" s="5" t="s">
        <v>272</v>
      </c>
      <c r="DM1016" s="7">
        <f>408.15</f>
        <v>408.15</v>
      </c>
      <c r="DN1016" s="5" t="s">
        <v>238</v>
      </c>
      <c r="DO1016" s="5" t="s">
        <v>238</v>
      </c>
      <c r="DP1016" s="5" t="s">
        <v>238</v>
      </c>
      <c r="DQ1016" s="5" t="s">
        <v>238</v>
      </c>
      <c r="DT1016" s="5" t="s">
        <v>3277</v>
      </c>
      <c r="DU1016" s="5" t="s">
        <v>271</v>
      </c>
      <c r="GL1016" s="5" t="s">
        <v>4183</v>
      </c>
      <c r="HM1016" s="5" t="s">
        <v>313</v>
      </c>
      <c r="HP1016" s="5" t="s">
        <v>272</v>
      </c>
      <c r="HQ1016" s="5" t="s">
        <v>272</v>
      </c>
      <c r="HR1016" s="5" t="s">
        <v>238</v>
      </c>
      <c r="HS1016" s="5" t="s">
        <v>238</v>
      </c>
      <c r="HT1016" s="5" t="s">
        <v>238</v>
      </c>
      <c r="HU1016" s="5" t="s">
        <v>238</v>
      </c>
      <c r="HV1016" s="5" t="s">
        <v>238</v>
      </c>
      <c r="HW1016" s="5" t="s">
        <v>238</v>
      </c>
      <c r="HX1016" s="5" t="s">
        <v>238</v>
      </c>
      <c r="HY1016" s="5" t="s">
        <v>238</v>
      </c>
      <c r="HZ1016" s="5" t="s">
        <v>238</v>
      </c>
      <c r="IA1016" s="5" t="s">
        <v>238</v>
      </c>
      <c r="IB1016" s="5" t="s">
        <v>238</v>
      </c>
      <c r="IC1016" s="5" t="s">
        <v>238</v>
      </c>
      <c r="ID1016" s="5" t="s">
        <v>238</v>
      </c>
    </row>
    <row r="1017" spans="1:238" x14ac:dyDescent="0.4">
      <c r="A1017" s="5">
        <v>1345</v>
      </c>
      <c r="B1017" s="5">
        <v>1</v>
      </c>
      <c r="C1017" s="5">
        <v>5</v>
      </c>
      <c r="D1017" s="5" t="s">
        <v>3273</v>
      </c>
      <c r="E1017" s="5" t="s">
        <v>454</v>
      </c>
      <c r="F1017" s="5" t="s">
        <v>282</v>
      </c>
      <c r="G1017" s="5" t="s">
        <v>3976</v>
      </c>
      <c r="H1017" s="6" t="s">
        <v>3276</v>
      </c>
      <c r="I1017" s="5" t="s">
        <v>4184</v>
      </c>
      <c r="J1017" s="7">
        <f>203</f>
        <v>203</v>
      </c>
      <c r="K1017" s="5" t="s">
        <v>270</v>
      </c>
      <c r="L1017" s="8">
        <f>36487522</f>
        <v>36487522</v>
      </c>
      <c r="M1017" s="8">
        <f>53816400</f>
        <v>53816400</v>
      </c>
      <c r="N1017" s="6" t="s">
        <v>4185</v>
      </c>
      <c r="O1017" s="5" t="s">
        <v>286</v>
      </c>
      <c r="P1017" s="5" t="s">
        <v>379</v>
      </c>
      <c r="Q1017" s="8">
        <f>2475554</f>
        <v>2475554</v>
      </c>
      <c r="R1017" s="8">
        <f>17328878</f>
        <v>17328878</v>
      </c>
      <c r="S1017" s="5" t="s">
        <v>240</v>
      </c>
      <c r="T1017" s="5" t="s">
        <v>237</v>
      </c>
      <c r="W1017" s="5" t="s">
        <v>241</v>
      </c>
      <c r="X1017" s="5" t="s">
        <v>453</v>
      </c>
      <c r="Y1017" s="5" t="s">
        <v>238</v>
      </c>
      <c r="AB1017" s="5" t="s">
        <v>238</v>
      </c>
      <c r="AC1017" s="6" t="s">
        <v>238</v>
      </c>
      <c r="AD1017" s="6" t="s">
        <v>238</v>
      </c>
      <c r="AF1017" s="6" t="s">
        <v>238</v>
      </c>
      <c r="AG1017" s="6" t="s">
        <v>246</v>
      </c>
      <c r="AH1017" s="5" t="s">
        <v>247</v>
      </c>
      <c r="AI1017" s="5" t="s">
        <v>248</v>
      </c>
      <c r="AO1017" s="5" t="s">
        <v>238</v>
      </c>
      <c r="AP1017" s="5" t="s">
        <v>238</v>
      </c>
      <c r="AQ1017" s="5" t="s">
        <v>238</v>
      </c>
      <c r="AR1017" s="6" t="s">
        <v>238</v>
      </c>
      <c r="AS1017" s="6" t="s">
        <v>238</v>
      </c>
      <c r="AT1017" s="6" t="s">
        <v>238</v>
      </c>
      <c r="AW1017" s="5" t="s">
        <v>304</v>
      </c>
      <c r="AX1017" s="5" t="s">
        <v>304</v>
      </c>
      <c r="AY1017" s="5" t="s">
        <v>250</v>
      </c>
      <c r="AZ1017" s="5" t="s">
        <v>305</v>
      </c>
      <c r="BA1017" s="5" t="s">
        <v>251</v>
      </c>
      <c r="BB1017" s="5" t="s">
        <v>238</v>
      </c>
      <c r="BC1017" s="5" t="s">
        <v>253</v>
      </c>
      <c r="BD1017" s="5" t="s">
        <v>238</v>
      </c>
      <c r="BF1017" s="5" t="s">
        <v>238</v>
      </c>
      <c r="BH1017" s="5" t="s">
        <v>283</v>
      </c>
      <c r="BI1017" s="6" t="s">
        <v>293</v>
      </c>
      <c r="BJ1017" s="5" t="s">
        <v>294</v>
      </c>
      <c r="BK1017" s="5" t="s">
        <v>294</v>
      </c>
      <c r="BL1017" s="5" t="s">
        <v>238</v>
      </c>
      <c r="BM1017" s="7">
        <f>0</f>
        <v>0</v>
      </c>
      <c r="BN1017" s="8">
        <f>-2475554</f>
        <v>-2475554</v>
      </c>
      <c r="BO1017" s="5" t="s">
        <v>257</v>
      </c>
      <c r="BP1017" s="5" t="s">
        <v>258</v>
      </c>
      <c r="BQ1017" s="5" t="s">
        <v>238</v>
      </c>
      <c r="BR1017" s="5" t="s">
        <v>238</v>
      </c>
      <c r="BS1017" s="5" t="s">
        <v>238</v>
      </c>
      <c r="BT1017" s="5" t="s">
        <v>238</v>
      </c>
      <c r="CC1017" s="5" t="s">
        <v>258</v>
      </c>
      <c r="CD1017" s="5" t="s">
        <v>238</v>
      </c>
      <c r="CE1017" s="5" t="s">
        <v>238</v>
      </c>
      <c r="CI1017" s="5" t="s">
        <v>259</v>
      </c>
      <c r="CJ1017" s="5" t="s">
        <v>260</v>
      </c>
      <c r="CK1017" s="5" t="s">
        <v>238</v>
      </c>
      <c r="CM1017" s="5" t="s">
        <v>1358</v>
      </c>
      <c r="CN1017" s="6" t="s">
        <v>262</v>
      </c>
      <c r="CO1017" s="5" t="s">
        <v>263</v>
      </c>
      <c r="CP1017" s="5" t="s">
        <v>264</v>
      </c>
      <c r="CQ1017" s="5" t="s">
        <v>285</v>
      </c>
      <c r="CR1017" s="5" t="s">
        <v>238</v>
      </c>
      <c r="CS1017" s="5">
        <v>4.5999999999999999E-2</v>
      </c>
      <c r="CT1017" s="5" t="s">
        <v>265</v>
      </c>
      <c r="CU1017" s="5" t="s">
        <v>2145</v>
      </c>
      <c r="CV1017" s="5" t="s">
        <v>267</v>
      </c>
      <c r="CW1017" s="7">
        <f>0</f>
        <v>0</v>
      </c>
      <c r="CX1017" s="8">
        <f>53816400</f>
        <v>53816400</v>
      </c>
      <c r="CY1017" s="8">
        <f>36487522</f>
        <v>36487522</v>
      </c>
      <c r="DA1017" s="5" t="s">
        <v>238</v>
      </c>
      <c r="DB1017" s="5" t="s">
        <v>238</v>
      </c>
      <c r="DD1017" s="5" t="s">
        <v>238</v>
      </c>
      <c r="DE1017" s="8">
        <f>0</f>
        <v>0</v>
      </c>
      <c r="DG1017" s="5" t="s">
        <v>238</v>
      </c>
      <c r="DH1017" s="5" t="s">
        <v>238</v>
      </c>
      <c r="DI1017" s="5" t="s">
        <v>238</v>
      </c>
      <c r="DJ1017" s="5" t="s">
        <v>238</v>
      </c>
      <c r="DK1017" s="5" t="s">
        <v>271</v>
      </c>
      <c r="DL1017" s="5" t="s">
        <v>272</v>
      </c>
      <c r="DM1017" s="7">
        <f>203</f>
        <v>203</v>
      </c>
      <c r="DN1017" s="5" t="s">
        <v>238</v>
      </c>
      <c r="DO1017" s="5" t="s">
        <v>238</v>
      </c>
      <c r="DP1017" s="5" t="s">
        <v>238</v>
      </c>
      <c r="DQ1017" s="5" t="s">
        <v>238</v>
      </c>
      <c r="DT1017" s="5" t="s">
        <v>3277</v>
      </c>
      <c r="DU1017" s="5" t="s">
        <v>274</v>
      </c>
      <c r="GL1017" s="5" t="s">
        <v>4186</v>
      </c>
      <c r="HM1017" s="5" t="s">
        <v>313</v>
      </c>
      <c r="HP1017" s="5" t="s">
        <v>272</v>
      </c>
      <c r="HQ1017" s="5" t="s">
        <v>272</v>
      </c>
      <c r="HR1017" s="5" t="s">
        <v>238</v>
      </c>
      <c r="HS1017" s="5" t="s">
        <v>238</v>
      </c>
      <c r="HT1017" s="5" t="s">
        <v>238</v>
      </c>
      <c r="HU1017" s="5" t="s">
        <v>238</v>
      </c>
      <c r="HV1017" s="5" t="s">
        <v>238</v>
      </c>
      <c r="HW1017" s="5" t="s">
        <v>238</v>
      </c>
      <c r="HX1017" s="5" t="s">
        <v>238</v>
      </c>
      <c r="HY1017" s="5" t="s">
        <v>238</v>
      </c>
      <c r="HZ1017" s="5" t="s">
        <v>238</v>
      </c>
      <c r="IA1017" s="5" t="s">
        <v>238</v>
      </c>
      <c r="IB1017" s="5" t="s">
        <v>238</v>
      </c>
      <c r="IC1017" s="5" t="s">
        <v>238</v>
      </c>
      <c r="ID1017" s="5" t="s">
        <v>238</v>
      </c>
    </row>
    <row r="1018" spans="1:238" x14ac:dyDescent="0.4">
      <c r="A1018" s="5">
        <v>1346</v>
      </c>
      <c r="B1018" s="5">
        <v>1</v>
      </c>
      <c r="C1018" s="5">
        <v>5</v>
      </c>
      <c r="D1018" s="5" t="s">
        <v>3273</v>
      </c>
      <c r="E1018" s="5" t="s">
        <v>454</v>
      </c>
      <c r="F1018" s="5" t="s">
        <v>282</v>
      </c>
      <c r="G1018" s="5" t="s">
        <v>3275</v>
      </c>
      <c r="H1018" s="6" t="s">
        <v>3276</v>
      </c>
      <c r="I1018" s="5" t="s">
        <v>3272</v>
      </c>
      <c r="J1018" s="7">
        <f>14</f>
        <v>14</v>
      </c>
      <c r="K1018" s="5" t="s">
        <v>270</v>
      </c>
      <c r="L1018" s="8">
        <f>3772980</f>
        <v>3772980</v>
      </c>
      <c r="M1018" s="8">
        <f>4438800</f>
        <v>4438800</v>
      </c>
      <c r="N1018" s="6" t="s">
        <v>1237</v>
      </c>
      <c r="O1018" s="5" t="s">
        <v>755</v>
      </c>
      <c r="P1018" s="5" t="s">
        <v>356</v>
      </c>
      <c r="Q1018" s="8">
        <f>133164</f>
        <v>133164</v>
      </c>
      <c r="R1018" s="8">
        <f>665820</f>
        <v>665820</v>
      </c>
      <c r="S1018" s="5" t="s">
        <v>240</v>
      </c>
      <c r="T1018" s="5" t="s">
        <v>237</v>
      </c>
      <c r="W1018" s="5" t="s">
        <v>241</v>
      </c>
      <c r="X1018" s="5" t="s">
        <v>453</v>
      </c>
      <c r="Y1018" s="5" t="s">
        <v>238</v>
      </c>
      <c r="AB1018" s="5" t="s">
        <v>238</v>
      </c>
      <c r="AC1018" s="6" t="s">
        <v>238</v>
      </c>
      <c r="AD1018" s="6" t="s">
        <v>238</v>
      </c>
      <c r="AF1018" s="6" t="s">
        <v>238</v>
      </c>
      <c r="AG1018" s="6" t="s">
        <v>3274</v>
      </c>
      <c r="AH1018" s="5" t="s">
        <v>247</v>
      </c>
      <c r="AI1018" s="5" t="s">
        <v>248</v>
      </c>
      <c r="AO1018" s="5" t="s">
        <v>238</v>
      </c>
      <c r="AP1018" s="5" t="s">
        <v>238</v>
      </c>
      <c r="AQ1018" s="5" t="s">
        <v>238</v>
      </c>
      <c r="AR1018" s="6" t="s">
        <v>238</v>
      </c>
      <c r="AS1018" s="6" t="s">
        <v>238</v>
      </c>
      <c r="AT1018" s="6" t="s">
        <v>238</v>
      </c>
      <c r="AW1018" s="5" t="s">
        <v>304</v>
      </c>
      <c r="AX1018" s="5" t="s">
        <v>304</v>
      </c>
      <c r="AY1018" s="5" t="s">
        <v>250</v>
      </c>
      <c r="AZ1018" s="5" t="s">
        <v>305</v>
      </c>
      <c r="BA1018" s="5" t="s">
        <v>251</v>
      </c>
      <c r="BB1018" s="5" t="s">
        <v>238</v>
      </c>
      <c r="BC1018" s="5" t="s">
        <v>253</v>
      </c>
      <c r="BD1018" s="5" t="s">
        <v>238</v>
      </c>
      <c r="BF1018" s="5" t="s">
        <v>238</v>
      </c>
      <c r="BH1018" s="5" t="s">
        <v>283</v>
      </c>
      <c r="BI1018" s="6" t="s">
        <v>293</v>
      </c>
      <c r="BJ1018" s="5" t="s">
        <v>294</v>
      </c>
      <c r="BK1018" s="5" t="s">
        <v>294</v>
      </c>
      <c r="BL1018" s="5" t="s">
        <v>238</v>
      </c>
      <c r="BM1018" s="7">
        <f>0</f>
        <v>0</v>
      </c>
      <c r="BN1018" s="8">
        <f>-133164</f>
        <v>-133164</v>
      </c>
      <c r="BO1018" s="5" t="s">
        <v>257</v>
      </c>
      <c r="BP1018" s="5" t="s">
        <v>258</v>
      </c>
      <c r="BQ1018" s="5" t="s">
        <v>238</v>
      </c>
      <c r="BR1018" s="5" t="s">
        <v>238</v>
      </c>
      <c r="BS1018" s="5" t="s">
        <v>238</v>
      </c>
      <c r="BT1018" s="5" t="s">
        <v>238</v>
      </c>
      <c r="CC1018" s="5" t="s">
        <v>258</v>
      </c>
      <c r="CD1018" s="5" t="s">
        <v>238</v>
      </c>
      <c r="CE1018" s="5" t="s">
        <v>238</v>
      </c>
      <c r="CI1018" s="5" t="s">
        <v>259</v>
      </c>
      <c r="CJ1018" s="5" t="s">
        <v>260</v>
      </c>
      <c r="CK1018" s="5" t="s">
        <v>238</v>
      </c>
      <c r="CM1018" s="5" t="s">
        <v>376</v>
      </c>
      <c r="CN1018" s="6" t="s">
        <v>262</v>
      </c>
      <c r="CO1018" s="5" t="s">
        <v>263</v>
      </c>
      <c r="CP1018" s="5" t="s">
        <v>264</v>
      </c>
      <c r="CQ1018" s="5" t="s">
        <v>285</v>
      </c>
      <c r="CR1018" s="5" t="s">
        <v>238</v>
      </c>
      <c r="CS1018" s="5">
        <v>0.03</v>
      </c>
      <c r="CT1018" s="5" t="s">
        <v>265</v>
      </c>
      <c r="CU1018" s="5" t="s">
        <v>1493</v>
      </c>
      <c r="CV1018" s="5" t="s">
        <v>649</v>
      </c>
      <c r="CW1018" s="7">
        <f>0</f>
        <v>0</v>
      </c>
      <c r="CX1018" s="8">
        <f>4438800</f>
        <v>4438800</v>
      </c>
      <c r="CY1018" s="8">
        <f>3772980</f>
        <v>3772980</v>
      </c>
      <c r="DA1018" s="5" t="s">
        <v>238</v>
      </c>
      <c r="DB1018" s="5" t="s">
        <v>238</v>
      </c>
      <c r="DD1018" s="5" t="s">
        <v>238</v>
      </c>
      <c r="DE1018" s="8">
        <f>0</f>
        <v>0</v>
      </c>
      <c r="DG1018" s="5" t="s">
        <v>238</v>
      </c>
      <c r="DH1018" s="5" t="s">
        <v>238</v>
      </c>
      <c r="DI1018" s="5" t="s">
        <v>238</v>
      </c>
      <c r="DJ1018" s="5" t="s">
        <v>238</v>
      </c>
      <c r="DK1018" s="5" t="s">
        <v>272</v>
      </c>
      <c r="DL1018" s="5" t="s">
        <v>272</v>
      </c>
      <c r="DM1018" s="7">
        <f>14</f>
        <v>14</v>
      </c>
      <c r="DN1018" s="5" t="s">
        <v>238</v>
      </c>
      <c r="DO1018" s="5" t="s">
        <v>238</v>
      </c>
      <c r="DP1018" s="5" t="s">
        <v>238</v>
      </c>
      <c r="DQ1018" s="5" t="s">
        <v>238</v>
      </c>
      <c r="DT1018" s="5" t="s">
        <v>3277</v>
      </c>
      <c r="DU1018" s="5" t="s">
        <v>356</v>
      </c>
      <c r="GL1018" s="5" t="s">
        <v>3278</v>
      </c>
      <c r="HM1018" s="5" t="s">
        <v>379</v>
      </c>
      <c r="HP1018" s="5" t="s">
        <v>272</v>
      </c>
      <c r="HQ1018" s="5" t="s">
        <v>272</v>
      </c>
      <c r="HR1018" s="5" t="s">
        <v>238</v>
      </c>
      <c r="HS1018" s="5" t="s">
        <v>238</v>
      </c>
      <c r="HT1018" s="5" t="s">
        <v>238</v>
      </c>
      <c r="HU1018" s="5" t="s">
        <v>238</v>
      </c>
      <c r="HV1018" s="5" t="s">
        <v>238</v>
      </c>
      <c r="HW1018" s="5" t="s">
        <v>238</v>
      </c>
      <c r="HX1018" s="5" t="s">
        <v>238</v>
      </c>
      <c r="HY1018" s="5" t="s">
        <v>238</v>
      </c>
      <c r="HZ1018" s="5" t="s">
        <v>238</v>
      </c>
      <c r="IA1018" s="5" t="s">
        <v>238</v>
      </c>
      <c r="IB1018" s="5" t="s">
        <v>238</v>
      </c>
      <c r="IC1018" s="5" t="s">
        <v>238</v>
      </c>
      <c r="ID1018" s="5" t="s">
        <v>238</v>
      </c>
    </row>
    <row r="1019" spans="1:238" x14ac:dyDescent="0.4">
      <c r="A1019" s="5">
        <v>1347</v>
      </c>
      <c r="B1019" s="5">
        <v>1</v>
      </c>
      <c r="C1019" s="5">
        <v>2</v>
      </c>
      <c r="D1019" s="5" t="s">
        <v>2244</v>
      </c>
      <c r="E1019" s="5" t="s">
        <v>454</v>
      </c>
      <c r="F1019" s="5" t="s">
        <v>282</v>
      </c>
      <c r="G1019" s="5" t="s">
        <v>636</v>
      </c>
      <c r="H1019" s="6" t="s">
        <v>2247</v>
      </c>
      <c r="I1019" s="5" t="s">
        <v>3282</v>
      </c>
      <c r="J1019" s="7">
        <f>32.4</f>
        <v>32.4</v>
      </c>
      <c r="K1019" s="5" t="s">
        <v>270</v>
      </c>
      <c r="L1019" s="8">
        <f>1</f>
        <v>1</v>
      </c>
      <c r="M1019" s="8">
        <f>1944000</f>
        <v>1944000</v>
      </c>
      <c r="N1019" s="6" t="s">
        <v>2111</v>
      </c>
      <c r="O1019" s="5" t="s">
        <v>268</v>
      </c>
      <c r="P1019" s="5" t="s">
        <v>971</v>
      </c>
      <c r="R1019" s="8">
        <f>1943999</f>
        <v>1943999</v>
      </c>
      <c r="S1019" s="5" t="s">
        <v>240</v>
      </c>
      <c r="T1019" s="5" t="s">
        <v>237</v>
      </c>
      <c r="W1019" s="5" t="s">
        <v>241</v>
      </c>
      <c r="X1019" s="5" t="s">
        <v>453</v>
      </c>
      <c r="Y1019" s="5" t="s">
        <v>238</v>
      </c>
      <c r="AB1019" s="5" t="s">
        <v>238</v>
      </c>
      <c r="AC1019" s="6" t="s">
        <v>238</v>
      </c>
      <c r="AD1019" s="6" t="s">
        <v>238</v>
      </c>
      <c r="AF1019" s="6" t="s">
        <v>238</v>
      </c>
      <c r="AG1019" s="6" t="s">
        <v>246</v>
      </c>
      <c r="AH1019" s="5" t="s">
        <v>247</v>
      </c>
      <c r="AI1019" s="5" t="s">
        <v>248</v>
      </c>
      <c r="AT1019" s="6" t="s">
        <v>238</v>
      </c>
      <c r="AW1019" s="5" t="s">
        <v>304</v>
      </c>
      <c r="AX1019" s="5" t="s">
        <v>304</v>
      </c>
      <c r="AY1019" s="5" t="s">
        <v>250</v>
      </c>
      <c r="AZ1019" s="5" t="s">
        <v>305</v>
      </c>
      <c r="BA1019" s="5" t="s">
        <v>251</v>
      </c>
      <c r="BB1019" s="5" t="s">
        <v>238</v>
      </c>
      <c r="BC1019" s="5" t="s">
        <v>253</v>
      </c>
      <c r="BD1019" s="5" t="s">
        <v>238</v>
      </c>
      <c r="BF1019" s="5" t="s">
        <v>238</v>
      </c>
      <c r="BH1019" s="5" t="s">
        <v>283</v>
      </c>
      <c r="BI1019" s="6" t="s">
        <v>3283</v>
      </c>
      <c r="BJ1019" s="5" t="s">
        <v>255</v>
      </c>
      <c r="BK1019" s="5" t="s">
        <v>256</v>
      </c>
      <c r="BL1019" s="5" t="s">
        <v>238</v>
      </c>
      <c r="BM1019" s="7">
        <f>0</f>
        <v>0</v>
      </c>
      <c r="BN1019" s="8">
        <f>0</f>
        <v>0</v>
      </c>
      <c r="BO1019" s="5" t="s">
        <v>257</v>
      </c>
      <c r="BP1019" s="5" t="s">
        <v>258</v>
      </c>
      <c r="BQ1019" s="5" t="s">
        <v>238</v>
      </c>
      <c r="BR1019" s="5" t="s">
        <v>238</v>
      </c>
      <c r="BS1019" s="5" t="s">
        <v>238</v>
      </c>
      <c r="BT1019" s="5" t="s">
        <v>238</v>
      </c>
      <c r="CC1019" s="5" t="s">
        <v>258</v>
      </c>
      <c r="CD1019" s="5" t="s">
        <v>238</v>
      </c>
      <c r="CE1019" s="5" t="s">
        <v>238</v>
      </c>
      <c r="CI1019" s="5" t="s">
        <v>527</v>
      </c>
      <c r="CJ1019" s="5" t="s">
        <v>260</v>
      </c>
      <c r="CK1019" s="5" t="s">
        <v>238</v>
      </c>
      <c r="CM1019" s="5" t="s">
        <v>970</v>
      </c>
      <c r="CN1019" s="6" t="s">
        <v>262</v>
      </c>
      <c r="CO1019" s="5" t="s">
        <v>263</v>
      </c>
      <c r="CP1019" s="5" t="s">
        <v>264</v>
      </c>
      <c r="CQ1019" s="5" t="s">
        <v>285</v>
      </c>
      <c r="CR1019" s="5" t="s">
        <v>238</v>
      </c>
      <c r="CS1019" s="5">
        <v>0</v>
      </c>
      <c r="CT1019" s="5" t="s">
        <v>265</v>
      </c>
      <c r="CU1019" s="5" t="s">
        <v>266</v>
      </c>
      <c r="CV1019" s="5" t="s">
        <v>267</v>
      </c>
      <c r="CW1019" s="7">
        <f>0</f>
        <v>0</v>
      </c>
      <c r="CX1019" s="8">
        <f>1944000</f>
        <v>1944000</v>
      </c>
      <c r="CY1019" s="8">
        <f>1</f>
        <v>1</v>
      </c>
      <c r="DA1019" s="5" t="s">
        <v>238</v>
      </c>
      <c r="DB1019" s="5" t="s">
        <v>238</v>
      </c>
      <c r="DD1019" s="5" t="s">
        <v>238</v>
      </c>
      <c r="DE1019" s="8">
        <f>0</f>
        <v>0</v>
      </c>
      <c r="DG1019" s="5" t="s">
        <v>238</v>
      </c>
      <c r="DH1019" s="5" t="s">
        <v>238</v>
      </c>
      <c r="DI1019" s="5" t="s">
        <v>238</v>
      </c>
      <c r="DJ1019" s="5" t="s">
        <v>238</v>
      </c>
      <c r="DK1019" s="5" t="s">
        <v>271</v>
      </c>
      <c r="DL1019" s="5" t="s">
        <v>272</v>
      </c>
      <c r="DM1019" s="7">
        <f>32.4</f>
        <v>32.4</v>
      </c>
      <c r="DN1019" s="5" t="s">
        <v>238</v>
      </c>
      <c r="DO1019" s="5" t="s">
        <v>238</v>
      </c>
      <c r="DP1019" s="5" t="s">
        <v>238</v>
      </c>
      <c r="DQ1019" s="5" t="s">
        <v>238</v>
      </c>
      <c r="DT1019" s="5" t="s">
        <v>2248</v>
      </c>
      <c r="DU1019" s="5" t="s">
        <v>271</v>
      </c>
      <c r="HM1019" s="5" t="s">
        <v>271</v>
      </c>
      <c r="HP1019" s="5" t="s">
        <v>272</v>
      </c>
      <c r="HQ1019" s="5" t="s">
        <v>272</v>
      </c>
      <c r="HR1019" s="5" t="s">
        <v>238</v>
      </c>
      <c r="HS1019" s="5" t="s">
        <v>238</v>
      </c>
      <c r="HT1019" s="5" t="s">
        <v>238</v>
      </c>
      <c r="HU1019" s="5" t="s">
        <v>238</v>
      </c>
      <c r="HV1019" s="5" t="s">
        <v>238</v>
      </c>
      <c r="HW1019" s="5" t="s">
        <v>238</v>
      </c>
      <c r="HX1019" s="5" t="s">
        <v>238</v>
      </c>
      <c r="HY1019" s="5" t="s">
        <v>238</v>
      </c>
      <c r="HZ1019" s="5" t="s">
        <v>238</v>
      </c>
      <c r="IA1019" s="5" t="s">
        <v>238</v>
      </c>
      <c r="IB1019" s="5" t="s">
        <v>238</v>
      </c>
      <c r="IC1019" s="5" t="s">
        <v>238</v>
      </c>
      <c r="ID1019" s="5" t="s">
        <v>238</v>
      </c>
    </row>
    <row r="1020" spans="1:238" x14ac:dyDescent="0.4">
      <c r="A1020" s="5">
        <v>1348</v>
      </c>
      <c r="B1020" s="5">
        <v>1</v>
      </c>
      <c r="C1020" s="5">
        <v>2</v>
      </c>
      <c r="D1020" s="5" t="s">
        <v>2244</v>
      </c>
      <c r="E1020" s="5" t="s">
        <v>454</v>
      </c>
      <c r="F1020" s="5" t="s">
        <v>282</v>
      </c>
      <c r="G1020" s="5" t="s">
        <v>3976</v>
      </c>
      <c r="H1020" s="6" t="s">
        <v>2247</v>
      </c>
      <c r="I1020" s="5" t="s">
        <v>4222</v>
      </c>
      <c r="J1020" s="7">
        <f>520.12</f>
        <v>520.12</v>
      </c>
      <c r="K1020" s="5" t="s">
        <v>270</v>
      </c>
      <c r="L1020" s="8">
        <f>1</f>
        <v>1</v>
      </c>
      <c r="M1020" s="8">
        <f>41609600</f>
        <v>41609600</v>
      </c>
      <c r="N1020" s="6" t="s">
        <v>2111</v>
      </c>
      <c r="O1020" s="5" t="s">
        <v>755</v>
      </c>
      <c r="P1020" s="5" t="s">
        <v>971</v>
      </c>
      <c r="R1020" s="8">
        <f>41609599</f>
        <v>41609599</v>
      </c>
      <c r="S1020" s="5" t="s">
        <v>240</v>
      </c>
      <c r="T1020" s="5" t="s">
        <v>237</v>
      </c>
      <c r="W1020" s="5" t="s">
        <v>241</v>
      </c>
      <c r="X1020" s="5" t="s">
        <v>453</v>
      </c>
      <c r="Y1020" s="5" t="s">
        <v>238</v>
      </c>
      <c r="AB1020" s="5" t="s">
        <v>238</v>
      </c>
      <c r="AC1020" s="6" t="s">
        <v>238</v>
      </c>
      <c r="AD1020" s="6" t="s">
        <v>238</v>
      </c>
      <c r="AF1020" s="6" t="s">
        <v>238</v>
      </c>
      <c r="AG1020" s="6" t="s">
        <v>246</v>
      </c>
      <c r="AH1020" s="5" t="s">
        <v>247</v>
      </c>
      <c r="AI1020" s="5" t="s">
        <v>248</v>
      </c>
      <c r="AT1020" s="6" t="s">
        <v>238</v>
      </c>
      <c r="AW1020" s="5" t="s">
        <v>304</v>
      </c>
      <c r="AX1020" s="5" t="s">
        <v>304</v>
      </c>
      <c r="AY1020" s="5" t="s">
        <v>250</v>
      </c>
      <c r="AZ1020" s="5" t="s">
        <v>305</v>
      </c>
      <c r="BA1020" s="5" t="s">
        <v>251</v>
      </c>
      <c r="BB1020" s="5" t="s">
        <v>238</v>
      </c>
      <c r="BC1020" s="5" t="s">
        <v>253</v>
      </c>
      <c r="BD1020" s="5" t="s">
        <v>238</v>
      </c>
      <c r="BF1020" s="5" t="s">
        <v>238</v>
      </c>
      <c r="BH1020" s="5" t="s">
        <v>283</v>
      </c>
      <c r="BI1020" s="6" t="s">
        <v>3283</v>
      </c>
      <c r="BJ1020" s="5" t="s">
        <v>255</v>
      </c>
      <c r="BK1020" s="5" t="s">
        <v>256</v>
      </c>
      <c r="BL1020" s="5" t="s">
        <v>238</v>
      </c>
      <c r="BM1020" s="7">
        <f>0</f>
        <v>0</v>
      </c>
      <c r="BN1020" s="8">
        <f>0</f>
        <v>0</v>
      </c>
      <c r="BO1020" s="5" t="s">
        <v>257</v>
      </c>
      <c r="BP1020" s="5" t="s">
        <v>258</v>
      </c>
      <c r="BQ1020" s="5" t="s">
        <v>238</v>
      </c>
      <c r="BR1020" s="5" t="s">
        <v>238</v>
      </c>
      <c r="BS1020" s="5" t="s">
        <v>238</v>
      </c>
      <c r="BT1020" s="5" t="s">
        <v>238</v>
      </c>
      <c r="CC1020" s="5" t="s">
        <v>258</v>
      </c>
      <c r="CD1020" s="5" t="s">
        <v>238</v>
      </c>
      <c r="CE1020" s="5" t="s">
        <v>238</v>
      </c>
      <c r="CI1020" s="5" t="s">
        <v>527</v>
      </c>
      <c r="CJ1020" s="5" t="s">
        <v>260</v>
      </c>
      <c r="CK1020" s="5" t="s">
        <v>238</v>
      </c>
      <c r="CM1020" s="5" t="s">
        <v>970</v>
      </c>
      <c r="CN1020" s="6" t="s">
        <v>262</v>
      </c>
      <c r="CO1020" s="5" t="s">
        <v>263</v>
      </c>
      <c r="CP1020" s="5" t="s">
        <v>264</v>
      </c>
      <c r="CQ1020" s="5" t="s">
        <v>285</v>
      </c>
      <c r="CR1020" s="5" t="s">
        <v>238</v>
      </c>
      <c r="CS1020" s="5">
        <v>0</v>
      </c>
      <c r="CT1020" s="5" t="s">
        <v>265</v>
      </c>
      <c r="CU1020" s="5" t="s">
        <v>2145</v>
      </c>
      <c r="CV1020" s="5" t="s">
        <v>649</v>
      </c>
      <c r="CW1020" s="7">
        <f>0</f>
        <v>0</v>
      </c>
      <c r="CX1020" s="8">
        <f>41609600</f>
        <v>41609600</v>
      </c>
      <c r="CY1020" s="8">
        <f>1</f>
        <v>1</v>
      </c>
      <c r="DA1020" s="5" t="s">
        <v>238</v>
      </c>
      <c r="DB1020" s="5" t="s">
        <v>238</v>
      </c>
      <c r="DD1020" s="5" t="s">
        <v>238</v>
      </c>
      <c r="DE1020" s="8">
        <f>0</f>
        <v>0</v>
      </c>
      <c r="DG1020" s="5" t="s">
        <v>238</v>
      </c>
      <c r="DH1020" s="5" t="s">
        <v>238</v>
      </c>
      <c r="DI1020" s="5" t="s">
        <v>238</v>
      </c>
      <c r="DJ1020" s="5" t="s">
        <v>238</v>
      </c>
      <c r="DK1020" s="5" t="s">
        <v>271</v>
      </c>
      <c r="DL1020" s="5" t="s">
        <v>272</v>
      </c>
      <c r="DM1020" s="7">
        <f>520.12</f>
        <v>520.12</v>
      </c>
      <c r="DN1020" s="5" t="s">
        <v>238</v>
      </c>
      <c r="DO1020" s="5" t="s">
        <v>238</v>
      </c>
      <c r="DP1020" s="5" t="s">
        <v>238</v>
      </c>
      <c r="DQ1020" s="5" t="s">
        <v>238</v>
      </c>
      <c r="DT1020" s="5" t="s">
        <v>2248</v>
      </c>
      <c r="DU1020" s="5" t="s">
        <v>274</v>
      </c>
      <c r="HM1020" s="5" t="s">
        <v>271</v>
      </c>
      <c r="HP1020" s="5" t="s">
        <v>272</v>
      </c>
      <c r="HQ1020" s="5" t="s">
        <v>272</v>
      </c>
      <c r="HR1020" s="5" t="s">
        <v>238</v>
      </c>
      <c r="HS1020" s="5" t="s">
        <v>238</v>
      </c>
      <c r="HT1020" s="5" t="s">
        <v>238</v>
      </c>
      <c r="HU1020" s="5" t="s">
        <v>238</v>
      </c>
      <c r="HV1020" s="5" t="s">
        <v>238</v>
      </c>
      <c r="HW1020" s="5" t="s">
        <v>238</v>
      </c>
      <c r="HX1020" s="5" t="s">
        <v>238</v>
      </c>
      <c r="HY1020" s="5" t="s">
        <v>238</v>
      </c>
      <c r="HZ1020" s="5" t="s">
        <v>238</v>
      </c>
      <c r="IA1020" s="5" t="s">
        <v>238</v>
      </c>
      <c r="IB1020" s="5" t="s">
        <v>238</v>
      </c>
      <c r="IC1020" s="5" t="s">
        <v>238</v>
      </c>
      <c r="ID1020" s="5" t="s">
        <v>238</v>
      </c>
    </row>
    <row r="1021" spans="1:238" x14ac:dyDescent="0.4">
      <c r="A1021" s="5">
        <v>1349</v>
      </c>
      <c r="B1021" s="5">
        <v>1</v>
      </c>
      <c r="C1021" s="5">
        <v>4</v>
      </c>
      <c r="D1021" s="5" t="s">
        <v>2244</v>
      </c>
      <c r="E1021" s="5" t="s">
        <v>454</v>
      </c>
      <c r="F1021" s="5" t="s">
        <v>282</v>
      </c>
      <c r="G1021" s="5" t="s">
        <v>2246</v>
      </c>
      <c r="H1021" s="6" t="s">
        <v>2247</v>
      </c>
      <c r="I1021" s="5" t="s">
        <v>2243</v>
      </c>
      <c r="J1021" s="7">
        <f>0</f>
        <v>0</v>
      </c>
      <c r="K1021" s="5" t="s">
        <v>270</v>
      </c>
      <c r="L1021" s="8">
        <f>3569325</f>
        <v>3569325</v>
      </c>
      <c r="M1021" s="8">
        <f>4274640</f>
        <v>4274640</v>
      </c>
      <c r="N1021" s="6" t="s">
        <v>2245</v>
      </c>
      <c r="O1021" s="5" t="s">
        <v>650</v>
      </c>
      <c r="P1021" s="5" t="s">
        <v>356</v>
      </c>
      <c r="Q1021" s="8">
        <f>141063</f>
        <v>141063</v>
      </c>
      <c r="R1021" s="8">
        <f>705315</f>
        <v>705315</v>
      </c>
      <c r="S1021" s="5" t="s">
        <v>240</v>
      </c>
      <c r="T1021" s="5" t="s">
        <v>287</v>
      </c>
      <c r="U1021" s="5" t="s">
        <v>238</v>
      </c>
      <c r="V1021" s="5" t="s">
        <v>238</v>
      </c>
      <c r="W1021" s="5" t="s">
        <v>241</v>
      </c>
      <c r="X1021" s="5" t="s">
        <v>453</v>
      </c>
      <c r="Y1021" s="5" t="s">
        <v>238</v>
      </c>
      <c r="AB1021" s="5" t="s">
        <v>238</v>
      </c>
      <c r="AC1021" s="6" t="s">
        <v>238</v>
      </c>
      <c r="AD1021" s="6" t="s">
        <v>238</v>
      </c>
      <c r="AF1021" s="6" t="s">
        <v>238</v>
      </c>
      <c r="AG1021" s="6" t="s">
        <v>246</v>
      </c>
      <c r="AH1021" s="5" t="s">
        <v>247</v>
      </c>
      <c r="AI1021" s="5" t="s">
        <v>248</v>
      </c>
      <c r="AO1021" s="5" t="s">
        <v>238</v>
      </c>
      <c r="AP1021" s="5" t="s">
        <v>238</v>
      </c>
      <c r="AQ1021" s="5" t="s">
        <v>238</v>
      </c>
      <c r="AR1021" s="6" t="s">
        <v>238</v>
      </c>
      <c r="AS1021" s="6" t="s">
        <v>238</v>
      </c>
      <c r="AT1021" s="6" t="s">
        <v>238</v>
      </c>
      <c r="AW1021" s="5" t="s">
        <v>304</v>
      </c>
      <c r="AX1021" s="5" t="s">
        <v>304</v>
      </c>
      <c r="AY1021" s="5" t="s">
        <v>250</v>
      </c>
      <c r="AZ1021" s="5" t="s">
        <v>305</v>
      </c>
      <c r="BA1021" s="5" t="s">
        <v>251</v>
      </c>
      <c r="BB1021" s="5" t="s">
        <v>238</v>
      </c>
      <c r="BC1021" s="5" t="s">
        <v>253</v>
      </c>
      <c r="BD1021" s="5" t="s">
        <v>238</v>
      </c>
      <c r="BF1021" s="5" t="s">
        <v>238</v>
      </c>
      <c r="BH1021" s="5" t="s">
        <v>283</v>
      </c>
      <c r="BI1021" s="6" t="s">
        <v>293</v>
      </c>
      <c r="BJ1021" s="5" t="s">
        <v>294</v>
      </c>
      <c r="BK1021" s="5" t="s">
        <v>294</v>
      </c>
      <c r="BL1021" s="5" t="s">
        <v>238</v>
      </c>
      <c r="BM1021" s="7">
        <f>0</f>
        <v>0</v>
      </c>
      <c r="BN1021" s="8">
        <f>-141063</f>
        <v>-141063</v>
      </c>
      <c r="BO1021" s="5" t="s">
        <v>257</v>
      </c>
      <c r="BP1021" s="5" t="s">
        <v>258</v>
      </c>
      <c r="BQ1021" s="5" t="s">
        <v>238</v>
      </c>
      <c r="BR1021" s="5" t="s">
        <v>238</v>
      </c>
      <c r="BS1021" s="5" t="s">
        <v>238</v>
      </c>
      <c r="BT1021" s="5" t="s">
        <v>238</v>
      </c>
      <c r="CC1021" s="5" t="s">
        <v>258</v>
      </c>
      <c r="CD1021" s="5" t="s">
        <v>238</v>
      </c>
      <c r="CE1021" s="5" t="s">
        <v>238</v>
      </c>
      <c r="CI1021" s="5" t="s">
        <v>259</v>
      </c>
      <c r="CJ1021" s="5" t="s">
        <v>260</v>
      </c>
      <c r="CK1021" s="5" t="s">
        <v>238</v>
      </c>
      <c r="CM1021" s="5" t="s">
        <v>376</v>
      </c>
      <c r="CN1021" s="6" t="s">
        <v>262</v>
      </c>
      <c r="CO1021" s="5" t="s">
        <v>263</v>
      </c>
      <c r="CP1021" s="5" t="s">
        <v>264</v>
      </c>
      <c r="CQ1021" s="5" t="s">
        <v>285</v>
      </c>
      <c r="CR1021" s="5" t="s">
        <v>238</v>
      </c>
      <c r="CS1021" s="5">
        <v>3.3000000000000002E-2</v>
      </c>
      <c r="CT1021" s="5" t="s">
        <v>265</v>
      </c>
      <c r="CU1021" s="5" t="s">
        <v>1342</v>
      </c>
      <c r="CV1021" s="5" t="s">
        <v>649</v>
      </c>
      <c r="CW1021" s="7">
        <f>0</f>
        <v>0</v>
      </c>
      <c r="CX1021" s="8">
        <f>4274640</f>
        <v>4274640</v>
      </c>
      <c r="CY1021" s="8">
        <f>3710388</f>
        <v>3710388</v>
      </c>
      <c r="DA1021" s="5" t="s">
        <v>238</v>
      </c>
      <c r="DB1021" s="5" t="s">
        <v>238</v>
      </c>
      <c r="DD1021" s="5" t="s">
        <v>238</v>
      </c>
      <c r="DE1021" s="8">
        <f>0</f>
        <v>0</v>
      </c>
      <c r="DG1021" s="5" t="s">
        <v>238</v>
      </c>
      <c r="DH1021" s="5" t="s">
        <v>238</v>
      </c>
      <c r="DI1021" s="5" t="s">
        <v>238</v>
      </c>
      <c r="DJ1021" s="5" t="s">
        <v>238</v>
      </c>
      <c r="DK1021" s="5" t="s">
        <v>272</v>
      </c>
      <c r="DL1021" s="5" t="s">
        <v>272</v>
      </c>
      <c r="DM1021" s="8" t="s">
        <v>238</v>
      </c>
      <c r="DN1021" s="5" t="s">
        <v>238</v>
      </c>
      <c r="DO1021" s="5" t="s">
        <v>238</v>
      </c>
      <c r="DP1021" s="5" t="s">
        <v>238</v>
      </c>
      <c r="DQ1021" s="5" t="s">
        <v>238</v>
      </c>
      <c r="DT1021" s="5" t="s">
        <v>2248</v>
      </c>
      <c r="DU1021" s="5" t="s">
        <v>356</v>
      </c>
      <c r="GL1021" s="5" t="s">
        <v>2249</v>
      </c>
      <c r="HM1021" s="5" t="s">
        <v>379</v>
      </c>
      <c r="HP1021" s="5" t="s">
        <v>272</v>
      </c>
      <c r="HQ1021" s="5" t="s">
        <v>272</v>
      </c>
      <c r="HR1021" s="5" t="s">
        <v>238</v>
      </c>
      <c r="HS1021" s="5" t="s">
        <v>238</v>
      </c>
      <c r="HT1021" s="5" t="s">
        <v>238</v>
      </c>
      <c r="HU1021" s="5" t="s">
        <v>238</v>
      </c>
      <c r="HV1021" s="5" t="s">
        <v>238</v>
      </c>
      <c r="HW1021" s="5" t="s">
        <v>238</v>
      </c>
      <c r="HX1021" s="5" t="s">
        <v>238</v>
      </c>
      <c r="HY1021" s="5" t="s">
        <v>238</v>
      </c>
      <c r="HZ1021" s="5" t="s">
        <v>238</v>
      </c>
      <c r="IA1021" s="5" t="s">
        <v>238</v>
      </c>
      <c r="IB1021" s="5" t="s">
        <v>238</v>
      </c>
      <c r="IC1021" s="5" t="s">
        <v>238</v>
      </c>
      <c r="ID1021" s="5" t="s">
        <v>238</v>
      </c>
    </row>
    <row r="1022" spans="1:238" x14ac:dyDescent="0.4">
      <c r="A1022" s="5">
        <v>1350</v>
      </c>
      <c r="B1022" s="5">
        <v>1</v>
      </c>
      <c r="C1022" s="5">
        <v>5</v>
      </c>
      <c r="D1022" s="5" t="s">
        <v>4188</v>
      </c>
      <c r="E1022" s="5" t="s">
        <v>454</v>
      </c>
      <c r="F1022" s="5" t="s">
        <v>282</v>
      </c>
      <c r="G1022" s="5" t="s">
        <v>4169</v>
      </c>
      <c r="H1022" s="6" t="s">
        <v>1824</v>
      </c>
      <c r="I1022" s="5" t="s">
        <v>4187</v>
      </c>
      <c r="J1022" s="7">
        <f>169.21</f>
        <v>169.21</v>
      </c>
      <c r="K1022" s="5" t="s">
        <v>270</v>
      </c>
      <c r="L1022" s="8">
        <f>13113775</f>
        <v>13113775</v>
      </c>
      <c r="M1022" s="8">
        <f>42302500</f>
        <v>42302500</v>
      </c>
      <c r="N1022" s="6" t="s">
        <v>4189</v>
      </c>
      <c r="O1022" s="5" t="s">
        <v>286</v>
      </c>
      <c r="P1022" s="5" t="s">
        <v>319</v>
      </c>
      <c r="Q1022" s="8">
        <f>1945915</f>
        <v>1945915</v>
      </c>
      <c r="R1022" s="8">
        <f>29188725</f>
        <v>29188725</v>
      </c>
      <c r="S1022" s="5" t="s">
        <v>240</v>
      </c>
      <c r="T1022" s="5" t="s">
        <v>237</v>
      </c>
      <c r="W1022" s="5" t="s">
        <v>241</v>
      </c>
      <c r="X1022" s="5" t="s">
        <v>453</v>
      </c>
      <c r="Y1022" s="5" t="s">
        <v>238</v>
      </c>
      <c r="AB1022" s="5" t="s">
        <v>238</v>
      </c>
      <c r="AC1022" s="6" t="s">
        <v>238</v>
      </c>
      <c r="AD1022" s="6" t="s">
        <v>238</v>
      </c>
      <c r="AF1022" s="6" t="s">
        <v>238</v>
      </c>
      <c r="AG1022" s="6" t="s">
        <v>246</v>
      </c>
      <c r="AH1022" s="5" t="s">
        <v>247</v>
      </c>
      <c r="AI1022" s="5" t="s">
        <v>248</v>
      </c>
      <c r="AO1022" s="5" t="s">
        <v>238</v>
      </c>
      <c r="AP1022" s="5" t="s">
        <v>238</v>
      </c>
      <c r="AQ1022" s="5" t="s">
        <v>238</v>
      </c>
      <c r="AR1022" s="6" t="s">
        <v>238</v>
      </c>
      <c r="AS1022" s="6" t="s">
        <v>238</v>
      </c>
      <c r="AT1022" s="6" t="s">
        <v>238</v>
      </c>
      <c r="AW1022" s="5" t="s">
        <v>304</v>
      </c>
      <c r="AX1022" s="5" t="s">
        <v>304</v>
      </c>
      <c r="AY1022" s="5" t="s">
        <v>250</v>
      </c>
      <c r="AZ1022" s="5" t="s">
        <v>305</v>
      </c>
      <c r="BA1022" s="5" t="s">
        <v>251</v>
      </c>
      <c r="BB1022" s="5" t="s">
        <v>238</v>
      </c>
      <c r="BC1022" s="5" t="s">
        <v>253</v>
      </c>
      <c r="BD1022" s="5" t="s">
        <v>238</v>
      </c>
      <c r="BF1022" s="5" t="s">
        <v>710</v>
      </c>
      <c r="BH1022" s="5" t="s">
        <v>283</v>
      </c>
      <c r="BI1022" s="6" t="s">
        <v>293</v>
      </c>
      <c r="BJ1022" s="5" t="s">
        <v>294</v>
      </c>
      <c r="BK1022" s="5" t="s">
        <v>294</v>
      </c>
      <c r="BL1022" s="5" t="s">
        <v>238</v>
      </c>
      <c r="BM1022" s="7">
        <f>0</f>
        <v>0</v>
      </c>
      <c r="BN1022" s="8">
        <f>-1945915</f>
        <v>-1945915</v>
      </c>
      <c r="BO1022" s="5" t="s">
        <v>257</v>
      </c>
      <c r="BP1022" s="5" t="s">
        <v>258</v>
      </c>
      <c r="BQ1022" s="5" t="s">
        <v>238</v>
      </c>
      <c r="BR1022" s="5" t="s">
        <v>238</v>
      </c>
      <c r="BS1022" s="5" t="s">
        <v>238</v>
      </c>
      <c r="BT1022" s="5" t="s">
        <v>238</v>
      </c>
      <c r="CC1022" s="5" t="s">
        <v>258</v>
      </c>
      <c r="CD1022" s="5" t="s">
        <v>238</v>
      </c>
      <c r="CE1022" s="5" t="s">
        <v>238</v>
      </c>
      <c r="CI1022" s="5" t="s">
        <v>259</v>
      </c>
      <c r="CJ1022" s="5" t="s">
        <v>260</v>
      </c>
      <c r="CK1022" s="5" t="s">
        <v>238</v>
      </c>
      <c r="CM1022" s="5" t="s">
        <v>318</v>
      </c>
      <c r="CN1022" s="6" t="s">
        <v>262</v>
      </c>
      <c r="CO1022" s="5" t="s">
        <v>263</v>
      </c>
      <c r="CP1022" s="5" t="s">
        <v>264</v>
      </c>
      <c r="CQ1022" s="5" t="s">
        <v>285</v>
      </c>
      <c r="CR1022" s="5" t="s">
        <v>238</v>
      </c>
      <c r="CS1022" s="5">
        <v>4.5999999999999999E-2</v>
      </c>
      <c r="CT1022" s="5" t="s">
        <v>265</v>
      </c>
      <c r="CU1022" s="5" t="s">
        <v>2145</v>
      </c>
      <c r="CV1022" s="5" t="s">
        <v>267</v>
      </c>
      <c r="CW1022" s="7">
        <f>0</f>
        <v>0</v>
      </c>
      <c r="CX1022" s="8">
        <f>42302500</f>
        <v>42302500</v>
      </c>
      <c r="CY1022" s="8">
        <f>13113775</f>
        <v>13113775</v>
      </c>
      <c r="DA1022" s="5" t="s">
        <v>238</v>
      </c>
      <c r="DB1022" s="5" t="s">
        <v>238</v>
      </c>
      <c r="DD1022" s="5" t="s">
        <v>238</v>
      </c>
      <c r="DE1022" s="8">
        <f>0</f>
        <v>0</v>
      </c>
      <c r="DG1022" s="5" t="s">
        <v>238</v>
      </c>
      <c r="DH1022" s="5" t="s">
        <v>238</v>
      </c>
      <c r="DI1022" s="5" t="s">
        <v>238</v>
      </c>
      <c r="DJ1022" s="5" t="s">
        <v>238</v>
      </c>
      <c r="DK1022" s="5" t="s">
        <v>271</v>
      </c>
      <c r="DL1022" s="5" t="s">
        <v>272</v>
      </c>
      <c r="DM1022" s="7">
        <f>169.21</f>
        <v>169.21</v>
      </c>
      <c r="DN1022" s="5" t="s">
        <v>238</v>
      </c>
      <c r="DO1022" s="5" t="s">
        <v>238</v>
      </c>
      <c r="DP1022" s="5" t="s">
        <v>238</v>
      </c>
      <c r="DQ1022" s="5" t="s">
        <v>238</v>
      </c>
      <c r="DT1022" s="5" t="s">
        <v>4190</v>
      </c>
      <c r="DU1022" s="5" t="s">
        <v>271</v>
      </c>
      <c r="GL1022" s="5" t="s">
        <v>4191</v>
      </c>
      <c r="HM1022" s="5" t="s">
        <v>313</v>
      </c>
      <c r="HP1022" s="5" t="s">
        <v>272</v>
      </c>
      <c r="HQ1022" s="5" t="s">
        <v>272</v>
      </c>
      <c r="HR1022" s="5" t="s">
        <v>238</v>
      </c>
      <c r="HS1022" s="5" t="s">
        <v>238</v>
      </c>
      <c r="HT1022" s="5" t="s">
        <v>238</v>
      </c>
      <c r="HU1022" s="5" t="s">
        <v>238</v>
      </c>
      <c r="HV1022" s="5" t="s">
        <v>238</v>
      </c>
      <c r="HW1022" s="5" t="s">
        <v>238</v>
      </c>
      <c r="HX1022" s="5" t="s">
        <v>238</v>
      </c>
      <c r="HY1022" s="5" t="s">
        <v>238</v>
      </c>
      <c r="HZ1022" s="5" t="s">
        <v>238</v>
      </c>
      <c r="IA1022" s="5" t="s">
        <v>238</v>
      </c>
      <c r="IB1022" s="5" t="s">
        <v>238</v>
      </c>
      <c r="IC1022" s="5" t="s">
        <v>238</v>
      </c>
      <c r="ID1022" s="5" t="s">
        <v>238</v>
      </c>
    </row>
    <row r="1023" spans="1:238" x14ac:dyDescent="0.4">
      <c r="A1023" s="5">
        <v>1351</v>
      </c>
      <c r="B1023" s="5">
        <v>1</v>
      </c>
      <c r="C1023" s="5">
        <v>2</v>
      </c>
      <c r="D1023" s="5" t="s">
        <v>531</v>
      </c>
      <c r="E1023" s="5" t="s">
        <v>454</v>
      </c>
      <c r="F1023" s="5" t="s">
        <v>282</v>
      </c>
      <c r="G1023" s="5" t="s">
        <v>4169</v>
      </c>
      <c r="H1023" s="6" t="s">
        <v>498</v>
      </c>
      <c r="I1023" s="5" t="s">
        <v>4167</v>
      </c>
      <c r="J1023" s="7">
        <f>343.4</f>
        <v>343.4</v>
      </c>
      <c r="K1023" s="5" t="s">
        <v>270</v>
      </c>
      <c r="L1023" s="8">
        <f>1</f>
        <v>1</v>
      </c>
      <c r="M1023" s="8">
        <f>27472000</f>
        <v>27472000</v>
      </c>
      <c r="N1023" s="6" t="s">
        <v>4168</v>
      </c>
      <c r="O1023" s="5" t="s">
        <v>755</v>
      </c>
      <c r="P1023" s="5" t="s">
        <v>866</v>
      </c>
      <c r="R1023" s="8">
        <f>27471999</f>
        <v>27471999</v>
      </c>
      <c r="S1023" s="5" t="s">
        <v>240</v>
      </c>
      <c r="T1023" s="5" t="s">
        <v>237</v>
      </c>
      <c r="W1023" s="5" t="s">
        <v>241</v>
      </c>
      <c r="X1023" s="5" t="s">
        <v>453</v>
      </c>
      <c r="Y1023" s="5" t="s">
        <v>238</v>
      </c>
      <c r="AB1023" s="5" t="s">
        <v>238</v>
      </c>
      <c r="AC1023" s="6" t="s">
        <v>238</v>
      </c>
      <c r="AD1023" s="6" t="s">
        <v>238</v>
      </c>
      <c r="AF1023" s="6" t="s">
        <v>238</v>
      </c>
      <c r="AG1023" s="6" t="s">
        <v>246</v>
      </c>
      <c r="AH1023" s="5" t="s">
        <v>247</v>
      </c>
      <c r="AI1023" s="5" t="s">
        <v>248</v>
      </c>
      <c r="AT1023" s="6" t="s">
        <v>238</v>
      </c>
      <c r="AW1023" s="5" t="s">
        <v>304</v>
      </c>
      <c r="AX1023" s="5" t="s">
        <v>304</v>
      </c>
      <c r="AY1023" s="5" t="s">
        <v>250</v>
      </c>
      <c r="AZ1023" s="5" t="s">
        <v>305</v>
      </c>
      <c r="BA1023" s="5" t="s">
        <v>251</v>
      </c>
      <c r="BB1023" s="5" t="s">
        <v>238</v>
      </c>
      <c r="BC1023" s="5" t="s">
        <v>253</v>
      </c>
      <c r="BD1023" s="5" t="s">
        <v>238</v>
      </c>
      <c r="BF1023" s="5" t="s">
        <v>238</v>
      </c>
      <c r="BH1023" s="5" t="s">
        <v>283</v>
      </c>
      <c r="BI1023" s="6" t="s">
        <v>3283</v>
      </c>
      <c r="BJ1023" s="5" t="s">
        <v>255</v>
      </c>
      <c r="BK1023" s="5" t="s">
        <v>256</v>
      </c>
      <c r="BL1023" s="5" t="s">
        <v>238</v>
      </c>
      <c r="BM1023" s="7">
        <f>0</f>
        <v>0</v>
      </c>
      <c r="BN1023" s="8">
        <f>0</f>
        <v>0</v>
      </c>
      <c r="BO1023" s="5" t="s">
        <v>257</v>
      </c>
      <c r="BP1023" s="5" t="s">
        <v>258</v>
      </c>
      <c r="BQ1023" s="5" t="s">
        <v>238</v>
      </c>
      <c r="BR1023" s="5" t="s">
        <v>238</v>
      </c>
      <c r="BS1023" s="5" t="s">
        <v>238</v>
      </c>
      <c r="BT1023" s="5" t="s">
        <v>238</v>
      </c>
      <c r="CC1023" s="5" t="s">
        <v>258</v>
      </c>
      <c r="CD1023" s="5" t="s">
        <v>238</v>
      </c>
      <c r="CE1023" s="5" t="s">
        <v>238</v>
      </c>
      <c r="CI1023" s="5" t="s">
        <v>527</v>
      </c>
      <c r="CJ1023" s="5" t="s">
        <v>260</v>
      </c>
      <c r="CK1023" s="5" t="s">
        <v>238</v>
      </c>
      <c r="CM1023" s="5" t="s">
        <v>865</v>
      </c>
      <c r="CN1023" s="6" t="s">
        <v>262</v>
      </c>
      <c r="CO1023" s="5" t="s">
        <v>263</v>
      </c>
      <c r="CP1023" s="5" t="s">
        <v>264</v>
      </c>
      <c r="CQ1023" s="5" t="s">
        <v>285</v>
      </c>
      <c r="CR1023" s="5" t="s">
        <v>238</v>
      </c>
      <c r="CS1023" s="5">
        <v>0</v>
      </c>
      <c r="CT1023" s="5" t="s">
        <v>265</v>
      </c>
      <c r="CU1023" s="5" t="s">
        <v>2145</v>
      </c>
      <c r="CV1023" s="5" t="s">
        <v>649</v>
      </c>
      <c r="CW1023" s="7">
        <f>0</f>
        <v>0</v>
      </c>
      <c r="CX1023" s="8">
        <f>27472000</f>
        <v>27472000</v>
      </c>
      <c r="CY1023" s="8">
        <f>1</f>
        <v>1</v>
      </c>
      <c r="DA1023" s="5" t="s">
        <v>238</v>
      </c>
      <c r="DB1023" s="5" t="s">
        <v>238</v>
      </c>
      <c r="DD1023" s="5" t="s">
        <v>238</v>
      </c>
      <c r="DE1023" s="8">
        <f>0</f>
        <v>0</v>
      </c>
      <c r="DG1023" s="5" t="s">
        <v>238</v>
      </c>
      <c r="DH1023" s="5" t="s">
        <v>238</v>
      </c>
      <c r="DI1023" s="5" t="s">
        <v>238</v>
      </c>
      <c r="DJ1023" s="5" t="s">
        <v>238</v>
      </c>
      <c r="DK1023" s="5" t="s">
        <v>271</v>
      </c>
      <c r="DL1023" s="5" t="s">
        <v>272</v>
      </c>
      <c r="DM1023" s="7">
        <f>343.4</f>
        <v>343.4</v>
      </c>
      <c r="DN1023" s="5" t="s">
        <v>238</v>
      </c>
      <c r="DO1023" s="5" t="s">
        <v>238</v>
      </c>
      <c r="DP1023" s="5" t="s">
        <v>238</v>
      </c>
      <c r="DQ1023" s="5" t="s">
        <v>238</v>
      </c>
      <c r="DT1023" s="5" t="s">
        <v>532</v>
      </c>
      <c r="DU1023" s="5" t="s">
        <v>271</v>
      </c>
      <c r="HM1023" s="5" t="s">
        <v>271</v>
      </c>
      <c r="HP1023" s="5" t="s">
        <v>272</v>
      </c>
      <c r="HQ1023" s="5" t="s">
        <v>272</v>
      </c>
      <c r="HR1023" s="5" t="s">
        <v>238</v>
      </c>
      <c r="HS1023" s="5" t="s">
        <v>238</v>
      </c>
      <c r="HT1023" s="5" t="s">
        <v>238</v>
      </c>
      <c r="HU1023" s="5" t="s">
        <v>238</v>
      </c>
      <c r="HV1023" s="5" t="s">
        <v>238</v>
      </c>
      <c r="HW1023" s="5" t="s">
        <v>238</v>
      </c>
      <c r="HX1023" s="5" t="s">
        <v>238</v>
      </c>
      <c r="HY1023" s="5" t="s">
        <v>238</v>
      </c>
      <c r="HZ1023" s="5" t="s">
        <v>238</v>
      </c>
      <c r="IA1023" s="5" t="s">
        <v>238</v>
      </c>
      <c r="IB1023" s="5" t="s">
        <v>238</v>
      </c>
      <c r="IC1023" s="5" t="s">
        <v>238</v>
      </c>
      <c r="ID1023" s="5" t="s">
        <v>238</v>
      </c>
    </row>
    <row r="1024" spans="1:238" x14ac:dyDescent="0.4">
      <c r="A1024" s="5">
        <v>1352</v>
      </c>
      <c r="B1024" s="5">
        <v>1</v>
      </c>
      <c r="C1024" s="5">
        <v>4</v>
      </c>
      <c r="D1024" s="5" t="s">
        <v>531</v>
      </c>
      <c r="E1024" s="5" t="s">
        <v>454</v>
      </c>
      <c r="F1024" s="5" t="s">
        <v>282</v>
      </c>
      <c r="G1024" s="5" t="s">
        <v>349</v>
      </c>
      <c r="H1024" s="6" t="s">
        <v>498</v>
      </c>
      <c r="I1024" s="5" t="s">
        <v>2237</v>
      </c>
      <c r="J1024" s="7">
        <f>0</f>
        <v>0</v>
      </c>
      <c r="K1024" s="5" t="s">
        <v>270</v>
      </c>
      <c r="L1024" s="8">
        <f>538611</f>
        <v>538611</v>
      </c>
      <c r="M1024" s="8">
        <f>620519</f>
        <v>620519</v>
      </c>
      <c r="N1024" s="6" t="s">
        <v>525</v>
      </c>
      <c r="O1024" s="5" t="s">
        <v>650</v>
      </c>
      <c r="P1024" s="5" t="s">
        <v>274</v>
      </c>
      <c r="Q1024" s="8">
        <f>20477</f>
        <v>20477</v>
      </c>
      <c r="R1024" s="8">
        <f>81908</f>
        <v>81908</v>
      </c>
      <c r="S1024" s="5" t="s">
        <v>240</v>
      </c>
      <c r="T1024" s="5" t="s">
        <v>287</v>
      </c>
      <c r="U1024" s="5" t="s">
        <v>238</v>
      </c>
      <c r="V1024" s="5" t="s">
        <v>238</v>
      </c>
      <c r="W1024" s="5" t="s">
        <v>241</v>
      </c>
      <c r="X1024" s="5" t="s">
        <v>238</v>
      </c>
      <c r="Y1024" s="5" t="s">
        <v>238</v>
      </c>
      <c r="AB1024" s="5" t="s">
        <v>238</v>
      </c>
      <c r="AC1024" s="6" t="s">
        <v>238</v>
      </c>
      <c r="AD1024" s="6" t="s">
        <v>238</v>
      </c>
      <c r="AF1024" s="6" t="s">
        <v>238</v>
      </c>
      <c r="AG1024" s="6" t="s">
        <v>246</v>
      </c>
      <c r="AH1024" s="5" t="s">
        <v>247</v>
      </c>
      <c r="AI1024" s="5" t="s">
        <v>248</v>
      </c>
      <c r="AO1024" s="5" t="s">
        <v>238</v>
      </c>
      <c r="AP1024" s="5" t="s">
        <v>238</v>
      </c>
      <c r="AQ1024" s="5" t="s">
        <v>238</v>
      </c>
      <c r="AR1024" s="6" t="s">
        <v>238</v>
      </c>
      <c r="AS1024" s="6" t="s">
        <v>238</v>
      </c>
      <c r="AT1024" s="6" t="s">
        <v>238</v>
      </c>
      <c r="AW1024" s="5" t="s">
        <v>304</v>
      </c>
      <c r="AX1024" s="5" t="s">
        <v>304</v>
      </c>
      <c r="AY1024" s="5" t="s">
        <v>250</v>
      </c>
      <c r="AZ1024" s="5" t="s">
        <v>305</v>
      </c>
      <c r="BA1024" s="5" t="s">
        <v>251</v>
      </c>
      <c r="BB1024" s="5" t="s">
        <v>238</v>
      </c>
      <c r="BC1024" s="5" t="s">
        <v>253</v>
      </c>
      <c r="BD1024" s="5" t="s">
        <v>238</v>
      </c>
      <c r="BF1024" s="5" t="s">
        <v>238</v>
      </c>
      <c r="BH1024" s="5" t="s">
        <v>283</v>
      </c>
      <c r="BI1024" s="6" t="s">
        <v>293</v>
      </c>
      <c r="BJ1024" s="5" t="s">
        <v>294</v>
      </c>
      <c r="BK1024" s="5" t="s">
        <v>294</v>
      </c>
      <c r="BL1024" s="5" t="s">
        <v>238</v>
      </c>
      <c r="BM1024" s="7">
        <f>0</f>
        <v>0</v>
      </c>
      <c r="BN1024" s="8">
        <f>-20477</f>
        <v>-20477</v>
      </c>
      <c r="BO1024" s="5" t="s">
        <v>257</v>
      </c>
      <c r="BP1024" s="5" t="s">
        <v>258</v>
      </c>
      <c r="BQ1024" s="5" t="s">
        <v>238</v>
      </c>
      <c r="BR1024" s="5" t="s">
        <v>238</v>
      </c>
      <c r="BS1024" s="5" t="s">
        <v>238</v>
      </c>
      <c r="BT1024" s="5" t="s">
        <v>238</v>
      </c>
      <c r="CC1024" s="5" t="s">
        <v>258</v>
      </c>
      <c r="CD1024" s="5" t="s">
        <v>238</v>
      </c>
      <c r="CE1024" s="5" t="s">
        <v>238</v>
      </c>
      <c r="CI1024" s="5" t="s">
        <v>527</v>
      </c>
      <c r="CJ1024" s="5" t="s">
        <v>260</v>
      </c>
      <c r="CK1024" s="5" t="s">
        <v>238</v>
      </c>
      <c r="CM1024" s="5" t="s">
        <v>402</v>
      </c>
      <c r="CN1024" s="6" t="s">
        <v>262</v>
      </c>
      <c r="CO1024" s="5" t="s">
        <v>263</v>
      </c>
      <c r="CP1024" s="5" t="s">
        <v>264</v>
      </c>
      <c r="CQ1024" s="5" t="s">
        <v>285</v>
      </c>
      <c r="CR1024" s="5" t="s">
        <v>238</v>
      </c>
      <c r="CS1024" s="5">
        <v>3.3000000000000002E-2</v>
      </c>
      <c r="CT1024" s="5" t="s">
        <v>265</v>
      </c>
      <c r="CU1024" s="5" t="s">
        <v>1342</v>
      </c>
      <c r="CV1024" s="5" t="s">
        <v>649</v>
      </c>
      <c r="CW1024" s="7">
        <f>0</f>
        <v>0</v>
      </c>
      <c r="CX1024" s="8">
        <f>620519</f>
        <v>620519</v>
      </c>
      <c r="CY1024" s="8">
        <f>559088</f>
        <v>559088</v>
      </c>
      <c r="DA1024" s="5" t="s">
        <v>238</v>
      </c>
      <c r="DB1024" s="5" t="s">
        <v>238</v>
      </c>
      <c r="DD1024" s="5" t="s">
        <v>238</v>
      </c>
      <c r="DE1024" s="8">
        <f>0</f>
        <v>0</v>
      </c>
      <c r="DG1024" s="5" t="s">
        <v>238</v>
      </c>
      <c r="DH1024" s="5" t="s">
        <v>238</v>
      </c>
      <c r="DI1024" s="5" t="s">
        <v>238</v>
      </c>
      <c r="DJ1024" s="5" t="s">
        <v>238</v>
      </c>
      <c r="DK1024" s="5" t="s">
        <v>272</v>
      </c>
      <c r="DL1024" s="5" t="s">
        <v>272</v>
      </c>
      <c r="DM1024" s="8" t="s">
        <v>238</v>
      </c>
      <c r="DN1024" s="5" t="s">
        <v>238</v>
      </c>
      <c r="DO1024" s="5" t="s">
        <v>238</v>
      </c>
      <c r="DP1024" s="5" t="s">
        <v>238</v>
      </c>
      <c r="DQ1024" s="5" t="s">
        <v>238</v>
      </c>
      <c r="DT1024" s="5" t="s">
        <v>532</v>
      </c>
      <c r="DU1024" s="5" t="s">
        <v>274</v>
      </c>
      <c r="GL1024" s="5" t="s">
        <v>2242</v>
      </c>
      <c r="HM1024" s="5" t="s">
        <v>310</v>
      </c>
      <c r="HP1024" s="5" t="s">
        <v>272</v>
      </c>
      <c r="HQ1024" s="5" t="s">
        <v>272</v>
      </c>
      <c r="HR1024" s="5" t="s">
        <v>238</v>
      </c>
      <c r="HS1024" s="5" t="s">
        <v>238</v>
      </c>
      <c r="HT1024" s="5" t="s">
        <v>238</v>
      </c>
      <c r="HU1024" s="5" t="s">
        <v>238</v>
      </c>
      <c r="HV1024" s="5" t="s">
        <v>238</v>
      </c>
      <c r="HW1024" s="5" t="s">
        <v>238</v>
      </c>
      <c r="HX1024" s="5" t="s">
        <v>238</v>
      </c>
      <c r="HY1024" s="5" t="s">
        <v>238</v>
      </c>
      <c r="HZ1024" s="5" t="s">
        <v>238</v>
      </c>
      <c r="IA1024" s="5" t="s">
        <v>238</v>
      </c>
      <c r="IB1024" s="5" t="s">
        <v>238</v>
      </c>
      <c r="IC1024" s="5" t="s">
        <v>238</v>
      </c>
      <c r="ID1024" s="5" t="s">
        <v>238</v>
      </c>
    </row>
    <row r="1025" spans="1:238" x14ac:dyDescent="0.4">
      <c r="A1025" s="5">
        <v>1353</v>
      </c>
      <c r="B1025" s="5">
        <v>1</v>
      </c>
      <c r="C1025" s="5">
        <v>4</v>
      </c>
      <c r="D1025" s="5" t="s">
        <v>531</v>
      </c>
      <c r="E1025" s="5" t="s">
        <v>454</v>
      </c>
      <c r="F1025" s="5" t="s">
        <v>282</v>
      </c>
      <c r="G1025" s="5" t="s">
        <v>349</v>
      </c>
      <c r="H1025" s="6" t="s">
        <v>498</v>
      </c>
      <c r="I1025" s="5" t="s">
        <v>530</v>
      </c>
      <c r="J1025" s="7">
        <f>0</f>
        <v>0</v>
      </c>
      <c r="K1025" s="5" t="s">
        <v>270</v>
      </c>
      <c r="L1025" s="8">
        <f>656139</f>
        <v>656139</v>
      </c>
      <c r="M1025" s="8">
        <f>948175</f>
        <v>948175</v>
      </c>
      <c r="N1025" s="6" t="s">
        <v>525</v>
      </c>
      <c r="O1025" s="5" t="s">
        <v>319</v>
      </c>
      <c r="P1025" s="5" t="s">
        <v>274</v>
      </c>
      <c r="Q1025" s="8">
        <f>73009</f>
        <v>73009</v>
      </c>
      <c r="R1025" s="8">
        <f>292036</f>
        <v>292036</v>
      </c>
      <c r="S1025" s="5" t="s">
        <v>240</v>
      </c>
      <c r="T1025" s="5" t="s">
        <v>287</v>
      </c>
      <c r="U1025" s="5" t="s">
        <v>238</v>
      </c>
      <c r="V1025" s="5" t="s">
        <v>238</v>
      </c>
      <c r="W1025" s="5" t="s">
        <v>241</v>
      </c>
      <c r="X1025" s="5" t="s">
        <v>238</v>
      </c>
      <c r="Y1025" s="5" t="s">
        <v>238</v>
      </c>
      <c r="AB1025" s="5" t="s">
        <v>238</v>
      </c>
      <c r="AC1025" s="6" t="s">
        <v>238</v>
      </c>
      <c r="AD1025" s="6" t="s">
        <v>238</v>
      </c>
      <c r="AF1025" s="6" t="s">
        <v>238</v>
      </c>
      <c r="AG1025" s="6" t="s">
        <v>246</v>
      </c>
      <c r="AH1025" s="5" t="s">
        <v>247</v>
      </c>
      <c r="AI1025" s="5" t="s">
        <v>248</v>
      </c>
      <c r="AO1025" s="5" t="s">
        <v>238</v>
      </c>
      <c r="AP1025" s="5" t="s">
        <v>238</v>
      </c>
      <c r="AQ1025" s="5" t="s">
        <v>238</v>
      </c>
      <c r="AR1025" s="6" t="s">
        <v>238</v>
      </c>
      <c r="AS1025" s="6" t="s">
        <v>238</v>
      </c>
      <c r="AT1025" s="6" t="s">
        <v>238</v>
      </c>
      <c r="AW1025" s="5" t="s">
        <v>304</v>
      </c>
      <c r="AX1025" s="5" t="s">
        <v>304</v>
      </c>
      <c r="AY1025" s="5" t="s">
        <v>250</v>
      </c>
      <c r="AZ1025" s="5" t="s">
        <v>305</v>
      </c>
      <c r="BA1025" s="5" t="s">
        <v>251</v>
      </c>
      <c r="BB1025" s="5" t="s">
        <v>238</v>
      </c>
      <c r="BC1025" s="5" t="s">
        <v>253</v>
      </c>
      <c r="BD1025" s="5" t="s">
        <v>238</v>
      </c>
      <c r="BF1025" s="5" t="s">
        <v>238</v>
      </c>
      <c r="BH1025" s="5" t="s">
        <v>283</v>
      </c>
      <c r="BI1025" s="6" t="s">
        <v>293</v>
      </c>
      <c r="BJ1025" s="5" t="s">
        <v>294</v>
      </c>
      <c r="BK1025" s="5" t="s">
        <v>294</v>
      </c>
      <c r="BL1025" s="5" t="s">
        <v>238</v>
      </c>
      <c r="BM1025" s="7">
        <f>0</f>
        <v>0</v>
      </c>
      <c r="BN1025" s="8">
        <f>-73009</f>
        <v>-73009</v>
      </c>
      <c r="BO1025" s="5" t="s">
        <v>257</v>
      </c>
      <c r="BP1025" s="5" t="s">
        <v>258</v>
      </c>
      <c r="BQ1025" s="5" t="s">
        <v>238</v>
      </c>
      <c r="BR1025" s="5" t="s">
        <v>238</v>
      </c>
      <c r="BS1025" s="5" t="s">
        <v>238</v>
      </c>
      <c r="BT1025" s="5" t="s">
        <v>238</v>
      </c>
      <c r="CC1025" s="5" t="s">
        <v>258</v>
      </c>
      <c r="CD1025" s="5" t="s">
        <v>238</v>
      </c>
      <c r="CE1025" s="5" t="s">
        <v>238</v>
      </c>
      <c r="CI1025" s="5" t="s">
        <v>527</v>
      </c>
      <c r="CJ1025" s="5" t="s">
        <v>260</v>
      </c>
      <c r="CK1025" s="5" t="s">
        <v>238</v>
      </c>
      <c r="CM1025" s="5" t="s">
        <v>402</v>
      </c>
      <c r="CN1025" s="6" t="s">
        <v>262</v>
      </c>
      <c r="CO1025" s="5" t="s">
        <v>263</v>
      </c>
      <c r="CP1025" s="5" t="s">
        <v>264</v>
      </c>
      <c r="CQ1025" s="5" t="s">
        <v>285</v>
      </c>
      <c r="CR1025" s="5" t="s">
        <v>238</v>
      </c>
      <c r="CS1025" s="5">
        <v>7.6999999999999999E-2</v>
      </c>
      <c r="CT1025" s="5" t="s">
        <v>265</v>
      </c>
      <c r="CU1025" s="5" t="s">
        <v>351</v>
      </c>
      <c r="CV1025" s="5" t="s">
        <v>352</v>
      </c>
      <c r="CW1025" s="7">
        <f>0</f>
        <v>0</v>
      </c>
      <c r="CX1025" s="8">
        <f>948175</f>
        <v>948175</v>
      </c>
      <c r="CY1025" s="8">
        <f>729148</f>
        <v>729148</v>
      </c>
      <c r="DA1025" s="5" t="s">
        <v>238</v>
      </c>
      <c r="DB1025" s="5" t="s">
        <v>238</v>
      </c>
      <c r="DD1025" s="5" t="s">
        <v>238</v>
      </c>
      <c r="DE1025" s="8">
        <f>0</f>
        <v>0</v>
      </c>
      <c r="DG1025" s="5" t="s">
        <v>238</v>
      </c>
      <c r="DH1025" s="5" t="s">
        <v>238</v>
      </c>
      <c r="DI1025" s="5" t="s">
        <v>238</v>
      </c>
      <c r="DJ1025" s="5" t="s">
        <v>238</v>
      </c>
      <c r="DK1025" s="5" t="s">
        <v>272</v>
      </c>
      <c r="DL1025" s="5" t="s">
        <v>272</v>
      </c>
      <c r="DM1025" s="8" t="s">
        <v>238</v>
      </c>
      <c r="DN1025" s="5" t="s">
        <v>238</v>
      </c>
      <c r="DO1025" s="5" t="s">
        <v>238</v>
      </c>
      <c r="DP1025" s="5" t="s">
        <v>238</v>
      </c>
      <c r="DQ1025" s="5" t="s">
        <v>238</v>
      </c>
      <c r="DT1025" s="5" t="s">
        <v>532</v>
      </c>
      <c r="DU1025" s="5" t="s">
        <v>356</v>
      </c>
      <c r="GL1025" s="5" t="s">
        <v>533</v>
      </c>
      <c r="HM1025" s="5" t="s">
        <v>310</v>
      </c>
      <c r="HP1025" s="5" t="s">
        <v>272</v>
      </c>
      <c r="HQ1025" s="5" t="s">
        <v>272</v>
      </c>
      <c r="HR1025" s="5" t="s">
        <v>238</v>
      </c>
      <c r="HS1025" s="5" t="s">
        <v>238</v>
      </c>
      <c r="HT1025" s="5" t="s">
        <v>238</v>
      </c>
      <c r="HU1025" s="5" t="s">
        <v>238</v>
      </c>
      <c r="HV1025" s="5" t="s">
        <v>238</v>
      </c>
      <c r="HW1025" s="5" t="s">
        <v>238</v>
      </c>
      <c r="HX1025" s="5" t="s">
        <v>238</v>
      </c>
      <c r="HY1025" s="5" t="s">
        <v>238</v>
      </c>
      <c r="HZ1025" s="5" t="s">
        <v>238</v>
      </c>
      <c r="IA1025" s="5" t="s">
        <v>238</v>
      </c>
      <c r="IB1025" s="5" t="s">
        <v>238</v>
      </c>
      <c r="IC1025" s="5" t="s">
        <v>238</v>
      </c>
      <c r="ID1025" s="5" t="s">
        <v>238</v>
      </c>
    </row>
    <row r="1026" spans="1:238" x14ac:dyDescent="0.4">
      <c r="A1026" s="5">
        <v>1354</v>
      </c>
      <c r="B1026" s="5">
        <v>1</v>
      </c>
      <c r="C1026" s="5">
        <v>4</v>
      </c>
      <c r="D1026" s="5" t="s">
        <v>336</v>
      </c>
      <c r="E1026" s="5" t="s">
        <v>338</v>
      </c>
      <c r="F1026" s="5" t="s">
        <v>282</v>
      </c>
      <c r="G1026" s="5" t="s">
        <v>340</v>
      </c>
      <c r="H1026" s="6" t="s">
        <v>341</v>
      </c>
      <c r="I1026" s="5" t="s">
        <v>335</v>
      </c>
      <c r="J1026" s="7">
        <f>682.81</f>
        <v>682.81</v>
      </c>
      <c r="K1026" s="5" t="s">
        <v>270</v>
      </c>
      <c r="L1026" s="8">
        <f>29046558</f>
        <v>29046558</v>
      </c>
      <c r="M1026" s="8">
        <f>80684830</f>
        <v>80684830</v>
      </c>
      <c r="N1026" s="6" t="s">
        <v>339</v>
      </c>
      <c r="O1026" s="5" t="s">
        <v>279</v>
      </c>
      <c r="P1026" s="5" t="s">
        <v>332</v>
      </c>
      <c r="Q1026" s="8">
        <f>1613696</f>
        <v>1613696</v>
      </c>
      <c r="R1026" s="8">
        <f>51638272</f>
        <v>51638272</v>
      </c>
      <c r="S1026" s="5" t="s">
        <v>240</v>
      </c>
      <c r="T1026" s="5" t="s">
        <v>237</v>
      </c>
      <c r="U1026" s="5" t="s">
        <v>238</v>
      </c>
      <c r="V1026" s="5" t="s">
        <v>238</v>
      </c>
      <c r="W1026" s="5" t="s">
        <v>241</v>
      </c>
      <c r="X1026" s="5" t="s">
        <v>337</v>
      </c>
      <c r="Y1026" s="5" t="s">
        <v>238</v>
      </c>
      <c r="AB1026" s="5" t="s">
        <v>238</v>
      </c>
      <c r="AC1026" s="6" t="s">
        <v>238</v>
      </c>
      <c r="AD1026" s="6" t="s">
        <v>238</v>
      </c>
      <c r="AF1026" s="6" t="s">
        <v>238</v>
      </c>
      <c r="AG1026" s="6" t="s">
        <v>246</v>
      </c>
      <c r="AH1026" s="5" t="s">
        <v>247</v>
      </c>
      <c r="AI1026" s="5" t="s">
        <v>248</v>
      </c>
      <c r="AO1026" s="5" t="s">
        <v>238</v>
      </c>
      <c r="AP1026" s="5" t="s">
        <v>238</v>
      </c>
      <c r="AQ1026" s="5" t="s">
        <v>238</v>
      </c>
      <c r="AR1026" s="6" t="s">
        <v>238</v>
      </c>
      <c r="AS1026" s="6" t="s">
        <v>238</v>
      </c>
      <c r="AT1026" s="6" t="s">
        <v>238</v>
      </c>
      <c r="AW1026" s="5" t="s">
        <v>304</v>
      </c>
      <c r="AX1026" s="5" t="s">
        <v>304</v>
      </c>
      <c r="AY1026" s="5" t="s">
        <v>250</v>
      </c>
      <c r="AZ1026" s="5" t="s">
        <v>305</v>
      </c>
      <c r="BA1026" s="5" t="s">
        <v>251</v>
      </c>
      <c r="BB1026" s="5" t="s">
        <v>238</v>
      </c>
      <c r="BC1026" s="5" t="s">
        <v>253</v>
      </c>
      <c r="BD1026" s="5" t="s">
        <v>238</v>
      </c>
      <c r="BF1026" s="5" t="s">
        <v>238</v>
      </c>
      <c r="BH1026" s="5" t="s">
        <v>283</v>
      </c>
      <c r="BI1026" s="6" t="s">
        <v>293</v>
      </c>
      <c r="BJ1026" s="5" t="s">
        <v>294</v>
      </c>
      <c r="BK1026" s="5" t="s">
        <v>294</v>
      </c>
      <c r="BL1026" s="5" t="s">
        <v>238</v>
      </c>
      <c r="BM1026" s="7">
        <f>0</f>
        <v>0</v>
      </c>
      <c r="BN1026" s="8">
        <f>-1613696</f>
        <v>-1613696</v>
      </c>
      <c r="BO1026" s="5" t="s">
        <v>257</v>
      </c>
      <c r="BP1026" s="5" t="s">
        <v>258</v>
      </c>
      <c r="BQ1026" s="5" t="s">
        <v>238</v>
      </c>
      <c r="BR1026" s="5" t="s">
        <v>238</v>
      </c>
      <c r="BS1026" s="5" t="s">
        <v>238</v>
      </c>
      <c r="BT1026" s="5" t="s">
        <v>238</v>
      </c>
      <c r="CC1026" s="5" t="s">
        <v>258</v>
      </c>
      <c r="CD1026" s="5" t="s">
        <v>238</v>
      </c>
      <c r="CE1026" s="5" t="s">
        <v>238</v>
      </c>
      <c r="CI1026" s="5" t="s">
        <v>259</v>
      </c>
      <c r="CJ1026" s="5" t="s">
        <v>260</v>
      </c>
      <c r="CK1026" s="5" t="s">
        <v>238</v>
      </c>
      <c r="CM1026" s="5" t="s">
        <v>342</v>
      </c>
      <c r="CN1026" s="6" t="s">
        <v>262</v>
      </c>
      <c r="CO1026" s="5" t="s">
        <v>263</v>
      </c>
      <c r="CP1026" s="5" t="s">
        <v>264</v>
      </c>
      <c r="CQ1026" s="5" t="s">
        <v>285</v>
      </c>
      <c r="CR1026" s="5" t="s">
        <v>238</v>
      </c>
      <c r="CS1026" s="5">
        <v>0.02</v>
      </c>
      <c r="CT1026" s="5" t="s">
        <v>265</v>
      </c>
      <c r="CU1026" s="5" t="s">
        <v>307</v>
      </c>
      <c r="CV1026" s="5" t="s">
        <v>308</v>
      </c>
      <c r="CW1026" s="7">
        <f>0</f>
        <v>0</v>
      </c>
      <c r="CX1026" s="8">
        <f>80684830</f>
        <v>80684830</v>
      </c>
      <c r="CY1026" s="8">
        <f>30660254</f>
        <v>30660254</v>
      </c>
      <c r="DA1026" s="5" t="s">
        <v>238</v>
      </c>
      <c r="DB1026" s="5" t="s">
        <v>238</v>
      </c>
      <c r="DD1026" s="5" t="s">
        <v>238</v>
      </c>
      <c r="DE1026" s="8">
        <f>0</f>
        <v>0</v>
      </c>
      <c r="DG1026" s="5" t="s">
        <v>238</v>
      </c>
      <c r="DH1026" s="5" t="s">
        <v>238</v>
      </c>
      <c r="DI1026" s="5" t="s">
        <v>238</v>
      </c>
      <c r="DJ1026" s="5" t="s">
        <v>238</v>
      </c>
      <c r="DK1026" s="5" t="s">
        <v>271</v>
      </c>
      <c r="DL1026" s="5" t="s">
        <v>272</v>
      </c>
      <c r="DM1026" s="7">
        <f>682.81</f>
        <v>682.81</v>
      </c>
      <c r="DN1026" s="5" t="s">
        <v>238</v>
      </c>
      <c r="DO1026" s="5" t="s">
        <v>238</v>
      </c>
      <c r="DP1026" s="5" t="s">
        <v>238</v>
      </c>
      <c r="DQ1026" s="5" t="s">
        <v>238</v>
      </c>
      <c r="DT1026" s="5" t="s">
        <v>343</v>
      </c>
      <c r="DU1026" s="5" t="s">
        <v>271</v>
      </c>
      <c r="GL1026" s="5" t="s">
        <v>344</v>
      </c>
      <c r="HM1026" s="5" t="s">
        <v>313</v>
      </c>
      <c r="HP1026" s="5" t="s">
        <v>272</v>
      </c>
      <c r="HQ1026" s="5" t="s">
        <v>272</v>
      </c>
      <c r="HR1026" s="5" t="s">
        <v>238</v>
      </c>
      <c r="HS1026" s="5" t="s">
        <v>238</v>
      </c>
      <c r="HT1026" s="5" t="s">
        <v>238</v>
      </c>
      <c r="HU1026" s="5" t="s">
        <v>238</v>
      </c>
      <c r="HV1026" s="5" t="s">
        <v>238</v>
      </c>
      <c r="HW1026" s="5" t="s">
        <v>238</v>
      </c>
      <c r="HX1026" s="5" t="s">
        <v>238</v>
      </c>
      <c r="HY1026" s="5" t="s">
        <v>238</v>
      </c>
      <c r="HZ1026" s="5" t="s">
        <v>238</v>
      </c>
      <c r="IA1026" s="5" t="s">
        <v>238</v>
      </c>
      <c r="IB1026" s="5" t="s">
        <v>238</v>
      </c>
      <c r="IC1026" s="5" t="s">
        <v>238</v>
      </c>
      <c r="ID1026" s="5" t="s">
        <v>238</v>
      </c>
    </row>
    <row r="1027" spans="1:238" x14ac:dyDescent="0.4">
      <c r="A1027" s="5">
        <v>1355</v>
      </c>
      <c r="B1027" s="5">
        <v>1</v>
      </c>
      <c r="C1027" s="5">
        <v>3</v>
      </c>
      <c r="D1027" s="5" t="s">
        <v>336</v>
      </c>
      <c r="E1027" s="5" t="s">
        <v>338</v>
      </c>
      <c r="F1027" s="5" t="s">
        <v>282</v>
      </c>
      <c r="G1027" s="5" t="s">
        <v>1309</v>
      </c>
      <c r="H1027" s="6" t="s">
        <v>341</v>
      </c>
      <c r="I1027" s="5" t="s">
        <v>1309</v>
      </c>
      <c r="J1027" s="7">
        <f>37.1</f>
        <v>37.1</v>
      </c>
      <c r="K1027" s="5" t="s">
        <v>270</v>
      </c>
      <c r="L1027" s="8">
        <f>1</f>
        <v>1</v>
      </c>
      <c r="M1027" s="8">
        <f>14543200</f>
        <v>14543200</v>
      </c>
      <c r="N1027" s="6" t="s">
        <v>339</v>
      </c>
      <c r="O1027" s="5" t="s">
        <v>650</v>
      </c>
      <c r="P1027" s="5" t="s">
        <v>332</v>
      </c>
      <c r="Q1027" s="8">
        <f>145449</f>
        <v>145449</v>
      </c>
      <c r="R1027" s="8">
        <f>14543199</f>
        <v>14543199</v>
      </c>
      <c r="S1027" s="5" t="s">
        <v>240</v>
      </c>
      <c r="T1027" s="5" t="s">
        <v>237</v>
      </c>
      <c r="U1027" s="5" t="s">
        <v>238</v>
      </c>
      <c r="V1027" s="5" t="s">
        <v>238</v>
      </c>
      <c r="W1027" s="5" t="s">
        <v>241</v>
      </c>
      <c r="X1027" s="5" t="s">
        <v>337</v>
      </c>
      <c r="Y1027" s="5" t="s">
        <v>238</v>
      </c>
      <c r="AB1027" s="5" t="s">
        <v>238</v>
      </c>
      <c r="AC1027" s="6" t="s">
        <v>238</v>
      </c>
      <c r="AD1027" s="6" t="s">
        <v>238</v>
      </c>
      <c r="AF1027" s="6" t="s">
        <v>238</v>
      </c>
      <c r="AG1027" s="6" t="s">
        <v>246</v>
      </c>
      <c r="AH1027" s="5" t="s">
        <v>247</v>
      </c>
      <c r="AI1027" s="5" t="s">
        <v>248</v>
      </c>
      <c r="AO1027" s="5" t="s">
        <v>238</v>
      </c>
      <c r="AP1027" s="5" t="s">
        <v>238</v>
      </c>
      <c r="AQ1027" s="5" t="s">
        <v>238</v>
      </c>
      <c r="AR1027" s="6" t="s">
        <v>238</v>
      </c>
      <c r="AS1027" s="6" t="s">
        <v>238</v>
      </c>
      <c r="AT1027" s="6" t="s">
        <v>238</v>
      </c>
      <c r="AW1027" s="5" t="s">
        <v>304</v>
      </c>
      <c r="AX1027" s="5" t="s">
        <v>304</v>
      </c>
      <c r="AY1027" s="5" t="s">
        <v>250</v>
      </c>
      <c r="AZ1027" s="5" t="s">
        <v>305</v>
      </c>
      <c r="BA1027" s="5" t="s">
        <v>251</v>
      </c>
      <c r="BB1027" s="5" t="s">
        <v>238</v>
      </c>
      <c r="BC1027" s="5" t="s">
        <v>253</v>
      </c>
      <c r="BD1027" s="5" t="s">
        <v>238</v>
      </c>
      <c r="BF1027" s="5" t="s">
        <v>238</v>
      </c>
      <c r="BH1027" s="5" t="s">
        <v>1076</v>
      </c>
      <c r="BI1027" s="6" t="s">
        <v>1077</v>
      </c>
      <c r="BJ1027" s="5" t="s">
        <v>294</v>
      </c>
      <c r="BK1027" s="5" t="s">
        <v>294</v>
      </c>
      <c r="BL1027" s="5" t="s">
        <v>238</v>
      </c>
      <c r="BM1027" s="7">
        <f>0</f>
        <v>0</v>
      </c>
      <c r="BN1027" s="8">
        <f>-145449</f>
        <v>-145449</v>
      </c>
      <c r="BO1027" s="5" t="s">
        <v>257</v>
      </c>
      <c r="BP1027" s="5" t="s">
        <v>258</v>
      </c>
      <c r="BQ1027" s="5" t="s">
        <v>238</v>
      </c>
      <c r="BR1027" s="5" t="s">
        <v>238</v>
      </c>
      <c r="BS1027" s="5" t="s">
        <v>238</v>
      </c>
      <c r="BT1027" s="5" t="s">
        <v>238</v>
      </c>
      <c r="CC1027" s="5" t="s">
        <v>258</v>
      </c>
      <c r="CD1027" s="5" t="s">
        <v>238</v>
      </c>
      <c r="CE1027" s="5" t="s">
        <v>238</v>
      </c>
      <c r="CI1027" s="5" t="s">
        <v>259</v>
      </c>
      <c r="CJ1027" s="5" t="s">
        <v>260</v>
      </c>
      <c r="CK1027" s="5" t="s">
        <v>238</v>
      </c>
      <c r="CM1027" s="5" t="s">
        <v>342</v>
      </c>
      <c r="CN1027" s="6" t="s">
        <v>262</v>
      </c>
      <c r="CO1027" s="5" t="s">
        <v>263</v>
      </c>
      <c r="CP1027" s="5" t="s">
        <v>264</v>
      </c>
      <c r="CQ1027" s="5" t="s">
        <v>285</v>
      </c>
      <c r="CR1027" s="5" t="s">
        <v>238</v>
      </c>
      <c r="CS1027" s="5">
        <v>3.3000000000000002E-2</v>
      </c>
      <c r="CT1027" s="5" t="s">
        <v>265</v>
      </c>
      <c r="CU1027" s="5" t="s">
        <v>1342</v>
      </c>
      <c r="CV1027" s="5" t="s">
        <v>649</v>
      </c>
      <c r="CW1027" s="7">
        <f>0</f>
        <v>0</v>
      </c>
      <c r="CX1027" s="8">
        <f>14543200</f>
        <v>14543200</v>
      </c>
      <c r="CY1027" s="8">
        <f>1</f>
        <v>1</v>
      </c>
      <c r="DA1027" s="5" t="s">
        <v>238</v>
      </c>
      <c r="DB1027" s="5" t="s">
        <v>238</v>
      </c>
      <c r="DD1027" s="5" t="s">
        <v>238</v>
      </c>
      <c r="DE1027" s="8">
        <f>0</f>
        <v>0</v>
      </c>
      <c r="DG1027" s="5" t="s">
        <v>238</v>
      </c>
      <c r="DH1027" s="5" t="s">
        <v>238</v>
      </c>
      <c r="DI1027" s="5" t="s">
        <v>238</v>
      </c>
      <c r="DJ1027" s="5" t="s">
        <v>238</v>
      </c>
      <c r="DK1027" s="5" t="s">
        <v>271</v>
      </c>
      <c r="DL1027" s="5" t="s">
        <v>272</v>
      </c>
      <c r="DM1027" s="7">
        <f>37.1</f>
        <v>37.1</v>
      </c>
      <c r="DN1027" s="5" t="s">
        <v>238</v>
      </c>
      <c r="DO1027" s="5" t="s">
        <v>238</v>
      </c>
      <c r="DP1027" s="5" t="s">
        <v>238</v>
      </c>
      <c r="DQ1027" s="5" t="s">
        <v>238</v>
      </c>
      <c r="DT1027" s="5" t="s">
        <v>343</v>
      </c>
      <c r="DU1027" s="5" t="s">
        <v>274</v>
      </c>
      <c r="GL1027" s="5" t="s">
        <v>2200</v>
      </c>
      <c r="HM1027" s="5" t="s">
        <v>313</v>
      </c>
      <c r="HP1027" s="5" t="s">
        <v>272</v>
      </c>
      <c r="HQ1027" s="5" t="s">
        <v>272</v>
      </c>
      <c r="HR1027" s="5" t="s">
        <v>238</v>
      </c>
      <c r="HS1027" s="5" t="s">
        <v>238</v>
      </c>
      <c r="HT1027" s="5" t="s">
        <v>238</v>
      </c>
      <c r="HU1027" s="5" t="s">
        <v>238</v>
      </c>
      <c r="HV1027" s="5" t="s">
        <v>238</v>
      </c>
      <c r="HW1027" s="5" t="s">
        <v>238</v>
      </c>
      <c r="HX1027" s="5" t="s">
        <v>238</v>
      </c>
      <c r="HY1027" s="5" t="s">
        <v>238</v>
      </c>
      <c r="HZ1027" s="5" t="s">
        <v>238</v>
      </c>
      <c r="IA1027" s="5" t="s">
        <v>238</v>
      </c>
      <c r="IB1027" s="5" t="s">
        <v>238</v>
      </c>
      <c r="IC1027" s="5" t="s">
        <v>238</v>
      </c>
      <c r="ID1027" s="5" t="s">
        <v>238</v>
      </c>
    </row>
    <row r="1028" spans="1:238" x14ac:dyDescent="0.4">
      <c r="A1028" s="5">
        <v>1356</v>
      </c>
      <c r="B1028" s="5">
        <v>1</v>
      </c>
      <c r="C1028" s="5">
        <v>4</v>
      </c>
      <c r="D1028" s="5" t="s">
        <v>543</v>
      </c>
      <c r="E1028" s="5" t="s">
        <v>338</v>
      </c>
      <c r="F1028" s="5" t="s">
        <v>282</v>
      </c>
      <c r="G1028" s="5" t="s">
        <v>2060</v>
      </c>
      <c r="H1028" s="6" t="s">
        <v>545</v>
      </c>
      <c r="I1028" s="5" t="s">
        <v>1850</v>
      </c>
      <c r="J1028" s="7">
        <f>1646.99</f>
        <v>1646.99</v>
      </c>
      <c r="K1028" s="5" t="s">
        <v>270</v>
      </c>
      <c r="L1028" s="8">
        <f>44468730</f>
        <v>44468730</v>
      </c>
      <c r="M1028" s="8">
        <f>222343650</f>
        <v>222343650</v>
      </c>
      <c r="N1028" s="6" t="s">
        <v>1066</v>
      </c>
      <c r="O1028" s="5" t="s">
        <v>279</v>
      </c>
      <c r="P1028" s="5" t="s">
        <v>639</v>
      </c>
      <c r="Q1028" s="8">
        <f>4446873</f>
        <v>4446873</v>
      </c>
      <c r="R1028" s="8">
        <f>177874920</f>
        <v>177874920</v>
      </c>
      <c r="S1028" s="5" t="s">
        <v>240</v>
      </c>
      <c r="T1028" s="5" t="s">
        <v>237</v>
      </c>
      <c r="U1028" s="5" t="s">
        <v>238</v>
      </c>
      <c r="V1028" s="5" t="s">
        <v>238</v>
      </c>
      <c r="W1028" s="5" t="s">
        <v>241</v>
      </c>
      <c r="X1028" s="5" t="s">
        <v>337</v>
      </c>
      <c r="Y1028" s="5" t="s">
        <v>238</v>
      </c>
      <c r="AB1028" s="5" t="s">
        <v>238</v>
      </c>
      <c r="AC1028" s="6" t="s">
        <v>238</v>
      </c>
      <c r="AD1028" s="6" t="s">
        <v>238</v>
      </c>
      <c r="AF1028" s="6" t="s">
        <v>238</v>
      </c>
      <c r="AG1028" s="6" t="s">
        <v>246</v>
      </c>
      <c r="AH1028" s="5" t="s">
        <v>247</v>
      </c>
      <c r="AI1028" s="5" t="s">
        <v>248</v>
      </c>
      <c r="AO1028" s="5" t="s">
        <v>238</v>
      </c>
      <c r="AP1028" s="5" t="s">
        <v>238</v>
      </c>
      <c r="AQ1028" s="5" t="s">
        <v>238</v>
      </c>
      <c r="AR1028" s="6" t="s">
        <v>238</v>
      </c>
      <c r="AS1028" s="6" t="s">
        <v>238</v>
      </c>
      <c r="AT1028" s="6" t="s">
        <v>238</v>
      </c>
      <c r="AW1028" s="5" t="s">
        <v>304</v>
      </c>
      <c r="AX1028" s="5" t="s">
        <v>304</v>
      </c>
      <c r="AY1028" s="5" t="s">
        <v>250</v>
      </c>
      <c r="AZ1028" s="5" t="s">
        <v>305</v>
      </c>
      <c r="BA1028" s="5" t="s">
        <v>251</v>
      </c>
      <c r="BB1028" s="5" t="s">
        <v>238</v>
      </c>
      <c r="BC1028" s="5" t="s">
        <v>253</v>
      </c>
      <c r="BD1028" s="5" t="s">
        <v>238</v>
      </c>
      <c r="BF1028" s="5" t="s">
        <v>238</v>
      </c>
      <c r="BH1028" s="5" t="s">
        <v>283</v>
      </c>
      <c r="BI1028" s="6" t="s">
        <v>293</v>
      </c>
      <c r="BJ1028" s="5" t="s">
        <v>294</v>
      </c>
      <c r="BK1028" s="5" t="s">
        <v>294</v>
      </c>
      <c r="BL1028" s="5" t="s">
        <v>238</v>
      </c>
      <c r="BM1028" s="7">
        <f>0</f>
        <v>0</v>
      </c>
      <c r="BN1028" s="8">
        <f>-4446873</f>
        <v>-4446873</v>
      </c>
      <c r="BO1028" s="5" t="s">
        <v>257</v>
      </c>
      <c r="BP1028" s="5" t="s">
        <v>258</v>
      </c>
      <c r="BQ1028" s="5" t="s">
        <v>238</v>
      </c>
      <c r="BR1028" s="5" t="s">
        <v>238</v>
      </c>
      <c r="BS1028" s="5" t="s">
        <v>238</v>
      </c>
      <c r="BT1028" s="5" t="s">
        <v>238</v>
      </c>
      <c r="CC1028" s="5" t="s">
        <v>258</v>
      </c>
      <c r="CD1028" s="5" t="s">
        <v>238</v>
      </c>
      <c r="CE1028" s="5" t="s">
        <v>238</v>
      </c>
      <c r="CI1028" s="5" t="s">
        <v>527</v>
      </c>
      <c r="CJ1028" s="5" t="s">
        <v>260</v>
      </c>
      <c r="CK1028" s="5" t="s">
        <v>238</v>
      </c>
      <c r="CM1028" s="5" t="s">
        <v>822</v>
      </c>
      <c r="CN1028" s="6" t="s">
        <v>262</v>
      </c>
      <c r="CO1028" s="5" t="s">
        <v>263</v>
      </c>
      <c r="CP1028" s="5" t="s">
        <v>264</v>
      </c>
      <c r="CQ1028" s="5" t="s">
        <v>285</v>
      </c>
      <c r="CR1028" s="5" t="s">
        <v>238</v>
      </c>
      <c r="CS1028" s="5">
        <v>0.02</v>
      </c>
      <c r="CT1028" s="5" t="s">
        <v>265</v>
      </c>
      <c r="CU1028" s="5" t="s">
        <v>2061</v>
      </c>
      <c r="CV1028" s="5" t="s">
        <v>308</v>
      </c>
      <c r="CW1028" s="7">
        <f>0</f>
        <v>0</v>
      </c>
      <c r="CX1028" s="8">
        <f>222343650</f>
        <v>222343650</v>
      </c>
      <c r="CY1028" s="8">
        <f>48915603</f>
        <v>48915603</v>
      </c>
      <c r="DA1028" s="5" t="s">
        <v>238</v>
      </c>
      <c r="DB1028" s="5" t="s">
        <v>238</v>
      </c>
      <c r="DD1028" s="5" t="s">
        <v>238</v>
      </c>
      <c r="DE1028" s="8">
        <f>0</f>
        <v>0</v>
      </c>
      <c r="DG1028" s="5" t="s">
        <v>238</v>
      </c>
      <c r="DH1028" s="5" t="s">
        <v>238</v>
      </c>
      <c r="DI1028" s="5" t="s">
        <v>238</v>
      </c>
      <c r="DJ1028" s="5" t="s">
        <v>238</v>
      </c>
      <c r="DK1028" s="5" t="s">
        <v>274</v>
      </c>
      <c r="DL1028" s="5" t="s">
        <v>272</v>
      </c>
      <c r="DM1028" s="7">
        <f>1646.99</f>
        <v>1646.99</v>
      </c>
      <c r="DN1028" s="5" t="s">
        <v>238</v>
      </c>
      <c r="DO1028" s="5" t="s">
        <v>238</v>
      </c>
      <c r="DP1028" s="5" t="s">
        <v>238</v>
      </c>
      <c r="DQ1028" s="5" t="s">
        <v>238</v>
      </c>
      <c r="DT1028" s="5" t="s">
        <v>546</v>
      </c>
      <c r="DU1028" s="5" t="s">
        <v>271</v>
      </c>
      <c r="GL1028" s="5" t="s">
        <v>2072</v>
      </c>
      <c r="HM1028" s="5" t="s">
        <v>313</v>
      </c>
      <c r="HP1028" s="5" t="s">
        <v>272</v>
      </c>
      <c r="HQ1028" s="5" t="s">
        <v>272</v>
      </c>
      <c r="HR1028" s="5" t="s">
        <v>238</v>
      </c>
      <c r="HS1028" s="5" t="s">
        <v>238</v>
      </c>
      <c r="HT1028" s="5" t="s">
        <v>238</v>
      </c>
      <c r="HU1028" s="5" t="s">
        <v>238</v>
      </c>
      <c r="HV1028" s="5" t="s">
        <v>238</v>
      </c>
      <c r="HW1028" s="5" t="s">
        <v>238</v>
      </c>
      <c r="HX1028" s="5" t="s">
        <v>238</v>
      </c>
      <c r="HY1028" s="5" t="s">
        <v>238</v>
      </c>
      <c r="HZ1028" s="5" t="s">
        <v>238</v>
      </c>
      <c r="IA1028" s="5" t="s">
        <v>238</v>
      </c>
      <c r="IB1028" s="5" t="s">
        <v>238</v>
      </c>
      <c r="IC1028" s="5" t="s">
        <v>238</v>
      </c>
      <c r="ID1028" s="5" t="s">
        <v>238</v>
      </c>
    </row>
    <row r="1029" spans="1:238" x14ac:dyDescent="0.4">
      <c r="A1029" s="5">
        <v>1357</v>
      </c>
      <c r="B1029" s="5">
        <v>1</v>
      </c>
      <c r="C1029" s="5">
        <v>4</v>
      </c>
      <c r="D1029" s="5" t="s">
        <v>543</v>
      </c>
      <c r="E1029" s="5" t="s">
        <v>338</v>
      </c>
      <c r="F1029" s="5" t="s">
        <v>282</v>
      </c>
      <c r="G1029" s="5" t="s">
        <v>544</v>
      </c>
      <c r="H1029" s="6" t="s">
        <v>545</v>
      </c>
      <c r="I1029" s="5" t="s">
        <v>542</v>
      </c>
      <c r="J1029" s="7">
        <f>0</f>
        <v>0</v>
      </c>
      <c r="K1029" s="5" t="s">
        <v>270</v>
      </c>
      <c r="L1029" s="8">
        <f>297792</f>
        <v>297792</v>
      </c>
      <c r="M1029" s="8">
        <f>352000</f>
        <v>352000</v>
      </c>
      <c r="N1029" s="6" t="s">
        <v>511</v>
      </c>
      <c r="O1029" s="5" t="s">
        <v>319</v>
      </c>
      <c r="P1029" s="5" t="s">
        <v>272</v>
      </c>
      <c r="Q1029" s="8">
        <f>351999</f>
        <v>351999</v>
      </c>
      <c r="R1029" s="8">
        <f>54208</f>
        <v>54208</v>
      </c>
      <c r="S1029" s="5" t="s">
        <v>240</v>
      </c>
      <c r="T1029" s="5" t="s">
        <v>287</v>
      </c>
      <c r="U1029" s="5" t="s">
        <v>238</v>
      </c>
      <c r="V1029" s="5" t="s">
        <v>238</v>
      </c>
      <c r="W1029" s="5" t="s">
        <v>241</v>
      </c>
      <c r="X1029" s="5" t="s">
        <v>238</v>
      </c>
      <c r="Y1029" s="5" t="s">
        <v>238</v>
      </c>
      <c r="AB1029" s="5" t="s">
        <v>238</v>
      </c>
      <c r="AC1029" s="6" t="s">
        <v>238</v>
      </c>
      <c r="AD1029" s="6" t="s">
        <v>238</v>
      </c>
      <c r="AF1029" s="6" t="s">
        <v>238</v>
      </c>
      <c r="AG1029" s="6" t="s">
        <v>246</v>
      </c>
      <c r="AH1029" s="5" t="s">
        <v>247</v>
      </c>
      <c r="AI1029" s="5" t="s">
        <v>248</v>
      </c>
      <c r="AO1029" s="5" t="s">
        <v>238</v>
      </c>
      <c r="AP1029" s="5" t="s">
        <v>238</v>
      </c>
      <c r="AQ1029" s="5" t="s">
        <v>238</v>
      </c>
      <c r="AR1029" s="6" t="s">
        <v>238</v>
      </c>
      <c r="AS1029" s="6" t="s">
        <v>238</v>
      </c>
      <c r="AT1029" s="6" t="s">
        <v>238</v>
      </c>
      <c r="AW1029" s="5" t="s">
        <v>304</v>
      </c>
      <c r="AX1029" s="5" t="s">
        <v>304</v>
      </c>
      <c r="AY1029" s="5" t="s">
        <v>250</v>
      </c>
      <c r="AZ1029" s="5" t="s">
        <v>305</v>
      </c>
      <c r="BA1029" s="5" t="s">
        <v>251</v>
      </c>
      <c r="BB1029" s="5" t="s">
        <v>238</v>
      </c>
      <c r="BC1029" s="5" t="s">
        <v>253</v>
      </c>
      <c r="BD1029" s="5" t="s">
        <v>238</v>
      </c>
      <c r="BF1029" s="5" t="s">
        <v>238</v>
      </c>
      <c r="BH1029" s="5" t="s">
        <v>283</v>
      </c>
      <c r="BI1029" s="6" t="s">
        <v>293</v>
      </c>
      <c r="BJ1029" s="5" t="s">
        <v>294</v>
      </c>
      <c r="BK1029" s="5" t="s">
        <v>294</v>
      </c>
      <c r="BL1029" s="5" t="s">
        <v>238</v>
      </c>
      <c r="BM1029" s="7">
        <f>0</f>
        <v>0</v>
      </c>
      <c r="BN1029" s="8">
        <f>-27104</f>
        <v>-27104</v>
      </c>
      <c r="BO1029" s="5" t="s">
        <v>257</v>
      </c>
      <c r="BP1029" s="5" t="s">
        <v>258</v>
      </c>
      <c r="BQ1029" s="5" t="s">
        <v>238</v>
      </c>
      <c r="BR1029" s="5" t="s">
        <v>238</v>
      </c>
      <c r="BS1029" s="5" t="s">
        <v>238</v>
      </c>
      <c r="BT1029" s="5" t="s">
        <v>238</v>
      </c>
      <c r="CC1029" s="5" t="s">
        <v>258</v>
      </c>
      <c r="CD1029" s="5" t="s">
        <v>238</v>
      </c>
      <c r="CE1029" s="5" t="s">
        <v>238</v>
      </c>
      <c r="CI1029" s="5" t="s">
        <v>259</v>
      </c>
      <c r="CJ1029" s="5" t="s">
        <v>260</v>
      </c>
      <c r="CK1029" s="5" t="s">
        <v>238</v>
      </c>
      <c r="CM1029" s="5" t="s">
        <v>408</v>
      </c>
      <c r="CN1029" s="6" t="s">
        <v>262</v>
      </c>
      <c r="CO1029" s="5" t="s">
        <v>263</v>
      </c>
      <c r="CP1029" s="5" t="s">
        <v>264</v>
      </c>
      <c r="CQ1029" s="5" t="s">
        <v>285</v>
      </c>
      <c r="CR1029" s="5" t="s">
        <v>238</v>
      </c>
      <c r="CS1029" s="5">
        <v>7.6999999999999999E-2</v>
      </c>
      <c r="CT1029" s="5" t="s">
        <v>265</v>
      </c>
      <c r="CU1029" s="5" t="s">
        <v>351</v>
      </c>
      <c r="CV1029" s="5" t="s">
        <v>352</v>
      </c>
      <c r="CW1029" s="7">
        <f>0</f>
        <v>0</v>
      </c>
      <c r="CX1029" s="8">
        <f>352000</f>
        <v>352000</v>
      </c>
      <c r="CY1029" s="8">
        <f>324896</f>
        <v>324896</v>
      </c>
      <c r="DA1029" s="5" t="s">
        <v>238</v>
      </c>
      <c r="DB1029" s="5" t="s">
        <v>238</v>
      </c>
      <c r="DD1029" s="5" t="s">
        <v>238</v>
      </c>
      <c r="DE1029" s="8">
        <f>0</f>
        <v>0</v>
      </c>
      <c r="DG1029" s="5" t="s">
        <v>238</v>
      </c>
      <c r="DH1029" s="5" t="s">
        <v>238</v>
      </c>
      <c r="DI1029" s="5" t="s">
        <v>238</v>
      </c>
      <c r="DJ1029" s="5" t="s">
        <v>238</v>
      </c>
      <c r="DK1029" s="5" t="s">
        <v>272</v>
      </c>
      <c r="DL1029" s="5" t="s">
        <v>272</v>
      </c>
      <c r="DM1029" s="8" t="s">
        <v>238</v>
      </c>
      <c r="DN1029" s="5" t="s">
        <v>238</v>
      </c>
      <c r="DO1029" s="5" t="s">
        <v>238</v>
      </c>
      <c r="DP1029" s="5" t="s">
        <v>238</v>
      </c>
      <c r="DQ1029" s="5" t="s">
        <v>238</v>
      </c>
      <c r="DT1029" s="5" t="s">
        <v>546</v>
      </c>
      <c r="DU1029" s="5" t="s">
        <v>274</v>
      </c>
      <c r="GL1029" s="5" t="s">
        <v>547</v>
      </c>
      <c r="HM1029" s="5" t="s">
        <v>274</v>
      </c>
      <c r="HP1029" s="5" t="s">
        <v>272</v>
      </c>
      <c r="HQ1029" s="5" t="s">
        <v>272</v>
      </c>
      <c r="HR1029" s="5" t="s">
        <v>238</v>
      </c>
      <c r="HS1029" s="5" t="s">
        <v>238</v>
      </c>
      <c r="HT1029" s="5" t="s">
        <v>238</v>
      </c>
      <c r="HU1029" s="5" t="s">
        <v>238</v>
      </c>
      <c r="HV1029" s="5" t="s">
        <v>238</v>
      </c>
      <c r="HW1029" s="5" t="s">
        <v>238</v>
      </c>
      <c r="HX1029" s="5" t="s">
        <v>238</v>
      </c>
      <c r="HY1029" s="5" t="s">
        <v>238</v>
      </c>
      <c r="HZ1029" s="5" t="s">
        <v>238</v>
      </c>
      <c r="IA1029" s="5" t="s">
        <v>238</v>
      </c>
      <c r="IB1029" s="5" t="s">
        <v>238</v>
      </c>
      <c r="IC1029" s="5" t="s">
        <v>238</v>
      </c>
      <c r="ID1029" s="5" t="s">
        <v>238</v>
      </c>
    </row>
    <row r="1030" spans="1:238" x14ac:dyDescent="0.4">
      <c r="A1030" s="5">
        <v>1358</v>
      </c>
      <c r="B1030" s="5">
        <v>1</v>
      </c>
      <c r="C1030" s="5">
        <v>4</v>
      </c>
      <c r="D1030" s="5" t="s">
        <v>2068</v>
      </c>
      <c r="E1030" s="5" t="s">
        <v>338</v>
      </c>
      <c r="F1030" s="5" t="s">
        <v>282</v>
      </c>
      <c r="G1030" s="5" t="s">
        <v>2060</v>
      </c>
      <c r="H1030" s="6" t="s">
        <v>1086</v>
      </c>
      <c r="I1030" s="5" t="s">
        <v>1850</v>
      </c>
      <c r="J1030" s="7">
        <f>1303.77</f>
        <v>1303.77</v>
      </c>
      <c r="K1030" s="5" t="s">
        <v>270</v>
      </c>
      <c r="L1030" s="8">
        <f>38721969</f>
        <v>38721969</v>
      </c>
      <c r="M1030" s="8">
        <f>176008950</f>
        <v>176008950</v>
      </c>
      <c r="N1030" s="6" t="s">
        <v>2069</v>
      </c>
      <c r="O1030" s="5" t="s">
        <v>279</v>
      </c>
      <c r="P1030" s="5" t="s">
        <v>971</v>
      </c>
      <c r="Q1030" s="8">
        <f>3520179</f>
        <v>3520179</v>
      </c>
      <c r="R1030" s="8">
        <f>137286981</f>
        <v>137286981</v>
      </c>
      <c r="S1030" s="5" t="s">
        <v>240</v>
      </c>
      <c r="T1030" s="5" t="s">
        <v>237</v>
      </c>
      <c r="U1030" s="5" t="s">
        <v>238</v>
      </c>
      <c r="V1030" s="5" t="s">
        <v>238</v>
      </c>
      <c r="W1030" s="5" t="s">
        <v>241</v>
      </c>
      <c r="X1030" s="5" t="s">
        <v>337</v>
      </c>
      <c r="Y1030" s="5" t="s">
        <v>238</v>
      </c>
      <c r="AB1030" s="5" t="s">
        <v>238</v>
      </c>
      <c r="AC1030" s="6" t="s">
        <v>238</v>
      </c>
      <c r="AD1030" s="6" t="s">
        <v>238</v>
      </c>
      <c r="AF1030" s="6" t="s">
        <v>238</v>
      </c>
      <c r="AG1030" s="6" t="s">
        <v>246</v>
      </c>
      <c r="AH1030" s="5" t="s">
        <v>247</v>
      </c>
      <c r="AI1030" s="5" t="s">
        <v>248</v>
      </c>
      <c r="AO1030" s="5" t="s">
        <v>238</v>
      </c>
      <c r="AP1030" s="5" t="s">
        <v>238</v>
      </c>
      <c r="AQ1030" s="5" t="s">
        <v>238</v>
      </c>
      <c r="AR1030" s="6" t="s">
        <v>238</v>
      </c>
      <c r="AS1030" s="6" t="s">
        <v>238</v>
      </c>
      <c r="AT1030" s="6" t="s">
        <v>238</v>
      </c>
      <c r="AW1030" s="5" t="s">
        <v>304</v>
      </c>
      <c r="AX1030" s="5" t="s">
        <v>304</v>
      </c>
      <c r="AY1030" s="5" t="s">
        <v>250</v>
      </c>
      <c r="AZ1030" s="5" t="s">
        <v>305</v>
      </c>
      <c r="BA1030" s="5" t="s">
        <v>251</v>
      </c>
      <c r="BB1030" s="5" t="s">
        <v>238</v>
      </c>
      <c r="BC1030" s="5" t="s">
        <v>253</v>
      </c>
      <c r="BD1030" s="5" t="s">
        <v>238</v>
      </c>
      <c r="BF1030" s="5" t="s">
        <v>238</v>
      </c>
      <c r="BH1030" s="5" t="s">
        <v>283</v>
      </c>
      <c r="BI1030" s="6" t="s">
        <v>293</v>
      </c>
      <c r="BJ1030" s="5" t="s">
        <v>294</v>
      </c>
      <c r="BK1030" s="5" t="s">
        <v>294</v>
      </c>
      <c r="BL1030" s="5" t="s">
        <v>238</v>
      </c>
      <c r="BM1030" s="7">
        <f>0</f>
        <v>0</v>
      </c>
      <c r="BN1030" s="8">
        <f>-3520179</f>
        <v>-3520179</v>
      </c>
      <c r="BO1030" s="5" t="s">
        <v>257</v>
      </c>
      <c r="BP1030" s="5" t="s">
        <v>258</v>
      </c>
      <c r="BQ1030" s="5" t="s">
        <v>238</v>
      </c>
      <c r="BR1030" s="5" t="s">
        <v>238</v>
      </c>
      <c r="BS1030" s="5" t="s">
        <v>238</v>
      </c>
      <c r="BT1030" s="5" t="s">
        <v>238</v>
      </c>
      <c r="CC1030" s="5" t="s">
        <v>258</v>
      </c>
      <c r="CD1030" s="5" t="s">
        <v>238</v>
      </c>
      <c r="CE1030" s="5" t="s">
        <v>238</v>
      </c>
      <c r="CI1030" s="5" t="s">
        <v>527</v>
      </c>
      <c r="CJ1030" s="5" t="s">
        <v>260</v>
      </c>
      <c r="CK1030" s="5" t="s">
        <v>238</v>
      </c>
      <c r="CM1030" s="5" t="s">
        <v>990</v>
      </c>
      <c r="CN1030" s="6" t="s">
        <v>262</v>
      </c>
      <c r="CO1030" s="5" t="s">
        <v>263</v>
      </c>
      <c r="CP1030" s="5" t="s">
        <v>264</v>
      </c>
      <c r="CQ1030" s="5" t="s">
        <v>285</v>
      </c>
      <c r="CR1030" s="5" t="s">
        <v>238</v>
      </c>
      <c r="CS1030" s="5">
        <v>0.02</v>
      </c>
      <c r="CT1030" s="5" t="s">
        <v>265</v>
      </c>
      <c r="CU1030" s="5" t="s">
        <v>2061</v>
      </c>
      <c r="CV1030" s="5" t="s">
        <v>308</v>
      </c>
      <c r="CW1030" s="7">
        <f>0</f>
        <v>0</v>
      </c>
      <c r="CX1030" s="8">
        <f>176008950</f>
        <v>176008950</v>
      </c>
      <c r="CY1030" s="8">
        <f>42242148</f>
        <v>42242148</v>
      </c>
      <c r="DA1030" s="5" t="s">
        <v>238</v>
      </c>
      <c r="DB1030" s="5" t="s">
        <v>238</v>
      </c>
      <c r="DD1030" s="5" t="s">
        <v>238</v>
      </c>
      <c r="DE1030" s="8">
        <f>0</f>
        <v>0</v>
      </c>
      <c r="DG1030" s="5" t="s">
        <v>238</v>
      </c>
      <c r="DH1030" s="5" t="s">
        <v>238</v>
      </c>
      <c r="DI1030" s="5" t="s">
        <v>238</v>
      </c>
      <c r="DJ1030" s="5" t="s">
        <v>238</v>
      </c>
      <c r="DK1030" s="5" t="s">
        <v>271</v>
      </c>
      <c r="DL1030" s="5" t="s">
        <v>272</v>
      </c>
      <c r="DM1030" s="7">
        <f>1303.77</f>
        <v>1303.77</v>
      </c>
      <c r="DN1030" s="5" t="s">
        <v>238</v>
      </c>
      <c r="DO1030" s="5" t="s">
        <v>238</v>
      </c>
      <c r="DP1030" s="5" t="s">
        <v>238</v>
      </c>
      <c r="DQ1030" s="5" t="s">
        <v>238</v>
      </c>
      <c r="DT1030" s="5" t="s">
        <v>2070</v>
      </c>
      <c r="DU1030" s="5" t="s">
        <v>271</v>
      </c>
      <c r="GL1030" s="5" t="s">
        <v>2071</v>
      </c>
      <c r="HM1030" s="5" t="s">
        <v>313</v>
      </c>
      <c r="HP1030" s="5" t="s">
        <v>272</v>
      </c>
      <c r="HQ1030" s="5" t="s">
        <v>272</v>
      </c>
      <c r="HR1030" s="5" t="s">
        <v>238</v>
      </c>
      <c r="HS1030" s="5" t="s">
        <v>238</v>
      </c>
      <c r="HT1030" s="5" t="s">
        <v>238</v>
      </c>
      <c r="HU1030" s="5" t="s">
        <v>238</v>
      </c>
      <c r="HV1030" s="5" t="s">
        <v>238</v>
      </c>
      <c r="HW1030" s="5" t="s">
        <v>238</v>
      </c>
      <c r="HX1030" s="5" t="s">
        <v>238</v>
      </c>
      <c r="HY1030" s="5" t="s">
        <v>238</v>
      </c>
      <c r="HZ1030" s="5" t="s">
        <v>238</v>
      </c>
      <c r="IA1030" s="5" t="s">
        <v>238</v>
      </c>
      <c r="IB1030" s="5" t="s">
        <v>238</v>
      </c>
      <c r="IC1030" s="5" t="s">
        <v>238</v>
      </c>
      <c r="ID1030" s="5" t="s">
        <v>238</v>
      </c>
    </row>
    <row r="1031" spans="1:238" x14ac:dyDescent="0.4">
      <c r="A1031" s="5">
        <v>1359</v>
      </c>
      <c r="B1031" s="5">
        <v>1</v>
      </c>
      <c r="C1031" s="5">
        <v>4</v>
      </c>
      <c r="D1031" s="5" t="s">
        <v>552</v>
      </c>
      <c r="E1031" s="5" t="s">
        <v>338</v>
      </c>
      <c r="F1031" s="5" t="s">
        <v>282</v>
      </c>
      <c r="G1031" s="5" t="s">
        <v>2060</v>
      </c>
      <c r="H1031" s="6" t="s">
        <v>554</v>
      </c>
      <c r="I1031" s="5" t="s">
        <v>1850</v>
      </c>
      <c r="J1031" s="7">
        <f>1139.31</f>
        <v>1139.31</v>
      </c>
      <c r="K1031" s="5" t="s">
        <v>270</v>
      </c>
      <c r="L1031" s="8">
        <f>12304548</f>
        <v>12304548</v>
      </c>
      <c r="M1031" s="8">
        <f>153806850</f>
        <v>153806850</v>
      </c>
      <c r="N1031" s="6" t="s">
        <v>2066</v>
      </c>
      <c r="O1031" s="5" t="s">
        <v>279</v>
      </c>
      <c r="P1031" s="5" t="s">
        <v>1098</v>
      </c>
      <c r="Q1031" s="8">
        <f>3076137</f>
        <v>3076137</v>
      </c>
      <c r="R1031" s="8">
        <f>141502302</f>
        <v>141502302</v>
      </c>
      <c r="S1031" s="5" t="s">
        <v>240</v>
      </c>
      <c r="T1031" s="5" t="s">
        <v>237</v>
      </c>
      <c r="U1031" s="5" t="s">
        <v>238</v>
      </c>
      <c r="V1031" s="5" t="s">
        <v>238</v>
      </c>
      <c r="W1031" s="5" t="s">
        <v>241</v>
      </c>
      <c r="X1031" s="5" t="s">
        <v>337</v>
      </c>
      <c r="Y1031" s="5" t="s">
        <v>238</v>
      </c>
      <c r="AB1031" s="5" t="s">
        <v>238</v>
      </c>
      <c r="AC1031" s="6" t="s">
        <v>238</v>
      </c>
      <c r="AD1031" s="6" t="s">
        <v>238</v>
      </c>
      <c r="AF1031" s="6" t="s">
        <v>238</v>
      </c>
      <c r="AG1031" s="6" t="s">
        <v>246</v>
      </c>
      <c r="AH1031" s="5" t="s">
        <v>247</v>
      </c>
      <c r="AI1031" s="5" t="s">
        <v>248</v>
      </c>
      <c r="AO1031" s="5" t="s">
        <v>238</v>
      </c>
      <c r="AP1031" s="5" t="s">
        <v>238</v>
      </c>
      <c r="AQ1031" s="5" t="s">
        <v>238</v>
      </c>
      <c r="AR1031" s="6" t="s">
        <v>238</v>
      </c>
      <c r="AS1031" s="6" t="s">
        <v>238</v>
      </c>
      <c r="AT1031" s="6" t="s">
        <v>238</v>
      </c>
      <c r="AW1031" s="5" t="s">
        <v>304</v>
      </c>
      <c r="AX1031" s="5" t="s">
        <v>304</v>
      </c>
      <c r="AY1031" s="5" t="s">
        <v>250</v>
      </c>
      <c r="AZ1031" s="5" t="s">
        <v>305</v>
      </c>
      <c r="BA1031" s="5" t="s">
        <v>251</v>
      </c>
      <c r="BB1031" s="5" t="s">
        <v>238</v>
      </c>
      <c r="BC1031" s="5" t="s">
        <v>253</v>
      </c>
      <c r="BD1031" s="5" t="s">
        <v>238</v>
      </c>
      <c r="BF1031" s="5" t="s">
        <v>238</v>
      </c>
      <c r="BH1031" s="5" t="s">
        <v>283</v>
      </c>
      <c r="BI1031" s="6" t="s">
        <v>293</v>
      </c>
      <c r="BJ1031" s="5" t="s">
        <v>294</v>
      </c>
      <c r="BK1031" s="5" t="s">
        <v>294</v>
      </c>
      <c r="BL1031" s="5" t="s">
        <v>238</v>
      </c>
      <c r="BM1031" s="7">
        <f>0</f>
        <v>0</v>
      </c>
      <c r="BN1031" s="8">
        <f>-3076137</f>
        <v>-3076137</v>
      </c>
      <c r="BO1031" s="5" t="s">
        <v>257</v>
      </c>
      <c r="BP1031" s="5" t="s">
        <v>258</v>
      </c>
      <c r="BQ1031" s="5" t="s">
        <v>238</v>
      </c>
      <c r="BR1031" s="5" t="s">
        <v>238</v>
      </c>
      <c r="BS1031" s="5" t="s">
        <v>238</v>
      </c>
      <c r="BT1031" s="5" t="s">
        <v>238</v>
      </c>
      <c r="CC1031" s="5" t="s">
        <v>258</v>
      </c>
      <c r="CD1031" s="5" t="s">
        <v>238</v>
      </c>
      <c r="CE1031" s="5" t="s">
        <v>238</v>
      </c>
      <c r="CI1031" s="5" t="s">
        <v>527</v>
      </c>
      <c r="CJ1031" s="5" t="s">
        <v>260</v>
      </c>
      <c r="CK1031" s="5" t="s">
        <v>238</v>
      </c>
      <c r="CM1031" s="5" t="s">
        <v>974</v>
      </c>
      <c r="CN1031" s="6" t="s">
        <v>262</v>
      </c>
      <c r="CO1031" s="5" t="s">
        <v>263</v>
      </c>
      <c r="CP1031" s="5" t="s">
        <v>264</v>
      </c>
      <c r="CQ1031" s="5" t="s">
        <v>285</v>
      </c>
      <c r="CR1031" s="5" t="s">
        <v>238</v>
      </c>
      <c r="CS1031" s="5">
        <v>0.02</v>
      </c>
      <c r="CT1031" s="5" t="s">
        <v>265</v>
      </c>
      <c r="CU1031" s="5" t="s">
        <v>2061</v>
      </c>
      <c r="CV1031" s="5" t="s">
        <v>308</v>
      </c>
      <c r="CW1031" s="7">
        <f>0</f>
        <v>0</v>
      </c>
      <c r="CX1031" s="8">
        <f>153806850</f>
        <v>153806850</v>
      </c>
      <c r="CY1031" s="8">
        <f>15380685</f>
        <v>15380685</v>
      </c>
      <c r="DA1031" s="5" t="s">
        <v>238</v>
      </c>
      <c r="DB1031" s="5" t="s">
        <v>238</v>
      </c>
      <c r="DD1031" s="5" t="s">
        <v>238</v>
      </c>
      <c r="DE1031" s="8">
        <f>0</f>
        <v>0</v>
      </c>
      <c r="DG1031" s="5" t="s">
        <v>238</v>
      </c>
      <c r="DH1031" s="5" t="s">
        <v>238</v>
      </c>
      <c r="DI1031" s="5" t="s">
        <v>238</v>
      </c>
      <c r="DJ1031" s="5" t="s">
        <v>238</v>
      </c>
      <c r="DK1031" s="5" t="s">
        <v>271</v>
      </c>
      <c r="DL1031" s="5" t="s">
        <v>272</v>
      </c>
      <c r="DM1031" s="7">
        <f>1139.31</f>
        <v>1139.31</v>
      </c>
      <c r="DN1031" s="5" t="s">
        <v>238</v>
      </c>
      <c r="DO1031" s="5" t="s">
        <v>238</v>
      </c>
      <c r="DP1031" s="5" t="s">
        <v>238</v>
      </c>
      <c r="DQ1031" s="5" t="s">
        <v>238</v>
      </c>
      <c r="DT1031" s="5" t="s">
        <v>555</v>
      </c>
      <c r="DU1031" s="5" t="s">
        <v>271</v>
      </c>
      <c r="GL1031" s="5" t="s">
        <v>2067</v>
      </c>
      <c r="HM1031" s="5" t="s">
        <v>313</v>
      </c>
      <c r="HP1031" s="5" t="s">
        <v>272</v>
      </c>
      <c r="HQ1031" s="5" t="s">
        <v>272</v>
      </c>
      <c r="HR1031" s="5" t="s">
        <v>238</v>
      </c>
      <c r="HS1031" s="5" t="s">
        <v>238</v>
      </c>
      <c r="HT1031" s="5" t="s">
        <v>238</v>
      </c>
      <c r="HU1031" s="5" t="s">
        <v>238</v>
      </c>
      <c r="HV1031" s="5" t="s">
        <v>238</v>
      </c>
      <c r="HW1031" s="5" t="s">
        <v>238</v>
      </c>
      <c r="HX1031" s="5" t="s">
        <v>238</v>
      </c>
      <c r="HY1031" s="5" t="s">
        <v>238</v>
      </c>
      <c r="HZ1031" s="5" t="s">
        <v>238</v>
      </c>
      <c r="IA1031" s="5" t="s">
        <v>238</v>
      </c>
      <c r="IB1031" s="5" t="s">
        <v>238</v>
      </c>
      <c r="IC1031" s="5" t="s">
        <v>238</v>
      </c>
      <c r="ID1031" s="5" t="s">
        <v>238</v>
      </c>
    </row>
    <row r="1032" spans="1:238" x14ac:dyDescent="0.4">
      <c r="A1032" s="5">
        <v>1360</v>
      </c>
      <c r="B1032" s="5">
        <v>1</v>
      </c>
      <c r="C1032" s="5">
        <v>4</v>
      </c>
      <c r="D1032" s="5" t="s">
        <v>552</v>
      </c>
      <c r="E1032" s="5" t="s">
        <v>338</v>
      </c>
      <c r="F1032" s="5" t="s">
        <v>282</v>
      </c>
      <c r="G1032" s="5" t="s">
        <v>553</v>
      </c>
      <c r="H1032" s="6" t="s">
        <v>554</v>
      </c>
      <c r="I1032" s="5" t="s">
        <v>542</v>
      </c>
      <c r="J1032" s="7">
        <f>0</f>
        <v>0</v>
      </c>
      <c r="K1032" s="5" t="s">
        <v>270</v>
      </c>
      <c r="L1032" s="8">
        <f>887794</f>
        <v>887794</v>
      </c>
      <c r="M1032" s="8">
        <f>1049400</f>
        <v>1049400</v>
      </c>
      <c r="N1032" s="6" t="s">
        <v>511</v>
      </c>
      <c r="O1032" s="5" t="s">
        <v>319</v>
      </c>
      <c r="P1032" s="5" t="s">
        <v>272</v>
      </c>
      <c r="Q1032" s="8">
        <f>1049399</f>
        <v>1049399</v>
      </c>
      <c r="R1032" s="8">
        <f>161606</f>
        <v>161606</v>
      </c>
      <c r="S1032" s="5" t="s">
        <v>240</v>
      </c>
      <c r="T1032" s="5" t="s">
        <v>287</v>
      </c>
      <c r="U1032" s="5" t="s">
        <v>238</v>
      </c>
      <c r="V1032" s="5" t="s">
        <v>238</v>
      </c>
      <c r="W1032" s="5" t="s">
        <v>241</v>
      </c>
      <c r="X1032" s="5" t="s">
        <v>238</v>
      </c>
      <c r="Y1032" s="5" t="s">
        <v>238</v>
      </c>
      <c r="AB1032" s="5" t="s">
        <v>238</v>
      </c>
      <c r="AC1032" s="6" t="s">
        <v>238</v>
      </c>
      <c r="AD1032" s="6" t="s">
        <v>238</v>
      </c>
      <c r="AF1032" s="6" t="s">
        <v>238</v>
      </c>
      <c r="AG1032" s="6" t="s">
        <v>246</v>
      </c>
      <c r="AH1032" s="5" t="s">
        <v>247</v>
      </c>
      <c r="AI1032" s="5" t="s">
        <v>248</v>
      </c>
      <c r="AO1032" s="5" t="s">
        <v>238</v>
      </c>
      <c r="AP1032" s="5" t="s">
        <v>238</v>
      </c>
      <c r="AQ1032" s="5" t="s">
        <v>238</v>
      </c>
      <c r="AR1032" s="6" t="s">
        <v>238</v>
      </c>
      <c r="AS1032" s="6" t="s">
        <v>238</v>
      </c>
      <c r="AT1032" s="6" t="s">
        <v>238</v>
      </c>
      <c r="AW1032" s="5" t="s">
        <v>304</v>
      </c>
      <c r="AX1032" s="5" t="s">
        <v>304</v>
      </c>
      <c r="AY1032" s="5" t="s">
        <v>250</v>
      </c>
      <c r="AZ1032" s="5" t="s">
        <v>305</v>
      </c>
      <c r="BA1032" s="5" t="s">
        <v>251</v>
      </c>
      <c r="BB1032" s="5" t="s">
        <v>238</v>
      </c>
      <c r="BC1032" s="5" t="s">
        <v>253</v>
      </c>
      <c r="BD1032" s="5" t="s">
        <v>238</v>
      </c>
      <c r="BF1032" s="5" t="s">
        <v>238</v>
      </c>
      <c r="BH1032" s="5" t="s">
        <v>283</v>
      </c>
      <c r="BI1032" s="6" t="s">
        <v>293</v>
      </c>
      <c r="BJ1032" s="5" t="s">
        <v>294</v>
      </c>
      <c r="BK1032" s="5" t="s">
        <v>294</v>
      </c>
      <c r="BL1032" s="5" t="s">
        <v>238</v>
      </c>
      <c r="BM1032" s="7">
        <f>0</f>
        <v>0</v>
      </c>
      <c r="BN1032" s="8">
        <f>-80803</f>
        <v>-80803</v>
      </c>
      <c r="BO1032" s="5" t="s">
        <v>257</v>
      </c>
      <c r="BP1032" s="5" t="s">
        <v>258</v>
      </c>
      <c r="BQ1032" s="5" t="s">
        <v>238</v>
      </c>
      <c r="BR1032" s="5" t="s">
        <v>238</v>
      </c>
      <c r="BS1032" s="5" t="s">
        <v>238</v>
      </c>
      <c r="BT1032" s="5" t="s">
        <v>238</v>
      </c>
      <c r="CC1032" s="5" t="s">
        <v>258</v>
      </c>
      <c r="CD1032" s="5" t="s">
        <v>238</v>
      </c>
      <c r="CE1032" s="5" t="s">
        <v>238</v>
      </c>
      <c r="CI1032" s="5" t="s">
        <v>259</v>
      </c>
      <c r="CJ1032" s="5" t="s">
        <v>260</v>
      </c>
      <c r="CK1032" s="5" t="s">
        <v>238</v>
      </c>
      <c r="CM1032" s="5" t="s">
        <v>408</v>
      </c>
      <c r="CN1032" s="6" t="s">
        <v>262</v>
      </c>
      <c r="CO1032" s="5" t="s">
        <v>263</v>
      </c>
      <c r="CP1032" s="5" t="s">
        <v>264</v>
      </c>
      <c r="CQ1032" s="5" t="s">
        <v>285</v>
      </c>
      <c r="CR1032" s="5" t="s">
        <v>238</v>
      </c>
      <c r="CS1032" s="5">
        <v>7.6999999999999999E-2</v>
      </c>
      <c r="CT1032" s="5" t="s">
        <v>265</v>
      </c>
      <c r="CU1032" s="5" t="s">
        <v>351</v>
      </c>
      <c r="CV1032" s="5" t="s">
        <v>352</v>
      </c>
      <c r="CW1032" s="7">
        <f>0</f>
        <v>0</v>
      </c>
      <c r="CX1032" s="8">
        <f>1049400</f>
        <v>1049400</v>
      </c>
      <c r="CY1032" s="8">
        <f>968597</f>
        <v>968597</v>
      </c>
      <c r="DA1032" s="5" t="s">
        <v>238</v>
      </c>
      <c r="DB1032" s="5" t="s">
        <v>238</v>
      </c>
      <c r="DD1032" s="5" t="s">
        <v>238</v>
      </c>
      <c r="DE1032" s="8">
        <f>0</f>
        <v>0</v>
      </c>
      <c r="DG1032" s="5" t="s">
        <v>238</v>
      </c>
      <c r="DH1032" s="5" t="s">
        <v>238</v>
      </c>
      <c r="DI1032" s="5" t="s">
        <v>238</v>
      </c>
      <c r="DJ1032" s="5" t="s">
        <v>238</v>
      </c>
      <c r="DK1032" s="5" t="s">
        <v>272</v>
      </c>
      <c r="DL1032" s="5" t="s">
        <v>272</v>
      </c>
      <c r="DM1032" s="8" t="s">
        <v>238</v>
      </c>
      <c r="DN1032" s="5" t="s">
        <v>238</v>
      </c>
      <c r="DO1032" s="5" t="s">
        <v>238</v>
      </c>
      <c r="DP1032" s="5" t="s">
        <v>238</v>
      </c>
      <c r="DQ1032" s="5" t="s">
        <v>238</v>
      </c>
      <c r="DT1032" s="5" t="s">
        <v>555</v>
      </c>
      <c r="DU1032" s="5" t="s">
        <v>274</v>
      </c>
      <c r="GL1032" s="5" t="s">
        <v>556</v>
      </c>
      <c r="HM1032" s="5" t="s">
        <v>274</v>
      </c>
      <c r="HP1032" s="5" t="s">
        <v>272</v>
      </c>
      <c r="HQ1032" s="5" t="s">
        <v>272</v>
      </c>
      <c r="HR1032" s="5" t="s">
        <v>238</v>
      </c>
      <c r="HS1032" s="5" t="s">
        <v>238</v>
      </c>
      <c r="HT1032" s="5" t="s">
        <v>238</v>
      </c>
      <c r="HU1032" s="5" t="s">
        <v>238</v>
      </c>
      <c r="HV1032" s="5" t="s">
        <v>238</v>
      </c>
      <c r="HW1032" s="5" t="s">
        <v>238</v>
      </c>
      <c r="HX1032" s="5" t="s">
        <v>238</v>
      </c>
      <c r="HY1032" s="5" t="s">
        <v>238</v>
      </c>
      <c r="HZ1032" s="5" t="s">
        <v>238</v>
      </c>
      <c r="IA1032" s="5" t="s">
        <v>238</v>
      </c>
      <c r="IB1032" s="5" t="s">
        <v>238</v>
      </c>
      <c r="IC1032" s="5" t="s">
        <v>238</v>
      </c>
      <c r="ID1032" s="5" t="s">
        <v>238</v>
      </c>
    </row>
    <row r="1033" spans="1:238" x14ac:dyDescent="0.4">
      <c r="A1033" s="5">
        <v>1361</v>
      </c>
      <c r="B1033" s="5">
        <v>1</v>
      </c>
      <c r="C1033" s="5">
        <v>4</v>
      </c>
      <c r="D1033" s="5" t="s">
        <v>557</v>
      </c>
      <c r="E1033" s="5" t="s">
        <v>338</v>
      </c>
      <c r="F1033" s="5" t="s">
        <v>282</v>
      </c>
      <c r="G1033" s="5" t="s">
        <v>2060</v>
      </c>
      <c r="H1033" s="6" t="s">
        <v>526</v>
      </c>
      <c r="I1033" s="5" t="s">
        <v>1850</v>
      </c>
      <c r="J1033" s="7">
        <f>2266.62</f>
        <v>2266.62</v>
      </c>
      <c r="K1033" s="5" t="s">
        <v>270</v>
      </c>
      <c r="L1033" s="8">
        <f>1</f>
        <v>1</v>
      </c>
      <c r="M1033" s="8">
        <f>320145750</f>
        <v>320145750</v>
      </c>
      <c r="N1033" s="6" t="s">
        <v>2064</v>
      </c>
      <c r="O1033" s="5" t="s">
        <v>279</v>
      </c>
      <c r="P1033" s="5" t="s">
        <v>1173</v>
      </c>
      <c r="Q1033" s="8">
        <f>6402915</f>
        <v>6402915</v>
      </c>
      <c r="R1033" s="8">
        <f>320145749</f>
        <v>320145749</v>
      </c>
      <c r="S1033" s="5" t="s">
        <v>240</v>
      </c>
      <c r="T1033" s="5" t="s">
        <v>237</v>
      </c>
      <c r="U1033" s="5" t="s">
        <v>238</v>
      </c>
      <c r="V1033" s="5" t="s">
        <v>238</v>
      </c>
      <c r="W1033" s="5" t="s">
        <v>241</v>
      </c>
      <c r="X1033" s="5" t="s">
        <v>337</v>
      </c>
      <c r="Y1033" s="5" t="s">
        <v>238</v>
      </c>
      <c r="AB1033" s="5" t="s">
        <v>238</v>
      </c>
      <c r="AC1033" s="6" t="s">
        <v>238</v>
      </c>
      <c r="AD1033" s="6" t="s">
        <v>238</v>
      </c>
      <c r="AF1033" s="6" t="s">
        <v>238</v>
      </c>
      <c r="AG1033" s="6" t="s">
        <v>246</v>
      </c>
      <c r="AH1033" s="5" t="s">
        <v>247</v>
      </c>
      <c r="AI1033" s="5" t="s">
        <v>248</v>
      </c>
      <c r="AO1033" s="5" t="s">
        <v>238</v>
      </c>
      <c r="AP1033" s="5" t="s">
        <v>238</v>
      </c>
      <c r="AQ1033" s="5" t="s">
        <v>238</v>
      </c>
      <c r="AR1033" s="6" t="s">
        <v>238</v>
      </c>
      <c r="AS1033" s="6" t="s">
        <v>238</v>
      </c>
      <c r="AT1033" s="6" t="s">
        <v>238</v>
      </c>
      <c r="AW1033" s="5" t="s">
        <v>304</v>
      </c>
      <c r="AX1033" s="5" t="s">
        <v>304</v>
      </c>
      <c r="AY1033" s="5" t="s">
        <v>250</v>
      </c>
      <c r="AZ1033" s="5" t="s">
        <v>305</v>
      </c>
      <c r="BA1033" s="5" t="s">
        <v>251</v>
      </c>
      <c r="BB1033" s="5" t="s">
        <v>238</v>
      </c>
      <c r="BC1033" s="5" t="s">
        <v>253</v>
      </c>
      <c r="BD1033" s="5" t="s">
        <v>238</v>
      </c>
      <c r="BF1033" s="5" t="s">
        <v>238</v>
      </c>
      <c r="BH1033" s="5" t="s">
        <v>283</v>
      </c>
      <c r="BI1033" s="6" t="s">
        <v>293</v>
      </c>
      <c r="BJ1033" s="5" t="s">
        <v>294</v>
      </c>
      <c r="BK1033" s="5" t="s">
        <v>294</v>
      </c>
      <c r="BL1033" s="5" t="s">
        <v>238</v>
      </c>
      <c r="BM1033" s="7">
        <f>0</f>
        <v>0</v>
      </c>
      <c r="BN1033" s="8">
        <f>-6402914</f>
        <v>-6402914</v>
      </c>
      <c r="BO1033" s="5" t="s">
        <v>257</v>
      </c>
      <c r="BP1033" s="5" t="s">
        <v>258</v>
      </c>
      <c r="BQ1033" s="5" t="s">
        <v>238</v>
      </c>
      <c r="BR1033" s="5" t="s">
        <v>238</v>
      </c>
      <c r="BS1033" s="5" t="s">
        <v>238</v>
      </c>
      <c r="BT1033" s="5" t="s">
        <v>238</v>
      </c>
      <c r="CC1033" s="5" t="s">
        <v>258</v>
      </c>
      <c r="CD1033" s="5" t="s">
        <v>238</v>
      </c>
      <c r="CE1033" s="5" t="s">
        <v>238</v>
      </c>
      <c r="CI1033" s="5" t="s">
        <v>527</v>
      </c>
      <c r="CJ1033" s="5" t="s">
        <v>260</v>
      </c>
      <c r="CK1033" s="5" t="s">
        <v>238</v>
      </c>
      <c r="CM1033" s="5" t="s">
        <v>1016</v>
      </c>
      <c r="CN1033" s="6" t="s">
        <v>262</v>
      </c>
      <c r="CO1033" s="5" t="s">
        <v>263</v>
      </c>
      <c r="CP1033" s="5" t="s">
        <v>264</v>
      </c>
      <c r="CQ1033" s="5" t="s">
        <v>285</v>
      </c>
      <c r="CR1033" s="5" t="s">
        <v>238</v>
      </c>
      <c r="CS1033" s="5">
        <v>0.02</v>
      </c>
      <c r="CT1033" s="5" t="s">
        <v>265</v>
      </c>
      <c r="CU1033" s="5" t="s">
        <v>2061</v>
      </c>
      <c r="CV1033" s="5" t="s">
        <v>308</v>
      </c>
      <c r="CW1033" s="7">
        <f>0</f>
        <v>0</v>
      </c>
      <c r="CX1033" s="8">
        <f>320145750</f>
        <v>320145750</v>
      </c>
      <c r="CY1033" s="8">
        <f>6402915</f>
        <v>6402915</v>
      </c>
      <c r="DA1033" s="5" t="s">
        <v>238</v>
      </c>
      <c r="DB1033" s="5" t="s">
        <v>238</v>
      </c>
      <c r="DD1033" s="5" t="s">
        <v>238</v>
      </c>
      <c r="DE1033" s="8">
        <f>0</f>
        <v>0</v>
      </c>
      <c r="DG1033" s="5" t="s">
        <v>238</v>
      </c>
      <c r="DH1033" s="5" t="s">
        <v>238</v>
      </c>
      <c r="DI1033" s="5" t="s">
        <v>238</v>
      </c>
      <c r="DJ1033" s="5" t="s">
        <v>238</v>
      </c>
      <c r="DK1033" s="5" t="s">
        <v>274</v>
      </c>
      <c r="DL1033" s="5" t="s">
        <v>272</v>
      </c>
      <c r="DM1033" s="7">
        <f>2266.62</f>
        <v>2266.62</v>
      </c>
      <c r="DN1033" s="5" t="s">
        <v>238</v>
      </c>
      <c r="DO1033" s="5" t="s">
        <v>238</v>
      </c>
      <c r="DP1033" s="5" t="s">
        <v>238</v>
      </c>
      <c r="DQ1033" s="5" t="s">
        <v>238</v>
      </c>
      <c r="DT1033" s="5" t="s">
        <v>559</v>
      </c>
      <c r="DU1033" s="5" t="s">
        <v>271</v>
      </c>
      <c r="GL1033" s="5" t="s">
        <v>2065</v>
      </c>
      <c r="HM1033" s="5" t="s">
        <v>389</v>
      </c>
      <c r="HP1033" s="5" t="s">
        <v>272</v>
      </c>
      <c r="HQ1033" s="5" t="s">
        <v>272</v>
      </c>
      <c r="HR1033" s="5" t="s">
        <v>238</v>
      </c>
      <c r="HS1033" s="5" t="s">
        <v>238</v>
      </c>
      <c r="HT1033" s="5" t="s">
        <v>238</v>
      </c>
      <c r="HU1033" s="5" t="s">
        <v>238</v>
      </c>
      <c r="HV1033" s="5" t="s">
        <v>238</v>
      </c>
      <c r="HW1033" s="5" t="s">
        <v>238</v>
      </c>
      <c r="HX1033" s="5" t="s">
        <v>238</v>
      </c>
      <c r="HY1033" s="5" t="s">
        <v>238</v>
      </c>
      <c r="HZ1033" s="5" t="s">
        <v>238</v>
      </c>
      <c r="IA1033" s="5" t="s">
        <v>238</v>
      </c>
      <c r="IB1033" s="5" t="s">
        <v>238</v>
      </c>
      <c r="IC1033" s="5" t="s">
        <v>238</v>
      </c>
      <c r="ID1033" s="5" t="s">
        <v>238</v>
      </c>
    </row>
    <row r="1034" spans="1:238" x14ac:dyDescent="0.4">
      <c r="A1034" s="5">
        <v>1362</v>
      </c>
      <c r="B1034" s="5">
        <v>1</v>
      </c>
      <c r="C1034" s="5">
        <v>4</v>
      </c>
      <c r="D1034" s="5" t="s">
        <v>557</v>
      </c>
      <c r="E1034" s="5" t="s">
        <v>338</v>
      </c>
      <c r="F1034" s="5" t="s">
        <v>282</v>
      </c>
      <c r="G1034" s="5" t="s">
        <v>646</v>
      </c>
      <c r="H1034" s="6" t="s">
        <v>526</v>
      </c>
      <c r="I1034" s="5" t="s">
        <v>239</v>
      </c>
      <c r="J1034" s="7">
        <f>54.37</f>
        <v>54.37</v>
      </c>
      <c r="K1034" s="5" t="s">
        <v>270</v>
      </c>
      <c r="L1034" s="8">
        <f>1400932</f>
        <v>1400932</v>
      </c>
      <c r="M1034" s="8">
        <f>3400300</f>
        <v>3400300</v>
      </c>
      <c r="N1034" s="6" t="s">
        <v>1070</v>
      </c>
      <c r="O1034" s="5" t="s">
        <v>651</v>
      </c>
      <c r="P1034" s="5" t="s">
        <v>395</v>
      </c>
      <c r="Q1034" s="8">
        <f>142812</f>
        <v>142812</v>
      </c>
      <c r="R1034" s="8">
        <f>1999368</f>
        <v>1999368</v>
      </c>
      <c r="S1034" s="5" t="s">
        <v>240</v>
      </c>
      <c r="T1034" s="5" t="s">
        <v>237</v>
      </c>
      <c r="U1034" s="5" t="s">
        <v>238</v>
      </c>
      <c r="V1034" s="5" t="s">
        <v>238</v>
      </c>
      <c r="W1034" s="5" t="s">
        <v>241</v>
      </c>
      <c r="X1034" s="5" t="s">
        <v>337</v>
      </c>
      <c r="Y1034" s="5" t="s">
        <v>238</v>
      </c>
      <c r="AB1034" s="5" t="s">
        <v>238</v>
      </c>
      <c r="AC1034" s="6" t="s">
        <v>238</v>
      </c>
      <c r="AD1034" s="6" t="s">
        <v>238</v>
      </c>
      <c r="AF1034" s="6" t="s">
        <v>238</v>
      </c>
      <c r="AG1034" s="6" t="s">
        <v>246</v>
      </c>
      <c r="AH1034" s="5" t="s">
        <v>247</v>
      </c>
      <c r="AI1034" s="5" t="s">
        <v>248</v>
      </c>
      <c r="AO1034" s="5" t="s">
        <v>238</v>
      </c>
      <c r="AP1034" s="5" t="s">
        <v>238</v>
      </c>
      <c r="AQ1034" s="5" t="s">
        <v>238</v>
      </c>
      <c r="AR1034" s="6" t="s">
        <v>238</v>
      </c>
      <c r="AS1034" s="6" t="s">
        <v>238</v>
      </c>
      <c r="AT1034" s="6" t="s">
        <v>238</v>
      </c>
      <c r="AW1034" s="5" t="s">
        <v>304</v>
      </c>
      <c r="AX1034" s="5" t="s">
        <v>304</v>
      </c>
      <c r="AY1034" s="5" t="s">
        <v>250</v>
      </c>
      <c r="AZ1034" s="5" t="s">
        <v>305</v>
      </c>
      <c r="BA1034" s="5" t="s">
        <v>251</v>
      </c>
      <c r="BB1034" s="5" t="s">
        <v>238</v>
      </c>
      <c r="BC1034" s="5" t="s">
        <v>253</v>
      </c>
      <c r="BD1034" s="5" t="s">
        <v>238</v>
      </c>
      <c r="BF1034" s="5" t="s">
        <v>238</v>
      </c>
      <c r="BH1034" s="5" t="s">
        <v>283</v>
      </c>
      <c r="BI1034" s="6" t="s">
        <v>293</v>
      </c>
      <c r="BJ1034" s="5" t="s">
        <v>294</v>
      </c>
      <c r="BK1034" s="5" t="s">
        <v>294</v>
      </c>
      <c r="BL1034" s="5" t="s">
        <v>238</v>
      </c>
      <c r="BM1034" s="7">
        <f>0</f>
        <v>0</v>
      </c>
      <c r="BN1034" s="8">
        <f>-142812</f>
        <v>-142812</v>
      </c>
      <c r="BO1034" s="5" t="s">
        <v>257</v>
      </c>
      <c r="BP1034" s="5" t="s">
        <v>258</v>
      </c>
      <c r="BQ1034" s="5" t="s">
        <v>238</v>
      </c>
      <c r="BR1034" s="5" t="s">
        <v>238</v>
      </c>
      <c r="BS1034" s="5" t="s">
        <v>238</v>
      </c>
      <c r="BT1034" s="5" t="s">
        <v>238</v>
      </c>
      <c r="CC1034" s="5" t="s">
        <v>258</v>
      </c>
      <c r="CD1034" s="5" t="s">
        <v>238</v>
      </c>
      <c r="CE1034" s="5" t="s">
        <v>238</v>
      </c>
      <c r="CI1034" s="5" t="s">
        <v>259</v>
      </c>
      <c r="CJ1034" s="5" t="s">
        <v>260</v>
      </c>
      <c r="CK1034" s="5" t="s">
        <v>238</v>
      </c>
      <c r="CM1034" s="5" t="s">
        <v>393</v>
      </c>
      <c r="CN1034" s="6" t="s">
        <v>262</v>
      </c>
      <c r="CO1034" s="5" t="s">
        <v>263</v>
      </c>
      <c r="CP1034" s="5" t="s">
        <v>264</v>
      </c>
      <c r="CQ1034" s="5" t="s">
        <v>285</v>
      </c>
      <c r="CR1034" s="5" t="s">
        <v>238</v>
      </c>
      <c r="CS1034" s="5">
        <v>4.2000000000000003E-2</v>
      </c>
      <c r="CT1034" s="5" t="s">
        <v>265</v>
      </c>
      <c r="CU1034" s="5" t="s">
        <v>266</v>
      </c>
      <c r="CV1034" s="5" t="s">
        <v>331</v>
      </c>
      <c r="CW1034" s="7">
        <f>0</f>
        <v>0</v>
      </c>
      <c r="CX1034" s="8">
        <f>3400300</f>
        <v>3400300</v>
      </c>
      <c r="CY1034" s="8">
        <f>1543744</f>
        <v>1543744</v>
      </c>
      <c r="DA1034" s="5" t="s">
        <v>238</v>
      </c>
      <c r="DB1034" s="5" t="s">
        <v>238</v>
      </c>
      <c r="DD1034" s="5" t="s">
        <v>238</v>
      </c>
      <c r="DE1034" s="8">
        <f>0</f>
        <v>0</v>
      </c>
      <c r="DG1034" s="5" t="s">
        <v>238</v>
      </c>
      <c r="DH1034" s="5" t="s">
        <v>238</v>
      </c>
      <c r="DI1034" s="5" t="s">
        <v>238</v>
      </c>
      <c r="DJ1034" s="5" t="s">
        <v>238</v>
      </c>
      <c r="DK1034" s="5" t="s">
        <v>271</v>
      </c>
      <c r="DL1034" s="5" t="s">
        <v>272</v>
      </c>
      <c r="DM1034" s="7">
        <f>54.37</f>
        <v>54.37</v>
      </c>
      <c r="DN1034" s="5" t="s">
        <v>238</v>
      </c>
      <c r="DO1034" s="5" t="s">
        <v>238</v>
      </c>
      <c r="DP1034" s="5" t="s">
        <v>238</v>
      </c>
      <c r="DQ1034" s="5" t="s">
        <v>238</v>
      </c>
      <c r="DT1034" s="5" t="s">
        <v>559</v>
      </c>
      <c r="DU1034" s="5" t="s">
        <v>274</v>
      </c>
      <c r="GL1034" s="5" t="s">
        <v>1071</v>
      </c>
      <c r="HM1034" s="5" t="s">
        <v>313</v>
      </c>
      <c r="HP1034" s="5" t="s">
        <v>272</v>
      </c>
      <c r="HQ1034" s="5" t="s">
        <v>272</v>
      </c>
      <c r="HR1034" s="5" t="s">
        <v>238</v>
      </c>
      <c r="HS1034" s="5" t="s">
        <v>238</v>
      </c>
      <c r="HT1034" s="5" t="s">
        <v>238</v>
      </c>
      <c r="HU1034" s="5" t="s">
        <v>238</v>
      </c>
      <c r="HV1034" s="5" t="s">
        <v>238</v>
      </c>
      <c r="HW1034" s="5" t="s">
        <v>238</v>
      </c>
      <c r="HX1034" s="5" t="s">
        <v>238</v>
      </c>
      <c r="HY1034" s="5" t="s">
        <v>238</v>
      </c>
      <c r="HZ1034" s="5" t="s">
        <v>238</v>
      </c>
      <c r="IA1034" s="5" t="s">
        <v>238</v>
      </c>
      <c r="IB1034" s="5" t="s">
        <v>238</v>
      </c>
      <c r="IC1034" s="5" t="s">
        <v>238</v>
      </c>
      <c r="ID1034" s="5" t="s">
        <v>238</v>
      </c>
    </row>
    <row r="1035" spans="1:238" x14ac:dyDescent="0.4">
      <c r="A1035" s="5">
        <v>1363</v>
      </c>
      <c r="B1035" s="5">
        <v>1</v>
      </c>
      <c r="C1035" s="5">
        <v>4</v>
      </c>
      <c r="D1035" s="5" t="s">
        <v>557</v>
      </c>
      <c r="E1035" s="5" t="s">
        <v>338</v>
      </c>
      <c r="F1035" s="5" t="s">
        <v>282</v>
      </c>
      <c r="G1035" s="5" t="s">
        <v>544</v>
      </c>
      <c r="H1035" s="6" t="s">
        <v>526</v>
      </c>
      <c r="I1035" s="5" t="s">
        <v>542</v>
      </c>
      <c r="J1035" s="7">
        <f>0</f>
        <v>0</v>
      </c>
      <c r="K1035" s="5" t="s">
        <v>270</v>
      </c>
      <c r="L1035" s="8">
        <f>710048</f>
        <v>710048</v>
      </c>
      <c r="M1035" s="8">
        <f>839300</f>
        <v>839300</v>
      </c>
      <c r="N1035" s="6" t="s">
        <v>558</v>
      </c>
      <c r="O1035" s="5" t="s">
        <v>319</v>
      </c>
      <c r="P1035" s="5" t="s">
        <v>272</v>
      </c>
      <c r="Q1035" s="8">
        <f>839299</f>
        <v>839299</v>
      </c>
      <c r="R1035" s="8">
        <f>129252</f>
        <v>129252</v>
      </c>
      <c r="S1035" s="5" t="s">
        <v>240</v>
      </c>
      <c r="T1035" s="5" t="s">
        <v>287</v>
      </c>
      <c r="U1035" s="5" t="s">
        <v>238</v>
      </c>
      <c r="V1035" s="5" t="s">
        <v>238</v>
      </c>
      <c r="W1035" s="5" t="s">
        <v>241</v>
      </c>
      <c r="X1035" s="5" t="s">
        <v>238</v>
      </c>
      <c r="Y1035" s="5" t="s">
        <v>238</v>
      </c>
      <c r="AB1035" s="5" t="s">
        <v>238</v>
      </c>
      <c r="AC1035" s="6" t="s">
        <v>238</v>
      </c>
      <c r="AD1035" s="6" t="s">
        <v>238</v>
      </c>
      <c r="AF1035" s="6" t="s">
        <v>238</v>
      </c>
      <c r="AG1035" s="6" t="s">
        <v>246</v>
      </c>
      <c r="AH1035" s="5" t="s">
        <v>247</v>
      </c>
      <c r="AI1035" s="5" t="s">
        <v>248</v>
      </c>
      <c r="AO1035" s="5" t="s">
        <v>238</v>
      </c>
      <c r="AP1035" s="5" t="s">
        <v>238</v>
      </c>
      <c r="AQ1035" s="5" t="s">
        <v>238</v>
      </c>
      <c r="AR1035" s="6" t="s">
        <v>238</v>
      </c>
      <c r="AS1035" s="6" t="s">
        <v>238</v>
      </c>
      <c r="AT1035" s="6" t="s">
        <v>238</v>
      </c>
      <c r="AW1035" s="5" t="s">
        <v>304</v>
      </c>
      <c r="AX1035" s="5" t="s">
        <v>304</v>
      </c>
      <c r="AY1035" s="5" t="s">
        <v>250</v>
      </c>
      <c r="AZ1035" s="5" t="s">
        <v>305</v>
      </c>
      <c r="BA1035" s="5" t="s">
        <v>251</v>
      </c>
      <c r="BB1035" s="5" t="s">
        <v>238</v>
      </c>
      <c r="BC1035" s="5" t="s">
        <v>253</v>
      </c>
      <c r="BD1035" s="5" t="s">
        <v>238</v>
      </c>
      <c r="BF1035" s="5" t="s">
        <v>238</v>
      </c>
      <c r="BH1035" s="5" t="s">
        <v>283</v>
      </c>
      <c r="BI1035" s="6" t="s">
        <v>293</v>
      </c>
      <c r="BJ1035" s="5" t="s">
        <v>294</v>
      </c>
      <c r="BK1035" s="5" t="s">
        <v>294</v>
      </c>
      <c r="BL1035" s="5" t="s">
        <v>238</v>
      </c>
      <c r="BM1035" s="7">
        <f>0</f>
        <v>0</v>
      </c>
      <c r="BN1035" s="8">
        <f>-64626</f>
        <v>-64626</v>
      </c>
      <c r="BO1035" s="5" t="s">
        <v>257</v>
      </c>
      <c r="BP1035" s="5" t="s">
        <v>258</v>
      </c>
      <c r="BQ1035" s="5" t="s">
        <v>238</v>
      </c>
      <c r="BR1035" s="5" t="s">
        <v>238</v>
      </c>
      <c r="BS1035" s="5" t="s">
        <v>238</v>
      </c>
      <c r="BT1035" s="5" t="s">
        <v>238</v>
      </c>
      <c r="CC1035" s="5" t="s">
        <v>258</v>
      </c>
      <c r="CD1035" s="5" t="s">
        <v>238</v>
      </c>
      <c r="CE1035" s="5" t="s">
        <v>238</v>
      </c>
      <c r="CI1035" s="5" t="s">
        <v>259</v>
      </c>
      <c r="CJ1035" s="5" t="s">
        <v>260</v>
      </c>
      <c r="CK1035" s="5" t="s">
        <v>238</v>
      </c>
      <c r="CM1035" s="5" t="s">
        <v>408</v>
      </c>
      <c r="CN1035" s="6" t="s">
        <v>262</v>
      </c>
      <c r="CO1035" s="5" t="s">
        <v>263</v>
      </c>
      <c r="CP1035" s="5" t="s">
        <v>264</v>
      </c>
      <c r="CQ1035" s="5" t="s">
        <v>285</v>
      </c>
      <c r="CR1035" s="5" t="s">
        <v>238</v>
      </c>
      <c r="CS1035" s="5">
        <v>7.6999999999999999E-2</v>
      </c>
      <c r="CT1035" s="5" t="s">
        <v>265</v>
      </c>
      <c r="CU1035" s="5" t="s">
        <v>351</v>
      </c>
      <c r="CV1035" s="5" t="s">
        <v>352</v>
      </c>
      <c r="CW1035" s="7">
        <f>0</f>
        <v>0</v>
      </c>
      <c r="CX1035" s="8">
        <f>839300</f>
        <v>839300</v>
      </c>
      <c r="CY1035" s="8">
        <f>774674</f>
        <v>774674</v>
      </c>
      <c r="DA1035" s="5" t="s">
        <v>238</v>
      </c>
      <c r="DB1035" s="5" t="s">
        <v>238</v>
      </c>
      <c r="DD1035" s="5" t="s">
        <v>238</v>
      </c>
      <c r="DE1035" s="8">
        <f>0</f>
        <v>0</v>
      </c>
      <c r="DG1035" s="5" t="s">
        <v>238</v>
      </c>
      <c r="DH1035" s="5" t="s">
        <v>238</v>
      </c>
      <c r="DI1035" s="5" t="s">
        <v>238</v>
      </c>
      <c r="DJ1035" s="5" t="s">
        <v>238</v>
      </c>
      <c r="DK1035" s="5" t="s">
        <v>272</v>
      </c>
      <c r="DL1035" s="5" t="s">
        <v>272</v>
      </c>
      <c r="DM1035" s="8" t="s">
        <v>238</v>
      </c>
      <c r="DN1035" s="5" t="s">
        <v>238</v>
      </c>
      <c r="DO1035" s="5" t="s">
        <v>238</v>
      </c>
      <c r="DP1035" s="5" t="s">
        <v>238</v>
      </c>
      <c r="DQ1035" s="5" t="s">
        <v>238</v>
      </c>
      <c r="DT1035" s="5" t="s">
        <v>559</v>
      </c>
      <c r="DU1035" s="5" t="s">
        <v>356</v>
      </c>
      <c r="GL1035" s="5" t="s">
        <v>560</v>
      </c>
      <c r="HM1035" s="5" t="s">
        <v>274</v>
      </c>
      <c r="HP1035" s="5" t="s">
        <v>272</v>
      </c>
      <c r="HQ1035" s="5" t="s">
        <v>272</v>
      </c>
      <c r="HR1035" s="5" t="s">
        <v>238</v>
      </c>
      <c r="HS1035" s="5" t="s">
        <v>238</v>
      </c>
      <c r="HT1035" s="5" t="s">
        <v>238</v>
      </c>
      <c r="HU1035" s="5" t="s">
        <v>238</v>
      </c>
      <c r="HV1035" s="5" t="s">
        <v>238</v>
      </c>
      <c r="HW1035" s="5" t="s">
        <v>238</v>
      </c>
      <c r="HX1035" s="5" t="s">
        <v>238</v>
      </c>
      <c r="HY1035" s="5" t="s">
        <v>238</v>
      </c>
      <c r="HZ1035" s="5" t="s">
        <v>238</v>
      </c>
      <c r="IA1035" s="5" t="s">
        <v>238</v>
      </c>
      <c r="IB1035" s="5" t="s">
        <v>238</v>
      </c>
      <c r="IC1035" s="5" t="s">
        <v>238</v>
      </c>
      <c r="ID1035" s="5" t="s">
        <v>238</v>
      </c>
    </row>
    <row r="1036" spans="1:238" x14ac:dyDescent="0.4">
      <c r="A1036" s="5">
        <v>1364</v>
      </c>
      <c r="B1036" s="5">
        <v>1</v>
      </c>
      <c r="C1036" s="5">
        <v>4</v>
      </c>
      <c r="D1036" s="5" t="s">
        <v>2093</v>
      </c>
      <c r="E1036" s="5" t="s">
        <v>338</v>
      </c>
      <c r="F1036" s="5" t="s">
        <v>282</v>
      </c>
      <c r="G1036" s="5" t="s">
        <v>2060</v>
      </c>
      <c r="H1036" s="6" t="s">
        <v>2094</v>
      </c>
      <c r="I1036" s="5" t="s">
        <v>1850</v>
      </c>
      <c r="J1036" s="7">
        <f>1892.28</f>
        <v>1892.28</v>
      </c>
      <c r="K1036" s="5" t="s">
        <v>270</v>
      </c>
      <c r="L1036" s="8">
        <f>371795178</f>
        <v>371795178</v>
      </c>
      <c r="M1036" s="8">
        <f>580929960</f>
        <v>580929960</v>
      </c>
      <c r="N1036" s="6" t="s">
        <v>1530</v>
      </c>
      <c r="O1036" s="5" t="s">
        <v>279</v>
      </c>
      <c r="P1036" s="5" t="s">
        <v>269</v>
      </c>
      <c r="Q1036" s="8">
        <f>11618599</f>
        <v>11618599</v>
      </c>
      <c r="R1036" s="8">
        <f>209134782</f>
        <v>209134782</v>
      </c>
      <c r="S1036" s="5" t="s">
        <v>240</v>
      </c>
      <c r="T1036" s="5" t="s">
        <v>237</v>
      </c>
      <c r="U1036" s="5" t="s">
        <v>238</v>
      </c>
      <c r="V1036" s="5" t="s">
        <v>238</v>
      </c>
      <c r="W1036" s="5" t="s">
        <v>241</v>
      </c>
      <c r="X1036" s="5" t="s">
        <v>337</v>
      </c>
      <c r="Y1036" s="5" t="s">
        <v>238</v>
      </c>
      <c r="AB1036" s="5" t="s">
        <v>238</v>
      </c>
      <c r="AC1036" s="6" t="s">
        <v>238</v>
      </c>
      <c r="AD1036" s="6" t="s">
        <v>238</v>
      </c>
      <c r="AF1036" s="6" t="s">
        <v>238</v>
      </c>
      <c r="AG1036" s="6" t="s">
        <v>246</v>
      </c>
      <c r="AH1036" s="5" t="s">
        <v>247</v>
      </c>
      <c r="AI1036" s="5" t="s">
        <v>248</v>
      </c>
      <c r="AO1036" s="5" t="s">
        <v>238</v>
      </c>
      <c r="AP1036" s="5" t="s">
        <v>238</v>
      </c>
      <c r="AQ1036" s="5" t="s">
        <v>238</v>
      </c>
      <c r="AR1036" s="6" t="s">
        <v>238</v>
      </c>
      <c r="AS1036" s="6" t="s">
        <v>238</v>
      </c>
      <c r="AT1036" s="6" t="s">
        <v>238</v>
      </c>
      <c r="AW1036" s="5" t="s">
        <v>304</v>
      </c>
      <c r="AX1036" s="5" t="s">
        <v>304</v>
      </c>
      <c r="AY1036" s="5" t="s">
        <v>250</v>
      </c>
      <c r="AZ1036" s="5" t="s">
        <v>305</v>
      </c>
      <c r="BA1036" s="5" t="s">
        <v>251</v>
      </c>
      <c r="BB1036" s="5" t="s">
        <v>238</v>
      </c>
      <c r="BC1036" s="5" t="s">
        <v>253</v>
      </c>
      <c r="BD1036" s="5" t="s">
        <v>238</v>
      </c>
      <c r="BF1036" s="5" t="s">
        <v>238</v>
      </c>
      <c r="BH1036" s="5" t="s">
        <v>283</v>
      </c>
      <c r="BI1036" s="6" t="s">
        <v>293</v>
      </c>
      <c r="BJ1036" s="5" t="s">
        <v>294</v>
      </c>
      <c r="BK1036" s="5" t="s">
        <v>294</v>
      </c>
      <c r="BL1036" s="5" t="s">
        <v>238</v>
      </c>
      <c r="BM1036" s="7">
        <f>0</f>
        <v>0</v>
      </c>
      <c r="BN1036" s="8">
        <f>-11618599</f>
        <v>-11618599</v>
      </c>
      <c r="BO1036" s="5" t="s">
        <v>257</v>
      </c>
      <c r="BP1036" s="5" t="s">
        <v>258</v>
      </c>
      <c r="BQ1036" s="5" t="s">
        <v>238</v>
      </c>
      <c r="BR1036" s="5" t="s">
        <v>238</v>
      </c>
      <c r="BS1036" s="5" t="s">
        <v>238</v>
      </c>
      <c r="BT1036" s="5" t="s">
        <v>238</v>
      </c>
      <c r="CC1036" s="5" t="s">
        <v>258</v>
      </c>
      <c r="CD1036" s="5" t="s">
        <v>238</v>
      </c>
      <c r="CE1036" s="5" t="s">
        <v>238</v>
      </c>
      <c r="CI1036" s="5" t="s">
        <v>259</v>
      </c>
      <c r="CJ1036" s="5" t="s">
        <v>260</v>
      </c>
      <c r="CK1036" s="5" t="s">
        <v>238</v>
      </c>
      <c r="CM1036" s="5" t="s">
        <v>682</v>
      </c>
      <c r="CN1036" s="6" t="s">
        <v>262</v>
      </c>
      <c r="CO1036" s="5" t="s">
        <v>263</v>
      </c>
      <c r="CP1036" s="5" t="s">
        <v>264</v>
      </c>
      <c r="CQ1036" s="5" t="s">
        <v>285</v>
      </c>
      <c r="CR1036" s="5" t="s">
        <v>238</v>
      </c>
      <c r="CS1036" s="5">
        <v>0.02</v>
      </c>
      <c r="CT1036" s="5" t="s">
        <v>265</v>
      </c>
      <c r="CU1036" s="5" t="s">
        <v>2061</v>
      </c>
      <c r="CV1036" s="5" t="s">
        <v>308</v>
      </c>
      <c r="CW1036" s="7">
        <f>0</f>
        <v>0</v>
      </c>
      <c r="CX1036" s="8">
        <f>580929960</f>
        <v>580929960</v>
      </c>
      <c r="CY1036" s="8">
        <f>383413777</f>
        <v>383413777</v>
      </c>
      <c r="DA1036" s="5" t="s">
        <v>238</v>
      </c>
      <c r="DB1036" s="5" t="s">
        <v>238</v>
      </c>
      <c r="DD1036" s="5" t="s">
        <v>238</v>
      </c>
      <c r="DE1036" s="8">
        <f>0</f>
        <v>0</v>
      </c>
      <c r="DG1036" s="5" t="s">
        <v>238</v>
      </c>
      <c r="DH1036" s="5" t="s">
        <v>238</v>
      </c>
      <c r="DI1036" s="5" t="s">
        <v>238</v>
      </c>
      <c r="DJ1036" s="5" t="s">
        <v>238</v>
      </c>
      <c r="DK1036" s="5" t="s">
        <v>271</v>
      </c>
      <c r="DL1036" s="5" t="s">
        <v>272</v>
      </c>
      <c r="DM1036" s="7">
        <f>1892.28</f>
        <v>1892.28</v>
      </c>
      <c r="DN1036" s="5" t="s">
        <v>238</v>
      </c>
      <c r="DO1036" s="5" t="s">
        <v>238</v>
      </c>
      <c r="DP1036" s="5" t="s">
        <v>238</v>
      </c>
      <c r="DQ1036" s="5" t="s">
        <v>238</v>
      </c>
      <c r="DT1036" s="5" t="s">
        <v>2095</v>
      </c>
      <c r="DU1036" s="5" t="s">
        <v>271</v>
      </c>
      <c r="GL1036" s="5" t="s">
        <v>2096</v>
      </c>
      <c r="HM1036" s="5" t="s">
        <v>313</v>
      </c>
      <c r="HP1036" s="5" t="s">
        <v>272</v>
      </c>
      <c r="HQ1036" s="5" t="s">
        <v>272</v>
      </c>
      <c r="HR1036" s="5" t="s">
        <v>238</v>
      </c>
      <c r="HS1036" s="5" t="s">
        <v>238</v>
      </c>
      <c r="HT1036" s="5" t="s">
        <v>238</v>
      </c>
      <c r="HU1036" s="5" t="s">
        <v>238</v>
      </c>
      <c r="HV1036" s="5" t="s">
        <v>238</v>
      </c>
      <c r="HW1036" s="5" t="s">
        <v>238</v>
      </c>
      <c r="HX1036" s="5" t="s">
        <v>238</v>
      </c>
      <c r="HY1036" s="5" t="s">
        <v>238</v>
      </c>
      <c r="HZ1036" s="5" t="s">
        <v>238</v>
      </c>
      <c r="IA1036" s="5" t="s">
        <v>238</v>
      </c>
      <c r="IB1036" s="5" t="s">
        <v>238</v>
      </c>
      <c r="IC1036" s="5" t="s">
        <v>238</v>
      </c>
      <c r="ID1036" s="5" t="s">
        <v>238</v>
      </c>
    </row>
    <row r="1037" spans="1:238" x14ac:dyDescent="0.4">
      <c r="A1037" s="5">
        <v>1365</v>
      </c>
      <c r="B1037" s="5">
        <v>1</v>
      </c>
      <c r="C1037" s="5">
        <v>4</v>
      </c>
      <c r="D1037" s="5" t="s">
        <v>2089</v>
      </c>
      <c r="E1037" s="5" t="s">
        <v>338</v>
      </c>
      <c r="F1037" s="5" t="s">
        <v>282</v>
      </c>
      <c r="G1037" s="5" t="s">
        <v>2060</v>
      </c>
      <c r="H1037" s="6" t="s">
        <v>2090</v>
      </c>
      <c r="I1037" s="5" t="s">
        <v>1850</v>
      </c>
      <c r="J1037" s="7">
        <f>1004.37</f>
        <v>1004.37</v>
      </c>
      <c r="K1037" s="5" t="s">
        <v>270</v>
      </c>
      <c r="L1037" s="8">
        <f>184281811</f>
        <v>184281811</v>
      </c>
      <c r="M1037" s="8">
        <f>279214860</f>
        <v>279214860</v>
      </c>
      <c r="N1037" s="6" t="s">
        <v>843</v>
      </c>
      <c r="O1037" s="5" t="s">
        <v>279</v>
      </c>
      <c r="P1037" s="5" t="s">
        <v>268</v>
      </c>
      <c r="Q1037" s="8">
        <f>5584297</f>
        <v>5584297</v>
      </c>
      <c r="R1037" s="8">
        <f>94933049</f>
        <v>94933049</v>
      </c>
      <c r="S1037" s="5" t="s">
        <v>240</v>
      </c>
      <c r="T1037" s="5" t="s">
        <v>237</v>
      </c>
      <c r="U1037" s="5" t="s">
        <v>238</v>
      </c>
      <c r="V1037" s="5" t="s">
        <v>238</v>
      </c>
      <c r="W1037" s="5" t="s">
        <v>241</v>
      </c>
      <c r="X1037" s="5" t="s">
        <v>337</v>
      </c>
      <c r="Y1037" s="5" t="s">
        <v>238</v>
      </c>
      <c r="AB1037" s="5" t="s">
        <v>238</v>
      </c>
      <c r="AC1037" s="6" t="s">
        <v>238</v>
      </c>
      <c r="AD1037" s="6" t="s">
        <v>238</v>
      </c>
      <c r="AF1037" s="6" t="s">
        <v>238</v>
      </c>
      <c r="AG1037" s="6" t="s">
        <v>246</v>
      </c>
      <c r="AH1037" s="5" t="s">
        <v>247</v>
      </c>
      <c r="AI1037" s="5" t="s">
        <v>248</v>
      </c>
      <c r="AO1037" s="5" t="s">
        <v>238</v>
      </c>
      <c r="AP1037" s="5" t="s">
        <v>238</v>
      </c>
      <c r="AQ1037" s="5" t="s">
        <v>238</v>
      </c>
      <c r="AR1037" s="6" t="s">
        <v>238</v>
      </c>
      <c r="AS1037" s="6" t="s">
        <v>238</v>
      </c>
      <c r="AT1037" s="6" t="s">
        <v>238</v>
      </c>
      <c r="AW1037" s="5" t="s">
        <v>304</v>
      </c>
      <c r="AX1037" s="5" t="s">
        <v>304</v>
      </c>
      <c r="AY1037" s="5" t="s">
        <v>250</v>
      </c>
      <c r="AZ1037" s="5" t="s">
        <v>305</v>
      </c>
      <c r="BA1037" s="5" t="s">
        <v>251</v>
      </c>
      <c r="BB1037" s="5" t="s">
        <v>238</v>
      </c>
      <c r="BC1037" s="5" t="s">
        <v>253</v>
      </c>
      <c r="BD1037" s="5" t="s">
        <v>238</v>
      </c>
      <c r="BF1037" s="5" t="s">
        <v>238</v>
      </c>
      <c r="BH1037" s="5" t="s">
        <v>283</v>
      </c>
      <c r="BI1037" s="6" t="s">
        <v>293</v>
      </c>
      <c r="BJ1037" s="5" t="s">
        <v>294</v>
      </c>
      <c r="BK1037" s="5" t="s">
        <v>294</v>
      </c>
      <c r="BL1037" s="5" t="s">
        <v>238</v>
      </c>
      <c r="BM1037" s="7">
        <f>0</f>
        <v>0</v>
      </c>
      <c r="BN1037" s="8">
        <f>-5584297</f>
        <v>-5584297</v>
      </c>
      <c r="BO1037" s="5" t="s">
        <v>257</v>
      </c>
      <c r="BP1037" s="5" t="s">
        <v>258</v>
      </c>
      <c r="BQ1037" s="5" t="s">
        <v>238</v>
      </c>
      <c r="BR1037" s="5" t="s">
        <v>238</v>
      </c>
      <c r="BS1037" s="5" t="s">
        <v>238</v>
      </c>
      <c r="BT1037" s="5" t="s">
        <v>238</v>
      </c>
      <c r="CC1037" s="5" t="s">
        <v>258</v>
      </c>
      <c r="CD1037" s="5" t="s">
        <v>238</v>
      </c>
      <c r="CE1037" s="5" t="s">
        <v>238</v>
      </c>
      <c r="CI1037" s="5" t="s">
        <v>259</v>
      </c>
      <c r="CJ1037" s="5" t="s">
        <v>260</v>
      </c>
      <c r="CK1037" s="5" t="s">
        <v>238</v>
      </c>
      <c r="CM1037" s="5" t="s">
        <v>845</v>
      </c>
      <c r="CN1037" s="6" t="s">
        <v>262</v>
      </c>
      <c r="CO1037" s="5" t="s">
        <v>263</v>
      </c>
      <c r="CP1037" s="5" t="s">
        <v>264</v>
      </c>
      <c r="CQ1037" s="5" t="s">
        <v>285</v>
      </c>
      <c r="CR1037" s="5" t="s">
        <v>238</v>
      </c>
      <c r="CS1037" s="5">
        <v>0.02</v>
      </c>
      <c r="CT1037" s="5" t="s">
        <v>265</v>
      </c>
      <c r="CU1037" s="5" t="s">
        <v>2061</v>
      </c>
      <c r="CV1037" s="5" t="s">
        <v>308</v>
      </c>
      <c r="CW1037" s="7">
        <f>0</f>
        <v>0</v>
      </c>
      <c r="CX1037" s="8">
        <f>279214860</f>
        <v>279214860</v>
      </c>
      <c r="CY1037" s="8">
        <f>189866108</f>
        <v>189866108</v>
      </c>
      <c r="DA1037" s="5" t="s">
        <v>238</v>
      </c>
      <c r="DB1037" s="5" t="s">
        <v>238</v>
      </c>
      <c r="DD1037" s="5" t="s">
        <v>238</v>
      </c>
      <c r="DE1037" s="8">
        <f>0</f>
        <v>0</v>
      </c>
      <c r="DG1037" s="5" t="s">
        <v>238</v>
      </c>
      <c r="DH1037" s="5" t="s">
        <v>238</v>
      </c>
      <c r="DI1037" s="5" t="s">
        <v>238</v>
      </c>
      <c r="DJ1037" s="5" t="s">
        <v>238</v>
      </c>
      <c r="DK1037" s="5" t="s">
        <v>271</v>
      </c>
      <c r="DL1037" s="5" t="s">
        <v>272</v>
      </c>
      <c r="DM1037" s="7">
        <f>1004.37</f>
        <v>1004.37</v>
      </c>
      <c r="DN1037" s="5" t="s">
        <v>238</v>
      </c>
      <c r="DO1037" s="5" t="s">
        <v>238</v>
      </c>
      <c r="DP1037" s="5" t="s">
        <v>238</v>
      </c>
      <c r="DQ1037" s="5" t="s">
        <v>238</v>
      </c>
      <c r="DT1037" s="5" t="s">
        <v>2091</v>
      </c>
      <c r="DU1037" s="5" t="s">
        <v>271</v>
      </c>
      <c r="GL1037" s="5" t="s">
        <v>2092</v>
      </c>
      <c r="HM1037" s="5" t="s">
        <v>313</v>
      </c>
      <c r="HP1037" s="5" t="s">
        <v>272</v>
      </c>
      <c r="HQ1037" s="5" t="s">
        <v>272</v>
      </c>
      <c r="HR1037" s="5" t="s">
        <v>238</v>
      </c>
      <c r="HS1037" s="5" t="s">
        <v>238</v>
      </c>
      <c r="HT1037" s="5" t="s">
        <v>238</v>
      </c>
      <c r="HU1037" s="5" t="s">
        <v>238</v>
      </c>
      <c r="HV1037" s="5" t="s">
        <v>238</v>
      </c>
      <c r="HW1037" s="5" t="s">
        <v>238</v>
      </c>
      <c r="HX1037" s="5" t="s">
        <v>238</v>
      </c>
      <c r="HY1037" s="5" t="s">
        <v>238</v>
      </c>
      <c r="HZ1037" s="5" t="s">
        <v>238</v>
      </c>
      <c r="IA1037" s="5" t="s">
        <v>238</v>
      </c>
      <c r="IB1037" s="5" t="s">
        <v>238</v>
      </c>
      <c r="IC1037" s="5" t="s">
        <v>238</v>
      </c>
      <c r="ID1037" s="5" t="s">
        <v>238</v>
      </c>
    </row>
    <row r="1038" spans="1:238" x14ac:dyDescent="0.4">
      <c r="A1038" s="5">
        <v>1366</v>
      </c>
      <c r="B1038" s="5">
        <v>1</v>
      </c>
      <c r="C1038" s="5">
        <v>4</v>
      </c>
      <c r="D1038" s="5" t="s">
        <v>2089</v>
      </c>
      <c r="E1038" s="5" t="s">
        <v>338</v>
      </c>
      <c r="F1038" s="5" t="s">
        <v>282</v>
      </c>
      <c r="G1038" s="5" t="s">
        <v>1341</v>
      </c>
      <c r="H1038" s="6" t="s">
        <v>2090</v>
      </c>
      <c r="I1038" s="5" t="s">
        <v>1309</v>
      </c>
      <c r="J1038" s="7">
        <f>12</f>
        <v>12</v>
      </c>
      <c r="K1038" s="5" t="s">
        <v>270</v>
      </c>
      <c r="L1038" s="8">
        <f>2317644</f>
        <v>2317644</v>
      </c>
      <c r="M1038" s="8">
        <f>4284000</f>
        <v>4284000</v>
      </c>
      <c r="N1038" s="6" t="s">
        <v>843</v>
      </c>
      <c r="O1038" s="5" t="s">
        <v>639</v>
      </c>
      <c r="P1038" s="5" t="s">
        <v>268</v>
      </c>
      <c r="Q1038" s="8">
        <f>115668</f>
        <v>115668</v>
      </c>
      <c r="R1038" s="8">
        <f>1966356</f>
        <v>1966356</v>
      </c>
      <c r="S1038" s="5" t="s">
        <v>240</v>
      </c>
      <c r="T1038" s="5" t="s">
        <v>237</v>
      </c>
      <c r="U1038" s="5" t="s">
        <v>238</v>
      </c>
      <c r="V1038" s="5" t="s">
        <v>238</v>
      </c>
      <c r="W1038" s="5" t="s">
        <v>241</v>
      </c>
      <c r="X1038" s="5" t="s">
        <v>337</v>
      </c>
      <c r="Y1038" s="5" t="s">
        <v>238</v>
      </c>
      <c r="AB1038" s="5" t="s">
        <v>238</v>
      </c>
      <c r="AC1038" s="6" t="s">
        <v>238</v>
      </c>
      <c r="AD1038" s="6" t="s">
        <v>238</v>
      </c>
      <c r="AF1038" s="6" t="s">
        <v>238</v>
      </c>
      <c r="AG1038" s="6" t="s">
        <v>246</v>
      </c>
      <c r="AH1038" s="5" t="s">
        <v>247</v>
      </c>
      <c r="AI1038" s="5" t="s">
        <v>248</v>
      </c>
      <c r="AO1038" s="5" t="s">
        <v>238</v>
      </c>
      <c r="AP1038" s="5" t="s">
        <v>238</v>
      </c>
      <c r="AQ1038" s="5" t="s">
        <v>238</v>
      </c>
      <c r="AR1038" s="6" t="s">
        <v>238</v>
      </c>
      <c r="AS1038" s="6" t="s">
        <v>238</v>
      </c>
      <c r="AT1038" s="6" t="s">
        <v>238</v>
      </c>
      <c r="AW1038" s="5" t="s">
        <v>304</v>
      </c>
      <c r="AX1038" s="5" t="s">
        <v>304</v>
      </c>
      <c r="AY1038" s="5" t="s">
        <v>250</v>
      </c>
      <c r="AZ1038" s="5" t="s">
        <v>305</v>
      </c>
      <c r="BA1038" s="5" t="s">
        <v>251</v>
      </c>
      <c r="BB1038" s="5" t="s">
        <v>238</v>
      </c>
      <c r="BC1038" s="5" t="s">
        <v>253</v>
      </c>
      <c r="BD1038" s="5" t="s">
        <v>238</v>
      </c>
      <c r="BF1038" s="5" t="s">
        <v>238</v>
      </c>
      <c r="BH1038" s="5" t="s">
        <v>283</v>
      </c>
      <c r="BI1038" s="6" t="s">
        <v>293</v>
      </c>
      <c r="BJ1038" s="5" t="s">
        <v>294</v>
      </c>
      <c r="BK1038" s="5" t="s">
        <v>294</v>
      </c>
      <c r="BL1038" s="5" t="s">
        <v>238</v>
      </c>
      <c r="BM1038" s="7">
        <f>0</f>
        <v>0</v>
      </c>
      <c r="BN1038" s="8">
        <f>-115668</f>
        <v>-115668</v>
      </c>
      <c r="BO1038" s="5" t="s">
        <v>257</v>
      </c>
      <c r="BP1038" s="5" t="s">
        <v>258</v>
      </c>
      <c r="BQ1038" s="5" t="s">
        <v>238</v>
      </c>
      <c r="BR1038" s="5" t="s">
        <v>238</v>
      </c>
      <c r="BS1038" s="5" t="s">
        <v>238</v>
      </c>
      <c r="BT1038" s="5" t="s">
        <v>238</v>
      </c>
      <c r="CC1038" s="5" t="s">
        <v>258</v>
      </c>
      <c r="CD1038" s="5" t="s">
        <v>238</v>
      </c>
      <c r="CE1038" s="5" t="s">
        <v>238</v>
      </c>
      <c r="CI1038" s="5" t="s">
        <v>259</v>
      </c>
      <c r="CJ1038" s="5" t="s">
        <v>260</v>
      </c>
      <c r="CK1038" s="5" t="s">
        <v>238</v>
      </c>
      <c r="CM1038" s="5" t="s">
        <v>845</v>
      </c>
      <c r="CN1038" s="6" t="s">
        <v>262</v>
      </c>
      <c r="CO1038" s="5" t="s">
        <v>263</v>
      </c>
      <c r="CP1038" s="5" t="s">
        <v>264</v>
      </c>
      <c r="CQ1038" s="5" t="s">
        <v>285</v>
      </c>
      <c r="CR1038" s="5" t="s">
        <v>238</v>
      </c>
      <c r="CS1038" s="5">
        <v>2.7E-2</v>
      </c>
      <c r="CT1038" s="5" t="s">
        <v>265</v>
      </c>
      <c r="CU1038" s="5" t="s">
        <v>1342</v>
      </c>
      <c r="CV1038" s="5" t="s">
        <v>308</v>
      </c>
      <c r="CW1038" s="7">
        <f>0</f>
        <v>0</v>
      </c>
      <c r="CX1038" s="8">
        <f>4284000</f>
        <v>4284000</v>
      </c>
      <c r="CY1038" s="8">
        <f>2433312</f>
        <v>2433312</v>
      </c>
      <c r="DA1038" s="5" t="s">
        <v>238</v>
      </c>
      <c r="DB1038" s="5" t="s">
        <v>238</v>
      </c>
      <c r="DD1038" s="5" t="s">
        <v>238</v>
      </c>
      <c r="DE1038" s="8">
        <f>0</f>
        <v>0</v>
      </c>
      <c r="DG1038" s="5" t="s">
        <v>238</v>
      </c>
      <c r="DH1038" s="5" t="s">
        <v>238</v>
      </c>
      <c r="DI1038" s="5" t="s">
        <v>238</v>
      </c>
      <c r="DJ1038" s="5" t="s">
        <v>238</v>
      </c>
      <c r="DK1038" s="5" t="s">
        <v>271</v>
      </c>
      <c r="DL1038" s="5" t="s">
        <v>272</v>
      </c>
      <c r="DM1038" s="7">
        <f>12</f>
        <v>12</v>
      </c>
      <c r="DN1038" s="5" t="s">
        <v>238</v>
      </c>
      <c r="DO1038" s="5" t="s">
        <v>238</v>
      </c>
      <c r="DP1038" s="5" t="s">
        <v>238</v>
      </c>
      <c r="DQ1038" s="5" t="s">
        <v>238</v>
      </c>
      <c r="DT1038" s="5" t="s">
        <v>2091</v>
      </c>
      <c r="DU1038" s="5" t="s">
        <v>274</v>
      </c>
      <c r="GL1038" s="5" t="s">
        <v>2241</v>
      </c>
      <c r="HM1038" s="5" t="s">
        <v>313</v>
      </c>
      <c r="HP1038" s="5" t="s">
        <v>272</v>
      </c>
      <c r="HQ1038" s="5" t="s">
        <v>272</v>
      </c>
      <c r="HR1038" s="5" t="s">
        <v>238</v>
      </c>
      <c r="HS1038" s="5" t="s">
        <v>238</v>
      </c>
      <c r="HT1038" s="5" t="s">
        <v>238</v>
      </c>
      <c r="HU1038" s="5" t="s">
        <v>238</v>
      </c>
      <c r="HV1038" s="5" t="s">
        <v>238</v>
      </c>
      <c r="HW1038" s="5" t="s">
        <v>238</v>
      </c>
      <c r="HX1038" s="5" t="s">
        <v>238</v>
      </c>
      <c r="HY1038" s="5" t="s">
        <v>238</v>
      </c>
      <c r="HZ1038" s="5" t="s">
        <v>238</v>
      </c>
      <c r="IA1038" s="5" t="s">
        <v>238</v>
      </c>
      <c r="IB1038" s="5" t="s">
        <v>238</v>
      </c>
      <c r="IC1038" s="5" t="s">
        <v>238</v>
      </c>
      <c r="ID1038" s="5" t="s">
        <v>238</v>
      </c>
    </row>
    <row r="1039" spans="1:238" x14ac:dyDescent="0.4">
      <c r="A1039" s="5">
        <v>1367</v>
      </c>
      <c r="B1039" s="5">
        <v>1</v>
      </c>
      <c r="C1039" s="5">
        <v>1</v>
      </c>
      <c r="D1039" s="5" t="s">
        <v>715</v>
      </c>
      <c r="E1039" s="5" t="s">
        <v>338</v>
      </c>
      <c r="F1039" s="5" t="s">
        <v>282</v>
      </c>
      <c r="G1039" s="5" t="s">
        <v>1181</v>
      </c>
      <c r="H1039" s="6" t="s">
        <v>717</v>
      </c>
      <c r="I1039" s="5" t="s">
        <v>1181</v>
      </c>
      <c r="J1039" s="7">
        <f>288</f>
        <v>288</v>
      </c>
      <c r="K1039" s="5" t="s">
        <v>270</v>
      </c>
      <c r="L1039" s="8">
        <f>1</f>
        <v>1</v>
      </c>
      <c r="M1039" s="8">
        <f>17280000</f>
        <v>17280000</v>
      </c>
      <c r="N1039" s="6" t="s">
        <v>1250</v>
      </c>
      <c r="O1039" s="5" t="s">
        <v>650</v>
      </c>
      <c r="P1039" s="5" t="s">
        <v>1042</v>
      </c>
      <c r="R1039" s="8">
        <f>17279999</f>
        <v>17279999</v>
      </c>
      <c r="S1039" s="5" t="s">
        <v>240</v>
      </c>
      <c r="T1039" s="5" t="s">
        <v>237</v>
      </c>
      <c r="U1039" s="5" t="s">
        <v>238</v>
      </c>
      <c r="V1039" s="5" t="s">
        <v>238</v>
      </c>
      <c r="W1039" s="5" t="s">
        <v>241</v>
      </c>
      <c r="X1039" s="5" t="s">
        <v>337</v>
      </c>
      <c r="Y1039" s="5" t="s">
        <v>238</v>
      </c>
      <c r="AB1039" s="5" t="s">
        <v>238</v>
      </c>
      <c r="AD1039" s="6" t="s">
        <v>238</v>
      </c>
      <c r="AG1039" s="6" t="s">
        <v>246</v>
      </c>
      <c r="AH1039" s="5" t="s">
        <v>247</v>
      </c>
      <c r="AI1039" s="5" t="s">
        <v>248</v>
      </c>
      <c r="AY1039" s="5" t="s">
        <v>250</v>
      </c>
      <c r="AZ1039" s="5" t="s">
        <v>238</v>
      </c>
      <c r="BA1039" s="5" t="s">
        <v>251</v>
      </c>
      <c r="BB1039" s="5" t="s">
        <v>238</v>
      </c>
      <c r="BC1039" s="5" t="s">
        <v>253</v>
      </c>
      <c r="BD1039" s="5" t="s">
        <v>238</v>
      </c>
      <c r="BF1039" s="5" t="s">
        <v>238</v>
      </c>
      <c r="BH1039" s="5" t="s">
        <v>254</v>
      </c>
      <c r="BI1039" s="6" t="s">
        <v>246</v>
      </c>
      <c r="BJ1039" s="5" t="s">
        <v>255</v>
      </c>
      <c r="BK1039" s="5" t="s">
        <v>256</v>
      </c>
      <c r="BL1039" s="5" t="s">
        <v>238</v>
      </c>
      <c r="BM1039" s="7">
        <f>0</f>
        <v>0</v>
      </c>
      <c r="BN1039" s="8">
        <f>0</f>
        <v>0</v>
      </c>
      <c r="BO1039" s="5" t="s">
        <v>257</v>
      </c>
      <c r="BP1039" s="5" t="s">
        <v>258</v>
      </c>
      <c r="CD1039" s="5" t="s">
        <v>238</v>
      </c>
      <c r="CE1039" s="5" t="s">
        <v>238</v>
      </c>
      <c r="CI1039" s="5" t="s">
        <v>527</v>
      </c>
      <c r="CJ1039" s="5" t="s">
        <v>260</v>
      </c>
      <c r="CK1039" s="5" t="s">
        <v>238</v>
      </c>
      <c r="CM1039" s="5" t="s">
        <v>699</v>
      </c>
      <c r="CN1039" s="6" t="s">
        <v>262</v>
      </c>
      <c r="CO1039" s="5" t="s">
        <v>263</v>
      </c>
      <c r="CP1039" s="5" t="s">
        <v>264</v>
      </c>
      <c r="CQ1039" s="5" t="s">
        <v>238</v>
      </c>
      <c r="CR1039" s="5" t="s">
        <v>238</v>
      </c>
      <c r="CS1039" s="5">
        <v>0</v>
      </c>
      <c r="CT1039" s="5" t="s">
        <v>265</v>
      </c>
      <c r="CU1039" s="5" t="s">
        <v>1187</v>
      </c>
      <c r="CV1039" s="5" t="s">
        <v>649</v>
      </c>
      <c r="CX1039" s="8">
        <f>17280000</f>
        <v>17280000</v>
      </c>
      <c r="CY1039" s="8">
        <f>0</f>
        <v>0</v>
      </c>
      <c r="DA1039" s="5" t="s">
        <v>238</v>
      </c>
      <c r="DB1039" s="5" t="s">
        <v>238</v>
      </c>
      <c r="DD1039" s="5" t="s">
        <v>238</v>
      </c>
      <c r="DG1039" s="5" t="s">
        <v>238</v>
      </c>
      <c r="DH1039" s="5" t="s">
        <v>238</v>
      </c>
      <c r="DI1039" s="5" t="s">
        <v>238</v>
      </c>
      <c r="DJ1039" s="5" t="s">
        <v>238</v>
      </c>
      <c r="DK1039" s="5" t="s">
        <v>271</v>
      </c>
      <c r="DL1039" s="5" t="s">
        <v>272</v>
      </c>
      <c r="DM1039" s="7">
        <f>288</f>
        <v>288</v>
      </c>
      <c r="DN1039" s="5" t="s">
        <v>238</v>
      </c>
      <c r="DO1039" s="5" t="s">
        <v>238</v>
      </c>
      <c r="DP1039" s="5" t="s">
        <v>238</v>
      </c>
      <c r="DQ1039" s="5" t="s">
        <v>238</v>
      </c>
      <c r="DT1039" s="5" t="s">
        <v>718</v>
      </c>
      <c r="DU1039" s="5" t="s">
        <v>271</v>
      </c>
      <c r="HM1039" s="5" t="s">
        <v>271</v>
      </c>
      <c r="HP1039" s="5" t="s">
        <v>272</v>
      </c>
      <c r="HQ1039" s="5" t="s">
        <v>272</v>
      </c>
    </row>
    <row r="1040" spans="1:238" x14ac:dyDescent="0.4">
      <c r="A1040" s="5">
        <v>1368</v>
      </c>
      <c r="B1040" s="5">
        <v>1</v>
      </c>
      <c r="C1040" s="5">
        <v>4</v>
      </c>
      <c r="D1040" s="5" t="s">
        <v>715</v>
      </c>
      <c r="E1040" s="5" t="s">
        <v>338</v>
      </c>
      <c r="F1040" s="5" t="s">
        <v>282</v>
      </c>
      <c r="G1040" s="5" t="s">
        <v>646</v>
      </c>
      <c r="H1040" s="6" t="s">
        <v>717</v>
      </c>
      <c r="I1040" s="5" t="s">
        <v>239</v>
      </c>
      <c r="J1040" s="7">
        <f>164.03</f>
        <v>164.03</v>
      </c>
      <c r="K1040" s="5" t="s">
        <v>270</v>
      </c>
      <c r="L1040" s="8">
        <f>1184312</f>
        <v>1184312</v>
      </c>
      <c r="M1040" s="8">
        <f>15582850</f>
        <v>15582850</v>
      </c>
      <c r="N1040" s="6" t="s">
        <v>716</v>
      </c>
      <c r="O1040" s="5" t="s">
        <v>651</v>
      </c>
      <c r="P1040" s="5" t="s">
        <v>712</v>
      </c>
      <c r="Q1040" s="8">
        <f>654479</f>
        <v>654479</v>
      </c>
      <c r="R1040" s="8">
        <f>14398538</f>
        <v>14398538</v>
      </c>
      <c r="S1040" s="5" t="s">
        <v>240</v>
      </c>
      <c r="T1040" s="5" t="s">
        <v>237</v>
      </c>
      <c r="U1040" s="5" t="s">
        <v>238</v>
      </c>
      <c r="V1040" s="5" t="s">
        <v>238</v>
      </c>
      <c r="W1040" s="5" t="s">
        <v>241</v>
      </c>
      <c r="X1040" s="5" t="s">
        <v>337</v>
      </c>
      <c r="Y1040" s="5" t="s">
        <v>238</v>
      </c>
      <c r="AB1040" s="5" t="s">
        <v>238</v>
      </c>
      <c r="AC1040" s="6" t="s">
        <v>238</v>
      </c>
      <c r="AD1040" s="6" t="s">
        <v>238</v>
      </c>
      <c r="AF1040" s="6" t="s">
        <v>238</v>
      </c>
      <c r="AG1040" s="6" t="s">
        <v>246</v>
      </c>
      <c r="AH1040" s="5" t="s">
        <v>247</v>
      </c>
      <c r="AI1040" s="5" t="s">
        <v>248</v>
      </c>
      <c r="AO1040" s="5" t="s">
        <v>238</v>
      </c>
      <c r="AP1040" s="5" t="s">
        <v>238</v>
      </c>
      <c r="AQ1040" s="5" t="s">
        <v>238</v>
      </c>
      <c r="AR1040" s="6" t="s">
        <v>238</v>
      </c>
      <c r="AS1040" s="6" t="s">
        <v>238</v>
      </c>
      <c r="AT1040" s="6" t="s">
        <v>238</v>
      </c>
      <c r="AW1040" s="5" t="s">
        <v>304</v>
      </c>
      <c r="AX1040" s="5" t="s">
        <v>304</v>
      </c>
      <c r="AY1040" s="5" t="s">
        <v>250</v>
      </c>
      <c r="AZ1040" s="5" t="s">
        <v>305</v>
      </c>
      <c r="BA1040" s="5" t="s">
        <v>251</v>
      </c>
      <c r="BB1040" s="5" t="s">
        <v>238</v>
      </c>
      <c r="BC1040" s="5" t="s">
        <v>253</v>
      </c>
      <c r="BD1040" s="5" t="s">
        <v>238</v>
      </c>
      <c r="BF1040" s="5" t="s">
        <v>238</v>
      </c>
      <c r="BH1040" s="5" t="s">
        <v>283</v>
      </c>
      <c r="BI1040" s="6" t="s">
        <v>293</v>
      </c>
      <c r="BJ1040" s="5" t="s">
        <v>294</v>
      </c>
      <c r="BK1040" s="5" t="s">
        <v>294</v>
      </c>
      <c r="BL1040" s="5" t="s">
        <v>238</v>
      </c>
      <c r="BM1040" s="7">
        <f>0</f>
        <v>0</v>
      </c>
      <c r="BN1040" s="8">
        <f>-654479</f>
        <v>-654479</v>
      </c>
      <c r="BO1040" s="5" t="s">
        <v>257</v>
      </c>
      <c r="BP1040" s="5" t="s">
        <v>258</v>
      </c>
      <c r="BQ1040" s="5" t="s">
        <v>238</v>
      </c>
      <c r="BR1040" s="5" t="s">
        <v>238</v>
      </c>
      <c r="BS1040" s="5" t="s">
        <v>238</v>
      </c>
      <c r="BT1040" s="5" t="s">
        <v>238</v>
      </c>
      <c r="CC1040" s="5" t="s">
        <v>258</v>
      </c>
      <c r="CD1040" s="5" t="s">
        <v>238</v>
      </c>
      <c r="CE1040" s="5" t="s">
        <v>238</v>
      </c>
      <c r="CI1040" s="5" t="s">
        <v>259</v>
      </c>
      <c r="CJ1040" s="5" t="s">
        <v>260</v>
      </c>
      <c r="CK1040" s="5" t="s">
        <v>238</v>
      </c>
      <c r="CM1040" s="5" t="s">
        <v>711</v>
      </c>
      <c r="CN1040" s="6" t="s">
        <v>262</v>
      </c>
      <c r="CO1040" s="5" t="s">
        <v>263</v>
      </c>
      <c r="CP1040" s="5" t="s">
        <v>264</v>
      </c>
      <c r="CQ1040" s="5" t="s">
        <v>285</v>
      </c>
      <c r="CR1040" s="5" t="s">
        <v>238</v>
      </c>
      <c r="CS1040" s="5">
        <v>4.2000000000000003E-2</v>
      </c>
      <c r="CT1040" s="5" t="s">
        <v>265</v>
      </c>
      <c r="CU1040" s="5" t="s">
        <v>266</v>
      </c>
      <c r="CV1040" s="5" t="s">
        <v>331</v>
      </c>
      <c r="CW1040" s="7">
        <f>0</f>
        <v>0</v>
      </c>
      <c r="CX1040" s="8">
        <f>15582850</f>
        <v>15582850</v>
      </c>
      <c r="CY1040" s="8">
        <f>1838791</f>
        <v>1838791</v>
      </c>
      <c r="DA1040" s="5" t="s">
        <v>238</v>
      </c>
      <c r="DB1040" s="5" t="s">
        <v>238</v>
      </c>
      <c r="DD1040" s="5" t="s">
        <v>238</v>
      </c>
      <c r="DE1040" s="8">
        <f>0</f>
        <v>0</v>
      </c>
      <c r="DG1040" s="5" t="s">
        <v>238</v>
      </c>
      <c r="DH1040" s="5" t="s">
        <v>238</v>
      </c>
      <c r="DI1040" s="5" t="s">
        <v>238</v>
      </c>
      <c r="DJ1040" s="5" t="s">
        <v>238</v>
      </c>
      <c r="DK1040" s="5" t="s">
        <v>271</v>
      </c>
      <c r="DL1040" s="5" t="s">
        <v>272</v>
      </c>
      <c r="DM1040" s="7">
        <f>164.03</f>
        <v>164.03</v>
      </c>
      <c r="DN1040" s="5" t="s">
        <v>238</v>
      </c>
      <c r="DO1040" s="5" t="s">
        <v>238</v>
      </c>
      <c r="DP1040" s="5" t="s">
        <v>238</v>
      </c>
      <c r="DQ1040" s="5" t="s">
        <v>238</v>
      </c>
      <c r="DT1040" s="5" t="s">
        <v>718</v>
      </c>
      <c r="DU1040" s="5" t="s">
        <v>274</v>
      </c>
      <c r="GL1040" s="5" t="s">
        <v>719</v>
      </c>
      <c r="HM1040" s="5" t="s">
        <v>313</v>
      </c>
      <c r="HP1040" s="5" t="s">
        <v>272</v>
      </c>
      <c r="HQ1040" s="5" t="s">
        <v>272</v>
      </c>
      <c r="HR1040" s="5" t="s">
        <v>238</v>
      </c>
      <c r="HS1040" s="5" t="s">
        <v>238</v>
      </c>
      <c r="HT1040" s="5" t="s">
        <v>238</v>
      </c>
      <c r="HU1040" s="5" t="s">
        <v>238</v>
      </c>
      <c r="HV1040" s="5" t="s">
        <v>238</v>
      </c>
      <c r="HW1040" s="5" t="s">
        <v>238</v>
      </c>
      <c r="HX1040" s="5" t="s">
        <v>238</v>
      </c>
      <c r="HY1040" s="5" t="s">
        <v>238</v>
      </c>
      <c r="HZ1040" s="5" t="s">
        <v>238</v>
      </c>
      <c r="IA1040" s="5" t="s">
        <v>238</v>
      </c>
      <c r="IB1040" s="5" t="s">
        <v>238</v>
      </c>
      <c r="IC1040" s="5" t="s">
        <v>238</v>
      </c>
      <c r="ID1040" s="5" t="s">
        <v>238</v>
      </c>
    </row>
    <row r="1041" spans="1:238" x14ac:dyDescent="0.4">
      <c r="A1041" s="5">
        <v>1369</v>
      </c>
      <c r="B1041" s="5">
        <v>1</v>
      </c>
      <c r="C1041" s="5">
        <v>4</v>
      </c>
      <c r="D1041" s="5" t="s">
        <v>715</v>
      </c>
      <c r="E1041" s="5" t="s">
        <v>338</v>
      </c>
      <c r="F1041" s="5" t="s">
        <v>282</v>
      </c>
      <c r="G1041" s="5" t="s">
        <v>2060</v>
      </c>
      <c r="H1041" s="6" t="s">
        <v>717</v>
      </c>
      <c r="I1041" s="5" t="s">
        <v>1850</v>
      </c>
      <c r="J1041" s="7">
        <f>3240.17</f>
        <v>3240.17</v>
      </c>
      <c r="K1041" s="5" t="s">
        <v>270</v>
      </c>
      <c r="L1041" s="8">
        <f>694991385</f>
        <v>694991385</v>
      </c>
      <c r="M1041" s="8">
        <f>1070865000</f>
        <v>1070865000</v>
      </c>
      <c r="N1041" s="6" t="s">
        <v>731</v>
      </c>
      <c r="O1041" s="5" t="s">
        <v>639</v>
      </c>
      <c r="P1041" s="5" t="s">
        <v>371</v>
      </c>
      <c r="Q1041" s="8">
        <f>28913355</f>
        <v>28913355</v>
      </c>
      <c r="R1041" s="8">
        <f>375873615</f>
        <v>375873615</v>
      </c>
      <c r="S1041" s="5" t="s">
        <v>240</v>
      </c>
      <c r="T1041" s="5" t="s">
        <v>237</v>
      </c>
      <c r="U1041" s="5" t="s">
        <v>238</v>
      </c>
      <c r="V1041" s="5" t="s">
        <v>238</v>
      </c>
      <c r="W1041" s="5" t="s">
        <v>241</v>
      </c>
      <c r="X1041" s="5" t="s">
        <v>337</v>
      </c>
      <c r="Y1041" s="5" t="s">
        <v>238</v>
      </c>
      <c r="AB1041" s="5" t="s">
        <v>238</v>
      </c>
      <c r="AC1041" s="6" t="s">
        <v>238</v>
      </c>
      <c r="AD1041" s="6" t="s">
        <v>238</v>
      </c>
      <c r="AF1041" s="6" t="s">
        <v>238</v>
      </c>
      <c r="AG1041" s="6" t="s">
        <v>246</v>
      </c>
      <c r="AH1041" s="5" t="s">
        <v>247</v>
      </c>
      <c r="AI1041" s="5" t="s">
        <v>248</v>
      </c>
      <c r="AO1041" s="5" t="s">
        <v>238</v>
      </c>
      <c r="AP1041" s="5" t="s">
        <v>238</v>
      </c>
      <c r="AQ1041" s="5" t="s">
        <v>238</v>
      </c>
      <c r="AR1041" s="6" t="s">
        <v>238</v>
      </c>
      <c r="AS1041" s="6" t="s">
        <v>238</v>
      </c>
      <c r="AT1041" s="6" t="s">
        <v>238</v>
      </c>
      <c r="AW1041" s="5" t="s">
        <v>304</v>
      </c>
      <c r="AX1041" s="5" t="s">
        <v>304</v>
      </c>
      <c r="AY1041" s="5" t="s">
        <v>250</v>
      </c>
      <c r="AZ1041" s="5" t="s">
        <v>305</v>
      </c>
      <c r="BA1041" s="5" t="s">
        <v>251</v>
      </c>
      <c r="BB1041" s="5" t="s">
        <v>238</v>
      </c>
      <c r="BC1041" s="5" t="s">
        <v>253</v>
      </c>
      <c r="BD1041" s="5" t="s">
        <v>238</v>
      </c>
      <c r="BF1041" s="5" t="s">
        <v>238</v>
      </c>
      <c r="BH1041" s="5" t="s">
        <v>283</v>
      </c>
      <c r="BI1041" s="6" t="s">
        <v>293</v>
      </c>
      <c r="BJ1041" s="5" t="s">
        <v>294</v>
      </c>
      <c r="BK1041" s="5" t="s">
        <v>294</v>
      </c>
      <c r="BL1041" s="5" t="s">
        <v>238</v>
      </c>
      <c r="BM1041" s="7">
        <f>0</f>
        <v>0</v>
      </c>
      <c r="BN1041" s="8">
        <f>-28913355</f>
        <v>-28913355</v>
      </c>
      <c r="BO1041" s="5" t="s">
        <v>257</v>
      </c>
      <c r="BP1041" s="5" t="s">
        <v>258</v>
      </c>
      <c r="BQ1041" s="5" t="s">
        <v>238</v>
      </c>
      <c r="BR1041" s="5" t="s">
        <v>238</v>
      </c>
      <c r="BS1041" s="5" t="s">
        <v>238</v>
      </c>
      <c r="BT1041" s="5" t="s">
        <v>238</v>
      </c>
      <c r="CC1041" s="5" t="s">
        <v>258</v>
      </c>
      <c r="CD1041" s="5" t="s">
        <v>238</v>
      </c>
      <c r="CE1041" s="5" t="s">
        <v>238</v>
      </c>
      <c r="CI1041" s="5" t="s">
        <v>259</v>
      </c>
      <c r="CJ1041" s="5" t="s">
        <v>260</v>
      </c>
      <c r="CK1041" s="5" t="s">
        <v>238</v>
      </c>
      <c r="CM1041" s="5" t="s">
        <v>732</v>
      </c>
      <c r="CN1041" s="6" t="s">
        <v>262</v>
      </c>
      <c r="CO1041" s="5" t="s">
        <v>263</v>
      </c>
      <c r="CP1041" s="5" t="s">
        <v>264</v>
      </c>
      <c r="CQ1041" s="5" t="s">
        <v>285</v>
      </c>
      <c r="CR1041" s="5" t="s">
        <v>238</v>
      </c>
      <c r="CS1041" s="5">
        <v>2.7E-2</v>
      </c>
      <c r="CT1041" s="5" t="s">
        <v>265</v>
      </c>
      <c r="CU1041" s="5" t="s">
        <v>2061</v>
      </c>
      <c r="CV1041" s="5" t="s">
        <v>649</v>
      </c>
      <c r="CW1041" s="7">
        <f>0</f>
        <v>0</v>
      </c>
      <c r="CX1041" s="8">
        <f>1070865000</f>
        <v>1070865000</v>
      </c>
      <c r="CY1041" s="8">
        <f>723904740</f>
        <v>723904740</v>
      </c>
      <c r="DA1041" s="5" t="s">
        <v>238</v>
      </c>
      <c r="DB1041" s="5" t="s">
        <v>238</v>
      </c>
      <c r="DD1041" s="5" t="s">
        <v>238</v>
      </c>
      <c r="DE1041" s="8">
        <f>0</f>
        <v>0</v>
      </c>
      <c r="DG1041" s="5" t="s">
        <v>238</v>
      </c>
      <c r="DH1041" s="5" t="s">
        <v>238</v>
      </c>
      <c r="DI1041" s="5" t="s">
        <v>238</v>
      </c>
      <c r="DJ1041" s="5" t="s">
        <v>238</v>
      </c>
      <c r="DK1041" s="5" t="s">
        <v>274</v>
      </c>
      <c r="DL1041" s="5" t="s">
        <v>272</v>
      </c>
      <c r="DM1041" s="7">
        <f>3240.17</f>
        <v>3240.17</v>
      </c>
      <c r="DN1041" s="5" t="s">
        <v>238</v>
      </c>
      <c r="DO1041" s="5" t="s">
        <v>238</v>
      </c>
      <c r="DP1041" s="5" t="s">
        <v>238</v>
      </c>
      <c r="DQ1041" s="5" t="s">
        <v>238</v>
      </c>
      <c r="DT1041" s="5" t="s">
        <v>718</v>
      </c>
      <c r="DU1041" s="5" t="s">
        <v>356</v>
      </c>
      <c r="GL1041" s="5" t="s">
        <v>2088</v>
      </c>
      <c r="HM1041" s="5" t="s">
        <v>313</v>
      </c>
      <c r="HP1041" s="5" t="s">
        <v>272</v>
      </c>
      <c r="HQ1041" s="5" t="s">
        <v>272</v>
      </c>
      <c r="HR1041" s="5" t="s">
        <v>238</v>
      </c>
      <c r="HS1041" s="5" t="s">
        <v>238</v>
      </c>
      <c r="HT1041" s="5" t="s">
        <v>238</v>
      </c>
      <c r="HU1041" s="5" t="s">
        <v>238</v>
      </c>
      <c r="HV1041" s="5" t="s">
        <v>238</v>
      </c>
      <c r="HW1041" s="5" t="s">
        <v>238</v>
      </c>
      <c r="HX1041" s="5" t="s">
        <v>238</v>
      </c>
      <c r="HY1041" s="5" t="s">
        <v>238</v>
      </c>
      <c r="HZ1041" s="5" t="s">
        <v>238</v>
      </c>
      <c r="IA1041" s="5" t="s">
        <v>238</v>
      </c>
      <c r="IB1041" s="5" t="s">
        <v>238</v>
      </c>
      <c r="IC1041" s="5" t="s">
        <v>238</v>
      </c>
      <c r="ID1041" s="5" t="s">
        <v>238</v>
      </c>
    </row>
    <row r="1042" spans="1:238" x14ac:dyDescent="0.4">
      <c r="A1042" s="5">
        <v>1370</v>
      </c>
      <c r="B1042" s="5">
        <v>1</v>
      </c>
      <c r="C1042" s="5">
        <v>4</v>
      </c>
      <c r="D1042" s="5" t="s">
        <v>715</v>
      </c>
      <c r="E1042" s="5" t="s">
        <v>338</v>
      </c>
      <c r="F1042" s="5" t="s">
        <v>282</v>
      </c>
      <c r="G1042" s="5" t="s">
        <v>646</v>
      </c>
      <c r="H1042" s="6" t="s">
        <v>717</v>
      </c>
      <c r="I1042" s="5" t="s">
        <v>239</v>
      </c>
      <c r="J1042" s="7">
        <f>39.74</f>
        <v>39.74</v>
      </c>
      <c r="K1042" s="5" t="s">
        <v>270</v>
      </c>
      <c r="L1042" s="8">
        <f>593271</f>
        <v>593271</v>
      </c>
      <c r="M1042" s="8">
        <f>4599000</f>
        <v>4599000</v>
      </c>
      <c r="N1042" s="6" t="s">
        <v>731</v>
      </c>
      <c r="O1042" s="5" t="s">
        <v>268</v>
      </c>
      <c r="P1042" s="5" t="s">
        <v>371</v>
      </c>
      <c r="Q1042" s="8">
        <f>308133</f>
        <v>308133</v>
      </c>
      <c r="R1042" s="8">
        <f>4005729</f>
        <v>4005729</v>
      </c>
      <c r="S1042" s="5" t="s">
        <v>240</v>
      </c>
      <c r="T1042" s="5" t="s">
        <v>237</v>
      </c>
      <c r="U1042" s="5" t="s">
        <v>238</v>
      </c>
      <c r="V1042" s="5" t="s">
        <v>238</v>
      </c>
      <c r="W1042" s="5" t="s">
        <v>241</v>
      </c>
      <c r="X1042" s="5" t="s">
        <v>337</v>
      </c>
      <c r="Y1042" s="5" t="s">
        <v>238</v>
      </c>
      <c r="AB1042" s="5" t="s">
        <v>238</v>
      </c>
      <c r="AC1042" s="6" t="s">
        <v>238</v>
      </c>
      <c r="AD1042" s="6" t="s">
        <v>238</v>
      </c>
      <c r="AF1042" s="6" t="s">
        <v>238</v>
      </c>
      <c r="AG1042" s="6" t="s">
        <v>246</v>
      </c>
      <c r="AH1042" s="5" t="s">
        <v>247</v>
      </c>
      <c r="AI1042" s="5" t="s">
        <v>248</v>
      </c>
      <c r="AO1042" s="5" t="s">
        <v>238</v>
      </c>
      <c r="AP1042" s="5" t="s">
        <v>238</v>
      </c>
      <c r="AQ1042" s="5" t="s">
        <v>238</v>
      </c>
      <c r="AR1042" s="6" t="s">
        <v>238</v>
      </c>
      <c r="AS1042" s="6" t="s">
        <v>238</v>
      </c>
      <c r="AT1042" s="6" t="s">
        <v>238</v>
      </c>
      <c r="AW1042" s="5" t="s">
        <v>304</v>
      </c>
      <c r="AX1042" s="5" t="s">
        <v>304</v>
      </c>
      <c r="AY1042" s="5" t="s">
        <v>250</v>
      </c>
      <c r="AZ1042" s="5" t="s">
        <v>305</v>
      </c>
      <c r="BA1042" s="5" t="s">
        <v>251</v>
      </c>
      <c r="BB1042" s="5" t="s">
        <v>238</v>
      </c>
      <c r="BC1042" s="5" t="s">
        <v>253</v>
      </c>
      <c r="BD1042" s="5" t="s">
        <v>238</v>
      </c>
      <c r="BF1042" s="5" t="s">
        <v>238</v>
      </c>
      <c r="BH1042" s="5" t="s">
        <v>283</v>
      </c>
      <c r="BI1042" s="6" t="s">
        <v>293</v>
      </c>
      <c r="BJ1042" s="5" t="s">
        <v>294</v>
      </c>
      <c r="BK1042" s="5" t="s">
        <v>294</v>
      </c>
      <c r="BL1042" s="5" t="s">
        <v>238</v>
      </c>
      <c r="BM1042" s="7">
        <f>0</f>
        <v>0</v>
      </c>
      <c r="BN1042" s="8">
        <f>-308133</f>
        <v>-308133</v>
      </c>
      <c r="BO1042" s="5" t="s">
        <v>257</v>
      </c>
      <c r="BP1042" s="5" t="s">
        <v>258</v>
      </c>
      <c r="BQ1042" s="5" t="s">
        <v>238</v>
      </c>
      <c r="BR1042" s="5" t="s">
        <v>238</v>
      </c>
      <c r="BS1042" s="5" t="s">
        <v>238</v>
      </c>
      <c r="BT1042" s="5" t="s">
        <v>238</v>
      </c>
      <c r="CC1042" s="5" t="s">
        <v>258</v>
      </c>
      <c r="CD1042" s="5" t="s">
        <v>238</v>
      </c>
      <c r="CE1042" s="5" t="s">
        <v>238</v>
      </c>
      <c r="CI1042" s="5" t="s">
        <v>259</v>
      </c>
      <c r="CJ1042" s="5" t="s">
        <v>260</v>
      </c>
      <c r="CK1042" s="5" t="s">
        <v>238</v>
      </c>
      <c r="CM1042" s="5" t="s">
        <v>732</v>
      </c>
      <c r="CN1042" s="6" t="s">
        <v>262</v>
      </c>
      <c r="CO1042" s="5" t="s">
        <v>263</v>
      </c>
      <c r="CP1042" s="5" t="s">
        <v>264</v>
      </c>
      <c r="CQ1042" s="5" t="s">
        <v>285</v>
      </c>
      <c r="CR1042" s="5" t="s">
        <v>238</v>
      </c>
      <c r="CS1042" s="5">
        <v>6.7000000000000004E-2</v>
      </c>
      <c r="CT1042" s="5" t="s">
        <v>265</v>
      </c>
      <c r="CU1042" s="5" t="s">
        <v>266</v>
      </c>
      <c r="CV1042" s="5" t="s">
        <v>267</v>
      </c>
      <c r="CW1042" s="7">
        <f>0</f>
        <v>0</v>
      </c>
      <c r="CX1042" s="8">
        <f>4599000</f>
        <v>4599000</v>
      </c>
      <c r="CY1042" s="8">
        <f>901404</f>
        <v>901404</v>
      </c>
      <c r="DA1042" s="5" t="s">
        <v>238</v>
      </c>
      <c r="DB1042" s="5" t="s">
        <v>238</v>
      </c>
      <c r="DD1042" s="5" t="s">
        <v>238</v>
      </c>
      <c r="DE1042" s="8">
        <f>0</f>
        <v>0</v>
      </c>
      <c r="DG1042" s="5" t="s">
        <v>238</v>
      </c>
      <c r="DH1042" s="5" t="s">
        <v>238</v>
      </c>
      <c r="DI1042" s="5" t="s">
        <v>238</v>
      </c>
      <c r="DJ1042" s="5" t="s">
        <v>238</v>
      </c>
      <c r="DK1042" s="5" t="s">
        <v>271</v>
      </c>
      <c r="DL1042" s="5" t="s">
        <v>272</v>
      </c>
      <c r="DM1042" s="7">
        <f>39.74</f>
        <v>39.74</v>
      </c>
      <c r="DN1042" s="5" t="s">
        <v>238</v>
      </c>
      <c r="DO1042" s="5" t="s">
        <v>238</v>
      </c>
      <c r="DP1042" s="5" t="s">
        <v>238</v>
      </c>
      <c r="DQ1042" s="5" t="s">
        <v>238</v>
      </c>
      <c r="DT1042" s="5" t="s">
        <v>718</v>
      </c>
      <c r="DU1042" s="5" t="s">
        <v>310</v>
      </c>
      <c r="GL1042" s="5" t="s">
        <v>733</v>
      </c>
      <c r="HM1042" s="5" t="s">
        <v>313</v>
      </c>
      <c r="HP1042" s="5" t="s">
        <v>272</v>
      </c>
      <c r="HQ1042" s="5" t="s">
        <v>272</v>
      </c>
      <c r="HR1042" s="5" t="s">
        <v>238</v>
      </c>
      <c r="HS1042" s="5" t="s">
        <v>238</v>
      </c>
      <c r="HT1042" s="5" t="s">
        <v>238</v>
      </c>
      <c r="HU1042" s="5" t="s">
        <v>238</v>
      </c>
      <c r="HV1042" s="5" t="s">
        <v>238</v>
      </c>
      <c r="HW1042" s="5" t="s">
        <v>238</v>
      </c>
      <c r="HX1042" s="5" t="s">
        <v>238</v>
      </c>
      <c r="HY1042" s="5" t="s">
        <v>238</v>
      </c>
      <c r="HZ1042" s="5" t="s">
        <v>238</v>
      </c>
      <c r="IA1042" s="5" t="s">
        <v>238</v>
      </c>
      <c r="IB1042" s="5" t="s">
        <v>238</v>
      </c>
      <c r="IC1042" s="5" t="s">
        <v>238</v>
      </c>
      <c r="ID1042" s="5" t="s">
        <v>238</v>
      </c>
    </row>
    <row r="1043" spans="1:238" x14ac:dyDescent="0.4">
      <c r="A1043" s="5">
        <v>1371</v>
      </c>
      <c r="B1043" s="5">
        <v>1</v>
      </c>
      <c r="C1043" s="5">
        <v>3</v>
      </c>
      <c r="D1043" s="5" t="s">
        <v>1247</v>
      </c>
      <c r="E1043" s="5" t="s">
        <v>338</v>
      </c>
      <c r="F1043" s="5" t="s">
        <v>282</v>
      </c>
      <c r="G1043" s="5" t="s">
        <v>1850</v>
      </c>
      <c r="H1043" s="6" t="s">
        <v>1248</v>
      </c>
      <c r="I1043" s="5" t="s">
        <v>1850</v>
      </c>
      <c r="J1043" s="7">
        <f>678.79</f>
        <v>678.79</v>
      </c>
      <c r="K1043" s="5" t="s">
        <v>270</v>
      </c>
      <c r="L1043" s="8">
        <f>1</f>
        <v>1</v>
      </c>
      <c r="M1043" s="8">
        <f>91636650</f>
        <v>91636650</v>
      </c>
      <c r="N1043" s="6" t="s">
        <v>921</v>
      </c>
      <c r="O1043" s="5" t="s">
        <v>279</v>
      </c>
      <c r="P1043" s="5" t="s">
        <v>850</v>
      </c>
      <c r="Q1043" s="8">
        <f>1832732</f>
        <v>1832732</v>
      </c>
      <c r="R1043" s="8">
        <f>91636649</f>
        <v>91636649</v>
      </c>
      <c r="S1043" s="5" t="s">
        <v>240</v>
      </c>
      <c r="T1043" s="5" t="s">
        <v>237</v>
      </c>
      <c r="U1043" s="5" t="s">
        <v>238</v>
      </c>
      <c r="V1043" s="5" t="s">
        <v>238</v>
      </c>
      <c r="W1043" s="5" t="s">
        <v>241</v>
      </c>
      <c r="X1043" s="5" t="s">
        <v>337</v>
      </c>
      <c r="Y1043" s="5" t="s">
        <v>238</v>
      </c>
      <c r="AB1043" s="5" t="s">
        <v>238</v>
      </c>
      <c r="AC1043" s="6" t="s">
        <v>238</v>
      </c>
      <c r="AD1043" s="6" t="s">
        <v>238</v>
      </c>
      <c r="AF1043" s="6" t="s">
        <v>238</v>
      </c>
      <c r="AG1043" s="6" t="s">
        <v>246</v>
      </c>
      <c r="AH1043" s="5" t="s">
        <v>247</v>
      </c>
      <c r="AI1043" s="5" t="s">
        <v>248</v>
      </c>
      <c r="AO1043" s="5" t="s">
        <v>238</v>
      </c>
      <c r="AP1043" s="5" t="s">
        <v>238</v>
      </c>
      <c r="AQ1043" s="5" t="s">
        <v>238</v>
      </c>
      <c r="AR1043" s="6" t="s">
        <v>238</v>
      </c>
      <c r="AS1043" s="6" t="s">
        <v>238</v>
      </c>
      <c r="AT1043" s="6" t="s">
        <v>238</v>
      </c>
      <c r="AW1043" s="5" t="s">
        <v>304</v>
      </c>
      <c r="AX1043" s="5" t="s">
        <v>304</v>
      </c>
      <c r="AY1043" s="5" t="s">
        <v>250</v>
      </c>
      <c r="AZ1043" s="5" t="s">
        <v>305</v>
      </c>
      <c r="BA1043" s="5" t="s">
        <v>251</v>
      </c>
      <c r="BB1043" s="5" t="s">
        <v>238</v>
      </c>
      <c r="BC1043" s="5" t="s">
        <v>253</v>
      </c>
      <c r="BD1043" s="5" t="s">
        <v>238</v>
      </c>
      <c r="BF1043" s="5" t="s">
        <v>238</v>
      </c>
      <c r="BH1043" s="5" t="s">
        <v>1076</v>
      </c>
      <c r="BI1043" s="6" t="s">
        <v>1077</v>
      </c>
      <c r="BJ1043" s="5" t="s">
        <v>294</v>
      </c>
      <c r="BK1043" s="5" t="s">
        <v>294</v>
      </c>
      <c r="BL1043" s="5" t="s">
        <v>238</v>
      </c>
      <c r="BM1043" s="7">
        <f>0</f>
        <v>0</v>
      </c>
      <c r="BN1043" s="8">
        <f>-1832732</f>
        <v>-1832732</v>
      </c>
      <c r="BO1043" s="5" t="s">
        <v>257</v>
      </c>
      <c r="BP1043" s="5" t="s">
        <v>258</v>
      </c>
      <c r="BQ1043" s="5" t="s">
        <v>238</v>
      </c>
      <c r="BR1043" s="5" t="s">
        <v>238</v>
      </c>
      <c r="BS1043" s="5" t="s">
        <v>238</v>
      </c>
      <c r="BT1043" s="5" t="s">
        <v>238</v>
      </c>
      <c r="CC1043" s="5" t="s">
        <v>258</v>
      </c>
      <c r="CD1043" s="5" t="s">
        <v>238</v>
      </c>
      <c r="CE1043" s="5" t="s">
        <v>238</v>
      </c>
      <c r="CI1043" s="5" t="s">
        <v>527</v>
      </c>
      <c r="CJ1043" s="5" t="s">
        <v>260</v>
      </c>
      <c r="CK1043" s="5" t="s">
        <v>238</v>
      </c>
      <c r="CM1043" s="5" t="s">
        <v>1097</v>
      </c>
      <c r="CN1043" s="6" t="s">
        <v>262</v>
      </c>
      <c r="CO1043" s="5" t="s">
        <v>263</v>
      </c>
      <c r="CP1043" s="5" t="s">
        <v>264</v>
      </c>
      <c r="CQ1043" s="5" t="s">
        <v>285</v>
      </c>
      <c r="CR1043" s="5" t="s">
        <v>238</v>
      </c>
      <c r="CS1043" s="5">
        <v>0.02</v>
      </c>
      <c r="CT1043" s="5" t="s">
        <v>265</v>
      </c>
      <c r="CU1043" s="5" t="s">
        <v>2061</v>
      </c>
      <c r="CV1043" s="5" t="s">
        <v>308</v>
      </c>
      <c r="CW1043" s="7">
        <f>0</f>
        <v>0</v>
      </c>
      <c r="CX1043" s="8">
        <f>91636650</f>
        <v>91636650</v>
      </c>
      <c r="CY1043" s="8">
        <f>1</f>
        <v>1</v>
      </c>
      <c r="DA1043" s="5" t="s">
        <v>238</v>
      </c>
      <c r="DB1043" s="5" t="s">
        <v>238</v>
      </c>
      <c r="DD1043" s="5" t="s">
        <v>238</v>
      </c>
      <c r="DE1043" s="8">
        <f>0</f>
        <v>0</v>
      </c>
      <c r="DG1043" s="5" t="s">
        <v>238</v>
      </c>
      <c r="DH1043" s="5" t="s">
        <v>238</v>
      </c>
      <c r="DI1043" s="5" t="s">
        <v>238</v>
      </c>
      <c r="DJ1043" s="5" t="s">
        <v>238</v>
      </c>
      <c r="DK1043" s="5" t="s">
        <v>271</v>
      </c>
      <c r="DL1043" s="5" t="s">
        <v>272</v>
      </c>
      <c r="DM1043" s="7">
        <f>678.79</f>
        <v>678.79</v>
      </c>
      <c r="DN1043" s="5" t="s">
        <v>238</v>
      </c>
      <c r="DO1043" s="5" t="s">
        <v>238</v>
      </c>
      <c r="DP1043" s="5" t="s">
        <v>238</v>
      </c>
      <c r="DQ1043" s="5" t="s">
        <v>238</v>
      </c>
      <c r="DT1043" s="5" t="s">
        <v>1249</v>
      </c>
      <c r="DU1043" s="5" t="s">
        <v>271</v>
      </c>
      <c r="GL1043" s="5" t="s">
        <v>2086</v>
      </c>
      <c r="HM1043" s="5" t="s">
        <v>313</v>
      </c>
      <c r="HP1043" s="5" t="s">
        <v>272</v>
      </c>
      <c r="HQ1043" s="5" t="s">
        <v>272</v>
      </c>
      <c r="HR1043" s="5" t="s">
        <v>238</v>
      </c>
      <c r="HS1043" s="5" t="s">
        <v>238</v>
      </c>
      <c r="HT1043" s="5" t="s">
        <v>238</v>
      </c>
      <c r="HU1043" s="5" t="s">
        <v>238</v>
      </c>
      <c r="HV1043" s="5" t="s">
        <v>238</v>
      </c>
      <c r="HW1043" s="5" t="s">
        <v>238</v>
      </c>
      <c r="HX1043" s="5" t="s">
        <v>238</v>
      </c>
      <c r="HY1043" s="5" t="s">
        <v>238</v>
      </c>
      <c r="HZ1043" s="5" t="s">
        <v>238</v>
      </c>
      <c r="IA1043" s="5" t="s">
        <v>238</v>
      </c>
      <c r="IB1043" s="5" t="s">
        <v>238</v>
      </c>
      <c r="IC1043" s="5" t="s">
        <v>238</v>
      </c>
      <c r="ID1043" s="5" t="s">
        <v>238</v>
      </c>
    </row>
    <row r="1044" spans="1:238" x14ac:dyDescent="0.4">
      <c r="A1044" s="5">
        <v>1372</v>
      </c>
      <c r="B1044" s="5">
        <v>1</v>
      </c>
      <c r="C1044" s="5">
        <v>1</v>
      </c>
      <c r="D1044" s="5" t="s">
        <v>1247</v>
      </c>
      <c r="E1044" s="5" t="s">
        <v>338</v>
      </c>
      <c r="F1044" s="5" t="s">
        <v>282</v>
      </c>
      <c r="G1044" s="5" t="s">
        <v>1181</v>
      </c>
      <c r="H1044" s="6" t="s">
        <v>1248</v>
      </c>
      <c r="I1044" s="5" t="s">
        <v>1181</v>
      </c>
      <c r="J1044" s="7">
        <f>45.36</f>
        <v>45.36</v>
      </c>
      <c r="K1044" s="5" t="s">
        <v>270</v>
      </c>
      <c r="L1044" s="8">
        <f>1</f>
        <v>1</v>
      </c>
      <c r="M1044" s="8">
        <f>2721600</f>
        <v>2721600</v>
      </c>
      <c r="N1044" s="6" t="s">
        <v>921</v>
      </c>
      <c r="O1044" s="5" t="s">
        <v>640</v>
      </c>
      <c r="P1044" s="5" t="s">
        <v>1098</v>
      </c>
      <c r="R1044" s="8">
        <f>2721599</f>
        <v>2721599</v>
      </c>
      <c r="S1044" s="5" t="s">
        <v>240</v>
      </c>
      <c r="T1044" s="5" t="s">
        <v>237</v>
      </c>
      <c r="U1044" s="5" t="s">
        <v>238</v>
      </c>
      <c r="V1044" s="5" t="s">
        <v>238</v>
      </c>
      <c r="W1044" s="5" t="s">
        <v>241</v>
      </c>
      <c r="X1044" s="5" t="s">
        <v>337</v>
      </c>
      <c r="Y1044" s="5" t="s">
        <v>238</v>
      </c>
      <c r="AB1044" s="5" t="s">
        <v>238</v>
      </c>
      <c r="AD1044" s="6" t="s">
        <v>238</v>
      </c>
      <c r="AG1044" s="6" t="s">
        <v>246</v>
      </c>
      <c r="AH1044" s="5" t="s">
        <v>247</v>
      </c>
      <c r="AI1044" s="5" t="s">
        <v>248</v>
      </c>
      <c r="AY1044" s="5" t="s">
        <v>250</v>
      </c>
      <c r="AZ1044" s="5" t="s">
        <v>238</v>
      </c>
      <c r="BA1044" s="5" t="s">
        <v>251</v>
      </c>
      <c r="BB1044" s="5" t="s">
        <v>238</v>
      </c>
      <c r="BC1044" s="5" t="s">
        <v>253</v>
      </c>
      <c r="BD1044" s="5" t="s">
        <v>238</v>
      </c>
      <c r="BF1044" s="5" t="s">
        <v>238</v>
      </c>
      <c r="BH1044" s="5" t="s">
        <v>798</v>
      </c>
      <c r="BI1044" s="6" t="s">
        <v>1244</v>
      </c>
      <c r="BJ1044" s="5" t="s">
        <v>255</v>
      </c>
      <c r="BK1044" s="5" t="s">
        <v>256</v>
      </c>
      <c r="BL1044" s="5" t="s">
        <v>238</v>
      </c>
      <c r="BM1044" s="7">
        <f>0</f>
        <v>0</v>
      </c>
      <c r="BN1044" s="8">
        <f>0</f>
        <v>0</v>
      </c>
      <c r="BO1044" s="5" t="s">
        <v>257</v>
      </c>
      <c r="BP1044" s="5" t="s">
        <v>258</v>
      </c>
      <c r="CD1044" s="5" t="s">
        <v>238</v>
      </c>
      <c r="CE1044" s="5" t="s">
        <v>238</v>
      </c>
      <c r="CI1044" s="5" t="s">
        <v>527</v>
      </c>
      <c r="CJ1044" s="5" t="s">
        <v>260</v>
      </c>
      <c r="CK1044" s="5" t="s">
        <v>238</v>
      </c>
      <c r="CM1044" s="5" t="s">
        <v>1097</v>
      </c>
      <c r="CN1044" s="6" t="s">
        <v>262</v>
      </c>
      <c r="CO1044" s="5" t="s">
        <v>263</v>
      </c>
      <c r="CP1044" s="5" t="s">
        <v>264</v>
      </c>
      <c r="CQ1044" s="5" t="s">
        <v>238</v>
      </c>
      <c r="CR1044" s="5" t="s">
        <v>238</v>
      </c>
      <c r="CS1044" s="5">
        <v>0</v>
      </c>
      <c r="CT1044" s="5" t="s">
        <v>265</v>
      </c>
      <c r="CU1044" s="5" t="s">
        <v>1187</v>
      </c>
      <c r="CV1044" s="5" t="s">
        <v>331</v>
      </c>
      <c r="CX1044" s="8">
        <f>2721600</f>
        <v>2721600</v>
      </c>
      <c r="CY1044" s="8">
        <f>0</f>
        <v>0</v>
      </c>
      <c r="DA1044" s="5" t="s">
        <v>238</v>
      </c>
      <c r="DB1044" s="5" t="s">
        <v>238</v>
      </c>
      <c r="DD1044" s="5" t="s">
        <v>238</v>
      </c>
      <c r="DG1044" s="5" t="s">
        <v>238</v>
      </c>
      <c r="DH1044" s="5" t="s">
        <v>238</v>
      </c>
      <c r="DI1044" s="5" t="s">
        <v>238</v>
      </c>
      <c r="DJ1044" s="5" t="s">
        <v>238</v>
      </c>
      <c r="DK1044" s="5" t="s">
        <v>274</v>
      </c>
      <c r="DL1044" s="5" t="s">
        <v>272</v>
      </c>
      <c r="DM1044" s="7">
        <f>45.36</f>
        <v>45.36</v>
      </c>
      <c r="DN1044" s="5" t="s">
        <v>238</v>
      </c>
      <c r="DO1044" s="5" t="s">
        <v>238</v>
      </c>
      <c r="DP1044" s="5" t="s">
        <v>238</v>
      </c>
      <c r="DQ1044" s="5" t="s">
        <v>238</v>
      </c>
      <c r="DT1044" s="5" t="s">
        <v>1249</v>
      </c>
      <c r="DU1044" s="5" t="s">
        <v>274</v>
      </c>
      <c r="HM1044" s="5" t="s">
        <v>271</v>
      </c>
      <c r="HP1044" s="5" t="s">
        <v>272</v>
      </c>
      <c r="HQ1044" s="5" t="s">
        <v>272</v>
      </c>
    </row>
    <row r="1045" spans="1:238" x14ac:dyDescent="0.4">
      <c r="A1045" s="5">
        <v>1373</v>
      </c>
      <c r="B1045" s="5">
        <v>1</v>
      </c>
      <c r="C1045" s="5">
        <v>4</v>
      </c>
      <c r="D1045" s="5" t="s">
        <v>571</v>
      </c>
      <c r="E1045" s="5" t="s">
        <v>338</v>
      </c>
      <c r="F1045" s="5" t="s">
        <v>282</v>
      </c>
      <c r="G1045" s="5" t="s">
        <v>2060</v>
      </c>
      <c r="H1045" s="6" t="s">
        <v>573</v>
      </c>
      <c r="I1045" s="5" t="s">
        <v>1850</v>
      </c>
      <c r="J1045" s="7">
        <f>1402.91</f>
        <v>1402.91</v>
      </c>
      <c r="K1045" s="5" t="s">
        <v>270</v>
      </c>
      <c r="L1045" s="8">
        <f>107631284</f>
        <v>107631284</v>
      </c>
      <c r="M1045" s="8">
        <f>384397340</f>
        <v>384397340</v>
      </c>
      <c r="N1045" s="6" t="s">
        <v>1243</v>
      </c>
      <c r="O1045" s="5" t="s">
        <v>279</v>
      </c>
      <c r="P1045" s="5" t="s">
        <v>755</v>
      </c>
      <c r="Q1045" s="8">
        <f>7687946</f>
        <v>7687946</v>
      </c>
      <c r="R1045" s="8">
        <f>276766056</f>
        <v>276766056</v>
      </c>
      <c r="S1045" s="5" t="s">
        <v>240</v>
      </c>
      <c r="T1045" s="5" t="s">
        <v>237</v>
      </c>
      <c r="U1045" s="5" t="s">
        <v>238</v>
      </c>
      <c r="V1045" s="5" t="s">
        <v>238</v>
      </c>
      <c r="W1045" s="5" t="s">
        <v>241</v>
      </c>
      <c r="X1045" s="5" t="s">
        <v>337</v>
      </c>
      <c r="Y1045" s="5" t="s">
        <v>238</v>
      </c>
      <c r="AB1045" s="5" t="s">
        <v>238</v>
      </c>
      <c r="AC1045" s="6" t="s">
        <v>238</v>
      </c>
      <c r="AD1045" s="6" t="s">
        <v>238</v>
      </c>
      <c r="AF1045" s="6" t="s">
        <v>238</v>
      </c>
      <c r="AG1045" s="6" t="s">
        <v>246</v>
      </c>
      <c r="AH1045" s="5" t="s">
        <v>247</v>
      </c>
      <c r="AI1045" s="5" t="s">
        <v>248</v>
      </c>
      <c r="AO1045" s="5" t="s">
        <v>238</v>
      </c>
      <c r="AP1045" s="5" t="s">
        <v>238</v>
      </c>
      <c r="AQ1045" s="5" t="s">
        <v>238</v>
      </c>
      <c r="AR1045" s="6" t="s">
        <v>238</v>
      </c>
      <c r="AS1045" s="6" t="s">
        <v>238</v>
      </c>
      <c r="AT1045" s="6" t="s">
        <v>238</v>
      </c>
      <c r="AW1045" s="5" t="s">
        <v>304</v>
      </c>
      <c r="AX1045" s="5" t="s">
        <v>304</v>
      </c>
      <c r="AY1045" s="5" t="s">
        <v>250</v>
      </c>
      <c r="AZ1045" s="5" t="s">
        <v>305</v>
      </c>
      <c r="BA1045" s="5" t="s">
        <v>251</v>
      </c>
      <c r="BB1045" s="5" t="s">
        <v>238</v>
      </c>
      <c r="BC1045" s="5" t="s">
        <v>253</v>
      </c>
      <c r="BD1045" s="5" t="s">
        <v>238</v>
      </c>
      <c r="BF1045" s="5" t="s">
        <v>238</v>
      </c>
      <c r="BH1045" s="5" t="s">
        <v>283</v>
      </c>
      <c r="BI1045" s="6" t="s">
        <v>293</v>
      </c>
      <c r="BJ1045" s="5" t="s">
        <v>294</v>
      </c>
      <c r="BK1045" s="5" t="s">
        <v>294</v>
      </c>
      <c r="BL1045" s="5" t="s">
        <v>238</v>
      </c>
      <c r="BM1045" s="7">
        <f>0</f>
        <v>0</v>
      </c>
      <c r="BN1045" s="8">
        <f>-7687946</f>
        <v>-7687946</v>
      </c>
      <c r="BO1045" s="5" t="s">
        <v>257</v>
      </c>
      <c r="BP1045" s="5" t="s">
        <v>258</v>
      </c>
      <c r="BQ1045" s="5" t="s">
        <v>238</v>
      </c>
      <c r="BR1045" s="5" t="s">
        <v>238</v>
      </c>
      <c r="BS1045" s="5" t="s">
        <v>238</v>
      </c>
      <c r="BT1045" s="5" t="s">
        <v>238</v>
      </c>
      <c r="CC1045" s="5" t="s">
        <v>258</v>
      </c>
      <c r="CD1045" s="5" t="s">
        <v>238</v>
      </c>
      <c r="CE1045" s="5" t="s">
        <v>238</v>
      </c>
      <c r="CI1045" s="5" t="s">
        <v>259</v>
      </c>
      <c r="CJ1045" s="5" t="s">
        <v>260</v>
      </c>
      <c r="CK1045" s="5" t="s">
        <v>238</v>
      </c>
      <c r="CM1045" s="5" t="s">
        <v>689</v>
      </c>
      <c r="CN1045" s="6" t="s">
        <v>262</v>
      </c>
      <c r="CO1045" s="5" t="s">
        <v>263</v>
      </c>
      <c r="CP1045" s="5" t="s">
        <v>264</v>
      </c>
      <c r="CQ1045" s="5" t="s">
        <v>285</v>
      </c>
      <c r="CR1045" s="5" t="s">
        <v>238</v>
      </c>
      <c r="CS1045" s="5">
        <v>0.02</v>
      </c>
      <c r="CT1045" s="5" t="s">
        <v>265</v>
      </c>
      <c r="CU1045" s="5" t="s">
        <v>2061</v>
      </c>
      <c r="CV1045" s="5" t="s">
        <v>308</v>
      </c>
      <c r="CW1045" s="7">
        <f>0</f>
        <v>0</v>
      </c>
      <c r="CX1045" s="8">
        <f>384397340</f>
        <v>384397340</v>
      </c>
      <c r="CY1045" s="8">
        <f>115319230</f>
        <v>115319230</v>
      </c>
      <c r="DA1045" s="5" t="s">
        <v>238</v>
      </c>
      <c r="DB1045" s="5" t="s">
        <v>238</v>
      </c>
      <c r="DD1045" s="5" t="s">
        <v>238</v>
      </c>
      <c r="DE1045" s="8">
        <f>0</f>
        <v>0</v>
      </c>
      <c r="DG1045" s="5" t="s">
        <v>238</v>
      </c>
      <c r="DH1045" s="5" t="s">
        <v>238</v>
      </c>
      <c r="DI1045" s="5" t="s">
        <v>238</v>
      </c>
      <c r="DJ1045" s="5" t="s">
        <v>238</v>
      </c>
      <c r="DK1045" s="5" t="s">
        <v>271</v>
      </c>
      <c r="DL1045" s="5" t="s">
        <v>272</v>
      </c>
      <c r="DM1045" s="7">
        <f>1402.91</f>
        <v>1402.91</v>
      </c>
      <c r="DN1045" s="5" t="s">
        <v>238</v>
      </c>
      <c r="DO1045" s="5" t="s">
        <v>238</v>
      </c>
      <c r="DP1045" s="5" t="s">
        <v>238</v>
      </c>
      <c r="DQ1045" s="5" t="s">
        <v>238</v>
      </c>
      <c r="DT1045" s="5" t="s">
        <v>574</v>
      </c>
      <c r="DU1045" s="5" t="s">
        <v>271</v>
      </c>
      <c r="GL1045" s="5" t="s">
        <v>2087</v>
      </c>
      <c r="HM1045" s="5" t="s">
        <v>313</v>
      </c>
      <c r="HP1045" s="5" t="s">
        <v>272</v>
      </c>
      <c r="HQ1045" s="5" t="s">
        <v>272</v>
      </c>
      <c r="HR1045" s="5" t="s">
        <v>238</v>
      </c>
      <c r="HS1045" s="5" t="s">
        <v>238</v>
      </c>
      <c r="HT1045" s="5" t="s">
        <v>238</v>
      </c>
      <c r="HU1045" s="5" t="s">
        <v>238</v>
      </c>
      <c r="HV1045" s="5" t="s">
        <v>238</v>
      </c>
      <c r="HW1045" s="5" t="s">
        <v>238</v>
      </c>
      <c r="HX1045" s="5" t="s">
        <v>238</v>
      </c>
      <c r="HY1045" s="5" t="s">
        <v>238</v>
      </c>
      <c r="HZ1045" s="5" t="s">
        <v>238</v>
      </c>
      <c r="IA1045" s="5" t="s">
        <v>238</v>
      </c>
      <c r="IB1045" s="5" t="s">
        <v>238</v>
      </c>
      <c r="IC1045" s="5" t="s">
        <v>238</v>
      </c>
      <c r="ID1045" s="5" t="s">
        <v>238</v>
      </c>
    </row>
    <row r="1046" spans="1:238" x14ac:dyDescent="0.4">
      <c r="A1046" s="5">
        <v>1374</v>
      </c>
      <c r="B1046" s="5">
        <v>1</v>
      </c>
      <c r="C1046" s="5">
        <v>1</v>
      </c>
      <c r="D1046" s="5" t="s">
        <v>571</v>
      </c>
      <c r="E1046" s="5" t="s">
        <v>338</v>
      </c>
      <c r="F1046" s="5" t="s">
        <v>282</v>
      </c>
      <c r="G1046" s="5" t="s">
        <v>1181</v>
      </c>
      <c r="H1046" s="6" t="s">
        <v>573</v>
      </c>
      <c r="I1046" s="5" t="s">
        <v>1181</v>
      </c>
      <c r="J1046" s="7">
        <f>68</f>
        <v>68</v>
      </c>
      <c r="K1046" s="5" t="s">
        <v>270</v>
      </c>
      <c r="L1046" s="8">
        <f>1</f>
        <v>1</v>
      </c>
      <c r="M1046" s="8">
        <f>6528000</f>
        <v>6528000</v>
      </c>
      <c r="N1046" s="6" t="s">
        <v>1243</v>
      </c>
      <c r="O1046" s="5" t="s">
        <v>640</v>
      </c>
      <c r="P1046" s="5" t="s">
        <v>690</v>
      </c>
      <c r="R1046" s="8">
        <f>6527999</f>
        <v>6527999</v>
      </c>
      <c r="S1046" s="5" t="s">
        <v>240</v>
      </c>
      <c r="T1046" s="5" t="s">
        <v>237</v>
      </c>
      <c r="U1046" s="5" t="s">
        <v>238</v>
      </c>
      <c r="V1046" s="5" t="s">
        <v>238</v>
      </c>
      <c r="W1046" s="5" t="s">
        <v>241</v>
      </c>
      <c r="X1046" s="5" t="s">
        <v>337</v>
      </c>
      <c r="Y1046" s="5" t="s">
        <v>238</v>
      </c>
      <c r="AB1046" s="5" t="s">
        <v>238</v>
      </c>
      <c r="AD1046" s="6" t="s">
        <v>238</v>
      </c>
      <c r="AG1046" s="6" t="s">
        <v>246</v>
      </c>
      <c r="AH1046" s="5" t="s">
        <v>247</v>
      </c>
      <c r="AI1046" s="5" t="s">
        <v>248</v>
      </c>
      <c r="AY1046" s="5" t="s">
        <v>250</v>
      </c>
      <c r="AZ1046" s="5" t="s">
        <v>238</v>
      </c>
      <c r="BA1046" s="5" t="s">
        <v>251</v>
      </c>
      <c r="BB1046" s="5" t="s">
        <v>238</v>
      </c>
      <c r="BC1046" s="5" t="s">
        <v>253</v>
      </c>
      <c r="BD1046" s="5" t="s">
        <v>238</v>
      </c>
      <c r="BF1046" s="5" t="s">
        <v>238</v>
      </c>
      <c r="BH1046" s="5" t="s">
        <v>798</v>
      </c>
      <c r="BI1046" s="6" t="s">
        <v>1244</v>
      </c>
      <c r="BJ1046" s="5" t="s">
        <v>255</v>
      </c>
      <c r="BK1046" s="5" t="s">
        <v>256</v>
      </c>
      <c r="BL1046" s="5" t="s">
        <v>238</v>
      </c>
      <c r="BM1046" s="7">
        <f>0</f>
        <v>0</v>
      </c>
      <c r="BN1046" s="8">
        <f>0</f>
        <v>0</v>
      </c>
      <c r="BO1046" s="5" t="s">
        <v>257</v>
      </c>
      <c r="BP1046" s="5" t="s">
        <v>258</v>
      </c>
      <c r="CD1046" s="5" t="s">
        <v>238</v>
      </c>
      <c r="CE1046" s="5" t="s">
        <v>238</v>
      </c>
      <c r="CI1046" s="5" t="s">
        <v>259</v>
      </c>
      <c r="CJ1046" s="5" t="s">
        <v>260</v>
      </c>
      <c r="CK1046" s="5" t="s">
        <v>238</v>
      </c>
      <c r="CM1046" s="5" t="s">
        <v>689</v>
      </c>
      <c r="CN1046" s="6" t="s">
        <v>262</v>
      </c>
      <c r="CO1046" s="5" t="s">
        <v>263</v>
      </c>
      <c r="CP1046" s="5" t="s">
        <v>264</v>
      </c>
      <c r="CQ1046" s="5" t="s">
        <v>238</v>
      </c>
      <c r="CR1046" s="5" t="s">
        <v>238</v>
      </c>
      <c r="CS1046" s="5">
        <v>0</v>
      </c>
      <c r="CT1046" s="5" t="s">
        <v>265</v>
      </c>
      <c r="CU1046" s="5" t="s">
        <v>1187</v>
      </c>
      <c r="CV1046" s="5" t="s">
        <v>331</v>
      </c>
      <c r="CX1046" s="8">
        <f>6528000</f>
        <v>6528000</v>
      </c>
      <c r="CY1046" s="8">
        <f>0</f>
        <v>0</v>
      </c>
      <c r="DA1046" s="5" t="s">
        <v>238</v>
      </c>
      <c r="DB1046" s="5" t="s">
        <v>238</v>
      </c>
      <c r="DD1046" s="5" t="s">
        <v>238</v>
      </c>
      <c r="DG1046" s="5" t="s">
        <v>238</v>
      </c>
      <c r="DH1046" s="5" t="s">
        <v>238</v>
      </c>
      <c r="DI1046" s="5" t="s">
        <v>238</v>
      </c>
      <c r="DJ1046" s="5" t="s">
        <v>238</v>
      </c>
      <c r="DK1046" s="5" t="s">
        <v>271</v>
      </c>
      <c r="DL1046" s="5" t="s">
        <v>272</v>
      </c>
      <c r="DM1046" s="7">
        <f>68</f>
        <v>68</v>
      </c>
      <c r="DN1046" s="5" t="s">
        <v>238</v>
      </c>
      <c r="DO1046" s="5" t="s">
        <v>238</v>
      </c>
      <c r="DP1046" s="5" t="s">
        <v>238</v>
      </c>
      <c r="DQ1046" s="5" t="s">
        <v>238</v>
      </c>
      <c r="DT1046" s="5" t="s">
        <v>574</v>
      </c>
      <c r="DU1046" s="5" t="s">
        <v>274</v>
      </c>
      <c r="HM1046" s="5" t="s">
        <v>271</v>
      </c>
      <c r="HP1046" s="5" t="s">
        <v>272</v>
      </c>
      <c r="HQ1046" s="5" t="s">
        <v>272</v>
      </c>
    </row>
    <row r="1047" spans="1:238" x14ac:dyDescent="0.4">
      <c r="A1047" s="5">
        <v>1375</v>
      </c>
      <c r="B1047" s="5">
        <v>1</v>
      </c>
      <c r="C1047" s="5">
        <v>1</v>
      </c>
      <c r="D1047" s="5" t="s">
        <v>571</v>
      </c>
      <c r="E1047" s="5" t="s">
        <v>338</v>
      </c>
      <c r="F1047" s="5" t="s">
        <v>282</v>
      </c>
      <c r="G1047" s="5" t="s">
        <v>1181</v>
      </c>
      <c r="H1047" s="6" t="s">
        <v>573</v>
      </c>
      <c r="I1047" s="5" t="s">
        <v>1181</v>
      </c>
      <c r="J1047" s="7">
        <f>48</f>
        <v>48</v>
      </c>
      <c r="K1047" s="5" t="s">
        <v>270</v>
      </c>
      <c r="L1047" s="8">
        <f>1</f>
        <v>1</v>
      </c>
      <c r="M1047" s="8">
        <f>4608000</f>
        <v>4608000</v>
      </c>
      <c r="N1047" s="6" t="s">
        <v>1243</v>
      </c>
      <c r="O1047" s="5" t="s">
        <v>640</v>
      </c>
      <c r="P1047" s="5" t="s">
        <v>690</v>
      </c>
      <c r="R1047" s="8">
        <f>4607999</f>
        <v>4607999</v>
      </c>
      <c r="S1047" s="5" t="s">
        <v>240</v>
      </c>
      <c r="T1047" s="5" t="s">
        <v>237</v>
      </c>
      <c r="U1047" s="5" t="s">
        <v>238</v>
      </c>
      <c r="V1047" s="5" t="s">
        <v>238</v>
      </c>
      <c r="W1047" s="5" t="s">
        <v>241</v>
      </c>
      <c r="X1047" s="5" t="s">
        <v>337</v>
      </c>
      <c r="Y1047" s="5" t="s">
        <v>238</v>
      </c>
      <c r="AB1047" s="5" t="s">
        <v>238</v>
      </c>
      <c r="AD1047" s="6" t="s">
        <v>238</v>
      </c>
      <c r="AG1047" s="6" t="s">
        <v>246</v>
      </c>
      <c r="AH1047" s="5" t="s">
        <v>247</v>
      </c>
      <c r="AI1047" s="5" t="s">
        <v>248</v>
      </c>
      <c r="AY1047" s="5" t="s">
        <v>250</v>
      </c>
      <c r="AZ1047" s="5" t="s">
        <v>238</v>
      </c>
      <c r="BA1047" s="5" t="s">
        <v>251</v>
      </c>
      <c r="BB1047" s="5" t="s">
        <v>238</v>
      </c>
      <c r="BC1047" s="5" t="s">
        <v>253</v>
      </c>
      <c r="BD1047" s="5" t="s">
        <v>238</v>
      </c>
      <c r="BF1047" s="5" t="s">
        <v>238</v>
      </c>
      <c r="BH1047" s="5" t="s">
        <v>254</v>
      </c>
      <c r="BI1047" s="6" t="s">
        <v>246</v>
      </c>
      <c r="BJ1047" s="5" t="s">
        <v>255</v>
      </c>
      <c r="BK1047" s="5" t="s">
        <v>256</v>
      </c>
      <c r="BL1047" s="5" t="s">
        <v>238</v>
      </c>
      <c r="BM1047" s="7">
        <f>0</f>
        <v>0</v>
      </c>
      <c r="BN1047" s="8">
        <f>0</f>
        <v>0</v>
      </c>
      <c r="BO1047" s="5" t="s">
        <v>257</v>
      </c>
      <c r="BP1047" s="5" t="s">
        <v>258</v>
      </c>
      <c r="CD1047" s="5" t="s">
        <v>238</v>
      </c>
      <c r="CE1047" s="5" t="s">
        <v>238</v>
      </c>
      <c r="CI1047" s="5" t="s">
        <v>259</v>
      </c>
      <c r="CJ1047" s="5" t="s">
        <v>260</v>
      </c>
      <c r="CK1047" s="5" t="s">
        <v>238</v>
      </c>
      <c r="CM1047" s="5" t="s">
        <v>689</v>
      </c>
      <c r="CN1047" s="6" t="s">
        <v>262</v>
      </c>
      <c r="CO1047" s="5" t="s">
        <v>263</v>
      </c>
      <c r="CP1047" s="5" t="s">
        <v>264</v>
      </c>
      <c r="CQ1047" s="5" t="s">
        <v>238</v>
      </c>
      <c r="CR1047" s="5" t="s">
        <v>238</v>
      </c>
      <c r="CS1047" s="5">
        <v>0</v>
      </c>
      <c r="CT1047" s="5" t="s">
        <v>265</v>
      </c>
      <c r="CU1047" s="5" t="s">
        <v>1187</v>
      </c>
      <c r="CV1047" s="5" t="s">
        <v>331</v>
      </c>
      <c r="CX1047" s="8">
        <f>4608000</f>
        <v>4608000</v>
      </c>
      <c r="CY1047" s="8">
        <f>0</f>
        <v>0</v>
      </c>
      <c r="DA1047" s="5" t="s">
        <v>238</v>
      </c>
      <c r="DB1047" s="5" t="s">
        <v>238</v>
      </c>
      <c r="DD1047" s="5" t="s">
        <v>238</v>
      </c>
      <c r="DG1047" s="5" t="s">
        <v>238</v>
      </c>
      <c r="DH1047" s="5" t="s">
        <v>238</v>
      </c>
      <c r="DI1047" s="5" t="s">
        <v>238</v>
      </c>
      <c r="DJ1047" s="5" t="s">
        <v>238</v>
      </c>
      <c r="DK1047" s="5" t="s">
        <v>271</v>
      </c>
      <c r="DL1047" s="5" t="s">
        <v>272</v>
      </c>
      <c r="DM1047" s="7">
        <f>48</f>
        <v>48</v>
      </c>
      <c r="DN1047" s="5" t="s">
        <v>238</v>
      </c>
      <c r="DO1047" s="5" t="s">
        <v>238</v>
      </c>
      <c r="DP1047" s="5" t="s">
        <v>238</v>
      </c>
      <c r="DQ1047" s="5" t="s">
        <v>238</v>
      </c>
      <c r="DT1047" s="5" t="s">
        <v>574</v>
      </c>
      <c r="DU1047" s="5" t="s">
        <v>356</v>
      </c>
      <c r="HM1047" s="5" t="s">
        <v>271</v>
      </c>
      <c r="HP1047" s="5" t="s">
        <v>272</v>
      </c>
      <c r="HQ1047" s="5" t="s">
        <v>272</v>
      </c>
    </row>
    <row r="1048" spans="1:238" x14ac:dyDescent="0.4">
      <c r="A1048" s="5">
        <v>1376</v>
      </c>
      <c r="B1048" s="5">
        <v>1</v>
      </c>
      <c r="C1048" s="5">
        <v>4</v>
      </c>
      <c r="D1048" s="5" t="s">
        <v>571</v>
      </c>
      <c r="E1048" s="5" t="s">
        <v>338</v>
      </c>
      <c r="F1048" s="5" t="s">
        <v>282</v>
      </c>
      <c r="G1048" s="5" t="s">
        <v>553</v>
      </c>
      <c r="H1048" s="6" t="s">
        <v>573</v>
      </c>
      <c r="I1048" s="5" t="s">
        <v>542</v>
      </c>
      <c r="J1048" s="7">
        <f>0</f>
        <v>0</v>
      </c>
      <c r="K1048" s="5" t="s">
        <v>270</v>
      </c>
      <c r="L1048" s="8">
        <f>744480</f>
        <v>744480</v>
      </c>
      <c r="M1048" s="8">
        <f>880000</f>
        <v>880000</v>
      </c>
      <c r="N1048" s="6" t="s">
        <v>572</v>
      </c>
      <c r="O1048" s="5" t="s">
        <v>319</v>
      </c>
      <c r="P1048" s="5" t="s">
        <v>272</v>
      </c>
      <c r="Q1048" s="8">
        <f>879999</f>
        <v>879999</v>
      </c>
      <c r="R1048" s="8">
        <f>135520</f>
        <v>135520</v>
      </c>
      <c r="S1048" s="5" t="s">
        <v>240</v>
      </c>
      <c r="T1048" s="5" t="s">
        <v>287</v>
      </c>
      <c r="U1048" s="5" t="s">
        <v>238</v>
      </c>
      <c r="V1048" s="5" t="s">
        <v>238</v>
      </c>
      <c r="W1048" s="5" t="s">
        <v>241</v>
      </c>
      <c r="X1048" s="5" t="s">
        <v>238</v>
      </c>
      <c r="Y1048" s="5" t="s">
        <v>238</v>
      </c>
      <c r="AB1048" s="5" t="s">
        <v>238</v>
      </c>
      <c r="AC1048" s="6" t="s">
        <v>238</v>
      </c>
      <c r="AD1048" s="6" t="s">
        <v>238</v>
      </c>
      <c r="AF1048" s="6" t="s">
        <v>238</v>
      </c>
      <c r="AG1048" s="6" t="s">
        <v>246</v>
      </c>
      <c r="AH1048" s="5" t="s">
        <v>247</v>
      </c>
      <c r="AI1048" s="5" t="s">
        <v>248</v>
      </c>
      <c r="AO1048" s="5" t="s">
        <v>238</v>
      </c>
      <c r="AP1048" s="5" t="s">
        <v>238</v>
      </c>
      <c r="AQ1048" s="5" t="s">
        <v>238</v>
      </c>
      <c r="AR1048" s="6" t="s">
        <v>238</v>
      </c>
      <c r="AS1048" s="6" t="s">
        <v>238</v>
      </c>
      <c r="AT1048" s="6" t="s">
        <v>238</v>
      </c>
      <c r="AW1048" s="5" t="s">
        <v>304</v>
      </c>
      <c r="AX1048" s="5" t="s">
        <v>304</v>
      </c>
      <c r="AY1048" s="5" t="s">
        <v>250</v>
      </c>
      <c r="AZ1048" s="5" t="s">
        <v>305</v>
      </c>
      <c r="BA1048" s="5" t="s">
        <v>251</v>
      </c>
      <c r="BB1048" s="5" t="s">
        <v>238</v>
      </c>
      <c r="BC1048" s="5" t="s">
        <v>253</v>
      </c>
      <c r="BD1048" s="5" t="s">
        <v>238</v>
      </c>
      <c r="BF1048" s="5" t="s">
        <v>238</v>
      </c>
      <c r="BH1048" s="5" t="s">
        <v>283</v>
      </c>
      <c r="BI1048" s="6" t="s">
        <v>293</v>
      </c>
      <c r="BJ1048" s="5" t="s">
        <v>294</v>
      </c>
      <c r="BK1048" s="5" t="s">
        <v>294</v>
      </c>
      <c r="BL1048" s="5" t="s">
        <v>238</v>
      </c>
      <c r="BM1048" s="7">
        <f>0</f>
        <v>0</v>
      </c>
      <c r="BN1048" s="8">
        <f>-67760</f>
        <v>-67760</v>
      </c>
      <c r="BO1048" s="5" t="s">
        <v>257</v>
      </c>
      <c r="BP1048" s="5" t="s">
        <v>258</v>
      </c>
      <c r="BQ1048" s="5" t="s">
        <v>238</v>
      </c>
      <c r="BR1048" s="5" t="s">
        <v>238</v>
      </c>
      <c r="BS1048" s="5" t="s">
        <v>238</v>
      </c>
      <c r="BT1048" s="5" t="s">
        <v>238</v>
      </c>
      <c r="CC1048" s="5" t="s">
        <v>258</v>
      </c>
      <c r="CD1048" s="5" t="s">
        <v>238</v>
      </c>
      <c r="CE1048" s="5" t="s">
        <v>238</v>
      </c>
      <c r="CI1048" s="5" t="s">
        <v>259</v>
      </c>
      <c r="CJ1048" s="5" t="s">
        <v>260</v>
      </c>
      <c r="CK1048" s="5" t="s">
        <v>238</v>
      </c>
      <c r="CM1048" s="5" t="s">
        <v>408</v>
      </c>
      <c r="CN1048" s="6" t="s">
        <v>262</v>
      </c>
      <c r="CO1048" s="5" t="s">
        <v>263</v>
      </c>
      <c r="CP1048" s="5" t="s">
        <v>264</v>
      </c>
      <c r="CQ1048" s="5" t="s">
        <v>285</v>
      </c>
      <c r="CR1048" s="5" t="s">
        <v>238</v>
      </c>
      <c r="CS1048" s="5">
        <v>7.6999999999999999E-2</v>
      </c>
      <c r="CT1048" s="5" t="s">
        <v>265</v>
      </c>
      <c r="CU1048" s="5" t="s">
        <v>351</v>
      </c>
      <c r="CV1048" s="5" t="s">
        <v>352</v>
      </c>
      <c r="CW1048" s="7">
        <f>0</f>
        <v>0</v>
      </c>
      <c r="CX1048" s="8">
        <f>880000</f>
        <v>880000</v>
      </c>
      <c r="CY1048" s="8">
        <f>812240</f>
        <v>812240</v>
      </c>
      <c r="DA1048" s="5" t="s">
        <v>238</v>
      </c>
      <c r="DB1048" s="5" t="s">
        <v>238</v>
      </c>
      <c r="DD1048" s="5" t="s">
        <v>238</v>
      </c>
      <c r="DE1048" s="8">
        <f>0</f>
        <v>0</v>
      </c>
      <c r="DG1048" s="5" t="s">
        <v>238</v>
      </c>
      <c r="DH1048" s="5" t="s">
        <v>238</v>
      </c>
      <c r="DI1048" s="5" t="s">
        <v>238</v>
      </c>
      <c r="DJ1048" s="5" t="s">
        <v>238</v>
      </c>
      <c r="DK1048" s="5" t="s">
        <v>272</v>
      </c>
      <c r="DL1048" s="5" t="s">
        <v>272</v>
      </c>
      <c r="DM1048" s="8" t="s">
        <v>238</v>
      </c>
      <c r="DN1048" s="5" t="s">
        <v>238</v>
      </c>
      <c r="DO1048" s="5" t="s">
        <v>238</v>
      </c>
      <c r="DP1048" s="5" t="s">
        <v>238</v>
      </c>
      <c r="DQ1048" s="5" t="s">
        <v>238</v>
      </c>
      <c r="DT1048" s="5" t="s">
        <v>574</v>
      </c>
      <c r="DU1048" s="5" t="s">
        <v>310</v>
      </c>
      <c r="GL1048" s="5" t="s">
        <v>575</v>
      </c>
      <c r="HM1048" s="5" t="s">
        <v>274</v>
      </c>
      <c r="HP1048" s="5" t="s">
        <v>272</v>
      </c>
      <c r="HQ1048" s="5" t="s">
        <v>272</v>
      </c>
      <c r="HR1048" s="5" t="s">
        <v>238</v>
      </c>
      <c r="HS1048" s="5" t="s">
        <v>238</v>
      </c>
      <c r="HT1048" s="5" t="s">
        <v>238</v>
      </c>
      <c r="HU1048" s="5" t="s">
        <v>238</v>
      </c>
      <c r="HV1048" s="5" t="s">
        <v>238</v>
      </c>
      <c r="HW1048" s="5" t="s">
        <v>238</v>
      </c>
      <c r="HX1048" s="5" t="s">
        <v>238</v>
      </c>
      <c r="HY1048" s="5" t="s">
        <v>238</v>
      </c>
      <c r="HZ1048" s="5" t="s">
        <v>238</v>
      </c>
      <c r="IA1048" s="5" t="s">
        <v>238</v>
      </c>
      <c r="IB1048" s="5" t="s">
        <v>238</v>
      </c>
      <c r="IC1048" s="5" t="s">
        <v>238</v>
      </c>
      <c r="ID1048" s="5" t="s">
        <v>238</v>
      </c>
    </row>
    <row r="1049" spans="1:238" x14ac:dyDescent="0.4">
      <c r="A1049" s="5">
        <v>1377</v>
      </c>
      <c r="B1049" s="5">
        <v>1</v>
      </c>
      <c r="C1049" s="5">
        <v>4</v>
      </c>
      <c r="D1049" s="5" t="s">
        <v>1193</v>
      </c>
      <c r="E1049" s="5" t="s">
        <v>338</v>
      </c>
      <c r="F1049" s="5" t="s">
        <v>282</v>
      </c>
      <c r="G1049" s="5" t="s">
        <v>2060</v>
      </c>
      <c r="H1049" s="6" t="s">
        <v>1195</v>
      </c>
      <c r="I1049" s="5" t="s">
        <v>1850</v>
      </c>
      <c r="J1049" s="7">
        <f>1126.09</f>
        <v>1126.0899999999999</v>
      </c>
      <c r="K1049" s="5" t="s">
        <v>270</v>
      </c>
      <c r="L1049" s="8">
        <f>348800320</f>
        <v>348800320</v>
      </c>
      <c r="M1049" s="8">
        <f>545000500</f>
        <v>545000500</v>
      </c>
      <c r="N1049" s="6" t="s">
        <v>1194</v>
      </c>
      <c r="O1049" s="5" t="s">
        <v>279</v>
      </c>
      <c r="P1049" s="5" t="s">
        <v>269</v>
      </c>
      <c r="Q1049" s="8">
        <f>10900010</f>
        <v>10900010</v>
      </c>
      <c r="R1049" s="8">
        <f>196200180</f>
        <v>196200180</v>
      </c>
      <c r="S1049" s="5" t="s">
        <v>240</v>
      </c>
      <c r="T1049" s="5" t="s">
        <v>237</v>
      </c>
      <c r="U1049" s="5" t="s">
        <v>238</v>
      </c>
      <c r="V1049" s="5" t="s">
        <v>238</v>
      </c>
      <c r="W1049" s="5" t="s">
        <v>241</v>
      </c>
      <c r="X1049" s="5" t="s">
        <v>337</v>
      </c>
      <c r="Y1049" s="5" t="s">
        <v>238</v>
      </c>
      <c r="AB1049" s="5" t="s">
        <v>238</v>
      </c>
      <c r="AC1049" s="6" t="s">
        <v>238</v>
      </c>
      <c r="AD1049" s="6" t="s">
        <v>238</v>
      </c>
      <c r="AF1049" s="6" t="s">
        <v>238</v>
      </c>
      <c r="AG1049" s="6" t="s">
        <v>246</v>
      </c>
      <c r="AH1049" s="5" t="s">
        <v>247</v>
      </c>
      <c r="AI1049" s="5" t="s">
        <v>248</v>
      </c>
      <c r="AO1049" s="5" t="s">
        <v>238</v>
      </c>
      <c r="AP1049" s="5" t="s">
        <v>238</v>
      </c>
      <c r="AQ1049" s="5" t="s">
        <v>238</v>
      </c>
      <c r="AR1049" s="6" t="s">
        <v>238</v>
      </c>
      <c r="AS1049" s="6" t="s">
        <v>238</v>
      </c>
      <c r="AT1049" s="6" t="s">
        <v>238</v>
      </c>
      <c r="AW1049" s="5" t="s">
        <v>304</v>
      </c>
      <c r="AX1049" s="5" t="s">
        <v>304</v>
      </c>
      <c r="AY1049" s="5" t="s">
        <v>250</v>
      </c>
      <c r="AZ1049" s="5" t="s">
        <v>305</v>
      </c>
      <c r="BA1049" s="5" t="s">
        <v>251</v>
      </c>
      <c r="BB1049" s="5" t="s">
        <v>238</v>
      </c>
      <c r="BC1049" s="5" t="s">
        <v>253</v>
      </c>
      <c r="BD1049" s="5" t="s">
        <v>238</v>
      </c>
      <c r="BF1049" s="5" t="s">
        <v>710</v>
      </c>
      <c r="BH1049" s="5" t="s">
        <v>283</v>
      </c>
      <c r="BI1049" s="6" t="s">
        <v>293</v>
      </c>
      <c r="BJ1049" s="5" t="s">
        <v>294</v>
      </c>
      <c r="BK1049" s="5" t="s">
        <v>294</v>
      </c>
      <c r="BL1049" s="5" t="s">
        <v>238</v>
      </c>
      <c r="BM1049" s="7">
        <f>0</f>
        <v>0</v>
      </c>
      <c r="BN1049" s="8">
        <f>-10900010</f>
        <v>-10900010</v>
      </c>
      <c r="BO1049" s="5" t="s">
        <v>257</v>
      </c>
      <c r="BP1049" s="5" t="s">
        <v>258</v>
      </c>
      <c r="BQ1049" s="5" t="s">
        <v>238</v>
      </c>
      <c r="BR1049" s="5" t="s">
        <v>238</v>
      </c>
      <c r="BS1049" s="5" t="s">
        <v>238</v>
      </c>
      <c r="BT1049" s="5" t="s">
        <v>238</v>
      </c>
      <c r="CC1049" s="5" t="s">
        <v>258</v>
      </c>
      <c r="CD1049" s="5" t="s">
        <v>238</v>
      </c>
      <c r="CE1049" s="5" t="s">
        <v>238</v>
      </c>
      <c r="CI1049" s="5" t="s">
        <v>259</v>
      </c>
      <c r="CJ1049" s="5" t="s">
        <v>260</v>
      </c>
      <c r="CK1049" s="5" t="s">
        <v>238</v>
      </c>
      <c r="CM1049" s="5" t="s">
        <v>682</v>
      </c>
      <c r="CN1049" s="6" t="s">
        <v>262</v>
      </c>
      <c r="CO1049" s="5" t="s">
        <v>263</v>
      </c>
      <c r="CP1049" s="5" t="s">
        <v>264</v>
      </c>
      <c r="CQ1049" s="5" t="s">
        <v>285</v>
      </c>
      <c r="CR1049" s="5" t="s">
        <v>238</v>
      </c>
      <c r="CS1049" s="5">
        <v>0.02</v>
      </c>
      <c r="CT1049" s="5" t="s">
        <v>265</v>
      </c>
      <c r="CU1049" s="5" t="s">
        <v>2061</v>
      </c>
      <c r="CV1049" s="5" t="s">
        <v>308</v>
      </c>
      <c r="CW1049" s="7">
        <f>0</f>
        <v>0</v>
      </c>
      <c r="CX1049" s="8">
        <f>545000500</f>
        <v>545000500</v>
      </c>
      <c r="CY1049" s="8">
        <f>359700330</f>
        <v>359700330</v>
      </c>
      <c r="DA1049" s="5" t="s">
        <v>238</v>
      </c>
      <c r="DB1049" s="5" t="s">
        <v>238</v>
      </c>
      <c r="DD1049" s="5" t="s">
        <v>238</v>
      </c>
      <c r="DE1049" s="8">
        <f>0</f>
        <v>0</v>
      </c>
      <c r="DG1049" s="5" t="s">
        <v>238</v>
      </c>
      <c r="DH1049" s="5" t="s">
        <v>238</v>
      </c>
      <c r="DI1049" s="5" t="s">
        <v>238</v>
      </c>
      <c r="DJ1049" s="5" t="s">
        <v>238</v>
      </c>
      <c r="DK1049" s="5" t="s">
        <v>274</v>
      </c>
      <c r="DL1049" s="5" t="s">
        <v>272</v>
      </c>
      <c r="DM1049" s="7">
        <f>1126.09</f>
        <v>1126.0899999999999</v>
      </c>
      <c r="DN1049" s="5" t="s">
        <v>238</v>
      </c>
      <c r="DO1049" s="5" t="s">
        <v>238</v>
      </c>
      <c r="DP1049" s="5" t="s">
        <v>238</v>
      </c>
      <c r="DQ1049" s="5" t="s">
        <v>238</v>
      </c>
      <c r="DT1049" s="5" t="s">
        <v>1196</v>
      </c>
      <c r="DU1049" s="5" t="s">
        <v>271</v>
      </c>
      <c r="GL1049" s="5" t="s">
        <v>2062</v>
      </c>
      <c r="HM1049" s="5" t="s">
        <v>389</v>
      </c>
      <c r="HP1049" s="5" t="s">
        <v>272</v>
      </c>
      <c r="HQ1049" s="5" t="s">
        <v>272</v>
      </c>
      <c r="HR1049" s="5" t="s">
        <v>238</v>
      </c>
      <c r="HS1049" s="5" t="s">
        <v>238</v>
      </c>
      <c r="HT1049" s="5" t="s">
        <v>238</v>
      </c>
      <c r="HU1049" s="5" t="s">
        <v>238</v>
      </c>
      <c r="HV1049" s="5" t="s">
        <v>238</v>
      </c>
      <c r="HW1049" s="5" t="s">
        <v>238</v>
      </c>
      <c r="HX1049" s="5" t="s">
        <v>238</v>
      </c>
      <c r="HY1049" s="5" t="s">
        <v>238</v>
      </c>
      <c r="HZ1049" s="5" t="s">
        <v>238</v>
      </c>
      <c r="IA1049" s="5" t="s">
        <v>238</v>
      </c>
      <c r="IB1049" s="5" t="s">
        <v>238</v>
      </c>
      <c r="IC1049" s="5" t="s">
        <v>238</v>
      </c>
      <c r="ID1049" s="5" t="s">
        <v>238</v>
      </c>
    </row>
    <row r="1050" spans="1:238" x14ac:dyDescent="0.4">
      <c r="A1050" s="5">
        <v>1378</v>
      </c>
      <c r="B1050" s="5">
        <v>1</v>
      </c>
      <c r="C1050" s="5">
        <v>4</v>
      </c>
      <c r="D1050" s="5" t="s">
        <v>1193</v>
      </c>
      <c r="E1050" s="5" t="s">
        <v>338</v>
      </c>
      <c r="F1050" s="5" t="s">
        <v>282</v>
      </c>
      <c r="G1050" s="5" t="s">
        <v>1185</v>
      </c>
      <c r="H1050" s="6" t="s">
        <v>1195</v>
      </c>
      <c r="I1050" s="5" t="s">
        <v>1181</v>
      </c>
      <c r="J1050" s="7">
        <f>49.68</f>
        <v>49.68</v>
      </c>
      <c r="K1050" s="5" t="s">
        <v>270</v>
      </c>
      <c r="L1050" s="8">
        <f>1321488</f>
        <v>1321488</v>
      </c>
      <c r="M1050" s="8">
        <f>4719600</f>
        <v>4719600</v>
      </c>
      <c r="N1050" s="6" t="s">
        <v>1194</v>
      </c>
      <c r="O1050" s="5" t="s">
        <v>640</v>
      </c>
      <c r="P1050" s="5" t="s">
        <v>269</v>
      </c>
      <c r="Q1050" s="8">
        <f>188784</f>
        <v>188784</v>
      </c>
      <c r="R1050" s="8">
        <f>3398112</f>
        <v>3398112</v>
      </c>
      <c r="S1050" s="5" t="s">
        <v>240</v>
      </c>
      <c r="T1050" s="5" t="s">
        <v>237</v>
      </c>
      <c r="U1050" s="5" t="s">
        <v>238</v>
      </c>
      <c r="V1050" s="5" t="s">
        <v>238</v>
      </c>
      <c r="W1050" s="5" t="s">
        <v>241</v>
      </c>
      <c r="X1050" s="5" t="s">
        <v>337</v>
      </c>
      <c r="Y1050" s="5" t="s">
        <v>238</v>
      </c>
      <c r="AB1050" s="5" t="s">
        <v>238</v>
      </c>
      <c r="AC1050" s="6" t="s">
        <v>238</v>
      </c>
      <c r="AD1050" s="6" t="s">
        <v>238</v>
      </c>
      <c r="AF1050" s="6" t="s">
        <v>238</v>
      </c>
      <c r="AG1050" s="6" t="s">
        <v>246</v>
      </c>
      <c r="AH1050" s="5" t="s">
        <v>247</v>
      </c>
      <c r="AI1050" s="5" t="s">
        <v>248</v>
      </c>
      <c r="AO1050" s="5" t="s">
        <v>238</v>
      </c>
      <c r="AP1050" s="5" t="s">
        <v>238</v>
      </c>
      <c r="AQ1050" s="5" t="s">
        <v>238</v>
      </c>
      <c r="AR1050" s="6" t="s">
        <v>238</v>
      </c>
      <c r="AS1050" s="6" t="s">
        <v>238</v>
      </c>
      <c r="AT1050" s="6" t="s">
        <v>238</v>
      </c>
      <c r="AW1050" s="5" t="s">
        <v>304</v>
      </c>
      <c r="AX1050" s="5" t="s">
        <v>304</v>
      </c>
      <c r="AY1050" s="5" t="s">
        <v>250</v>
      </c>
      <c r="AZ1050" s="5" t="s">
        <v>305</v>
      </c>
      <c r="BA1050" s="5" t="s">
        <v>251</v>
      </c>
      <c r="BB1050" s="5" t="s">
        <v>238</v>
      </c>
      <c r="BC1050" s="5" t="s">
        <v>253</v>
      </c>
      <c r="BD1050" s="5" t="s">
        <v>238</v>
      </c>
      <c r="BF1050" s="5" t="s">
        <v>238</v>
      </c>
      <c r="BH1050" s="5" t="s">
        <v>283</v>
      </c>
      <c r="BI1050" s="6" t="s">
        <v>293</v>
      </c>
      <c r="BJ1050" s="5" t="s">
        <v>294</v>
      </c>
      <c r="BK1050" s="5" t="s">
        <v>294</v>
      </c>
      <c r="BL1050" s="5" t="s">
        <v>238</v>
      </c>
      <c r="BM1050" s="7">
        <f>0</f>
        <v>0</v>
      </c>
      <c r="BN1050" s="8">
        <f>-188784</f>
        <v>-188784</v>
      </c>
      <c r="BO1050" s="5" t="s">
        <v>257</v>
      </c>
      <c r="BP1050" s="5" t="s">
        <v>258</v>
      </c>
      <c r="BQ1050" s="5" t="s">
        <v>238</v>
      </c>
      <c r="BR1050" s="5" t="s">
        <v>238</v>
      </c>
      <c r="BS1050" s="5" t="s">
        <v>238</v>
      </c>
      <c r="BT1050" s="5" t="s">
        <v>238</v>
      </c>
      <c r="CC1050" s="5" t="s">
        <v>258</v>
      </c>
      <c r="CD1050" s="5" t="s">
        <v>238</v>
      </c>
      <c r="CE1050" s="5" t="s">
        <v>238</v>
      </c>
      <c r="CI1050" s="5" t="s">
        <v>259</v>
      </c>
      <c r="CJ1050" s="5" t="s">
        <v>260</v>
      </c>
      <c r="CK1050" s="5" t="s">
        <v>238</v>
      </c>
      <c r="CM1050" s="5" t="s">
        <v>682</v>
      </c>
      <c r="CN1050" s="6" t="s">
        <v>262</v>
      </c>
      <c r="CO1050" s="5" t="s">
        <v>263</v>
      </c>
      <c r="CP1050" s="5" t="s">
        <v>264</v>
      </c>
      <c r="CQ1050" s="5" t="s">
        <v>285</v>
      </c>
      <c r="CR1050" s="5" t="s">
        <v>238</v>
      </c>
      <c r="CS1050" s="5">
        <v>0.04</v>
      </c>
      <c r="CT1050" s="5" t="s">
        <v>265</v>
      </c>
      <c r="CU1050" s="5" t="s">
        <v>1187</v>
      </c>
      <c r="CV1050" s="5" t="s">
        <v>331</v>
      </c>
      <c r="CW1050" s="7">
        <f>0</f>
        <v>0</v>
      </c>
      <c r="CX1050" s="8">
        <f>4719600</f>
        <v>4719600</v>
      </c>
      <c r="CY1050" s="8">
        <f>1510272</f>
        <v>1510272</v>
      </c>
      <c r="DA1050" s="5" t="s">
        <v>238</v>
      </c>
      <c r="DB1050" s="5" t="s">
        <v>238</v>
      </c>
      <c r="DD1050" s="5" t="s">
        <v>238</v>
      </c>
      <c r="DE1050" s="8">
        <f>0</f>
        <v>0</v>
      </c>
      <c r="DG1050" s="5" t="s">
        <v>238</v>
      </c>
      <c r="DH1050" s="5" t="s">
        <v>238</v>
      </c>
      <c r="DI1050" s="5" t="s">
        <v>238</v>
      </c>
      <c r="DJ1050" s="5" t="s">
        <v>238</v>
      </c>
      <c r="DK1050" s="5" t="s">
        <v>271</v>
      </c>
      <c r="DL1050" s="5" t="s">
        <v>272</v>
      </c>
      <c r="DM1050" s="7">
        <f>49.68</f>
        <v>49.68</v>
      </c>
      <c r="DN1050" s="5" t="s">
        <v>238</v>
      </c>
      <c r="DO1050" s="5" t="s">
        <v>238</v>
      </c>
      <c r="DP1050" s="5" t="s">
        <v>238</v>
      </c>
      <c r="DQ1050" s="5" t="s">
        <v>238</v>
      </c>
      <c r="DT1050" s="5" t="s">
        <v>1196</v>
      </c>
      <c r="DU1050" s="5" t="s">
        <v>274</v>
      </c>
      <c r="GL1050" s="5" t="s">
        <v>1197</v>
      </c>
      <c r="HM1050" s="5" t="s">
        <v>313</v>
      </c>
      <c r="HP1050" s="5" t="s">
        <v>272</v>
      </c>
      <c r="HQ1050" s="5" t="s">
        <v>272</v>
      </c>
      <c r="HR1050" s="5" t="s">
        <v>238</v>
      </c>
      <c r="HS1050" s="5" t="s">
        <v>238</v>
      </c>
      <c r="HT1050" s="5" t="s">
        <v>238</v>
      </c>
      <c r="HU1050" s="5" t="s">
        <v>238</v>
      </c>
      <c r="HV1050" s="5" t="s">
        <v>238</v>
      </c>
      <c r="HW1050" s="5" t="s">
        <v>238</v>
      </c>
      <c r="HX1050" s="5" t="s">
        <v>238</v>
      </c>
      <c r="HY1050" s="5" t="s">
        <v>238</v>
      </c>
      <c r="HZ1050" s="5" t="s">
        <v>238</v>
      </c>
      <c r="IA1050" s="5" t="s">
        <v>238</v>
      </c>
      <c r="IB1050" s="5" t="s">
        <v>238</v>
      </c>
      <c r="IC1050" s="5" t="s">
        <v>238</v>
      </c>
      <c r="ID1050" s="5" t="s">
        <v>238</v>
      </c>
    </row>
    <row r="1051" spans="1:238" x14ac:dyDescent="0.4">
      <c r="A1051" s="5">
        <v>1379</v>
      </c>
      <c r="B1051" s="5">
        <v>1</v>
      </c>
      <c r="C1051" s="5">
        <v>4</v>
      </c>
      <c r="D1051" s="5" t="s">
        <v>1258</v>
      </c>
      <c r="E1051" s="5" t="s">
        <v>338</v>
      </c>
      <c r="F1051" s="5" t="s">
        <v>282</v>
      </c>
      <c r="G1051" s="5" t="s">
        <v>2060</v>
      </c>
      <c r="H1051" s="6" t="s">
        <v>1260</v>
      </c>
      <c r="I1051" s="5" t="s">
        <v>1850</v>
      </c>
      <c r="J1051" s="7">
        <f>1177.42</f>
        <v>1177.42</v>
      </c>
      <c r="K1051" s="5" t="s">
        <v>270</v>
      </c>
      <c r="L1051" s="8">
        <f>97137150</f>
        <v>97137150</v>
      </c>
      <c r="M1051" s="8">
        <f>323790500</f>
        <v>323790500</v>
      </c>
      <c r="N1051" s="6" t="s">
        <v>1259</v>
      </c>
      <c r="O1051" s="5" t="s">
        <v>279</v>
      </c>
      <c r="P1051" s="5" t="s">
        <v>309</v>
      </c>
      <c r="Q1051" s="8">
        <f>6475810</f>
        <v>6475810</v>
      </c>
      <c r="R1051" s="8">
        <f>226653350</f>
        <v>226653350</v>
      </c>
      <c r="S1051" s="5" t="s">
        <v>240</v>
      </c>
      <c r="T1051" s="5" t="s">
        <v>237</v>
      </c>
      <c r="U1051" s="5" t="s">
        <v>238</v>
      </c>
      <c r="V1051" s="5" t="s">
        <v>238</v>
      </c>
      <c r="W1051" s="5" t="s">
        <v>241</v>
      </c>
      <c r="X1051" s="5" t="s">
        <v>337</v>
      </c>
      <c r="Y1051" s="5" t="s">
        <v>238</v>
      </c>
      <c r="AB1051" s="5" t="s">
        <v>238</v>
      </c>
      <c r="AC1051" s="6" t="s">
        <v>238</v>
      </c>
      <c r="AD1051" s="6" t="s">
        <v>238</v>
      </c>
      <c r="AF1051" s="6" t="s">
        <v>238</v>
      </c>
      <c r="AG1051" s="6" t="s">
        <v>246</v>
      </c>
      <c r="AH1051" s="5" t="s">
        <v>247</v>
      </c>
      <c r="AI1051" s="5" t="s">
        <v>248</v>
      </c>
      <c r="AO1051" s="5" t="s">
        <v>238</v>
      </c>
      <c r="AP1051" s="5" t="s">
        <v>238</v>
      </c>
      <c r="AQ1051" s="5" t="s">
        <v>238</v>
      </c>
      <c r="AR1051" s="6" t="s">
        <v>238</v>
      </c>
      <c r="AS1051" s="6" t="s">
        <v>238</v>
      </c>
      <c r="AT1051" s="6" t="s">
        <v>238</v>
      </c>
      <c r="AW1051" s="5" t="s">
        <v>304</v>
      </c>
      <c r="AX1051" s="5" t="s">
        <v>304</v>
      </c>
      <c r="AY1051" s="5" t="s">
        <v>250</v>
      </c>
      <c r="AZ1051" s="5" t="s">
        <v>305</v>
      </c>
      <c r="BA1051" s="5" t="s">
        <v>251</v>
      </c>
      <c r="BB1051" s="5" t="s">
        <v>238</v>
      </c>
      <c r="BC1051" s="5" t="s">
        <v>253</v>
      </c>
      <c r="BD1051" s="5" t="s">
        <v>238</v>
      </c>
      <c r="BF1051" s="5" t="s">
        <v>710</v>
      </c>
      <c r="BH1051" s="5" t="s">
        <v>283</v>
      </c>
      <c r="BI1051" s="6" t="s">
        <v>293</v>
      </c>
      <c r="BJ1051" s="5" t="s">
        <v>294</v>
      </c>
      <c r="BK1051" s="5" t="s">
        <v>294</v>
      </c>
      <c r="BL1051" s="5" t="s">
        <v>238</v>
      </c>
      <c r="BM1051" s="7">
        <f>0</f>
        <v>0</v>
      </c>
      <c r="BN1051" s="8">
        <f>-6475810</f>
        <v>-6475810</v>
      </c>
      <c r="BO1051" s="5" t="s">
        <v>257</v>
      </c>
      <c r="BP1051" s="5" t="s">
        <v>258</v>
      </c>
      <c r="BQ1051" s="5" t="s">
        <v>238</v>
      </c>
      <c r="BR1051" s="5" t="s">
        <v>238</v>
      </c>
      <c r="BS1051" s="5" t="s">
        <v>238</v>
      </c>
      <c r="BT1051" s="5" t="s">
        <v>238</v>
      </c>
      <c r="CC1051" s="5" t="s">
        <v>258</v>
      </c>
      <c r="CD1051" s="5" t="s">
        <v>238</v>
      </c>
      <c r="CE1051" s="5" t="s">
        <v>238</v>
      </c>
      <c r="CI1051" s="5" t="s">
        <v>259</v>
      </c>
      <c r="CJ1051" s="5" t="s">
        <v>260</v>
      </c>
      <c r="CK1051" s="5" t="s">
        <v>238</v>
      </c>
      <c r="CM1051" s="5" t="s">
        <v>306</v>
      </c>
      <c r="CN1051" s="6" t="s">
        <v>262</v>
      </c>
      <c r="CO1051" s="5" t="s">
        <v>263</v>
      </c>
      <c r="CP1051" s="5" t="s">
        <v>264</v>
      </c>
      <c r="CQ1051" s="5" t="s">
        <v>285</v>
      </c>
      <c r="CR1051" s="5" t="s">
        <v>238</v>
      </c>
      <c r="CS1051" s="5">
        <v>0.02</v>
      </c>
      <c r="CT1051" s="5" t="s">
        <v>265</v>
      </c>
      <c r="CU1051" s="5" t="s">
        <v>2061</v>
      </c>
      <c r="CV1051" s="5" t="s">
        <v>308</v>
      </c>
      <c r="CW1051" s="7">
        <f>0</f>
        <v>0</v>
      </c>
      <c r="CX1051" s="8">
        <f>323790500</f>
        <v>323790500</v>
      </c>
      <c r="CY1051" s="8">
        <f>103612960</f>
        <v>103612960</v>
      </c>
      <c r="DA1051" s="5" t="s">
        <v>238</v>
      </c>
      <c r="DB1051" s="5" t="s">
        <v>238</v>
      </c>
      <c r="DD1051" s="5" t="s">
        <v>238</v>
      </c>
      <c r="DE1051" s="8">
        <f>0</f>
        <v>0</v>
      </c>
      <c r="DG1051" s="5" t="s">
        <v>238</v>
      </c>
      <c r="DH1051" s="5" t="s">
        <v>238</v>
      </c>
      <c r="DI1051" s="5" t="s">
        <v>238</v>
      </c>
      <c r="DJ1051" s="5" t="s">
        <v>238</v>
      </c>
      <c r="DK1051" s="5" t="s">
        <v>274</v>
      </c>
      <c r="DL1051" s="5" t="s">
        <v>272</v>
      </c>
      <c r="DM1051" s="7">
        <f>1177.42</f>
        <v>1177.42</v>
      </c>
      <c r="DN1051" s="5" t="s">
        <v>238</v>
      </c>
      <c r="DO1051" s="5" t="s">
        <v>238</v>
      </c>
      <c r="DP1051" s="5" t="s">
        <v>238</v>
      </c>
      <c r="DQ1051" s="5" t="s">
        <v>238</v>
      </c>
      <c r="DT1051" s="5" t="s">
        <v>1261</v>
      </c>
      <c r="DU1051" s="5" t="s">
        <v>271</v>
      </c>
      <c r="GL1051" s="5" t="s">
        <v>2063</v>
      </c>
      <c r="HM1051" s="5" t="s">
        <v>313</v>
      </c>
      <c r="HP1051" s="5" t="s">
        <v>272</v>
      </c>
      <c r="HQ1051" s="5" t="s">
        <v>272</v>
      </c>
      <c r="HR1051" s="5" t="s">
        <v>238</v>
      </c>
      <c r="HS1051" s="5" t="s">
        <v>238</v>
      </c>
      <c r="HT1051" s="5" t="s">
        <v>238</v>
      </c>
      <c r="HU1051" s="5" t="s">
        <v>238</v>
      </c>
      <c r="HV1051" s="5" t="s">
        <v>238</v>
      </c>
      <c r="HW1051" s="5" t="s">
        <v>238</v>
      </c>
      <c r="HX1051" s="5" t="s">
        <v>238</v>
      </c>
      <c r="HY1051" s="5" t="s">
        <v>238</v>
      </c>
      <c r="HZ1051" s="5" t="s">
        <v>238</v>
      </c>
      <c r="IA1051" s="5" t="s">
        <v>238</v>
      </c>
      <c r="IB1051" s="5" t="s">
        <v>238</v>
      </c>
      <c r="IC1051" s="5" t="s">
        <v>238</v>
      </c>
      <c r="ID1051" s="5" t="s">
        <v>238</v>
      </c>
    </row>
    <row r="1052" spans="1:238" x14ac:dyDescent="0.4">
      <c r="A1052" s="5">
        <v>1380</v>
      </c>
      <c r="B1052" s="5">
        <v>1</v>
      </c>
      <c r="C1052" s="5">
        <v>1</v>
      </c>
      <c r="D1052" s="5" t="s">
        <v>1258</v>
      </c>
      <c r="E1052" s="5" t="s">
        <v>338</v>
      </c>
      <c r="F1052" s="5" t="s">
        <v>282</v>
      </c>
      <c r="G1052" s="5" t="s">
        <v>1181</v>
      </c>
      <c r="H1052" s="6" t="s">
        <v>1260</v>
      </c>
      <c r="I1052" s="5" t="s">
        <v>1181</v>
      </c>
      <c r="J1052" s="7">
        <f>14.6</f>
        <v>14.6</v>
      </c>
      <c r="K1052" s="5" t="s">
        <v>270</v>
      </c>
      <c r="L1052" s="8">
        <f>1</f>
        <v>1</v>
      </c>
      <c r="M1052" s="8">
        <f>1401600</f>
        <v>1401600</v>
      </c>
      <c r="N1052" s="6" t="s">
        <v>1259</v>
      </c>
      <c r="O1052" s="5" t="s">
        <v>650</v>
      </c>
      <c r="P1052" s="5" t="s">
        <v>650</v>
      </c>
      <c r="R1052" s="8">
        <f>1401599</f>
        <v>1401599</v>
      </c>
      <c r="S1052" s="5" t="s">
        <v>240</v>
      </c>
      <c r="T1052" s="5" t="s">
        <v>237</v>
      </c>
      <c r="U1052" s="5" t="s">
        <v>238</v>
      </c>
      <c r="V1052" s="5" t="s">
        <v>238</v>
      </c>
      <c r="W1052" s="5" t="s">
        <v>241</v>
      </c>
      <c r="X1052" s="5" t="s">
        <v>337</v>
      </c>
      <c r="Y1052" s="5" t="s">
        <v>238</v>
      </c>
      <c r="AB1052" s="5" t="s">
        <v>238</v>
      </c>
      <c r="AD1052" s="6" t="s">
        <v>238</v>
      </c>
      <c r="AG1052" s="6" t="s">
        <v>246</v>
      </c>
      <c r="AH1052" s="5" t="s">
        <v>247</v>
      </c>
      <c r="AI1052" s="5" t="s">
        <v>248</v>
      </c>
      <c r="AY1052" s="5" t="s">
        <v>250</v>
      </c>
      <c r="AZ1052" s="5" t="s">
        <v>238</v>
      </c>
      <c r="BA1052" s="5" t="s">
        <v>251</v>
      </c>
      <c r="BB1052" s="5" t="s">
        <v>238</v>
      </c>
      <c r="BC1052" s="5" t="s">
        <v>253</v>
      </c>
      <c r="BD1052" s="5" t="s">
        <v>238</v>
      </c>
      <c r="BF1052" s="5" t="s">
        <v>238</v>
      </c>
      <c r="BH1052" s="5" t="s">
        <v>254</v>
      </c>
      <c r="BI1052" s="6" t="s">
        <v>246</v>
      </c>
      <c r="BJ1052" s="5" t="s">
        <v>255</v>
      </c>
      <c r="BK1052" s="5" t="s">
        <v>294</v>
      </c>
      <c r="BL1052" s="5" t="s">
        <v>238</v>
      </c>
      <c r="BM1052" s="7">
        <f>0</f>
        <v>0</v>
      </c>
      <c r="BN1052" s="8">
        <f>0</f>
        <v>0</v>
      </c>
      <c r="BO1052" s="5" t="s">
        <v>257</v>
      </c>
      <c r="BP1052" s="5" t="s">
        <v>258</v>
      </c>
      <c r="CD1052" s="5" t="s">
        <v>238</v>
      </c>
      <c r="CE1052" s="5" t="s">
        <v>238</v>
      </c>
      <c r="CI1052" s="5" t="s">
        <v>259</v>
      </c>
      <c r="CJ1052" s="5" t="s">
        <v>260</v>
      </c>
      <c r="CK1052" s="5" t="s">
        <v>238</v>
      </c>
      <c r="CM1052" s="5" t="s">
        <v>306</v>
      </c>
      <c r="CN1052" s="6" t="s">
        <v>262</v>
      </c>
      <c r="CO1052" s="5" t="s">
        <v>263</v>
      </c>
      <c r="CP1052" s="5" t="s">
        <v>264</v>
      </c>
      <c r="CQ1052" s="5" t="s">
        <v>238</v>
      </c>
      <c r="CR1052" s="5" t="s">
        <v>238</v>
      </c>
      <c r="CS1052" s="5">
        <v>0</v>
      </c>
      <c r="CT1052" s="5" t="s">
        <v>265</v>
      </c>
      <c r="CU1052" s="5" t="s">
        <v>1187</v>
      </c>
      <c r="CV1052" s="5" t="s">
        <v>649</v>
      </c>
      <c r="CX1052" s="8">
        <f>1401600</f>
        <v>1401600</v>
      </c>
      <c r="CY1052" s="8">
        <f>0</f>
        <v>0</v>
      </c>
      <c r="DA1052" s="5" t="s">
        <v>238</v>
      </c>
      <c r="DB1052" s="5" t="s">
        <v>238</v>
      </c>
      <c r="DD1052" s="5" t="s">
        <v>238</v>
      </c>
      <c r="DG1052" s="5" t="s">
        <v>238</v>
      </c>
      <c r="DH1052" s="5" t="s">
        <v>238</v>
      </c>
      <c r="DI1052" s="5" t="s">
        <v>238</v>
      </c>
      <c r="DJ1052" s="5" t="s">
        <v>238</v>
      </c>
      <c r="DK1052" s="5" t="s">
        <v>271</v>
      </c>
      <c r="DL1052" s="5" t="s">
        <v>272</v>
      </c>
      <c r="DM1052" s="7">
        <f>14.6</f>
        <v>14.6</v>
      </c>
      <c r="DN1052" s="5" t="s">
        <v>238</v>
      </c>
      <c r="DO1052" s="5" t="s">
        <v>238</v>
      </c>
      <c r="DP1052" s="5" t="s">
        <v>238</v>
      </c>
      <c r="DQ1052" s="5" t="s">
        <v>238</v>
      </c>
      <c r="DT1052" s="5" t="s">
        <v>1261</v>
      </c>
      <c r="DU1052" s="5" t="s">
        <v>274</v>
      </c>
      <c r="HM1052" s="5" t="s">
        <v>310</v>
      </c>
      <c r="HP1052" s="5" t="s">
        <v>272</v>
      </c>
      <c r="HQ1052" s="5" t="s">
        <v>272</v>
      </c>
    </row>
    <row r="1053" spans="1:238" x14ac:dyDescent="0.4">
      <c r="A1053" s="5">
        <v>1381</v>
      </c>
      <c r="B1053" s="5">
        <v>1</v>
      </c>
      <c r="C1053" s="5">
        <v>4</v>
      </c>
      <c r="D1053" s="5" t="s">
        <v>579</v>
      </c>
      <c r="E1053" s="5" t="s">
        <v>338</v>
      </c>
      <c r="F1053" s="5" t="s">
        <v>282</v>
      </c>
      <c r="G1053" s="5" t="s">
        <v>2060</v>
      </c>
      <c r="H1053" s="6" t="s">
        <v>580</v>
      </c>
      <c r="I1053" s="5" t="s">
        <v>1850</v>
      </c>
      <c r="J1053" s="7">
        <f>1598.43</f>
        <v>1598.43</v>
      </c>
      <c r="K1053" s="5" t="s">
        <v>270</v>
      </c>
      <c r="L1053" s="8">
        <f>9668484</f>
        <v>9668484</v>
      </c>
      <c r="M1053" s="8">
        <f>120856050</f>
        <v>120856050</v>
      </c>
      <c r="N1053" s="6" t="s">
        <v>973</v>
      </c>
      <c r="O1053" s="5" t="s">
        <v>279</v>
      </c>
      <c r="P1053" s="5" t="s">
        <v>1098</v>
      </c>
      <c r="Q1053" s="8">
        <f>2417121</f>
        <v>2417121</v>
      </c>
      <c r="R1053" s="8">
        <f>111187566</f>
        <v>111187566</v>
      </c>
      <c r="S1053" s="5" t="s">
        <v>240</v>
      </c>
      <c r="T1053" s="5" t="s">
        <v>237</v>
      </c>
      <c r="U1053" s="5" t="s">
        <v>238</v>
      </c>
      <c r="V1053" s="5" t="s">
        <v>238</v>
      </c>
      <c r="W1053" s="5" t="s">
        <v>241</v>
      </c>
      <c r="X1053" s="5" t="s">
        <v>337</v>
      </c>
      <c r="Y1053" s="5" t="s">
        <v>238</v>
      </c>
      <c r="AB1053" s="5" t="s">
        <v>238</v>
      </c>
      <c r="AC1053" s="6" t="s">
        <v>238</v>
      </c>
      <c r="AD1053" s="6" t="s">
        <v>238</v>
      </c>
      <c r="AF1053" s="6" t="s">
        <v>238</v>
      </c>
      <c r="AG1053" s="6" t="s">
        <v>246</v>
      </c>
      <c r="AH1053" s="5" t="s">
        <v>247</v>
      </c>
      <c r="AI1053" s="5" t="s">
        <v>248</v>
      </c>
      <c r="AO1053" s="5" t="s">
        <v>238</v>
      </c>
      <c r="AP1053" s="5" t="s">
        <v>238</v>
      </c>
      <c r="AQ1053" s="5" t="s">
        <v>238</v>
      </c>
      <c r="AR1053" s="6" t="s">
        <v>238</v>
      </c>
      <c r="AS1053" s="6" t="s">
        <v>238</v>
      </c>
      <c r="AT1053" s="6" t="s">
        <v>238</v>
      </c>
      <c r="AW1053" s="5" t="s">
        <v>304</v>
      </c>
      <c r="AX1053" s="5" t="s">
        <v>304</v>
      </c>
      <c r="AY1053" s="5" t="s">
        <v>250</v>
      </c>
      <c r="AZ1053" s="5" t="s">
        <v>305</v>
      </c>
      <c r="BA1053" s="5" t="s">
        <v>251</v>
      </c>
      <c r="BB1053" s="5" t="s">
        <v>238</v>
      </c>
      <c r="BC1053" s="5" t="s">
        <v>253</v>
      </c>
      <c r="BD1053" s="5" t="s">
        <v>238</v>
      </c>
      <c r="BF1053" s="5" t="s">
        <v>710</v>
      </c>
      <c r="BH1053" s="5" t="s">
        <v>283</v>
      </c>
      <c r="BI1053" s="6" t="s">
        <v>293</v>
      </c>
      <c r="BJ1053" s="5" t="s">
        <v>294</v>
      </c>
      <c r="BK1053" s="5" t="s">
        <v>294</v>
      </c>
      <c r="BL1053" s="5" t="s">
        <v>238</v>
      </c>
      <c r="BM1053" s="7">
        <f>0</f>
        <v>0</v>
      </c>
      <c r="BN1053" s="8">
        <f>-2417121</f>
        <v>-2417121</v>
      </c>
      <c r="BO1053" s="5" t="s">
        <v>257</v>
      </c>
      <c r="BP1053" s="5" t="s">
        <v>258</v>
      </c>
      <c r="BQ1053" s="5" t="s">
        <v>238</v>
      </c>
      <c r="BR1053" s="5" t="s">
        <v>238</v>
      </c>
      <c r="BS1053" s="5" t="s">
        <v>238</v>
      </c>
      <c r="BT1053" s="5" t="s">
        <v>238</v>
      </c>
      <c r="CC1053" s="5" t="s">
        <v>258</v>
      </c>
      <c r="CD1053" s="5" t="s">
        <v>238</v>
      </c>
      <c r="CE1053" s="5" t="s">
        <v>238</v>
      </c>
      <c r="CI1053" s="5" t="s">
        <v>527</v>
      </c>
      <c r="CJ1053" s="5" t="s">
        <v>260</v>
      </c>
      <c r="CK1053" s="5" t="s">
        <v>238</v>
      </c>
      <c r="CM1053" s="5" t="s">
        <v>974</v>
      </c>
      <c r="CN1053" s="6" t="s">
        <v>262</v>
      </c>
      <c r="CO1053" s="5" t="s">
        <v>263</v>
      </c>
      <c r="CP1053" s="5" t="s">
        <v>264</v>
      </c>
      <c r="CQ1053" s="5" t="s">
        <v>285</v>
      </c>
      <c r="CR1053" s="5" t="s">
        <v>238</v>
      </c>
      <c r="CS1053" s="5">
        <v>0.02</v>
      </c>
      <c r="CT1053" s="5" t="s">
        <v>265</v>
      </c>
      <c r="CU1053" s="5" t="s">
        <v>2061</v>
      </c>
      <c r="CV1053" s="5" t="s">
        <v>308</v>
      </c>
      <c r="CW1053" s="7">
        <f>0</f>
        <v>0</v>
      </c>
      <c r="CX1053" s="8">
        <f>120856050</f>
        <v>120856050</v>
      </c>
      <c r="CY1053" s="8">
        <f>12085605</f>
        <v>12085605</v>
      </c>
      <c r="DA1053" s="5" t="s">
        <v>238</v>
      </c>
      <c r="DB1053" s="5" t="s">
        <v>238</v>
      </c>
      <c r="DD1053" s="5" t="s">
        <v>238</v>
      </c>
      <c r="DE1053" s="8">
        <f>0</f>
        <v>0</v>
      </c>
      <c r="DG1053" s="5" t="s">
        <v>238</v>
      </c>
      <c r="DH1053" s="5" t="s">
        <v>238</v>
      </c>
      <c r="DI1053" s="5" t="s">
        <v>238</v>
      </c>
      <c r="DJ1053" s="5" t="s">
        <v>238</v>
      </c>
      <c r="DK1053" s="5" t="s">
        <v>271</v>
      </c>
      <c r="DL1053" s="5" t="s">
        <v>272</v>
      </c>
      <c r="DM1053" s="7">
        <f>1598.43</f>
        <v>1598.43</v>
      </c>
      <c r="DN1053" s="5" t="s">
        <v>238</v>
      </c>
      <c r="DO1053" s="5" t="s">
        <v>238</v>
      </c>
      <c r="DP1053" s="5" t="s">
        <v>238</v>
      </c>
      <c r="DQ1053" s="5" t="s">
        <v>238</v>
      </c>
      <c r="DT1053" s="5" t="s">
        <v>581</v>
      </c>
      <c r="DU1053" s="5" t="s">
        <v>271</v>
      </c>
      <c r="GL1053" s="5" t="s">
        <v>2073</v>
      </c>
      <c r="HM1053" s="5" t="s">
        <v>389</v>
      </c>
      <c r="HP1053" s="5" t="s">
        <v>272</v>
      </c>
      <c r="HQ1053" s="5" t="s">
        <v>272</v>
      </c>
      <c r="HR1053" s="5" t="s">
        <v>238</v>
      </c>
      <c r="HS1053" s="5" t="s">
        <v>238</v>
      </c>
      <c r="HT1053" s="5" t="s">
        <v>238</v>
      </c>
      <c r="HU1053" s="5" t="s">
        <v>238</v>
      </c>
      <c r="HV1053" s="5" t="s">
        <v>238</v>
      </c>
      <c r="HW1053" s="5" t="s">
        <v>238</v>
      </c>
      <c r="HX1053" s="5" t="s">
        <v>238</v>
      </c>
      <c r="HY1053" s="5" t="s">
        <v>238</v>
      </c>
      <c r="HZ1053" s="5" t="s">
        <v>238</v>
      </c>
      <c r="IA1053" s="5" t="s">
        <v>238</v>
      </c>
      <c r="IB1053" s="5" t="s">
        <v>238</v>
      </c>
      <c r="IC1053" s="5" t="s">
        <v>238</v>
      </c>
      <c r="ID1053" s="5" t="s">
        <v>238</v>
      </c>
    </row>
    <row r="1054" spans="1:238" x14ac:dyDescent="0.4">
      <c r="A1054" s="5">
        <v>1383</v>
      </c>
      <c r="B1054" s="5">
        <v>1</v>
      </c>
      <c r="C1054" s="5">
        <v>1</v>
      </c>
      <c r="D1054" s="5" t="s">
        <v>579</v>
      </c>
      <c r="E1054" s="5" t="s">
        <v>338</v>
      </c>
      <c r="F1054" s="5" t="s">
        <v>282</v>
      </c>
      <c r="G1054" s="5" t="s">
        <v>239</v>
      </c>
      <c r="H1054" s="6" t="s">
        <v>580</v>
      </c>
      <c r="I1054" s="5" t="s">
        <v>239</v>
      </c>
      <c r="J1054" s="7">
        <f>19.87</f>
        <v>19.87</v>
      </c>
      <c r="K1054" s="5" t="s">
        <v>270</v>
      </c>
      <c r="L1054" s="8">
        <f>1</f>
        <v>1</v>
      </c>
      <c r="M1054" s="8">
        <f>1192200</f>
        <v>1192200</v>
      </c>
      <c r="N1054" s="6" t="s">
        <v>973</v>
      </c>
      <c r="O1054" s="5" t="s">
        <v>651</v>
      </c>
      <c r="P1054" s="5" t="s">
        <v>975</v>
      </c>
      <c r="R1054" s="8">
        <f>1192199</f>
        <v>1192199</v>
      </c>
      <c r="S1054" s="5" t="s">
        <v>240</v>
      </c>
      <c r="T1054" s="5" t="s">
        <v>237</v>
      </c>
      <c r="U1054" s="5" t="s">
        <v>238</v>
      </c>
      <c r="V1054" s="5" t="s">
        <v>238</v>
      </c>
      <c r="W1054" s="5" t="s">
        <v>241</v>
      </c>
      <c r="X1054" s="5" t="s">
        <v>337</v>
      </c>
      <c r="Y1054" s="5" t="s">
        <v>238</v>
      </c>
      <c r="AB1054" s="5" t="s">
        <v>238</v>
      </c>
      <c r="AD1054" s="6" t="s">
        <v>238</v>
      </c>
      <c r="AG1054" s="6" t="s">
        <v>246</v>
      </c>
      <c r="AH1054" s="5" t="s">
        <v>247</v>
      </c>
      <c r="AI1054" s="5" t="s">
        <v>248</v>
      </c>
      <c r="AY1054" s="5" t="s">
        <v>250</v>
      </c>
      <c r="AZ1054" s="5" t="s">
        <v>238</v>
      </c>
      <c r="BA1054" s="5" t="s">
        <v>251</v>
      </c>
      <c r="BB1054" s="5" t="s">
        <v>238</v>
      </c>
      <c r="BC1054" s="5" t="s">
        <v>253</v>
      </c>
      <c r="BD1054" s="5" t="s">
        <v>238</v>
      </c>
      <c r="BF1054" s="5" t="s">
        <v>238</v>
      </c>
      <c r="BH1054" s="5" t="s">
        <v>254</v>
      </c>
      <c r="BI1054" s="6" t="s">
        <v>246</v>
      </c>
      <c r="BJ1054" s="5" t="s">
        <v>255</v>
      </c>
      <c r="BK1054" s="5" t="s">
        <v>256</v>
      </c>
      <c r="BL1054" s="5" t="s">
        <v>238</v>
      </c>
      <c r="BM1054" s="7">
        <f>0</f>
        <v>0</v>
      </c>
      <c r="BN1054" s="8">
        <f>0</f>
        <v>0</v>
      </c>
      <c r="BO1054" s="5" t="s">
        <v>257</v>
      </c>
      <c r="BP1054" s="5" t="s">
        <v>258</v>
      </c>
      <c r="CD1054" s="5" t="s">
        <v>238</v>
      </c>
      <c r="CE1054" s="5" t="s">
        <v>238</v>
      </c>
      <c r="CI1054" s="5" t="s">
        <v>527</v>
      </c>
      <c r="CJ1054" s="5" t="s">
        <v>260</v>
      </c>
      <c r="CK1054" s="5" t="s">
        <v>238</v>
      </c>
      <c r="CM1054" s="5" t="s">
        <v>974</v>
      </c>
      <c r="CN1054" s="6" t="s">
        <v>262</v>
      </c>
      <c r="CO1054" s="5" t="s">
        <v>263</v>
      </c>
      <c r="CP1054" s="5" t="s">
        <v>264</v>
      </c>
      <c r="CQ1054" s="5" t="s">
        <v>238</v>
      </c>
      <c r="CR1054" s="5" t="s">
        <v>238</v>
      </c>
      <c r="CS1054" s="5">
        <v>0</v>
      </c>
      <c r="CT1054" s="5" t="s">
        <v>265</v>
      </c>
      <c r="CU1054" s="5" t="s">
        <v>266</v>
      </c>
      <c r="CV1054" s="5" t="s">
        <v>331</v>
      </c>
      <c r="CX1054" s="8">
        <f>1192200</f>
        <v>1192200</v>
      </c>
      <c r="CY1054" s="8">
        <f>0</f>
        <v>0</v>
      </c>
      <c r="DA1054" s="5" t="s">
        <v>238</v>
      </c>
      <c r="DB1054" s="5" t="s">
        <v>238</v>
      </c>
      <c r="DD1054" s="5" t="s">
        <v>238</v>
      </c>
      <c r="DG1054" s="5" t="s">
        <v>238</v>
      </c>
      <c r="DH1054" s="5" t="s">
        <v>238</v>
      </c>
      <c r="DI1054" s="5" t="s">
        <v>238</v>
      </c>
      <c r="DJ1054" s="5" t="s">
        <v>238</v>
      </c>
      <c r="DK1054" s="5" t="s">
        <v>271</v>
      </c>
      <c r="DL1054" s="5" t="s">
        <v>272</v>
      </c>
      <c r="DM1054" s="7">
        <f>19.87</f>
        <v>19.87</v>
      </c>
      <c r="DN1054" s="5" t="s">
        <v>238</v>
      </c>
      <c r="DO1054" s="5" t="s">
        <v>238</v>
      </c>
      <c r="DP1054" s="5" t="s">
        <v>238</v>
      </c>
      <c r="DQ1054" s="5" t="s">
        <v>238</v>
      </c>
      <c r="DT1054" s="5" t="s">
        <v>581</v>
      </c>
      <c r="DU1054" s="5" t="s">
        <v>356</v>
      </c>
      <c r="HM1054" s="5" t="s">
        <v>271</v>
      </c>
      <c r="HP1054" s="5" t="s">
        <v>272</v>
      </c>
      <c r="HQ1054" s="5" t="s">
        <v>272</v>
      </c>
    </row>
    <row r="1055" spans="1:238" x14ac:dyDescent="0.4">
      <c r="A1055" s="5">
        <v>1384</v>
      </c>
      <c r="B1055" s="5">
        <v>1</v>
      </c>
      <c r="C1055" s="5">
        <v>4</v>
      </c>
      <c r="D1055" s="5" t="s">
        <v>579</v>
      </c>
      <c r="E1055" s="5" t="s">
        <v>338</v>
      </c>
      <c r="F1055" s="5" t="s">
        <v>282</v>
      </c>
      <c r="G1055" s="5" t="s">
        <v>349</v>
      </c>
      <c r="H1055" s="6" t="s">
        <v>580</v>
      </c>
      <c r="I1055" s="5" t="s">
        <v>542</v>
      </c>
      <c r="J1055" s="7">
        <f>0</f>
        <v>0</v>
      </c>
      <c r="K1055" s="5" t="s">
        <v>270</v>
      </c>
      <c r="L1055" s="8">
        <f>212178</f>
        <v>212178</v>
      </c>
      <c r="M1055" s="8">
        <f>250800</f>
        <v>250800</v>
      </c>
      <c r="N1055" s="6" t="s">
        <v>511</v>
      </c>
      <c r="O1055" s="5" t="s">
        <v>319</v>
      </c>
      <c r="P1055" s="5" t="s">
        <v>272</v>
      </c>
      <c r="Q1055" s="8">
        <f>250799</f>
        <v>250799</v>
      </c>
      <c r="R1055" s="8">
        <f>38622</f>
        <v>38622</v>
      </c>
      <c r="S1055" s="5" t="s">
        <v>240</v>
      </c>
      <c r="T1055" s="5" t="s">
        <v>287</v>
      </c>
      <c r="U1055" s="5" t="s">
        <v>238</v>
      </c>
      <c r="V1055" s="5" t="s">
        <v>238</v>
      </c>
      <c r="W1055" s="5" t="s">
        <v>241</v>
      </c>
      <c r="X1055" s="5" t="s">
        <v>238</v>
      </c>
      <c r="Y1055" s="5" t="s">
        <v>238</v>
      </c>
      <c r="AB1055" s="5" t="s">
        <v>238</v>
      </c>
      <c r="AC1055" s="6" t="s">
        <v>238</v>
      </c>
      <c r="AD1055" s="6" t="s">
        <v>238</v>
      </c>
      <c r="AF1055" s="6" t="s">
        <v>238</v>
      </c>
      <c r="AG1055" s="6" t="s">
        <v>246</v>
      </c>
      <c r="AH1055" s="5" t="s">
        <v>247</v>
      </c>
      <c r="AI1055" s="5" t="s">
        <v>248</v>
      </c>
      <c r="AO1055" s="5" t="s">
        <v>238</v>
      </c>
      <c r="AP1055" s="5" t="s">
        <v>238</v>
      </c>
      <c r="AQ1055" s="5" t="s">
        <v>238</v>
      </c>
      <c r="AR1055" s="6" t="s">
        <v>238</v>
      </c>
      <c r="AS1055" s="6" t="s">
        <v>238</v>
      </c>
      <c r="AT1055" s="6" t="s">
        <v>238</v>
      </c>
      <c r="AW1055" s="5" t="s">
        <v>304</v>
      </c>
      <c r="AX1055" s="5" t="s">
        <v>304</v>
      </c>
      <c r="AY1055" s="5" t="s">
        <v>250</v>
      </c>
      <c r="AZ1055" s="5" t="s">
        <v>305</v>
      </c>
      <c r="BA1055" s="5" t="s">
        <v>251</v>
      </c>
      <c r="BB1055" s="5" t="s">
        <v>238</v>
      </c>
      <c r="BC1055" s="5" t="s">
        <v>253</v>
      </c>
      <c r="BD1055" s="5" t="s">
        <v>238</v>
      </c>
      <c r="BF1055" s="5" t="s">
        <v>238</v>
      </c>
      <c r="BH1055" s="5" t="s">
        <v>283</v>
      </c>
      <c r="BI1055" s="6" t="s">
        <v>293</v>
      </c>
      <c r="BJ1055" s="5" t="s">
        <v>294</v>
      </c>
      <c r="BK1055" s="5" t="s">
        <v>294</v>
      </c>
      <c r="BL1055" s="5" t="s">
        <v>238</v>
      </c>
      <c r="BM1055" s="7">
        <f>0</f>
        <v>0</v>
      </c>
      <c r="BN1055" s="8">
        <f>-19311</f>
        <v>-19311</v>
      </c>
      <c r="BO1055" s="5" t="s">
        <v>257</v>
      </c>
      <c r="BP1055" s="5" t="s">
        <v>258</v>
      </c>
      <c r="BQ1055" s="5" t="s">
        <v>238</v>
      </c>
      <c r="BR1055" s="5" t="s">
        <v>238</v>
      </c>
      <c r="BS1055" s="5" t="s">
        <v>238</v>
      </c>
      <c r="BT1055" s="5" t="s">
        <v>238</v>
      </c>
      <c r="CC1055" s="5" t="s">
        <v>258</v>
      </c>
      <c r="CD1055" s="5" t="s">
        <v>238</v>
      </c>
      <c r="CE1055" s="5" t="s">
        <v>238</v>
      </c>
      <c r="CI1055" s="5" t="s">
        <v>259</v>
      </c>
      <c r="CJ1055" s="5" t="s">
        <v>260</v>
      </c>
      <c r="CK1055" s="5" t="s">
        <v>238</v>
      </c>
      <c r="CM1055" s="5" t="s">
        <v>408</v>
      </c>
      <c r="CN1055" s="6" t="s">
        <v>262</v>
      </c>
      <c r="CO1055" s="5" t="s">
        <v>263</v>
      </c>
      <c r="CP1055" s="5" t="s">
        <v>264</v>
      </c>
      <c r="CQ1055" s="5" t="s">
        <v>285</v>
      </c>
      <c r="CR1055" s="5" t="s">
        <v>238</v>
      </c>
      <c r="CS1055" s="5">
        <v>7.6999999999999999E-2</v>
      </c>
      <c r="CT1055" s="5" t="s">
        <v>265</v>
      </c>
      <c r="CU1055" s="5" t="s">
        <v>351</v>
      </c>
      <c r="CV1055" s="5" t="s">
        <v>352</v>
      </c>
      <c r="CW1055" s="7">
        <f>0</f>
        <v>0</v>
      </c>
      <c r="CX1055" s="8">
        <f>250800</f>
        <v>250800</v>
      </c>
      <c r="CY1055" s="8">
        <f>231489</f>
        <v>231489</v>
      </c>
      <c r="DA1055" s="5" t="s">
        <v>238</v>
      </c>
      <c r="DB1055" s="5" t="s">
        <v>238</v>
      </c>
      <c r="DD1055" s="5" t="s">
        <v>238</v>
      </c>
      <c r="DE1055" s="8">
        <f>0</f>
        <v>0</v>
      </c>
      <c r="DG1055" s="5" t="s">
        <v>238</v>
      </c>
      <c r="DH1055" s="5" t="s">
        <v>238</v>
      </c>
      <c r="DI1055" s="5" t="s">
        <v>238</v>
      </c>
      <c r="DJ1055" s="5" t="s">
        <v>238</v>
      </c>
      <c r="DK1055" s="5" t="s">
        <v>272</v>
      </c>
      <c r="DL1055" s="5" t="s">
        <v>272</v>
      </c>
      <c r="DM1055" s="8" t="s">
        <v>238</v>
      </c>
      <c r="DN1055" s="5" t="s">
        <v>238</v>
      </c>
      <c r="DO1055" s="5" t="s">
        <v>238</v>
      </c>
      <c r="DP1055" s="5" t="s">
        <v>238</v>
      </c>
      <c r="DQ1055" s="5" t="s">
        <v>238</v>
      </c>
      <c r="DT1055" s="5" t="s">
        <v>581</v>
      </c>
      <c r="DU1055" s="5" t="s">
        <v>310</v>
      </c>
      <c r="GL1055" s="5" t="s">
        <v>582</v>
      </c>
      <c r="HM1055" s="5" t="s">
        <v>274</v>
      </c>
      <c r="HP1055" s="5" t="s">
        <v>272</v>
      </c>
      <c r="HQ1055" s="5" t="s">
        <v>272</v>
      </c>
      <c r="HR1055" s="5" t="s">
        <v>238</v>
      </c>
      <c r="HS1055" s="5" t="s">
        <v>238</v>
      </c>
      <c r="HT1055" s="5" t="s">
        <v>238</v>
      </c>
      <c r="HU1055" s="5" t="s">
        <v>238</v>
      </c>
      <c r="HV1055" s="5" t="s">
        <v>238</v>
      </c>
      <c r="HW1055" s="5" t="s">
        <v>238</v>
      </c>
      <c r="HX1055" s="5" t="s">
        <v>238</v>
      </c>
      <c r="HY1055" s="5" t="s">
        <v>238</v>
      </c>
      <c r="HZ1055" s="5" t="s">
        <v>238</v>
      </c>
      <c r="IA1055" s="5" t="s">
        <v>238</v>
      </c>
      <c r="IB1055" s="5" t="s">
        <v>238</v>
      </c>
      <c r="IC1055" s="5" t="s">
        <v>238</v>
      </c>
      <c r="ID1055" s="5" t="s">
        <v>238</v>
      </c>
    </row>
    <row r="1056" spans="1:238" x14ac:dyDescent="0.4">
      <c r="A1056" s="5">
        <v>1385</v>
      </c>
      <c r="B1056" s="5">
        <v>1</v>
      </c>
      <c r="C1056" s="5">
        <v>4</v>
      </c>
      <c r="D1056" s="5" t="s">
        <v>2074</v>
      </c>
      <c r="E1056" s="5" t="s">
        <v>338</v>
      </c>
      <c r="F1056" s="5" t="s">
        <v>282</v>
      </c>
      <c r="G1056" s="5" t="s">
        <v>2080</v>
      </c>
      <c r="H1056" s="6" t="s">
        <v>2077</v>
      </c>
      <c r="I1056" s="5" t="s">
        <v>1850</v>
      </c>
      <c r="J1056" s="7">
        <f>1092</f>
        <v>1092</v>
      </c>
      <c r="K1056" s="5" t="s">
        <v>270</v>
      </c>
      <c r="L1056" s="8">
        <f>14742000</f>
        <v>14742000</v>
      </c>
      <c r="M1056" s="8">
        <f>147420000</f>
        <v>147420000</v>
      </c>
      <c r="N1056" s="6" t="s">
        <v>2079</v>
      </c>
      <c r="O1056" s="5" t="s">
        <v>279</v>
      </c>
      <c r="P1056" s="5" t="s">
        <v>1017</v>
      </c>
      <c r="Q1056" s="8">
        <f>2948400</f>
        <v>2948400</v>
      </c>
      <c r="R1056" s="8">
        <f>132678000</f>
        <v>132678000</v>
      </c>
      <c r="S1056" s="5" t="s">
        <v>240</v>
      </c>
      <c r="T1056" s="5" t="s">
        <v>237</v>
      </c>
      <c r="U1056" s="5" t="s">
        <v>238</v>
      </c>
      <c r="V1056" s="5" t="s">
        <v>238</v>
      </c>
      <c r="W1056" s="5" t="s">
        <v>241</v>
      </c>
      <c r="X1056" s="5" t="s">
        <v>337</v>
      </c>
      <c r="Y1056" s="5" t="s">
        <v>238</v>
      </c>
      <c r="AB1056" s="5" t="s">
        <v>238</v>
      </c>
      <c r="AC1056" s="6" t="s">
        <v>238</v>
      </c>
      <c r="AD1056" s="6" t="s">
        <v>238</v>
      </c>
      <c r="AF1056" s="6" t="s">
        <v>238</v>
      </c>
      <c r="AG1056" s="6" t="s">
        <v>246</v>
      </c>
      <c r="AH1056" s="5" t="s">
        <v>247</v>
      </c>
      <c r="AI1056" s="5" t="s">
        <v>248</v>
      </c>
      <c r="AO1056" s="5" t="s">
        <v>238</v>
      </c>
      <c r="AP1056" s="5" t="s">
        <v>238</v>
      </c>
      <c r="AQ1056" s="5" t="s">
        <v>238</v>
      </c>
      <c r="AR1056" s="6" t="s">
        <v>238</v>
      </c>
      <c r="AS1056" s="6" t="s">
        <v>238</v>
      </c>
      <c r="AT1056" s="6" t="s">
        <v>238</v>
      </c>
      <c r="AW1056" s="5" t="s">
        <v>304</v>
      </c>
      <c r="AX1056" s="5" t="s">
        <v>304</v>
      </c>
      <c r="AY1056" s="5" t="s">
        <v>250</v>
      </c>
      <c r="AZ1056" s="5" t="s">
        <v>305</v>
      </c>
      <c r="BA1056" s="5" t="s">
        <v>251</v>
      </c>
      <c r="BB1056" s="5" t="s">
        <v>238</v>
      </c>
      <c r="BC1056" s="5" t="s">
        <v>253</v>
      </c>
      <c r="BD1056" s="5" t="s">
        <v>238</v>
      </c>
      <c r="BF1056" s="5" t="s">
        <v>710</v>
      </c>
      <c r="BH1056" s="5" t="s">
        <v>283</v>
      </c>
      <c r="BI1056" s="6" t="s">
        <v>293</v>
      </c>
      <c r="BJ1056" s="5" t="s">
        <v>294</v>
      </c>
      <c r="BK1056" s="5" t="s">
        <v>294</v>
      </c>
      <c r="BL1056" s="5" t="s">
        <v>238</v>
      </c>
      <c r="BM1056" s="7">
        <f>0</f>
        <v>0</v>
      </c>
      <c r="BN1056" s="8">
        <f>-2948400</f>
        <v>-2948400</v>
      </c>
      <c r="BO1056" s="5" t="s">
        <v>257</v>
      </c>
      <c r="BP1056" s="5" t="s">
        <v>258</v>
      </c>
      <c r="BQ1056" s="5" t="s">
        <v>238</v>
      </c>
      <c r="BR1056" s="5" t="s">
        <v>238</v>
      </c>
      <c r="BS1056" s="5" t="s">
        <v>238</v>
      </c>
      <c r="BT1056" s="5" t="s">
        <v>238</v>
      </c>
      <c r="CC1056" s="5" t="s">
        <v>258</v>
      </c>
      <c r="CD1056" s="5" t="s">
        <v>238</v>
      </c>
      <c r="CE1056" s="5" t="s">
        <v>238</v>
      </c>
      <c r="CI1056" s="5" t="s">
        <v>527</v>
      </c>
      <c r="CJ1056" s="5" t="s">
        <v>260</v>
      </c>
      <c r="CK1056" s="5" t="s">
        <v>238</v>
      </c>
      <c r="CM1056" s="5" t="s">
        <v>1095</v>
      </c>
      <c r="CN1056" s="6" t="s">
        <v>262</v>
      </c>
      <c r="CO1056" s="5" t="s">
        <v>263</v>
      </c>
      <c r="CP1056" s="5" t="s">
        <v>264</v>
      </c>
      <c r="CQ1056" s="5" t="s">
        <v>285</v>
      </c>
      <c r="CR1056" s="5" t="s">
        <v>238</v>
      </c>
      <c r="CS1056" s="5">
        <v>0.02</v>
      </c>
      <c r="CT1056" s="5" t="s">
        <v>265</v>
      </c>
      <c r="CU1056" s="5" t="s">
        <v>2061</v>
      </c>
      <c r="CV1056" s="5" t="s">
        <v>308</v>
      </c>
      <c r="CW1056" s="7">
        <f>0</f>
        <v>0</v>
      </c>
      <c r="CX1056" s="8">
        <f>147420000</f>
        <v>147420000</v>
      </c>
      <c r="CY1056" s="8">
        <f>17690400</f>
        <v>17690400</v>
      </c>
      <c r="DA1056" s="5" t="s">
        <v>238</v>
      </c>
      <c r="DB1056" s="5" t="s">
        <v>238</v>
      </c>
      <c r="DD1056" s="5" t="s">
        <v>238</v>
      </c>
      <c r="DE1056" s="8">
        <f>0</f>
        <v>0</v>
      </c>
      <c r="DG1056" s="5" t="s">
        <v>238</v>
      </c>
      <c r="DH1056" s="5" t="s">
        <v>238</v>
      </c>
      <c r="DI1056" s="5" t="s">
        <v>238</v>
      </c>
      <c r="DJ1056" s="5" t="s">
        <v>238</v>
      </c>
      <c r="DK1056" s="5" t="s">
        <v>271</v>
      </c>
      <c r="DL1056" s="5" t="s">
        <v>272</v>
      </c>
      <c r="DM1056" s="7">
        <f>1092</f>
        <v>1092</v>
      </c>
      <c r="DN1056" s="5" t="s">
        <v>238</v>
      </c>
      <c r="DO1056" s="5" t="s">
        <v>238</v>
      </c>
      <c r="DP1056" s="5" t="s">
        <v>238</v>
      </c>
      <c r="DQ1056" s="5" t="s">
        <v>238</v>
      </c>
      <c r="DT1056" s="5" t="s">
        <v>2078</v>
      </c>
      <c r="DU1056" s="5" t="s">
        <v>271</v>
      </c>
      <c r="GL1056" s="5" t="s">
        <v>2081</v>
      </c>
      <c r="HM1056" s="5" t="s">
        <v>313</v>
      </c>
      <c r="HP1056" s="5" t="s">
        <v>272</v>
      </c>
      <c r="HQ1056" s="5" t="s">
        <v>272</v>
      </c>
      <c r="HR1056" s="5" t="s">
        <v>238</v>
      </c>
      <c r="HS1056" s="5" t="s">
        <v>238</v>
      </c>
      <c r="HT1056" s="5" t="s">
        <v>238</v>
      </c>
      <c r="HU1056" s="5" t="s">
        <v>238</v>
      </c>
      <c r="HV1056" s="5" t="s">
        <v>238</v>
      </c>
      <c r="HW1056" s="5" t="s">
        <v>238</v>
      </c>
      <c r="HX1056" s="5" t="s">
        <v>238</v>
      </c>
      <c r="HY1056" s="5" t="s">
        <v>238</v>
      </c>
      <c r="HZ1056" s="5" t="s">
        <v>238</v>
      </c>
      <c r="IA1056" s="5" t="s">
        <v>238</v>
      </c>
      <c r="IB1056" s="5" t="s">
        <v>238</v>
      </c>
      <c r="IC1056" s="5" t="s">
        <v>238</v>
      </c>
      <c r="ID1056" s="5" t="s">
        <v>238</v>
      </c>
    </row>
    <row r="1057" spans="1:238" x14ac:dyDescent="0.4">
      <c r="A1057" s="5">
        <v>1386</v>
      </c>
      <c r="B1057" s="5">
        <v>1</v>
      </c>
      <c r="C1057" s="5">
        <v>1</v>
      </c>
      <c r="D1057" s="5" t="s">
        <v>2074</v>
      </c>
      <c r="E1057" s="5" t="s">
        <v>338</v>
      </c>
      <c r="F1057" s="5" t="s">
        <v>282</v>
      </c>
      <c r="G1057" s="5" t="s">
        <v>2076</v>
      </c>
      <c r="H1057" s="6" t="s">
        <v>2077</v>
      </c>
      <c r="I1057" s="5" t="s">
        <v>1850</v>
      </c>
      <c r="J1057" s="7">
        <f>1036.13</f>
        <v>1036.1300000000001</v>
      </c>
      <c r="K1057" s="5" t="s">
        <v>270</v>
      </c>
      <c r="L1057" s="8">
        <f>1</f>
        <v>1</v>
      </c>
      <c r="M1057" s="8">
        <f>32703636</f>
        <v>32703636</v>
      </c>
      <c r="N1057" s="6" t="s">
        <v>2075</v>
      </c>
      <c r="O1057" s="5" t="s">
        <v>279</v>
      </c>
      <c r="P1057" s="5" t="s">
        <v>1411</v>
      </c>
      <c r="R1057" s="8">
        <f>32703635</f>
        <v>32703635</v>
      </c>
      <c r="S1057" s="5" t="s">
        <v>240</v>
      </c>
      <c r="T1057" s="5" t="s">
        <v>287</v>
      </c>
      <c r="U1057" s="5" t="s">
        <v>238</v>
      </c>
      <c r="V1057" s="5" t="s">
        <v>238</v>
      </c>
      <c r="W1057" s="5" t="s">
        <v>241</v>
      </c>
      <c r="X1057" s="5" t="s">
        <v>337</v>
      </c>
      <c r="Y1057" s="5" t="s">
        <v>238</v>
      </c>
      <c r="AB1057" s="5" t="s">
        <v>238</v>
      </c>
      <c r="AD1057" s="6" t="s">
        <v>238</v>
      </c>
      <c r="AG1057" s="6" t="s">
        <v>246</v>
      </c>
      <c r="AH1057" s="5" t="s">
        <v>247</v>
      </c>
      <c r="AI1057" s="5" t="s">
        <v>248</v>
      </c>
      <c r="AY1057" s="5" t="s">
        <v>250</v>
      </c>
      <c r="AZ1057" s="5" t="s">
        <v>238</v>
      </c>
      <c r="BA1057" s="5" t="s">
        <v>251</v>
      </c>
      <c r="BB1057" s="5" t="s">
        <v>238</v>
      </c>
      <c r="BC1057" s="5" t="s">
        <v>253</v>
      </c>
      <c r="BD1057" s="5" t="s">
        <v>238</v>
      </c>
      <c r="BF1057" s="5" t="s">
        <v>238</v>
      </c>
      <c r="BH1057" s="5" t="s">
        <v>859</v>
      </c>
      <c r="BI1057" s="6" t="s">
        <v>368</v>
      </c>
      <c r="BJ1057" s="5" t="s">
        <v>255</v>
      </c>
      <c r="BK1057" s="5" t="s">
        <v>1300</v>
      </c>
      <c r="BL1057" s="5" t="s">
        <v>238</v>
      </c>
      <c r="BM1057" s="7">
        <f>0</f>
        <v>0</v>
      </c>
      <c r="BN1057" s="8">
        <f>0</f>
        <v>0</v>
      </c>
      <c r="BO1057" s="5" t="s">
        <v>257</v>
      </c>
      <c r="BP1057" s="5" t="s">
        <v>258</v>
      </c>
      <c r="CD1057" s="5" t="s">
        <v>238</v>
      </c>
      <c r="CE1057" s="5" t="s">
        <v>238</v>
      </c>
      <c r="CI1057" s="5" t="s">
        <v>527</v>
      </c>
      <c r="CJ1057" s="5" t="s">
        <v>260</v>
      </c>
      <c r="CK1057" s="5" t="s">
        <v>238</v>
      </c>
      <c r="CM1057" s="5" t="s">
        <v>1050</v>
      </c>
      <c r="CN1057" s="6" t="s">
        <v>262</v>
      </c>
      <c r="CO1057" s="5" t="s">
        <v>263</v>
      </c>
      <c r="CP1057" s="5" t="s">
        <v>264</v>
      </c>
      <c r="CQ1057" s="5" t="s">
        <v>238</v>
      </c>
      <c r="CR1057" s="5" t="s">
        <v>238</v>
      </c>
      <c r="CS1057" s="5">
        <v>0</v>
      </c>
      <c r="CT1057" s="5" t="s">
        <v>265</v>
      </c>
      <c r="CU1057" s="5" t="s">
        <v>2061</v>
      </c>
      <c r="CV1057" s="5" t="s">
        <v>308</v>
      </c>
      <c r="CX1057" s="8">
        <f>32703636</f>
        <v>32703636</v>
      </c>
      <c r="CY1057" s="8">
        <f>0</f>
        <v>0</v>
      </c>
      <c r="DA1057" s="5" t="s">
        <v>238</v>
      </c>
      <c r="DB1057" s="5" t="s">
        <v>238</v>
      </c>
      <c r="DD1057" s="5" t="s">
        <v>238</v>
      </c>
      <c r="DG1057" s="5" t="s">
        <v>238</v>
      </c>
      <c r="DH1057" s="5" t="s">
        <v>238</v>
      </c>
      <c r="DI1057" s="5" t="s">
        <v>238</v>
      </c>
      <c r="DJ1057" s="5" t="s">
        <v>238</v>
      </c>
      <c r="DK1057" s="5" t="s">
        <v>356</v>
      </c>
      <c r="DL1057" s="5" t="s">
        <v>272</v>
      </c>
      <c r="DM1057" s="7">
        <f>1036.13</f>
        <v>1036.1300000000001</v>
      </c>
      <c r="DN1057" s="5" t="s">
        <v>238</v>
      </c>
      <c r="DO1057" s="5" t="s">
        <v>238</v>
      </c>
      <c r="DP1057" s="5" t="s">
        <v>238</v>
      </c>
      <c r="DQ1057" s="5" t="s">
        <v>238</v>
      </c>
      <c r="DT1057" s="5" t="s">
        <v>2078</v>
      </c>
      <c r="DU1057" s="5" t="s">
        <v>274</v>
      </c>
      <c r="HM1057" s="5" t="s">
        <v>271</v>
      </c>
      <c r="HP1057" s="5" t="s">
        <v>272</v>
      </c>
      <c r="HQ1057" s="5" t="s">
        <v>272</v>
      </c>
    </row>
    <row r="1058" spans="1:238" x14ac:dyDescent="0.4">
      <c r="A1058" s="5">
        <v>1387</v>
      </c>
      <c r="B1058" s="5">
        <v>1</v>
      </c>
      <c r="C1058" s="5">
        <v>1</v>
      </c>
      <c r="D1058" s="5" t="s">
        <v>702</v>
      </c>
      <c r="E1058" s="5" t="s">
        <v>338</v>
      </c>
      <c r="F1058" s="5" t="s">
        <v>282</v>
      </c>
      <c r="G1058" s="5" t="s">
        <v>239</v>
      </c>
      <c r="H1058" s="6" t="s">
        <v>704</v>
      </c>
      <c r="I1058" s="5" t="s">
        <v>239</v>
      </c>
      <c r="J1058" s="7">
        <f>33</f>
        <v>33</v>
      </c>
      <c r="K1058" s="5" t="s">
        <v>270</v>
      </c>
      <c r="L1058" s="8">
        <f>1</f>
        <v>1</v>
      </c>
      <c r="M1058" s="8">
        <f>3003000</f>
        <v>3003000</v>
      </c>
      <c r="N1058" s="6" t="s">
        <v>1039</v>
      </c>
      <c r="O1058" s="5" t="s">
        <v>268</v>
      </c>
      <c r="P1058" s="5" t="s">
        <v>1040</v>
      </c>
      <c r="R1058" s="8">
        <f>3002999</f>
        <v>3002999</v>
      </c>
      <c r="S1058" s="5" t="s">
        <v>240</v>
      </c>
      <c r="T1058" s="5" t="s">
        <v>237</v>
      </c>
      <c r="U1058" s="5" t="s">
        <v>238</v>
      </c>
      <c r="V1058" s="5" t="s">
        <v>238</v>
      </c>
      <c r="W1058" s="5" t="s">
        <v>241</v>
      </c>
      <c r="X1058" s="5" t="s">
        <v>337</v>
      </c>
      <c r="Y1058" s="5" t="s">
        <v>238</v>
      </c>
      <c r="AB1058" s="5" t="s">
        <v>238</v>
      </c>
      <c r="AD1058" s="6" t="s">
        <v>238</v>
      </c>
      <c r="AG1058" s="6" t="s">
        <v>246</v>
      </c>
      <c r="AH1058" s="5" t="s">
        <v>247</v>
      </c>
      <c r="AI1058" s="5" t="s">
        <v>248</v>
      </c>
      <c r="AY1058" s="5" t="s">
        <v>250</v>
      </c>
      <c r="AZ1058" s="5" t="s">
        <v>238</v>
      </c>
      <c r="BA1058" s="5" t="s">
        <v>251</v>
      </c>
      <c r="BB1058" s="5" t="s">
        <v>238</v>
      </c>
      <c r="BC1058" s="5" t="s">
        <v>253</v>
      </c>
      <c r="BD1058" s="5" t="s">
        <v>238</v>
      </c>
      <c r="BF1058" s="5" t="s">
        <v>710</v>
      </c>
      <c r="BH1058" s="5" t="s">
        <v>697</v>
      </c>
      <c r="BI1058" s="6" t="s">
        <v>698</v>
      </c>
      <c r="BJ1058" s="5" t="s">
        <v>255</v>
      </c>
      <c r="BK1058" s="5" t="s">
        <v>256</v>
      </c>
      <c r="BL1058" s="5" t="s">
        <v>238</v>
      </c>
      <c r="BM1058" s="7">
        <f>0</f>
        <v>0</v>
      </c>
      <c r="BN1058" s="8">
        <f>0</f>
        <v>0</v>
      </c>
      <c r="BO1058" s="5" t="s">
        <v>257</v>
      </c>
      <c r="BP1058" s="5" t="s">
        <v>258</v>
      </c>
      <c r="CD1058" s="5" t="s">
        <v>238</v>
      </c>
      <c r="CE1058" s="5" t="s">
        <v>238</v>
      </c>
      <c r="CI1058" s="5" t="s">
        <v>259</v>
      </c>
      <c r="CJ1058" s="5" t="s">
        <v>260</v>
      </c>
      <c r="CK1058" s="5" t="s">
        <v>238</v>
      </c>
      <c r="CM1058" s="5" t="s">
        <v>958</v>
      </c>
      <c r="CN1058" s="6" t="s">
        <v>262</v>
      </c>
      <c r="CO1058" s="5" t="s">
        <v>263</v>
      </c>
      <c r="CP1058" s="5" t="s">
        <v>264</v>
      </c>
      <c r="CQ1058" s="5" t="s">
        <v>238</v>
      </c>
      <c r="CR1058" s="5" t="s">
        <v>238</v>
      </c>
      <c r="CS1058" s="5">
        <v>0</v>
      </c>
      <c r="CT1058" s="5" t="s">
        <v>265</v>
      </c>
      <c r="CU1058" s="5" t="s">
        <v>266</v>
      </c>
      <c r="CV1058" s="5" t="s">
        <v>267</v>
      </c>
      <c r="CX1058" s="8">
        <f>3003000</f>
        <v>3003000</v>
      </c>
      <c r="CY1058" s="8">
        <f>0</f>
        <v>0</v>
      </c>
      <c r="DA1058" s="5" t="s">
        <v>238</v>
      </c>
      <c r="DB1058" s="5" t="s">
        <v>238</v>
      </c>
      <c r="DD1058" s="5" t="s">
        <v>238</v>
      </c>
      <c r="DG1058" s="5" t="s">
        <v>238</v>
      </c>
      <c r="DH1058" s="5" t="s">
        <v>238</v>
      </c>
      <c r="DI1058" s="5" t="s">
        <v>238</v>
      </c>
      <c r="DJ1058" s="5" t="s">
        <v>238</v>
      </c>
      <c r="DK1058" s="5" t="s">
        <v>271</v>
      </c>
      <c r="DL1058" s="5" t="s">
        <v>272</v>
      </c>
      <c r="DM1058" s="7">
        <f>33</f>
        <v>33</v>
      </c>
      <c r="DN1058" s="5" t="s">
        <v>238</v>
      </c>
      <c r="DO1058" s="5" t="s">
        <v>238</v>
      </c>
      <c r="DP1058" s="5" t="s">
        <v>238</v>
      </c>
      <c r="DQ1058" s="5" t="s">
        <v>238</v>
      </c>
      <c r="DT1058" s="5" t="s">
        <v>705</v>
      </c>
      <c r="DU1058" s="5" t="s">
        <v>271</v>
      </c>
      <c r="HM1058" s="5" t="s">
        <v>271</v>
      </c>
      <c r="HP1058" s="5" t="s">
        <v>272</v>
      </c>
      <c r="HQ1058" s="5" t="s">
        <v>272</v>
      </c>
    </row>
    <row r="1059" spans="1:238" x14ac:dyDescent="0.4">
      <c r="A1059" s="5">
        <v>1388</v>
      </c>
      <c r="B1059" s="5">
        <v>1</v>
      </c>
      <c r="C1059" s="5">
        <v>4</v>
      </c>
      <c r="D1059" s="5" t="s">
        <v>702</v>
      </c>
      <c r="E1059" s="5" t="s">
        <v>338</v>
      </c>
      <c r="F1059" s="5" t="s">
        <v>282</v>
      </c>
      <c r="G1059" s="5" t="s">
        <v>2060</v>
      </c>
      <c r="H1059" s="6" t="s">
        <v>704</v>
      </c>
      <c r="I1059" s="5" t="s">
        <v>1314</v>
      </c>
      <c r="J1059" s="7">
        <f>1748</f>
        <v>1748</v>
      </c>
      <c r="K1059" s="5" t="s">
        <v>270</v>
      </c>
      <c r="L1059" s="8">
        <f>23598000</f>
        <v>23598000</v>
      </c>
      <c r="M1059" s="8">
        <f>235980000</f>
        <v>235980000</v>
      </c>
      <c r="N1059" s="6" t="s">
        <v>2082</v>
      </c>
      <c r="O1059" s="5" t="s">
        <v>279</v>
      </c>
      <c r="P1059" s="5" t="s">
        <v>1017</v>
      </c>
      <c r="Q1059" s="8">
        <f>4719600</f>
        <v>4719600</v>
      </c>
      <c r="R1059" s="8">
        <f>212382000</f>
        <v>212382000</v>
      </c>
      <c r="S1059" s="5" t="s">
        <v>240</v>
      </c>
      <c r="T1059" s="5" t="s">
        <v>237</v>
      </c>
      <c r="U1059" s="5" t="s">
        <v>238</v>
      </c>
      <c r="V1059" s="5" t="s">
        <v>238</v>
      </c>
      <c r="W1059" s="5" t="s">
        <v>241</v>
      </c>
      <c r="X1059" s="5" t="s">
        <v>337</v>
      </c>
      <c r="Y1059" s="5" t="s">
        <v>238</v>
      </c>
      <c r="AB1059" s="5" t="s">
        <v>238</v>
      </c>
      <c r="AC1059" s="6" t="s">
        <v>238</v>
      </c>
      <c r="AD1059" s="6" t="s">
        <v>238</v>
      </c>
      <c r="AF1059" s="6" t="s">
        <v>238</v>
      </c>
      <c r="AG1059" s="6" t="s">
        <v>246</v>
      </c>
      <c r="AH1059" s="5" t="s">
        <v>247</v>
      </c>
      <c r="AI1059" s="5" t="s">
        <v>248</v>
      </c>
      <c r="AO1059" s="5" t="s">
        <v>238</v>
      </c>
      <c r="AP1059" s="5" t="s">
        <v>238</v>
      </c>
      <c r="AQ1059" s="5" t="s">
        <v>238</v>
      </c>
      <c r="AR1059" s="6" t="s">
        <v>238</v>
      </c>
      <c r="AS1059" s="6" t="s">
        <v>238</v>
      </c>
      <c r="AT1059" s="6" t="s">
        <v>238</v>
      </c>
      <c r="AW1059" s="5" t="s">
        <v>304</v>
      </c>
      <c r="AX1059" s="5" t="s">
        <v>304</v>
      </c>
      <c r="AY1059" s="5" t="s">
        <v>250</v>
      </c>
      <c r="AZ1059" s="5" t="s">
        <v>305</v>
      </c>
      <c r="BA1059" s="5" t="s">
        <v>251</v>
      </c>
      <c r="BB1059" s="5" t="s">
        <v>238</v>
      </c>
      <c r="BC1059" s="5" t="s">
        <v>253</v>
      </c>
      <c r="BD1059" s="5" t="s">
        <v>238</v>
      </c>
      <c r="BF1059" s="5" t="s">
        <v>238</v>
      </c>
      <c r="BH1059" s="5" t="s">
        <v>283</v>
      </c>
      <c r="BI1059" s="6" t="s">
        <v>293</v>
      </c>
      <c r="BJ1059" s="5" t="s">
        <v>294</v>
      </c>
      <c r="BK1059" s="5" t="s">
        <v>294</v>
      </c>
      <c r="BL1059" s="5" t="s">
        <v>238</v>
      </c>
      <c r="BM1059" s="7">
        <f>0</f>
        <v>0</v>
      </c>
      <c r="BN1059" s="8">
        <f>-4719600</f>
        <v>-4719600</v>
      </c>
      <c r="BO1059" s="5" t="s">
        <v>257</v>
      </c>
      <c r="BP1059" s="5" t="s">
        <v>258</v>
      </c>
      <c r="BQ1059" s="5" t="s">
        <v>238</v>
      </c>
      <c r="BR1059" s="5" t="s">
        <v>238</v>
      </c>
      <c r="BS1059" s="5" t="s">
        <v>238</v>
      </c>
      <c r="BT1059" s="5" t="s">
        <v>238</v>
      </c>
      <c r="CC1059" s="5" t="s">
        <v>258</v>
      </c>
      <c r="CD1059" s="5" t="s">
        <v>238</v>
      </c>
      <c r="CE1059" s="5" t="s">
        <v>238</v>
      </c>
      <c r="CI1059" s="5" t="s">
        <v>527</v>
      </c>
      <c r="CJ1059" s="5" t="s">
        <v>260</v>
      </c>
      <c r="CK1059" s="5" t="s">
        <v>238</v>
      </c>
      <c r="CM1059" s="5" t="s">
        <v>1095</v>
      </c>
      <c r="CN1059" s="6" t="s">
        <v>262</v>
      </c>
      <c r="CO1059" s="5" t="s">
        <v>263</v>
      </c>
      <c r="CP1059" s="5" t="s">
        <v>264</v>
      </c>
      <c r="CQ1059" s="5" t="s">
        <v>285</v>
      </c>
      <c r="CR1059" s="5" t="s">
        <v>238</v>
      </c>
      <c r="CS1059" s="5">
        <v>0.02</v>
      </c>
      <c r="CT1059" s="5" t="s">
        <v>265</v>
      </c>
      <c r="CU1059" s="5" t="s">
        <v>2061</v>
      </c>
      <c r="CV1059" s="5" t="s">
        <v>308</v>
      </c>
      <c r="CW1059" s="7">
        <f>0</f>
        <v>0</v>
      </c>
      <c r="CX1059" s="8">
        <f>235980000</f>
        <v>235980000</v>
      </c>
      <c r="CY1059" s="8">
        <f>28317600</f>
        <v>28317600</v>
      </c>
      <c r="DA1059" s="5" t="s">
        <v>238</v>
      </c>
      <c r="DB1059" s="5" t="s">
        <v>238</v>
      </c>
      <c r="DD1059" s="5" t="s">
        <v>238</v>
      </c>
      <c r="DE1059" s="8">
        <f>0</f>
        <v>0</v>
      </c>
      <c r="DG1059" s="5" t="s">
        <v>238</v>
      </c>
      <c r="DH1059" s="5" t="s">
        <v>238</v>
      </c>
      <c r="DI1059" s="5" t="s">
        <v>238</v>
      </c>
      <c r="DJ1059" s="5" t="s">
        <v>238</v>
      </c>
      <c r="DK1059" s="5" t="s">
        <v>356</v>
      </c>
      <c r="DL1059" s="5" t="s">
        <v>272</v>
      </c>
      <c r="DM1059" s="7">
        <f>1748</f>
        <v>1748</v>
      </c>
      <c r="DN1059" s="5" t="s">
        <v>238</v>
      </c>
      <c r="DO1059" s="5" t="s">
        <v>238</v>
      </c>
      <c r="DP1059" s="5" t="s">
        <v>238</v>
      </c>
      <c r="DQ1059" s="5" t="s">
        <v>238</v>
      </c>
      <c r="DT1059" s="5" t="s">
        <v>705</v>
      </c>
      <c r="DU1059" s="5" t="s">
        <v>274</v>
      </c>
      <c r="GL1059" s="5" t="s">
        <v>2083</v>
      </c>
      <c r="HM1059" s="5" t="s">
        <v>313</v>
      </c>
      <c r="HP1059" s="5" t="s">
        <v>272</v>
      </c>
      <c r="HQ1059" s="5" t="s">
        <v>272</v>
      </c>
      <c r="HR1059" s="5" t="s">
        <v>238</v>
      </c>
      <c r="HS1059" s="5" t="s">
        <v>238</v>
      </c>
      <c r="HT1059" s="5" t="s">
        <v>238</v>
      </c>
      <c r="HU1059" s="5" t="s">
        <v>238</v>
      </c>
      <c r="HV1059" s="5" t="s">
        <v>238</v>
      </c>
      <c r="HW1059" s="5" t="s">
        <v>238</v>
      </c>
      <c r="HX1059" s="5" t="s">
        <v>238</v>
      </c>
      <c r="HY1059" s="5" t="s">
        <v>238</v>
      </c>
      <c r="HZ1059" s="5" t="s">
        <v>238</v>
      </c>
      <c r="IA1059" s="5" t="s">
        <v>238</v>
      </c>
      <c r="IB1059" s="5" t="s">
        <v>238</v>
      </c>
      <c r="IC1059" s="5" t="s">
        <v>238</v>
      </c>
      <c r="ID1059" s="5" t="s">
        <v>238</v>
      </c>
    </row>
    <row r="1060" spans="1:238" x14ac:dyDescent="0.4">
      <c r="A1060" s="5">
        <v>1389</v>
      </c>
      <c r="B1060" s="5">
        <v>1</v>
      </c>
      <c r="C1060" s="5">
        <v>4</v>
      </c>
      <c r="D1060" s="5" t="s">
        <v>702</v>
      </c>
      <c r="E1060" s="5" t="s">
        <v>338</v>
      </c>
      <c r="F1060" s="5" t="s">
        <v>282</v>
      </c>
      <c r="G1060" s="5" t="s">
        <v>2060</v>
      </c>
      <c r="H1060" s="6" t="s">
        <v>704</v>
      </c>
      <c r="I1060" s="5" t="s">
        <v>1308</v>
      </c>
      <c r="J1060" s="7">
        <f>866</f>
        <v>866</v>
      </c>
      <c r="K1060" s="5" t="s">
        <v>270</v>
      </c>
      <c r="L1060" s="8">
        <f>99590000</f>
        <v>99590000</v>
      </c>
      <c r="M1060" s="8">
        <f>199180000</f>
        <v>199180000</v>
      </c>
      <c r="N1060" s="6" t="s">
        <v>2084</v>
      </c>
      <c r="O1060" s="5" t="s">
        <v>279</v>
      </c>
      <c r="P1060" s="5" t="s">
        <v>1040</v>
      </c>
      <c r="Q1060" s="8">
        <f>3983600</f>
        <v>3983600</v>
      </c>
      <c r="R1060" s="8">
        <f>99590000</f>
        <v>99590000</v>
      </c>
      <c r="S1060" s="5" t="s">
        <v>240</v>
      </c>
      <c r="T1060" s="5" t="s">
        <v>237</v>
      </c>
      <c r="U1060" s="5" t="s">
        <v>238</v>
      </c>
      <c r="V1060" s="5" t="s">
        <v>238</v>
      </c>
      <c r="W1060" s="5" t="s">
        <v>241</v>
      </c>
      <c r="X1060" s="5" t="s">
        <v>337</v>
      </c>
      <c r="Y1060" s="5" t="s">
        <v>238</v>
      </c>
      <c r="AB1060" s="5" t="s">
        <v>238</v>
      </c>
      <c r="AC1060" s="6" t="s">
        <v>238</v>
      </c>
      <c r="AD1060" s="6" t="s">
        <v>238</v>
      </c>
      <c r="AF1060" s="6" t="s">
        <v>238</v>
      </c>
      <c r="AG1060" s="6" t="s">
        <v>246</v>
      </c>
      <c r="AH1060" s="5" t="s">
        <v>247</v>
      </c>
      <c r="AI1060" s="5" t="s">
        <v>248</v>
      </c>
      <c r="AO1060" s="5" t="s">
        <v>238</v>
      </c>
      <c r="AP1060" s="5" t="s">
        <v>238</v>
      </c>
      <c r="AQ1060" s="5" t="s">
        <v>238</v>
      </c>
      <c r="AR1060" s="6" t="s">
        <v>238</v>
      </c>
      <c r="AS1060" s="6" t="s">
        <v>238</v>
      </c>
      <c r="AT1060" s="6" t="s">
        <v>238</v>
      </c>
      <c r="AW1060" s="5" t="s">
        <v>304</v>
      </c>
      <c r="AX1060" s="5" t="s">
        <v>304</v>
      </c>
      <c r="AY1060" s="5" t="s">
        <v>250</v>
      </c>
      <c r="AZ1060" s="5" t="s">
        <v>305</v>
      </c>
      <c r="BA1060" s="5" t="s">
        <v>251</v>
      </c>
      <c r="BB1060" s="5" t="s">
        <v>238</v>
      </c>
      <c r="BC1060" s="5" t="s">
        <v>253</v>
      </c>
      <c r="BD1060" s="5" t="s">
        <v>238</v>
      </c>
      <c r="BF1060" s="5" t="s">
        <v>238</v>
      </c>
      <c r="BH1060" s="5" t="s">
        <v>283</v>
      </c>
      <c r="BI1060" s="6" t="s">
        <v>293</v>
      </c>
      <c r="BJ1060" s="5" t="s">
        <v>294</v>
      </c>
      <c r="BK1060" s="5" t="s">
        <v>294</v>
      </c>
      <c r="BL1060" s="5" t="s">
        <v>238</v>
      </c>
      <c r="BM1060" s="7">
        <f>0</f>
        <v>0</v>
      </c>
      <c r="BN1060" s="8">
        <f>-3983600</f>
        <v>-3983600</v>
      </c>
      <c r="BO1060" s="5" t="s">
        <v>257</v>
      </c>
      <c r="BP1060" s="5" t="s">
        <v>258</v>
      </c>
      <c r="BQ1060" s="5" t="s">
        <v>238</v>
      </c>
      <c r="BR1060" s="5" t="s">
        <v>238</v>
      </c>
      <c r="BS1060" s="5" t="s">
        <v>238</v>
      </c>
      <c r="BT1060" s="5" t="s">
        <v>238</v>
      </c>
      <c r="CC1060" s="5" t="s">
        <v>258</v>
      </c>
      <c r="CD1060" s="5" t="s">
        <v>238</v>
      </c>
      <c r="CE1060" s="5" t="s">
        <v>238</v>
      </c>
      <c r="CI1060" s="5" t="s">
        <v>259</v>
      </c>
      <c r="CJ1060" s="5" t="s">
        <v>260</v>
      </c>
      <c r="CK1060" s="5" t="s">
        <v>238</v>
      </c>
      <c r="CM1060" s="5" t="s">
        <v>1078</v>
      </c>
      <c r="CN1060" s="6" t="s">
        <v>262</v>
      </c>
      <c r="CO1060" s="5" t="s">
        <v>263</v>
      </c>
      <c r="CP1060" s="5" t="s">
        <v>264</v>
      </c>
      <c r="CQ1060" s="5" t="s">
        <v>285</v>
      </c>
      <c r="CR1060" s="5" t="s">
        <v>238</v>
      </c>
      <c r="CS1060" s="5">
        <v>0.02</v>
      </c>
      <c r="CT1060" s="5" t="s">
        <v>265</v>
      </c>
      <c r="CU1060" s="5" t="s">
        <v>2061</v>
      </c>
      <c r="CV1060" s="5" t="s">
        <v>308</v>
      </c>
      <c r="CW1060" s="7">
        <f>0</f>
        <v>0</v>
      </c>
      <c r="CX1060" s="8">
        <f>199180000</f>
        <v>199180000</v>
      </c>
      <c r="CY1060" s="8">
        <f>103573600</f>
        <v>103573600</v>
      </c>
      <c r="DA1060" s="5" t="s">
        <v>238</v>
      </c>
      <c r="DB1060" s="5" t="s">
        <v>238</v>
      </c>
      <c r="DD1060" s="5" t="s">
        <v>238</v>
      </c>
      <c r="DE1060" s="8">
        <f>0</f>
        <v>0</v>
      </c>
      <c r="DG1060" s="5" t="s">
        <v>238</v>
      </c>
      <c r="DH1060" s="5" t="s">
        <v>238</v>
      </c>
      <c r="DI1060" s="5" t="s">
        <v>238</v>
      </c>
      <c r="DJ1060" s="5" t="s">
        <v>238</v>
      </c>
      <c r="DK1060" s="5" t="s">
        <v>274</v>
      </c>
      <c r="DL1060" s="5" t="s">
        <v>272</v>
      </c>
      <c r="DM1060" s="7">
        <f>866</f>
        <v>866</v>
      </c>
      <c r="DN1060" s="5" t="s">
        <v>238</v>
      </c>
      <c r="DO1060" s="5" t="s">
        <v>238</v>
      </c>
      <c r="DP1060" s="5" t="s">
        <v>238</v>
      </c>
      <c r="DQ1060" s="5" t="s">
        <v>238</v>
      </c>
      <c r="DT1060" s="5" t="s">
        <v>705</v>
      </c>
      <c r="DU1060" s="5" t="s">
        <v>356</v>
      </c>
      <c r="GL1060" s="5" t="s">
        <v>2085</v>
      </c>
      <c r="HM1060" s="5" t="s">
        <v>313</v>
      </c>
      <c r="HP1060" s="5" t="s">
        <v>272</v>
      </c>
      <c r="HQ1060" s="5" t="s">
        <v>272</v>
      </c>
      <c r="HR1060" s="5" t="s">
        <v>238</v>
      </c>
      <c r="HS1060" s="5" t="s">
        <v>238</v>
      </c>
      <c r="HT1060" s="5" t="s">
        <v>238</v>
      </c>
      <c r="HU1060" s="5" t="s">
        <v>238</v>
      </c>
      <c r="HV1060" s="5" t="s">
        <v>238</v>
      </c>
      <c r="HW1060" s="5" t="s">
        <v>238</v>
      </c>
      <c r="HX1060" s="5" t="s">
        <v>238</v>
      </c>
      <c r="HY1060" s="5" t="s">
        <v>238</v>
      </c>
      <c r="HZ1060" s="5" t="s">
        <v>238</v>
      </c>
      <c r="IA1060" s="5" t="s">
        <v>238</v>
      </c>
      <c r="IB1060" s="5" t="s">
        <v>238</v>
      </c>
      <c r="IC1060" s="5" t="s">
        <v>238</v>
      </c>
      <c r="ID1060" s="5" t="s">
        <v>238</v>
      </c>
    </row>
    <row r="1061" spans="1:238" x14ac:dyDescent="0.4">
      <c r="A1061" s="5">
        <v>1390</v>
      </c>
      <c r="B1061" s="5">
        <v>1</v>
      </c>
      <c r="C1061" s="5">
        <v>1</v>
      </c>
      <c r="D1061" s="5" t="s">
        <v>702</v>
      </c>
      <c r="E1061" s="5" t="s">
        <v>338</v>
      </c>
      <c r="F1061" s="5" t="s">
        <v>282</v>
      </c>
      <c r="G1061" s="5" t="s">
        <v>3027</v>
      </c>
      <c r="H1061" s="6" t="s">
        <v>704</v>
      </c>
      <c r="I1061" s="5" t="s">
        <v>3027</v>
      </c>
      <c r="J1061" s="7">
        <f>36</f>
        <v>36</v>
      </c>
      <c r="K1061" s="5" t="s">
        <v>270</v>
      </c>
      <c r="L1061" s="8">
        <f>1</f>
        <v>1</v>
      </c>
      <c r="M1061" s="8">
        <f>2160000</f>
        <v>2160000</v>
      </c>
      <c r="N1061" s="6" t="s">
        <v>3093</v>
      </c>
      <c r="O1061" s="5" t="s">
        <v>268</v>
      </c>
      <c r="P1061" s="5" t="s">
        <v>915</v>
      </c>
      <c r="R1061" s="8">
        <f>2159999</f>
        <v>2159999</v>
      </c>
      <c r="S1061" s="5" t="s">
        <v>240</v>
      </c>
      <c r="T1061" s="5" t="s">
        <v>237</v>
      </c>
      <c r="U1061" s="5" t="s">
        <v>238</v>
      </c>
      <c r="V1061" s="5" t="s">
        <v>238</v>
      </c>
      <c r="W1061" s="5" t="s">
        <v>241</v>
      </c>
      <c r="X1061" s="5" t="s">
        <v>337</v>
      </c>
      <c r="Y1061" s="5" t="s">
        <v>238</v>
      </c>
      <c r="AB1061" s="5" t="s">
        <v>238</v>
      </c>
      <c r="AD1061" s="6" t="s">
        <v>238</v>
      </c>
      <c r="AG1061" s="6" t="s">
        <v>246</v>
      </c>
      <c r="AH1061" s="5" t="s">
        <v>247</v>
      </c>
      <c r="AI1061" s="5" t="s">
        <v>248</v>
      </c>
      <c r="AY1061" s="5" t="s">
        <v>250</v>
      </c>
      <c r="AZ1061" s="5" t="s">
        <v>238</v>
      </c>
      <c r="BA1061" s="5" t="s">
        <v>251</v>
      </c>
      <c r="BB1061" s="5" t="s">
        <v>238</v>
      </c>
      <c r="BC1061" s="5" t="s">
        <v>253</v>
      </c>
      <c r="BD1061" s="5" t="s">
        <v>238</v>
      </c>
      <c r="BF1061" s="5" t="s">
        <v>238</v>
      </c>
      <c r="BH1061" s="5" t="s">
        <v>859</v>
      </c>
      <c r="BI1061" s="6" t="s">
        <v>368</v>
      </c>
      <c r="BJ1061" s="5" t="s">
        <v>255</v>
      </c>
      <c r="BK1061" s="5" t="s">
        <v>256</v>
      </c>
      <c r="BL1061" s="5" t="s">
        <v>238</v>
      </c>
      <c r="BM1061" s="7">
        <f>0</f>
        <v>0</v>
      </c>
      <c r="BN1061" s="8">
        <f>0</f>
        <v>0</v>
      </c>
      <c r="BO1061" s="5" t="s">
        <v>257</v>
      </c>
      <c r="BP1061" s="5" t="s">
        <v>258</v>
      </c>
      <c r="CD1061" s="5" t="s">
        <v>238</v>
      </c>
      <c r="CE1061" s="5" t="s">
        <v>238</v>
      </c>
      <c r="CI1061" s="5" t="s">
        <v>527</v>
      </c>
      <c r="CJ1061" s="5" t="s">
        <v>260</v>
      </c>
      <c r="CK1061" s="5" t="s">
        <v>238</v>
      </c>
      <c r="CM1061" s="5" t="s">
        <v>914</v>
      </c>
      <c r="CN1061" s="6" t="s">
        <v>262</v>
      </c>
      <c r="CO1061" s="5" t="s">
        <v>263</v>
      </c>
      <c r="CP1061" s="5" t="s">
        <v>264</v>
      </c>
      <c r="CQ1061" s="5" t="s">
        <v>238</v>
      </c>
      <c r="CR1061" s="5" t="s">
        <v>238</v>
      </c>
      <c r="CS1061" s="5">
        <v>0</v>
      </c>
      <c r="CT1061" s="5" t="s">
        <v>265</v>
      </c>
      <c r="CU1061" s="5" t="s">
        <v>351</v>
      </c>
      <c r="CV1061" s="5" t="s">
        <v>394</v>
      </c>
      <c r="CX1061" s="8">
        <f>2160000</f>
        <v>2160000</v>
      </c>
      <c r="CY1061" s="8">
        <f>0</f>
        <v>0</v>
      </c>
      <c r="DA1061" s="5" t="s">
        <v>238</v>
      </c>
      <c r="DB1061" s="5" t="s">
        <v>238</v>
      </c>
      <c r="DD1061" s="5" t="s">
        <v>238</v>
      </c>
      <c r="DG1061" s="5" t="s">
        <v>238</v>
      </c>
      <c r="DH1061" s="5" t="s">
        <v>238</v>
      </c>
      <c r="DI1061" s="5" t="s">
        <v>238</v>
      </c>
      <c r="DJ1061" s="5" t="s">
        <v>238</v>
      </c>
      <c r="DK1061" s="5" t="s">
        <v>271</v>
      </c>
      <c r="DL1061" s="5" t="s">
        <v>272</v>
      </c>
      <c r="DM1061" s="7">
        <f>36</f>
        <v>36</v>
      </c>
      <c r="DN1061" s="5" t="s">
        <v>238</v>
      </c>
      <c r="DO1061" s="5" t="s">
        <v>238</v>
      </c>
      <c r="DP1061" s="5" t="s">
        <v>238</v>
      </c>
      <c r="DQ1061" s="5" t="s">
        <v>238</v>
      </c>
      <c r="DT1061" s="5" t="s">
        <v>705</v>
      </c>
      <c r="DU1061" s="5" t="s">
        <v>310</v>
      </c>
      <c r="HM1061" s="5" t="s">
        <v>271</v>
      </c>
      <c r="HP1061" s="5" t="s">
        <v>272</v>
      </c>
      <c r="HQ1061" s="5" t="s">
        <v>272</v>
      </c>
    </row>
    <row r="1062" spans="1:238" x14ac:dyDescent="0.4">
      <c r="A1062" s="5">
        <v>1391</v>
      </c>
      <c r="B1062" s="5">
        <v>1</v>
      </c>
      <c r="C1062" s="5">
        <v>4</v>
      </c>
      <c r="D1062" s="5" t="s">
        <v>702</v>
      </c>
      <c r="E1062" s="5" t="s">
        <v>338</v>
      </c>
      <c r="F1062" s="5" t="s">
        <v>282</v>
      </c>
      <c r="G1062" s="5" t="s">
        <v>646</v>
      </c>
      <c r="H1062" s="6" t="s">
        <v>704</v>
      </c>
      <c r="I1062" s="5" t="s">
        <v>701</v>
      </c>
      <c r="J1062" s="7">
        <f>0</f>
        <v>0</v>
      </c>
      <c r="K1062" s="5" t="s">
        <v>270</v>
      </c>
      <c r="L1062" s="8">
        <f>18905139</f>
        <v>18905139</v>
      </c>
      <c r="M1062" s="8">
        <f>23661000</f>
        <v>23661000</v>
      </c>
      <c r="N1062" s="6" t="s">
        <v>703</v>
      </c>
      <c r="O1062" s="5" t="s">
        <v>268</v>
      </c>
      <c r="P1062" s="5" t="s">
        <v>271</v>
      </c>
      <c r="Q1062" s="8">
        <f>1585287</f>
        <v>1585287</v>
      </c>
      <c r="R1062" s="8">
        <f>4755861</f>
        <v>4755861</v>
      </c>
      <c r="S1062" s="5" t="s">
        <v>240</v>
      </c>
      <c r="T1062" s="5" t="s">
        <v>287</v>
      </c>
      <c r="U1062" s="5" t="s">
        <v>238</v>
      </c>
      <c r="V1062" s="5" t="s">
        <v>238</v>
      </c>
      <c r="W1062" s="5" t="s">
        <v>241</v>
      </c>
      <c r="X1062" s="5" t="s">
        <v>337</v>
      </c>
      <c r="Y1062" s="5" t="s">
        <v>238</v>
      </c>
      <c r="AB1062" s="5" t="s">
        <v>238</v>
      </c>
      <c r="AC1062" s="6" t="s">
        <v>238</v>
      </c>
      <c r="AD1062" s="6" t="s">
        <v>238</v>
      </c>
      <c r="AF1062" s="6" t="s">
        <v>238</v>
      </c>
      <c r="AG1062" s="6" t="s">
        <v>246</v>
      </c>
      <c r="AH1062" s="5" t="s">
        <v>247</v>
      </c>
      <c r="AI1062" s="5" t="s">
        <v>248</v>
      </c>
      <c r="AO1062" s="5" t="s">
        <v>238</v>
      </c>
      <c r="AP1062" s="5" t="s">
        <v>238</v>
      </c>
      <c r="AQ1062" s="5" t="s">
        <v>238</v>
      </c>
      <c r="AR1062" s="6" t="s">
        <v>238</v>
      </c>
      <c r="AS1062" s="6" t="s">
        <v>238</v>
      </c>
      <c r="AT1062" s="6" t="s">
        <v>238</v>
      </c>
      <c r="AW1062" s="5" t="s">
        <v>304</v>
      </c>
      <c r="AX1062" s="5" t="s">
        <v>304</v>
      </c>
      <c r="AY1062" s="5" t="s">
        <v>250</v>
      </c>
      <c r="AZ1062" s="5" t="s">
        <v>305</v>
      </c>
      <c r="BA1062" s="5" t="s">
        <v>251</v>
      </c>
      <c r="BB1062" s="5" t="s">
        <v>238</v>
      </c>
      <c r="BC1062" s="5" t="s">
        <v>253</v>
      </c>
      <c r="BD1062" s="5" t="s">
        <v>238</v>
      </c>
      <c r="BF1062" s="5" t="s">
        <v>238</v>
      </c>
      <c r="BH1062" s="5" t="s">
        <v>283</v>
      </c>
      <c r="BI1062" s="6" t="s">
        <v>293</v>
      </c>
      <c r="BJ1062" s="5" t="s">
        <v>294</v>
      </c>
      <c r="BK1062" s="5" t="s">
        <v>294</v>
      </c>
      <c r="BL1062" s="5" t="s">
        <v>238</v>
      </c>
      <c r="BM1062" s="7">
        <f>0</f>
        <v>0</v>
      </c>
      <c r="BN1062" s="8">
        <f>-1585287</f>
        <v>-1585287</v>
      </c>
      <c r="BO1062" s="5" t="s">
        <v>257</v>
      </c>
      <c r="BP1062" s="5" t="s">
        <v>258</v>
      </c>
      <c r="BQ1062" s="5" t="s">
        <v>238</v>
      </c>
      <c r="BR1062" s="5" t="s">
        <v>238</v>
      </c>
      <c r="BS1062" s="5" t="s">
        <v>238</v>
      </c>
      <c r="BT1062" s="5" t="s">
        <v>238</v>
      </c>
      <c r="CC1062" s="5" t="s">
        <v>258</v>
      </c>
      <c r="CD1062" s="5" t="s">
        <v>238</v>
      </c>
      <c r="CE1062" s="5" t="s">
        <v>238</v>
      </c>
      <c r="CI1062" s="5" t="s">
        <v>259</v>
      </c>
      <c r="CJ1062" s="5" t="s">
        <v>260</v>
      </c>
      <c r="CK1062" s="5" t="s">
        <v>238</v>
      </c>
      <c r="CM1062" s="5" t="s">
        <v>291</v>
      </c>
      <c r="CN1062" s="6" t="s">
        <v>262</v>
      </c>
      <c r="CO1062" s="5" t="s">
        <v>263</v>
      </c>
      <c r="CP1062" s="5" t="s">
        <v>264</v>
      </c>
      <c r="CQ1062" s="5" t="s">
        <v>285</v>
      </c>
      <c r="CR1062" s="5" t="s">
        <v>238</v>
      </c>
      <c r="CS1062" s="5">
        <v>6.7000000000000004E-2</v>
      </c>
      <c r="CT1062" s="5" t="s">
        <v>265</v>
      </c>
      <c r="CU1062" s="5" t="s">
        <v>266</v>
      </c>
      <c r="CV1062" s="5" t="s">
        <v>267</v>
      </c>
      <c r="CW1062" s="7">
        <f>0</f>
        <v>0</v>
      </c>
      <c r="CX1062" s="8">
        <f>23661000</f>
        <v>23661000</v>
      </c>
      <c r="CY1062" s="8">
        <f>20490426</f>
        <v>20490426</v>
      </c>
      <c r="DA1062" s="5" t="s">
        <v>238</v>
      </c>
      <c r="DB1062" s="5" t="s">
        <v>238</v>
      </c>
      <c r="DD1062" s="5" t="s">
        <v>238</v>
      </c>
      <c r="DE1062" s="8">
        <f>0</f>
        <v>0</v>
      </c>
      <c r="DG1062" s="5" t="s">
        <v>238</v>
      </c>
      <c r="DH1062" s="5" t="s">
        <v>238</v>
      </c>
      <c r="DI1062" s="5" t="s">
        <v>238</v>
      </c>
      <c r="DJ1062" s="5" t="s">
        <v>238</v>
      </c>
      <c r="DK1062" s="5" t="s">
        <v>271</v>
      </c>
      <c r="DL1062" s="5" t="s">
        <v>272</v>
      </c>
      <c r="DM1062" s="8" t="s">
        <v>238</v>
      </c>
      <c r="DN1062" s="5" t="s">
        <v>238</v>
      </c>
      <c r="DO1062" s="5" t="s">
        <v>238</v>
      </c>
      <c r="DP1062" s="5" t="s">
        <v>238</v>
      </c>
      <c r="DQ1062" s="5" t="s">
        <v>238</v>
      </c>
      <c r="DT1062" s="5" t="s">
        <v>705</v>
      </c>
      <c r="DU1062" s="5" t="s">
        <v>313</v>
      </c>
      <c r="GL1062" s="5" t="s">
        <v>706</v>
      </c>
      <c r="HM1062" s="5" t="s">
        <v>356</v>
      </c>
      <c r="HP1062" s="5" t="s">
        <v>272</v>
      </c>
      <c r="HQ1062" s="5" t="s">
        <v>272</v>
      </c>
      <c r="HR1062" s="5" t="s">
        <v>238</v>
      </c>
      <c r="HS1062" s="5" t="s">
        <v>238</v>
      </c>
      <c r="HT1062" s="5" t="s">
        <v>238</v>
      </c>
      <c r="HU1062" s="5" t="s">
        <v>238</v>
      </c>
      <c r="HV1062" s="5" t="s">
        <v>238</v>
      </c>
      <c r="HW1062" s="5" t="s">
        <v>238</v>
      </c>
      <c r="HX1062" s="5" t="s">
        <v>238</v>
      </c>
      <c r="HY1062" s="5" t="s">
        <v>238</v>
      </c>
      <c r="HZ1062" s="5" t="s">
        <v>238</v>
      </c>
      <c r="IA1062" s="5" t="s">
        <v>238</v>
      </c>
      <c r="IB1062" s="5" t="s">
        <v>238</v>
      </c>
      <c r="IC1062" s="5" t="s">
        <v>238</v>
      </c>
      <c r="ID1062" s="5" t="s">
        <v>238</v>
      </c>
    </row>
    <row r="1063" spans="1:238" x14ac:dyDescent="0.4">
      <c r="A1063" s="5">
        <v>1393</v>
      </c>
      <c r="B1063" s="5">
        <v>1</v>
      </c>
      <c r="C1063" s="5">
        <v>4</v>
      </c>
      <c r="D1063" s="5" t="s">
        <v>1431</v>
      </c>
      <c r="E1063" s="5" t="s">
        <v>338</v>
      </c>
      <c r="F1063" s="5" t="s">
        <v>282</v>
      </c>
      <c r="G1063" s="5" t="s">
        <v>1324</v>
      </c>
      <c r="H1063" s="6" t="s">
        <v>1260</v>
      </c>
      <c r="I1063" s="5" t="s">
        <v>1323</v>
      </c>
      <c r="J1063" s="7">
        <f>248.42</f>
        <v>248.42</v>
      </c>
      <c r="K1063" s="5" t="s">
        <v>270</v>
      </c>
      <c r="L1063" s="8">
        <f>1</f>
        <v>1</v>
      </c>
      <c r="M1063" s="8">
        <f>44715600</f>
        <v>44715600</v>
      </c>
      <c r="N1063" s="6" t="s">
        <v>1097</v>
      </c>
      <c r="O1063" s="5" t="s">
        <v>279</v>
      </c>
      <c r="P1063" s="5" t="s">
        <v>1173</v>
      </c>
      <c r="Q1063" s="8">
        <f>894312</f>
        <v>894312</v>
      </c>
      <c r="R1063" s="8">
        <f>44715599</f>
        <v>44715599</v>
      </c>
      <c r="S1063" s="5" t="s">
        <v>240</v>
      </c>
      <c r="T1063" s="5" t="s">
        <v>237</v>
      </c>
      <c r="U1063" s="5" t="s">
        <v>238</v>
      </c>
      <c r="V1063" s="5" t="s">
        <v>238</v>
      </c>
      <c r="W1063" s="5" t="s">
        <v>241</v>
      </c>
      <c r="X1063" s="5" t="s">
        <v>337</v>
      </c>
      <c r="Y1063" s="5" t="s">
        <v>238</v>
      </c>
      <c r="AB1063" s="5" t="s">
        <v>238</v>
      </c>
      <c r="AC1063" s="6" t="s">
        <v>238</v>
      </c>
      <c r="AD1063" s="6" t="s">
        <v>238</v>
      </c>
      <c r="AF1063" s="6" t="s">
        <v>238</v>
      </c>
      <c r="AG1063" s="6" t="s">
        <v>246</v>
      </c>
      <c r="AH1063" s="5" t="s">
        <v>247</v>
      </c>
      <c r="AI1063" s="5" t="s">
        <v>248</v>
      </c>
      <c r="AO1063" s="5" t="s">
        <v>238</v>
      </c>
      <c r="AP1063" s="5" t="s">
        <v>238</v>
      </c>
      <c r="AQ1063" s="5" t="s">
        <v>238</v>
      </c>
      <c r="AR1063" s="6" t="s">
        <v>238</v>
      </c>
      <c r="AS1063" s="6" t="s">
        <v>238</v>
      </c>
      <c r="AT1063" s="6" t="s">
        <v>238</v>
      </c>
      <c r="AW1063" s="5" t="s">
        <v>304</v>
      </c>
      <c r="AX1063" s="5" t="s">
        <v>304</v>
      </c>
      <c r="AY1063" s="5" t="s">
        <v>250</v>
      </c>
      <c r="AZ1063" s="5" t="s">
        <v>305</v>
      </c>
      <c r="BA1063" s="5" t="s">
        <v>251</v>
      </c>
      <c r="BB1063" s="5" t="s">
        <v>238</v>
      </c>
      <c r="BC1063" s="5" t="s">
        <v>253</v>
      </c>
      <c r="BD1063" s="5" t="s">
        <v>238</v>
      </c>
      <c r="BF1063" s="5" t="s">
        <v>710</v>
      </c>
      <c r="BH1063" s="5" t="s">
        <v>283</v>
      </c>
      <c r="BI1063" s="6" t="s">
        <v>293</v>
      </c>
      <c r="BJ1063" s="5" t="s">
        <v>294</v>
      </c>
      <c r="BK1063" s="5" t="s">
        <v>294</v>
      </c>
      <c r="BL1063" s="5" t="s">
        <v>238</v>
      </c>
      <c r="BM1063" s="7">
        <f>0</f>
        <v>0</v>
      </c>
      <c r="BN1063" s="8">
        <f>-894311</f>
        <v>-894311</v>
      </c>
      <c r="BO1063" s="5" t="s">
        <v>257</v>
      </c>
      <c r="BP1063" s="5" t="s">
        <v>258</v>
      </c>
      <c r="BQ1063" s="5" t="s">
        <v>238</v>
      </c>
      <c r="BR1063" s="5" t="s">
        <v>238</v>
      </c>
      <c r="BS1063" s="5" t="s">
        <v>238</v>
      </c>
      <c r="BT1063" s="5" t="s">
        <v>238</v>
      </c>
      <c r="CC1063" s="5" t="s">
        <v>258</v>
      </c>
      <c r="CD1063" s="5" t="s">
        <v>238</v>
      </c>
      <c r="CE1063" s="5" t="s">
        <v>238</v>
      </c>
      <c r="CI1063" s="5" t="s">
        <v>527</v>
      </c>
      <c r="CJ1063" s="5" t="s">
        <v>260</v>
      </c>
      <c r="CK1063" s="5" t="s">
        <v>238</v>
      </c>
      <c r="CM1063" s="5" t="s">
        <v>1016</v>
      </c>
      <c r="CN1063" s="6" t="s">
        <v>262</v>
      </c>
      <c r="CO1063" s="5" t="s">
        <v>263</v>
      </c>
      <c r="CP1063" s="5" t="s">
        <v>264</v>
      </c>
      <c r="CQ1063" s="5" t="s">
        <v>285</v>
      </c>
      <c r="CR1063" s="5" t="s">
        <v>238</v>
      </c>
      <c r="CS1063" s="5">
        <v>0.02</v>
      </c>
      <c r="CT1063" s="5" t="s">
        <v>265</v>
      </c>
      <c r="CU1063" s="5" t="s">
        <v>1325</v>
      </c>
      <c r="CV1063" s="5" t="s">
        <v>308</v>
      </c>
      <c r="CW1063" s="7">
        <f>0</f>
        <v>0</v>
      </c>
      <c r="CX1063" s="8">
        <f>44715600</f>
        <v>44715600</v>
      </c>
      <c r="CY1063" s="8">
        <f>894312</f>
        <v>894312</v>
      </c>
      <c r="DA1063" s="5" t="s">
        <v>238</v>
      </c>
      <c r="DB1063" s="5" t="s">
        <v>238</v>
      </c>
      <c r="DD1063" s="5" t="s">
        <v>238</v>
      </c>
      <c r="DE1063" s="8">
        <f>0</f>
        <v>0</v>
      </c>
      <c r="DG1063" s="5" t="s">
        <v>238</v>
      </c>
      <c r="DH1063" s="5" t="s">
        <v>238</v>
      </c>
      <c r="DI1063" s="5" t="s">
        <v>238</v>
      </c>
      <c r="DJ1063" s="5" t="s">
        <v>238</v>
      </c>
      <c r="DK1063" s="5" t="s">
        <v>271</v>
      </c>
      <c r="DL1063" s="5" t="s">
        <v>272</v>
      </c>
      <c r="DM1063" s="7">
        <f>248.42</f>
        <v>248.42</v>
      </c>
      <c r="DN1063" s="5" t="s">
        <v>238</v>
      </c>
      <c r="DO1063" s="5" t="s">
        <v>238</v>
      </c>
      <c r="DP1063" s="5" t="s">
        <v>238</v>
      </c>
      <c r="DQ1063" s="5" t="s">
        <v>238</v>
      </c>
      <c r="DT1063" s="5" t="s">
        <v>1432</v>
      </c>
      <c r="DU1063" s="5" t="s">
        <v>271</v>
      </c>
      <c r="GL1063" s="5" t="s">
        <v>1433</v>
      </c>
      <c r="HM1063" s="5" t="s">
        <v>313</v>
      </c>
      <c r="HP1063" s="5" t="s">
        <v>272</v>
      </c>
      <c r="HQ1063" s="5" t="s">
        <v>272</v>
      </c>
      <c r="HR1063" s="5" t="s">
        <v>238</v>
      </c>
      <c r="HS1063" s="5" t="s">
        <v>238</v>
      </c>
      <c r="HT1063" s="5" t="s">
        <v>238</v>
      </c>
      <c r="HU1063" s="5" t="s">
        <v>238</v>
      </c>
      <c r="HV1063" s="5" t="s">
        <v>238</v>
      </c>
      <c r="HW1063" s="5" t="s">
        <v>238</v>
      </c>
      <c r="HX1063" s="5" t="s">
        <v>238</v>
      </c>
      <c r="HY1063" s="5" t="s">
        <v>238</v>
      </c>
      <c r="HZ1063" s="5" t="s">
        <v>238</v>
      </c>
      <c r="IA1063" s="5" t="s">
        <v>238</v>
      </c>
      <c r="IB1063" s="5" t="s">
        <v>238</v>
      </c>
      <c r="IC1063" s="5" t="s">
        <v>238</v>
      </c>
      <c r="ID1063" s="5" t="s">
        <v>238</v>
      </c>
    </row>
    <row r="1064" spans="1:238" x14ac:dyDescent="0.4">
      <c r="A1064" s="5">
        <v>1394</v>
      </c>
      <c r="B1064" s="5">
        <v>1</v>
      </c>
      <c r="C1064" s="5">
        <v>1</v>
      </c>
      <c r="D1064" s="5" t="s">
        <v>1383</v>
      </c>
      <c r="E1064" s="5" t="s">
        <v>338</v>
      </c>
      <c r="F1064" s="5" t="s">
        <v>282</v>
      </c>
      <c r="G1064" s="5" t="s">
        <v>1384</v>
      </c>
      <c r="H1064" s="6" t="s">
        <v>1385</v>
      </c>
      <c r="I1064" s="5" t="s">
        <v>1382</v>
      </c>
      <c r="J1064" s="7">
        <f>293.1</f>
        <v>293.10000000000002</v>
      </c>
      <c r="K1064" s="5" t="s">
        <v>270</v>
      </c>
      <c r="L1064" s="8">
        <f>1</f>
        <v>1</v>
      </c>
      <c r="M1064" s="8">
        <f>27844500</f>
        <v>27844500</v>
      </c>
      <c r="N1064" s="6" t="s">
        <v>906</v>
      </c>
      <c r="O1064" s="5" t="s">
        <v>651</v>
      </c>
      <c r="P1064" s="5" t="s">
        <v>909</v>
      </c>
      <c r="R1064" s="8">
        <f>27844499</f>
        <v>27844499</v>
      </c>
      <c r="S1064" s="5" t="s">
        <v>240</v>
      </c>
      <c r="T1064" s="5" t="s">
        <v>237</v>
      </c>
      <c r="U1064" s="5" t="s">
        <v>238</v>
      </c>
      <c r="V1064" s="5" t="s">
        <v>238</v>
      </c>
      <c r="W1064" s="5" t="s">
        <v>241</v>
      </c>
      <c r="X1064" s="5" t="s">
        <v>337</v>
      </c>
      <c r="Y1064" s="5" t="s">
        <v>238</v>
      </c>
      <c r="AB1064" s="5" t="s">
        <v>238</v>
      </c>
      <c r="AD1064" s="6" t="s">
        <v>238</v>
      </c>
      <c r="AG1064" s="6" t="s">
        <v>246</v>
      </c>
      <c r="AH1064" s="5" t="s">
        <v>247</v>
      </c>
      <c r="AI1064" s="5" t="s">
        <v>248</v>
      </c>
      <c r="AY1064" s="5" t="s">
        <v>250</v>
      </c>
      <c r="AZ1064" s="5" t="s">
        <v>238</v>
      </c>
      <c r="BA1064" s="5" t="s">
        <v>251</v>
      </c>
      <c r="BB1064" s="5" t="s">
        <v>238</v>
      </c>
      <c r="BC1064" s="5" t="s">
        <v>253</v>
      </c>
      <c r="BD1064" s="5" t="s">
        <v>238</v>
      </c>
      <c r="BF1064" s="5" t="s">
        <v>238</v>
      </c>
      <c r="BH1064" s="5" t="s">
        <v>859</v>
      </c>
      <c r="BI1064" s="6" t="s">
        <v>368</v>
      </c>
      <c r="BJ1064" s="5" t="s">
        <v>255</v>
      </c>
      <c r="BK1064" s="5" t="s">
        <v>256</v>
      </c>
      <c r="BL1064" s="5" t="s">
        <v>238</v>
      </c>
      <c r="BM1064" s="7">
        <f>0</f>
        <v>0</v>
      </c>
      <c r="BN1064" s="8">
        <f>0</f>
        <v>0</v>
      </c>
      <c r="BO1064" s="5" t="s">
        <v>257</v>
      </c>
      <c r="BP1064" s="5" t="s">
        <v>258</v>
      </c>
      <c r="CD1064" s="5" t="s">
        <v>238</v>
      </c>
      <c r="CE1064" s="5" t="s">
        <v>238</v>
      </c>
      <c r="CI1064" s="5" t="s">
        <v>527</v>
      </c>
      <c r="CJ1064" s="5" t="s">
        <v>260</v>
      </c>
      <c r="CK1064" s="5" t="s">
        <v>238</v>
      </c>
      <c r="CM1064" s="5" t="s">
        <v>908</v>
      </c>
      <c r="CN1064" s="6" t="s">
        <v>262</v>
      </c>
      <c r="CO1064" s="5" t="s">
        <v>263</v>
      </c>
      <c r="CP1064" s="5" t="s">
        <v>264</v>
      </c>
      <c r="CQ1064" s="5" t="s">
        <v>238</v>
      </c>
      <c r="CR1064" s="5" t="s">
        <v>238</v>
      </c>
      <c r="CS1064" s="5">
        <v>0</v>
      </c>
      <c r="CT1064" s="5" t="s">
        <v>265</v>
      </c>
      <c r="CU1064" s="5" t="s">
        <v>1325</v>
      </c>
      <c r="CV1064" s="5" t="s">
        <v>267</v>
      </c>
      <c r="CX1064" s="8">
        <f>27844500</f>
        <v>27844500</v>
      </c>
      <c r="CY1064" s="8">
        <f>0</f>
        <v>0</v>
      </c>
      <c r="DA1064" s="5" t="s">
        <v>238</v>
      </c>
      <c r="DB1064" s="5" t="s">
        <v>238</v>
      </c>
      <c r="DD1064" s="5" t="s">
        <v>238</v>
      </c>
      <c r="DG1064" s="5" t="s">
        <v>238</v>
      </c>
      <c r="DH1064" s="5" t="s">
        <v>238</v>
      </c>
      <c r="DI1064" s="5" t="s">
        <v>238</v>
      </c>
      <c r="DJ1064" s="5" t="s">
        <v>238</v>
      </c>
      <c r="DK1064" s="5" t="s">
        <v>274</v>
      </c>
      <c r="DL1064" s="5" t="s">
        <v>272</v>
      </c>
      <c r="DM1064" s="7">
        <f>293.1</f>
        <v>293.10000000000002</v>
      </c>
      <c r="DN1064" s="5" t="s">
        <v>238</v>
      </c>
      <c r="DO1064" s="5" t="s">
        <v>238</v>
      </c>
      <c r="DP1064" s="5" t="s">
        <v>238</v>
      </c>
      <c r="DQ1064" s="5" t="s">
        <v>238</v>
      </c>
      <c r="DT1064" s="5" t="s">
        <v>1386</v>
      </c>
      <c r="DU1064" s="5" t="s">
        <v>271</v>
      </c>
      <c r="HM1064" s="5" t="s">
        <v>271</v>
      </c>
      <c r="HP1064" s="5" t="s">
        <v>272</v>
      </c>
      <c r="HQ1064" s="5" t="s">
        <v>272</v>
      </c>
    </row>
    <row r="1065" spans="1:238" x14ac:dyDescent="0.4">
      <c r="A1065" s="5">
        <v>1395</v>
      </c>
      <c r="B1065" s="5">
        <v>1</v>
      </c>
      <c r="C1065" s="5">
        <v>1</v>
      </c>
      <c r="D1065" s="5" t="s">
        <v>1383</v>
      </c>
      <c r="E1065" s="5" t="s">
        <v>338</v>
      </c>
      <c r="F1065" s="5" t="s">
        <v>282</v>
      </c>
      <c r="G1065" s="5" t="s">
        <v>1309</v>
      </c>
      <c r="H1065" s="6" t="s">
        <v>1385</v>
      </c>
      <c r="I1065" s="5" t="s">
        <v>1309</v>
      </c>
      <c r="J1065" s="7">
        <f>16.56</f>
        <v>16.559999999999999</v>
      </c>
      <c r="K1065" s="5" t="s">
        <v>270</v>
      </c>
      <c r="L1065" s="8">
        <f>1</f>
        <v>1</v>
      </c>
      <c r="M1065" s="8">
        <f>1573200</f>
        <v>1573200</v>
      </c>
      <c r="N1065" s="6" t="s">
        <v>906</v>
      </c>
      <c r="O1065" s="5" t="s">
        <v>268</v>
      </c>
      <c r="P1065" s="5" t="s">
        <v>909</v>
      </c>
      <c r="R1065" s="8">
        <f>1573199</f>
        <v>1573199</v>
      </c>
      <c r="S1065" s="5" t="s">
        <v>240</v>
      </c>
      <c r="T1065" s="5" t="s">
        <v>237</v>
      </c>
      <c r="U1065" s="5" t="s">
        <v>238</v>
      </c>
      <c r="V1065" s="5" t="s">
        <v>238</v>
      </c>
      <c r="W1065" s="5" t="s">
        <v>241</v>
      </c>
      <c r="X1065" s="5" t="s">
        <v>337</v>
      </c>
      <c r="Y1065" s="5" t="s">
        <v>238</v>
      </c>
      <c r="AB1065" s="5" t="s">
        <v>238</v>
      </c>
      <c r="AD1065" s="6" t="s">
        <v>238</v>
      </c>
      <c r="AG1065" s="6" t="s">
        <v>246</v>
      </c>
      <c r="AH1065" s="5" t="s">
        <v>247</v>
      </c>
      <c r="AI1065" s="5" t="s">
        <v>248</v>
      </c>
      <c r="AY1065" s="5" t="s">
        <v>250</v>
      </c>
      <c r="AZ1065" s="5" t="s">
        <v>238</v>
      </c>
      <c r="BA1065" s="5" t="s">
        <v>251</v>
      </c>
      <c r="BB1065" s="5" t="s">
        <v>238</v>
      </c>
      <c r="BC1065" s="5" t="s">
        <v>253</v>
      </c>
      <c r="BD1065" s="5" t="s">
        <v>238</v>
      </c>
      <c r="BF1065" s="5" t="s">
        <v>238</v>
      </c>
      <c r="BH1065" s="5" t="s">
        <v>697</v>
      </c>
      <c r="BI1065" s="6" t="s">
        <v>698</v>
      </c>
      <c r="BJ1065" s="5" t="s">
        <v>255</v>
      </c>
      <c r="BK1065" s="5" t="s">
        <v>256</v>
      </c>
      <c r="BL1065" s="5" t="s">
        <v>238</v>
      </c>
      <c r="BM1065" s="7">
        <f>0</f>
        <v>0</v>
      </c>
      <c r="BN1065" s="8">
        <f>0</f>
        <v>0</v>
      </c>
      <c r="BO1065" s="5" t="s">
        <v>257</v>
      </c>
      <c r="BP1065" s="5" t="s">
        <v>258</v>
      </c>
      <c r="CD1065" s="5" t="s">
        <v>238</v>
      </c>
      <c r="CE1065" s="5" t="s">
        <v>238</v>
      </c>
      <c r="CI1065" s="5" t="s">
        <v>527</v>
      </c>
      <c r="CJ1065" s="5" t="s">
        <v>260</v>
      </c>
      <c r="CK1065" s="5" t="s">
        <v>238</v>
      </c>
      <c r="CM1065" s="5" t="s">
        <v>908</v>
      </c>
      <c r="CN1065" s="6" t="s">
        <v>262</v>
      </c>
      <c r="CO1065" s="5" t="s">
        <v>263</v>
      </c>
      <c r="CP1065" s="5" t="s">
        <v>264</v>
      </c>
      <c r="CQ1065" s="5" t="s">
        <v>238</v>
      </c>
      <c r="CR1065" s="5" t="s">
        <v>238</v>
      </c>
      <c r="CS1065" s="5">
        <v>0</v>
      </c>
      <c r="CT1065" s="5" t="s">
        <v>265</v>
      </c>
      <c r="CU1065" s="5" t="s">
        <v>1342</v>
      </c>
      <c r="CV1065" s="5" t="s">
        <v>267</v>
      </c>
      <c r="CX1065" s="8">
        <f>1573200</f>
        <v>1573200</v>
      </c>
      <c r="CY1065" s="8">
        <f>0</f>
        <v>0</v>
      </c>
      <c r="DA1065" s="5" t="s">
        <v>238</v>
      </c>
      <c r="DB1065" s="5" t="s">
        <v>238</v>
      </c>
      <c r="DD1065" s="5" t="s">
        <v>238</v>
      </c>
      <c r="DG1065" s="5" t="s">
        <v>238</v>
      </c>
      <c r="DH1065" s="5" t="s">
        <v>238</v>
      </c>
      <c r="DI1065" s="5" t="s">
        <v>238</v>
      </c>
      <c r="DJ1065" s="5" t="s">
        <v>238</v>
      </c>
      <c r="DK1065" s="5" t="s">
        <v>271</v>
      </c>
      <c r="DL1065" s="5" t="s">
        <v>272</v>
      </c>
      <c r="DM1065" s="7">
        <f>16.56</f>
        <v>16.559999999999999</v>
      </c>
      <c r="DN1065" s="5" t="s">
        <v>238</v>
      </c>
      <c r="DO1065" s="5" t="s">
        <v>238</v>
      </c>
      <c r="DP1065" s="5" t="s">
        <v>238</v>
      </c>
      <c r="DQ1065" s="5" t="s">
        <v>238</v>
      </c>
      <c r="DT1065" s="5" t="s">
        <v>1386</v>
      </c>
      <c r="DU1065" s="5" t="s">
        <v>274</v>
      </c>
      <c r="HM1065" s="5" t="s">
        <v>271</v>
      </c>
      <c r="HP1065" s="5" t="s">
        <v>272</v>
      </c>
      <c r="HQ1065" s="5" t="s">
        <v>272</v>
      </c>
    </row>
    <row r="1066" spans="1:238" x14ac:dyDescent="0.4">
      <c r="A1066" s="5">
        <v>1396</v>
      </c>
      <c r="B1066" s="5">
        <v>1</v>
      </c>
      <c r="C1066" s="5">
        <v>1</v>
      </c>
      <c r="D1066" s="5" t="s">
        <v>1455</v>
      </c>
      <c r="E1066" s="5" t="s">
        <v>338</v>
      </c>
      <c r="F1066" s="5" t="s">
        <v>282</v>
      </c>
      <c r="G1066" s="5" t="s">
        <v>1384</v>
      </c>
      <c r="H1066" s="6" t="s">
        <v>516</v>
      </c>
      <c r="I1066" s="5" t="s">
        <v>1382</v>
      </c>
      <c r="J1066" s="7">
        <f>1657.53</f>
        <v>1657.53</v>
      </c>
      <c r="K1066" s="5" t="s">
        <v>270</v>
      </c>
      <c r="L1066" s="8">
        <f>1</f>
        <v>1</v>
      </c>
      <c r="M1066" s="8">
        <f>157465350</f>
        <v>157465350</v>
      </c>
      <c r="N1066" s="6" t="s">
        <v>906</v>
      </c>
      <c r="O1066" s="5" t="s">
        <v>651</v>
      </c>
      <c r="P1066" s="5" t="s">
        <v>909</v>
      </c>
      <c r="R1066" s="8">
        <f>157465349</f>
        <v>157465349</v>
      </c>
      <c r="S1066" s="5" t="s">
        <v>240</v>
      </c>
      <c r="T1066" s="5" t="s">
        <v>237</v>
      </c>
      <c r="U1066" s="5" t="s">
        <v>238</v>
      </c>
      <c r="V1066" s="5" t="s">
        <v>238</v>
      </c>
      <c r="W1066" s="5" t="s">
        <v>241</v>
      </c>
      <c r="X1066" s="5" t="s">
        <v>337</v>
      </c>
      <c r="Y1066" s="5" t="s">
        <v>238</v>
      </c>
      <c r="AB1066" s="5" t="s">
        <v>238</v>
      </c>
      <c r="AD1066" s="6" t="s">
        <v>238</v>
      </c>
      <c r="AG1066" s="6" t="s">
        <v>246</v>
      </c>
      <c r="AH1066" s="5" t="s">
        <v>247</v>
      </c>
      <c r="AI1066" s="5" t="s">
        <v>248</v>
      </c>
      <c r="AY1066" s="5" t="s">
        <v>250</v>
      </c>
      <c r="AZ1066" s="5" t="s">
        <v>238</v>
      </c>
      <c r="BA1066" s="5" t="s">
        <v>251</v>
      </c>
      <c r="BB1066" s="5" t="s">
        <v>238</v>
      </c>
      <c r="BC1066" s="5" t="s">
        <v>253</v>
      </c>
      <c r="BD1066" s="5" t="s">
        <v>238</v>
      </c>
      <c r="BF1066" s="5" t="s">
        <v>238</v>
      </c>
      <c r="BH1066" s="5" t="s">
        <v>798</v>
      </c>
      <c r="BI1066" s="6" t="s">
        <v>799</v>
      </c>
      <c r="BJ1066" s="5" t="s">
        <v>255</v>
      </c>
      <c r="BK1066" s="5" t="s">
        <v>256</v>
      </c>
      <c r="BL1066" s="5" t="s">
        <v>238</v>
      </c>
      <c r="BM1066" s="7">
        <f>0</f>
        <v>0</v>
      </c>
      <c r="BN1066" s="8">
        <f>0</f>
        <v>0</v>
      </c>
      <c r="BO1066" s="5" t="s">
        <v>257</v>
      </c>
      <c r="BP1066" s="5" t="s">
        <v>258</v>
      </c>
      <c r="CD1066" s="5" t="s">
        <v>238</v>
      </c>
      <c r="CE1066" s="5" t="s">
        <v>238</v>
      </c>
      <c r="CI1066" s="5" t="s">
        <v>527</v>
      </c>
      <c r="CJ1066" s="5" t="s">
        <v>260</v>
      </c>
      <c r="CK1066" s="5" t="s">
        <v>238</v>
      </c>
      <c r="CM1066" s="5" t="s">
        <v>908</v>
      </c>
      <c r="CN1066" s="6" t="s">
        <v>262</v>
      </c>
      <c r="CO1066" s="5" t="s">
        <v>263</v>
      </c>
      <c r="CP1066" s="5" t="s">
        <v>264</v>
      </c>
      <c r="CQ1066" s="5" t="s">
        <v>238</v>
      </c>
      <c r="CR1066" s="5" t="s">
        <v>238</v>
      </c>
      <c r="CS1066" s="5">
        <v>0</v>
      </c>
      <c r="CT1066" s="5" t="s">
        <v>265</v>
      </c>
      <c r="CU1066" s="5" t="s">
        <v>1325</v>
      </c>
      <c r="CV1066" s="5" t="s">
        <v>267</v>
      </c>
      <c r="CX1066" s="8">
        <f>157465350</f>
        <v>157465350</v>
      </c>
      <c r="CY1066" s="8">
        <f>0</f>
        <v>0</v>
      </c>
      <c r="DA1066" s="5" t="s">
        <v>238</v>
      </c>
      <c r="DB1066" s="5" t="s">
        <v>238</v>
      </c>
      <c r="DD1066" s="5" t="s">
        <v>238</v>
      </c>
      <c r="DG1066" s="5" t="s">
        <v>238</v>
      </c>
      <c r="DH1066" s="5" t="s">
        <v>238</v>
      </c>
      <c r="DI1066" s="5" t="s">
        <v>238</v>
      </c>
      <c r="DJ1066" s="5" t="s">
        <v>238</v>
      </c>
      <c r="DK1066" s="5" t="s">
        <v>271</v>
      </c>
      <c r="DL1066" s="5" t="s">
        <v>272</v>
      </c>
      <c r="DM1066" s="7">
        <f>1657.53</f>
        <v>1657.53</v>
      </c>
      <c r="DN1066" s="5" t="s">
        <v>238</v>
      </c>
      <c r="DO1066" s="5" t="s">
        <v>238</v>
      </c>
      <c r="DP1066" s="5" t="s">
        <v>238</v>
      </c>
      <c r="DQ1066" s="5" t="s">
        <v>238</v>
      </c>
      <c r="DT1066" s="5" t="s">
        <v>1456</v>
      </c>
      <c r="DU1066" s="5" t="s">
        <v>271</v>
      </c>
      <c r="HM1066" s="5" t="s">
        <v>271</v>
      </c>
      <c r="HP1066" s="5" t="s">
        <v>272</v>
      </c>
      <c r="HQ1066" s="5" t="s">
        <v>272</v>
      </c>
    </row>
    <row r="1067" spans="1:238" x14ac:dyDescent="0.4">
      <c r="A1067" s="5">
        <v>1397</v>
      </c>
      <c r="B1067" s="5">
        <v>1</v>
      </c>
      <c r="C1067" s="5">
        <v>1</v>
      </c>
      <c r="D1067" s="5" t="s">
        <v>1455</v>
      </c>
      <c r="E1067" s="5" t="s">
        <v>338</v>
      </c>
      <c r="F1067" s="5" t="s">
        <v>282</v>
      </c>
      <c r="G1067" s="5" t="s">
        <v>1309</v>
      </c>
      <c r="H1067" s="6" t="s">
        <v>516</v>
      </c>
      <c r="I1067" s="5" t="s">
        <v>1309</v>
      </c>
      <c r="J1067" s="7">
        <f>28.18</f>
        <v>28.18</v>
      </c>
      <c r="K1067" s="5" t="s">
        <v>270</v>
      </c>
      <c r="L1067" s="8">
        <f>1</f>
        <v>1</v>
      </c>
      <c r="M1067" s="8">
        <f>2677100</f>
        <v>2677100</v>
      </c>
      <c r="N1067" s="6" t="s">
        <v>906</v>
      </c>
      <c r="O1067" s="5" t="s">
        <v>268</v>
      </c>
      <c r="P1067" s="5" t="s">
        <v>909</v>
      </c>
      <c r="R1067" s="8">
        <f>2677099</f>
        <v>2677099</v>
      </c>
      <c r="S1067" s="5" t="s">
        <v>240</v>
      </c>
      <c r="T1067" s="5" t="s">
        <v>237</v>
      </c>
      <c r="U1067" s="5" t="s">
        <v>238</v>
      </c>
      <c r="V1067" s="5" t="s">
        <v>238</v>
      </c>
      <c r="W1067" s="5" t="s">
        <v>241</v>
      </c>
      <c r="X1067" s="5" t="s">
        <v>337</v>
      </c>
      <c r="Y1067" s="5" t="s">
        <v>238</v>
      </c>
      <c r="AB1067" s="5" t="s">
        <v>238</v>
      </c>
      <c r="AD1067" s="6" t="s">
        <v>238</v>
      </c>
      <c r="AG1067" s="6" t="s">
        <v>246</v>
      </c>
      <c r="AH1067" s="5" t="s">
        <v>247</v>
      </c>
      <c r="AI1067" s="5" t="s">
        <v>248</v>
      </c>
      <c r="AY1067" s="5" t="s">
        <v>250</v>
      </c>
      <c r="AZ1067" s="5" t="s">
        <v>238</v>
      </c>
      <c r="BA1067" s="5" t="s">
        <v>251</v>
      </c>
      <c r="BB1067" s="5" t="s">
        <v>238</v>
      </c>
      <c r="BC1067" s="5" t="s">
        <v>253</v>
      </c>
      <c r="BD1067" s="5" t="s">
        <v>238</v>
      </c>
      <c r="BF1067" s="5" t="s">
        <v>238</v>
      </c>
      <c r="BH1067" s="5" t="s">
        <v>254</v>
      </c>
      <c r="BI1067" s="6" t="s">
        <v>246</v>
      </c>
      <c r="BJ1067" s="5" t="s">
        <v>255</v>
      </c>
      <c r="BK1067" s="5" t="s">
        <v>256</v>
      </c>
      <c r="BL1067" s="5" t="s">
        <v>238</v>
      </c>
      <c r="BM1067" s="7">
        <f>0</f>
        <v>0</v>
      </c>
      <c r="BN1067" s="8">
        <f>0</f>
        <v>0</v>
      </c>
      <c r="BO1067" s="5" t="s">
        <v>257</v>
      </c>
      <c r="BP1067" s="5" t="s">
        <v>258</v>
      </c>
      <c r="CD1067" s="5" t="s">
        <v>238</v>
      </c>
      <c r="CE1067" s="5" t="s">
        <v>238</v>
      </c>
      <c r="CI1067" s="5" t="s">
        <v>527</v>
      </c>
      <c r="CJ1067" s="5" t="s">
        <v>260</v>
      </c>
      <c r="CK1067" s="5" t="s">
        <v>238</v>
      </c>
      <c r="CM1067" s="5" t="s">
        <v>908</v>
      </c>
      <c r="CN1067" s="6" t="s">
        <v>262</v>
      </c>
      <c r="CO1067" s="5" t="s">
        <v>263</v>
      </c>
      <c r="CP1067" s="5" t="s">
        <v>264</v>
      </c>
      <c r="CQ1067" s="5" t="s">
        <v>238</v>
      </c>
      <c r="CR1067" s="5" t="s">
        <v>238</v>
      </c>
      <c r="CS1067" s="5">
        <v>0</v>
      </c>
      <c r="CT1067" s="5" t="s">
        <v>265</v>
      </c>
      <c r="CU1067" s="5" t="s">
        <v>1342</v>
      </c>
      <c r="CV1067" s="5" t="s">
        <v>267</v>
      </c>
      <c r="CX1067" s="8">
        <f>2677100</f>
        <v>2677100</v>
      </c>
      <c r="CY1067" s="8">
        <f>0</f>
        <v>0</v>
      </c>
      <c r="DA1067" s="5" t="s">
        <v>238</v>
      </c>
      <c r="DB1067" s="5" t="s">
        <v>238</v>
      </c>
      <c r="DD1067" s="5" t="s">
        <v>238</v>
      </c>
      <c r="DG1067" s="5" t="s">
        <v>238</v>
      </c>
      <c r="DH1067" s="5" t="s">
        <v>238</v>
      </c>
      <c r="DI1067" s="5" t="s">
        <v>238</v>
      </c>
      <c r="DJ1067" s="5" t="s">
        <v>238</v>
      </c>
      <c r="DK1067" s="5" t="s">
        <v>271</v>
      </c>
      <c r="DL1067" s="5" t="s">
        <v>272</v>
      </c>
      <c r="DM1067" s="7">
        <f>28.18</f>
        <v>28.18</v>
      </c>
      <c r="DN1067" s="5" t="s">
        <v>238</v>
      </c>
      <c r="DO1067" s="5" t="s">
        <v>238</v>
      </c>
      <c r="DP1067" s="5" t="s">
        <v>238</v>
      </c>
      <c r="DQ1067" s="5" t="s">
        <v>238</v>
      </c>
      <c r="DT1067" s="5" t="s">
        <v>1456</v>
      </c>
      <c r="DU1067" s="5" t="s">
        <v>274</v>
      </c>
      <c r="HM1067" s="5" t="s">
        <v>271</v>
      </c>
      <c r="HP1067" s="5" t="s">
        <v>272</v>
      </c>
      <c r="HQ1067" s="5" t="s">
        <v>272</v>
      </c>
    </row>
    <row r="1068" spans="1:238" x14ac:dyDescent="0.4">
      <c r="A1068" s="5">
        <v>1398</v>
      </c>
      <c r="B1068" s="5">
        <v>1</v>
      </c>
      <c r="C1068" s="5">
        <v>1</v>
      </c>
      <c r="D1068" s="5" t="s">
        <v>1462</v>
      </c>
      <c r="E1068" s="5" t="s">
        <v>338</v>
      </c>
      <c r="F1068" s="5" t="s">
        <v>282</v>
      </c>
      <c r="G1068" s="5" t="s">
        <v>1384</v>
      </c>
      <c r="H1068" s="6" t="s">
        <v>1463</v>
      </c>
      <c r="I1068" s="5" t="s">
        <v>1461</v>
      </c>
      <c r="J1068" s="7">
        <f>607</f>
        <v>607</v>
      </c>
      <c r="K1068" s="5" t="s">
        <v>270</v>
      </c>
      <c r="L1068" s="8">
        <f>1</f>
        <v>1</v>
      </c>
      <c r="M1068" s="8">
        <f>57665000</f>
        <v>57665000</v>
      </c>
      <c r="N1068" s="6" t="s">
        <v>906</v>
      </c>
      <c r="O1068" s="5" t="s">
        <v>651</v>
      </c>
      <c r="P1068" s="5" t="s">
        <v>909</v>
      </c>
      <c r="R1068" s="8">
        <f>57664999</f>
        <v>57664999</v>
      </c>
      <c r="S1068" s="5" t="s">
        <v>240</v>
      </c>
      <c r="T1068" s="5" t="s">
        <v>237</v>
      </c>
      <c r="U1068" s="5" t="s">
        <v>238</v>
      </c>
      <c r="V1068" s="5" t="s">
        <v>238</v>
      </c>
      <c r="W1068" s="5" t="s">
        <v>241</v>
      </c>
      <c r="X1068" s="5" t="s">
        <v>337</v>
      </c>
      <c r="Y1068" s="5" t="s">
        <v>238</v>
      </c>
      <c r="AB1068" s="5" t="s">
        <v>238</v>
      </c>
      <c r="AD1068" s="6" t="s">
        <v>238</v>
      </c>
      <c r="AG1068" s="6" t="s">
        <v>246</v>
      </c>
      <c r="AH1068" s="5" t="s">
        <v>247</v>
      </c>
      <c r="AI1068" s="5" t="s">
        <v>248</v>
      </c>
      <c r="AY1068" s="5" t="s">
        <v>250</v>
      </c>
      <c r="AZ1068" s="5" t="s">
        <v>238</v>
      </c>
      <c r="BA1068" s="5" t="s">
        <v>251</v>
      </c>
      <c r="BB1068" s="5" t="s">
        <v>238</v>
      </c>
      <c r="BC1068" s="5" t="s">
        <v>253</v>
      </c>
      <c r="BD1068" s="5" t="s">
        <v>238</v>
      </c>
      <c r="BF1068" s="5" t="s">
        <v>238</v>
      </c>
      <c r="BH1068" s="5" t="s">
        <v>798</v>
      </c>
      <c r="BI1068" s="6" t="s">
        <v>1464</v>
      </c>
      <c r="BJ1068" s="5" t="s">
        <v>255</v>
      </c>
      <c r="BK1068" s="5" t="s">
        <v>256</v>
      </c>
      <c r="BL1068" s="5" t="s">
        <v>238</v>
      </c>
      <c r="BM1068" s="7">
        <f>0</f>
        <v>0</v>
      </c>
      <c r="BN1068" s="8">
        <f>0</f>
        <v>0</v>
      </c>
      <c r="BO1068" s="5" t="s">
        <v>257</v>
      </c>
      <c r="BP1068" s="5" t="s">
        <v>258</v>
      </c>
      <c r="CD1068" s="5" t="s">
        <v>238</v>
      </c>
      <c r="CE1068" s="5" t="s">
        <v>238</v>
      </c>
      <c r="CI1068" s="5" t="s">
        <v>527</v>
      </c>
      <c r="CJ1068" s="5" t="s">
        <v>260</v>
      </c>
      <c r="CK1068" s="5" t="s">
        <v>238</v>
      </c>
      <c r="CM1068" s="5" t="s">
        <v>908</v>
      </c>
      <c r="CN1068" s="6" t="s">
        <v>262</v>
      </c>
      <c r="CO1068" s="5" t="s">
        <v>263</v>
      </c>
      <c r="CP1068" s="5" t="s">
        <v>264</v>
      </c>
      <c r="CQ1068" s="5" t="s">
        <v>238</v>
      </c>
      <c r="CR1068" s="5" t="s">
        <v>238</v>
      </c>
      <c r="CS1068" s="5">
        <v>0</v>
      </c>
      <c r="CT1068" s="5" t="s">
        <v>265</v>
      </c>
      <c r="CU1068" s="5" t="s">
        <v>1325</v>
      </c>
      <c r="CV1068" s="5" t="s">
        <v>267</v>
      </c>
      <c r="CX1068" s="8">
        <f>57665000</f>
        <v>57665000</v>
      </c>
      <c r="CY1068" s="8">
        <f>0</f>
        <v>0</v>
      </c>
      <c r="DA1068" s="5" t="s">
        <v>238</v>
      </c>
      <c r="DB1068" s="5" t="s">
        <v>238</v>
      </c>
      <c r="DD1068" s="5" t="s">
        <v>238</v>
      </c>
      <c r="DG1068" s="5" t="s">
        <v>238</v>
      </c>
      <c r="DH1068" s="5" t="s">
        <v>238</v>
      </c>
      <c r="DI1068" s="5" t="s">
        <v>238</v>
      </c>
      <c r="DJ1068" s="5" t="s">
        <v>238</v>
      </c>
      <c r="DK1068" s="5" t="s">
        <v>271</v>
      </c>
      <c r="DL1068" s="5" t="s">
        <v>272</v>
      </c>
      <c r="DM1068" s="7">
        <f>607</f>
        <v>607</v>
      </c>
      <c r="DN1068" s="5" t="s">
        <v>238</v>
      </c>
      <c r="DO1068" s="5" t="s">
        <v>238</v>
      </c>
      <c r="DP1068" s="5" t="s">
        <v>238</v>
      </c>
      <c r="DQ1068" s="5" t="s">
        <v>238</v>
      </c>
      <c r="DT1068" s="5" t="s">
        <v>1465</v>
      </c>
      <c r="DU1068" s="5" t="s">
        <v>271</v>
      </c>
      <c r="HM1068" s="5" t="s">
        <v>271</v>
      </c>
      <c r="HP1068" s="5" t="s">
        <v>272</v>
      </c>
      <c r="HQ1068" s="5" t="s">
        <v>272</v>
      </c>
    </row>
    <row r="1069" spans="1:238" x14ac:dyDescent="0.4">
      <c r="A1069" s="5">
        <v>1399</v>
      </c>
      <c r="B1069" s="5">
        <v>1</v>
      </c>
      <c r="C1069" s="5">
        <v>4</v>
      </c>
      <c r="D1069" s="5" t="s">
        <v>1426</v>
      </c>
      <c r="E1069" s="5" t="s">
        <v>338</v>
      </c>
      <c r="F1069" s="5" t="s">
        <v>282</v>
      </c>
      <c r="G1069" s="5" t="s">
        <v>1415</v>
      </c>
      <c r="H1069" s="6" t="s">
        <v>1428</v>
      </c>
      <c r="I1069" s="5" t="s">
        <v>1425</v>
      </c>
      <c r="J1069" s="7">
        <f>332.89</f>
        <v>332.89</v>
      </c>
      <c r="K1069" s="5" t="s">
        <v>270</v>
      </c>
      <c r="L1069" s="8">
        <f>43326582</f>
        <v>43326582</v>
      </c>
      <c r="M1069" s="8">
        <f>95433000</f>
        <v>95433000</v>
      </c>
      <c r="N1069" s="6" t="s">
        <v>1427</v>
      </c>
      <c r="O1069" s="5" t="s">
        <v>651</v>
      </c>
      <c r="P1069" s="5" t="s">
        <v>371</v>
      </c>
      <c r="Q1069" s="8">
        <f>4008186</f>
        <v>4008186</v>
      </c>
      <c r="R1069" s="8">
        <f>52106418</f>
        <v>52106418</v>
      </c>
      <c r="S1069" s="5" t="s">
        <v>240</v>
      </c>
      <c r="T1069" s="5" t="s">
        <v>237</v>
      </c>
      <c r="U1069" s="5" t="s">
        <v>238</v>
      </c>
      <c r="V1069" s="5" t="s">
        <v>238</v>
      </c>
      <c r="W1069" s="5" t="s">
        <v>241</v>
      </c>
      <c r="X1069" s="5" t="s">
        <v>337</v>
      </c>
      <c r="Y1069" s="5" t="s">
        <v>238</v>
      </c>
      <c r="AB1069" s="5" t="s">
        <v>238</v>
      </c>
      <c r="AC1069" s="6" t="s">
        <v>238</v>
      </c>
      <c r="AD1069" s="6" t="s">
        <v>238</v>
      </c>
      <c r="AF1069" s="6" t="s">
        <v>238</v>
      </c>
      <c r="AG1069" s="6" t="s">
        <v>246</v>
      </c>
      <c r="AH1069" s="5" t="s">
        <v>247</v>
      </c>
      <c r="AI1069" s="5" t="s">
        <v>248</v>
      </c>
      <c r="AO1069" s="5" t="s">
        <v>238</v>
      </c>
      <c r="AP1069" s="5" t="s">
        <v>238</v>
      </c>
      <c r="AQ1069" s="5" t="s">
        <v>238</v>
      </c>
      <c r="AR1069" s="6" t="s">
        <v>238</v>
      </c>
      <c r="AS1069" s="6" t="s">
        <v>238</v>
      </c>
      <c r="AT1069" s="6" t="s">
        <v>238</v>
      </c>
      <c r="AW1069" s="5" t="s">
        <v>304</v>
      </c>
      <c r="AX1069" s="5" t="s">
        <v>304</v>
      </c>
      <c r="AY1069" s="5" t="s">
        <v>250</v>
      </c>
      <c r="AZ1069" s="5" t="s">
        <v>305</v>
      </c>
      <c r="BA1069" s="5" t="s">
        <v>251</v>
      </c>
      <c r="BB1069" s="5" t="s">
        <v>238</v>
      </c>
      <c r="BC1069" s="5" t="s">
        <v>253</v>
      </c>
      <c r="BD1069" s="5" t="s">
        <v>238</v>
      </c>
      <c r="BF1069" s="5" t="s">
        <v>238</v>
      </c>
      <c r="BH1069" s="5" t="s">
        <v>283</v>
      </c>
      <c r="BI1069" s="6" t="s">
        <v>293</v>
      </c>
      <c r="BJ1069" s="5" t="s">
        <v>294</v>
      </c>
      <c r="BK1069" s="5" t="s">
        <v>294</v>
      </c>
      <c r="BL1069" s="5" t="s">
        <v>238</v>
      </c>
      <c r="BM1069" s="7">
        <f>0</f>
        <v>0</v>
      </c>
      <c r="BN1069" s="8">
        <f>-4008186</f>
        <v>-4008186</v>
      </c>
      <c r="BO1069" s="5" t="s">
        <v>257</v>
      </c>
      <c r="BP1069" s="5" t="s">
        <v>258</v>
      </c>
      <c r="BQ1069" s="5" t="s">
        <v>238</v>
      </c>
      <c r="BR1069" s="5" t="s">
        <v>238</v>
      </c>
      <c r="BS1069" s="5" t="s">
        <v>238</v>
      </c>
      <c r="BT1069" s="5" t="s">
        <v>238</v>
      </c>
      <c r="CC1069" s="5" t="s">
        <v>258</v>
      </c>
      <c r="CD1069" s="5" t="s">
        <v>238</v>
      </c>
      <c r="CE1069" s="5" t="s">
        <v>238</v>
      </c>
      <c r="CI1069" s="5" t="s">
        <v>259</v>
      </c>
      <c r="CJ1069" s="5" t="s">
        <v>260</v>
      </c>
      <c r="CK1069" s="5" t="s">
        <v>238</v>
      </c>
      <c r="CM1069" s="5" t="s">
        <v>732</v>
      </c>
      <c r="CN1069" s="6" t="s">
        <v>262</v>
      </c>
      <c r="CO1069" s="5" t="s">
        <v>263</v>
      </c>
      <c r="CP1069" s="5" t="s">
        <v>264</v>
      </c>
      <c r="CQ1069" s="5" t="s">
        <v>285</v>
      </c>
      <c r="CR1069" s="5" t="s">
        <v>238</v>
      </c>
      <c r="CS1069" s="5">
        <v>4.2000000000000003E-2</v>
      </c>
      <c r="CT1069" s="5" t="s">
        <v>265</v>
      </c>
      <c r="CU1069" s="5" t="s">
        <v>1325</v>
      </c>
      <c r="CV1069" s="5" t="s">
        <v>267</v>
      </c>
      <c r="CW1069" s="7">
        <f>0</f>
        <v>0</v>
      </c>
      <c r="CX1069" s="8">
        <f>95433000</f>
        <v>95433000</v>
      </c>
      <c r="CY1069" s="8">
        <f>47334768</f>
        <v>47334768</v>
      </c>
      <c r="DA1069" s="5" t="s">
        <v>238</v>
      </c>
      <c r="DB1069" s="5" t="s">
        <v>238</v>
      </c>
      <c r="DD1069" s="5" t="s">
        <v>238</v>
      </c>
      <c r="DE1069" s="8">
        <f>0</f>
        <v>0</v>
      </c>
      <c r="DG1069" s="5" t="s">
        <v>238</v>
      </c>
      <c r="DH1069" s="5" t="s">
        <v>238</v>
      </c>
      <c r="DI1069" s="5" t="s">
        <v>238</v>
      </c>
      <c r="DJ1069" s="5" t="s">
        <v>238</v>
      </c>
      <c r="DK1069" s="5" t="s">
        <v>271</v>
      </c>
      <c r="DL1069" s="5" t="s">
        <v>272</v>
      </c>
      <c r="DM1069" s="7">
        <f>332.89</f>
        <v>332.89</v>
      </c>
      <c r="DN1069" s="5" t="s">
        <v>238</v>
      </c>
      <c r="DO1069" s="5" t="s">
        <v>238</v>
      </c>
      <c r="DP1069" s="5" t="s">
        <v>238</v>
      </c>
      <c r="DQ1069" s="5" t="s">
        <v>238</v>
      </c>
      <c r="DT1069" s="5" t="s">
        <v>1429</v>
      </c>
      <c r="DU1069" s="5" t="s">
        <v>271</v>
      </c>
      <c r="GL1069" s="5" t="s">
        <v>1430</v>
      </c>
      <c r="HM1069" s="5" t="s">
        <v>313</v>
      </c>
      <c r="HP1069" s="5" t="s">
        <v>272</v>
      </c>
      <c r="HQ1069" s="5" t="s">
        <v>272</v>
      </c>
      <c r="HR1069" s="5" t="s">
        <v>238</v>
      </c>
      <c r="HS1069" s="5" t="s">
        <v>238</v>
      </c>
      <c r="HT1069" s="5" t="s">
        <v>238</v>
      </c>
      <c r="HU1069" s="5" t="s">
        <v>238</v>
      </c>
      <c r="HV1069" s="5" t="s">
        <v>238</v>
      </c>
      <c r="HW1069" s="5" t="s">
        <v>238</v>
      </c>
      <c r="HX1069" s="5" t="s">
        <v>238</v>
      </c>
      <c r="HY1069" s="5" t="s">
        <v>238</v>
      </c>
      <c r="HZ1069" s="5" t="s">
        <v>238</v>
      </c>
      <c r="IA1069" s="5" t="s">
        <v>238</v>
      </c>
      <c r="IB1069" s="5" t="s">
        <v>238</v>
      </c>
      <c r="IC1069" s="5" t="s">
        <v>238</v>
      </c>
      <c r="ID1069" s="5" t="s">
        <v>238</v>
      </c>
    </row>
    <row r="1070" spans="1:238" x14ac:dyDescent="0.4">
      <c r="A1070" s="5">
        <v>1400</v>
      </c>
      <c r="B1070" s="5">
        <v>1</v>
      </c>
      <c r="C1070" s="5">
        <v>4</v>
      </c>
      <c r="D1070" s="5" t="s">
        <v>1028</v>
      </c>
      <c r="E1070" s="5" t="s">
        <v>338</v>
      </c>
      <c r="F1070" s="5" t="s">
        <v>282</v>
      </c>
      <c r="G1070" s="5" t="s">
        <v>1415</v>
      </c>
      <c r="H1070" s="6" t="s">
        <v>1030</v>
      </c>
      <c r="I1070" s="5" t="s">
        <v>1417</v>
      </c>
      <c r="J1070" s="7">
        <f>731.92</f>
        <v>731.92</v>
      </c>
      <c r="K1070" s="5" t="s">
        <v>270</v>
      </c>
      <c r="L1070" s="8">
        <f>121323068</f>
        <v>121323068</v>
      </c>
      <c r="M1070" s="8">
        <f>216648320</f>
        <v>216648320</v>
      </c>
      <c r="N1070" s="6" t="s">
        <v>1029</v>
      </c>
      <c r="O1070" s="5" t="s">
        <v>279</v>
      </c>
      <c r="P1070" s="5" t="s">
        <v>712</v>
      </c>
      <c r="Q1070" s="8">
        <f>4332966</f>
        <v>4332966</v>
      </c>
      <c r="R1070" s="8">
        <f>95325252</f>
        <v>95325252</v>
      </c>
      <c r="S1070" s="5" t="s">
        <v>240</v>
      </c>
      <c r="T1070" s="5" t="s">
        <v>237</v>
      </c>
      <c r="U1070" s="5" t="s">
        <v>238</v>
      </c>
      <c r="V1070" s="5" t="s">
        <v>238</v>
      </c>
      <c r="W1070" s="5" t="s">
        <v>241</v>
      </c>
      <c r="X1070" s="5" t="s">
        <v>337</v>
      </c>
      <c r="Y1070" s="5" t="s">
        <v>238</v>
      </c>
      <c r="AB1070" s="5" t="s">
        <v>238</v>
      </c>
      <c r="AC1070" s="6" t="s">
        <v>238</v>
      </c>
      <c r="AD1070" s="6" t="s">
        <v>238</v>
      </c>
      <c r="AF1070" s="6" t="s">
        <v>238</v>
      </c>
      <c r="AG1070" s="6" t="s">
        <v>246</v>
      </c>
      <c r="AH1070" s="5" t="s">
        <v>247</v>
      </c>
      <c r="AI1070" s="5" t="s">
        <v>248</v>
      </c>
      <c r="AO1070" s="5" t="s">
        <v>238</v>
      </c>
      <c r="AP1070" s="5" t="s">
        <v>238</v>
      </c>
      <c r="AQ1070" s="5" t="s">
        <v>238</v>
      </c>
      <c r="AR1070" s="6" t="s">
        <v>238</v>
      </c>
      <c r="AS1070" s="6" t="s">
        <v>238</v>
      </c>
      <c r="AT1070" s="6" t="s">
        <v>238</v>
      </c>
      <c r="AW1070" s="5" t="s">
        <v>304</v>
      </c>
      <c r="AX1070" s="5" t="s">
        <v>304</v>
      </c>
      <c r="AY1070" s="5" t="s">
        <v>250</v>
      </c>
      <c r="AZ1070" s="5" t="s">
        <v>305</v>
      </c>
      <c r="BA1070" s="5" t="s">
        <v>251</v>
      </c>
      <c r="BB1070" s="5" t="s">
        <v>238</v>
      </c>
      <c r="BC1070" s="5" t="s">
        <v>253</v>
      </c>
      <c r="BD1070" s="5" t="s">
        <v>238</v>
      </c>
      <c r="BF1070" s="5" t="s">
        <v>238</v>
      </c>
      <c r="BH1070" s="5" t="s">
        <v>283</v>
      </c>
      <c r="BI1070" s="6" t="s">
        <v>293</v>
      </c>
      <c r="BJ1070" s="5" t="s">
        <v>294</v>
      </c>
      <c r="BK1070" s="5" t="s">
        <v>294</v>
      </c>
      <c r="BL1070" s="5" t="s">
        <v>238</v>
      </c>
      <c r="BM1070" s="7">
        <f>0</f>
        <v>0</v>
      </c>
      <c r="BN1070" s="8">
        <f>-4332966</f>
        <v>-4332966</v>
      </c>
      <c r="BO1070" s="5" t="s">
        <v>257</v>
      </c>
      <c r="BP1070" s="5" t="s">
        <v>258</v>
      </c>
      <c r="BQ1070" s="5" t="s">
        <v>238</v>
      </c>
      <c r="BR1070" s="5" t="s">
        <v>238</v>
      </c>
      <c r="BS1070" s="5" t="s">
        <v>238</v>
      </c>
      <c r="BT1070" s="5" t="s">
        <v>238</v>
      </c>
      <c r="CC1070" s="5" t="s">
        <v>258</v>
      </c>
      <c r="CD1070" s="5" t="s">
        <v>238</v>
      </c>
      <c r="CE1070" s="5" t="s">
        <v>238</v>
      </c>
      <c r="CI1070" s="5" t="s">
        <v>259</v>
      </c>
      <c r="CJ1070" s="5" t="s">
        <v>260</v>
      </c>
      <c r="CK1070" s="5" t="s">
        <v>238</v>
      </c>
      <c r="CM1070" s="5" t="s">
        <v>711</v>
      </c>
      <c r="CN1070" s="6" t="s">
        <v>262</v>
      </c>
      <c r="CO1070" s="5" t="s">
        <v>263</v>
      </c>
      <c r="CP1070" s="5" t="s">
        <v>264</v>
      </c>
      <c r="CQ1070" s="5" t="s">
        <v>285</v>
      </c>
      <c r="CR1070" s="5" t="s">
        <v>238</v>
      </c>
      <c r="CS1070" s="5">
        <v>0.02</v>
      </c>
      <c r="CT1070" s="5" t="s">
        <v>265</v>
      </c>
      <c r="CU1070" s="5" t="s">
        <v>1325</v>
      </c>
      <c r="CV1070" s="5" t="s">
        <v>308</v>
      </c>
      <c r="CW1070" s="7">
        <f>0</f>
        <v>0</v>
      </c>
      <c r="CX1070" s="8">
        <f>216648320</f>
        <v>216648320</v>
      </c>
      <c r="CY1070" s="8">
        <f>125656034</f>
        <v>125656034</v>
      </c>
      <c r="DA1070" s="5" t="s">
        <v>238</v>
      </c>
      <c r="DB1070" s="5" t="s">
        <v>238</v>
      </c>
      <c r="DD1070" s="5" t="s">
        <v>238</v>
      </c>
      <c r="DE1070" s="8">
        <f>0</f>
        <v>0</v>
      </c>
      <c r="DG1070" s="5" t="s">
        <v>238</v>
      </c>
      <c r="DH1070" s="5" t="s">
        <v>238</v>
      </c>
      <c r="DI1070" s="5" t="s">
        <v>238</v>
      </c>
      <c r="DJ1070" s="5" t="s">
        <v>238</v>
      </c>
      <c r="DK1070" s="5" t="s">
        <v>271</v>
      </c>
      <c r="DL1070" s="5" t="s">
        <v>272</v>
      </c>
      <c r="DM1070" s="7">
        <f>731.92</f>
        <v>731.92</v>
      </c>
      <c r="DN1070" s="5" t="s">
        <v>238</v>
      </c>
      <c r="DO1070" s="5" t="s">
        <v>238</v>
      </c>
      <c r="DP1070" s="5" t="s">
        <v>238</v>
      </c>
      <c r="DQ1070" s="5" t="s">
        <v>238</v>
      </c>
      <c r="DT1070" s="5" t="s">
        <v>1031</v>
      </c>
      <c r="DU1070" s="5" t="s">
        <v>271</v>
      </c>
      <c r="GL1070" s="5" t="s">
        <v>1418</v>
      </c>
      <c r="HM1070" s="5" t="s">
        <v>313</v>
      </c>
      <c r="HP1070" s="5" t="s">
        <v>272</v>
      </c>
      <c r="HQ1070" s="5" t="s">
        <v>272</v>
      </c>
      <c r="HR1070" s="5" t="s">
        <v>238</v>
      </c>
      <c r="HS1070" s="5" t="s">
        <v>238</v>
      </c>
      <c r="HT1070" s="5" t="s">
        <v>238</v>
      </c>
      <c r="HU1070" s="5" t="s">
        <v>238</v>
      </c>
      <c r="HV1070" s="5" t="s">
        <v>238</v>
      </c>
      <c r="HW1070" s="5" t="s">
        <v>238</v>
      </c>
      <c r="HX1070" s="5" t="s">
        <v>238</v>
      </c>
      <c r="HY1070" s="5" t="s">
        <v>238</v>
      </c>
      <c r="HZ1070" s="5" t="s">
        <v>238</v>
      </c>
      <c r="IA1070" s="5" t="s">
        <v>238</v>
      </c>
      <c r="IB1070" s="5" t="s">
        <v>238</v>
      </c>
      <c r="IC1070" s="5" t="s">
        <v>238</v>
      </c>
      <c r="ID1070" s="5" t="s">
        <v>238</v>
      </c>
    </row>
    <row r="1071" spans="1:238" x14ac:dyDescent="0.4">
      <c r="A1071" s="5">
        <v>1401</v>
      </c>
      <c r="B1071" s="5">
        <v>1</v>
      </c>
      <c r="C1071" s="5">
        <v>4</v>
      </c>
      <c r="D1071" s="5" t="s">
        <v>1028</v>
      </c>
      <c r="E1071" s="5" t="s">
        <v>338</v>
      </c>
      <c r="F1071" s="5" t="s">
        <v>282</v>
      </c>
      <c r="G1071" s="5" t="s">
        <v>1341</v>
      </c>
      <c r="H1071" s="6" t="s">
        <v>1030</v>
      </c>
      <c r="I1071" s="5" t="s">
        <v>1309</v>
      </c>
      <c r="J1071" s="7">
        <f>39.8</f>
        <v>39.799999999999997</v>
      </c>
      <c r="K1071" s="5" t="s">
        <v>270</v>
      </c>
      <c r="L1071" s="8">
        <f>5122344</f>
        <v>5122344</v>
      </c>
      <c r="M1071" s="8">
        <f>12616600</f>
        <v>12616600</v>
      </c>
      <c r="N1071" s="6" t="s">
        <v>1029</v>
      </c>
      <c r="O1071" s="5" t="s">
        <v>639</v>
      </c>
      <c r="P1071" s="5" t="s">
        <v>712</v>
      </c>
      <c r="Q1071" s="8">
        <f>340648</f>
        <v>340648</v>
      </c>
      <c r="R1071" s="8">
        <f>7494256</f>
        <v>7494256</v>
      </c>
      <c r="S1071" s="5" t="s">
        <v>240</v>
      </c>
      <c r="T1071" s="5" t="s">
        <v>237</v>
      </c>
      <c r="U1071" s="5" t="s">
        <v>238</v>
      </c>
      <c r="V1071" s="5" t="s">
        <v>238</v>
      </c>
      <c r="W1071" s="5" t="s">
        <v>241</v>
      </c>
      <c r="X1071" s="5" t="s">
        <v>337</v>
      </c>
      <c r="Y1071" s="5" t="s">
        <v>238</v>
      </c>
      <c r="AB1071" s="5" t="s">
        <v>238</v>
      </c>
      <c r="AC1071" s="6" t="s">
        <v>238</v>
      </c>
      <c r="AD1071" s="6" t="s">
        <v>238</v>
      </c>
      <c r="AF1071" s="6" t="s">
        <v>238</v>
      </c>
      <c r="AG1071" s="6" t="s">
        <v>246</v>
      </c>
      <c r="AH1071" s="5" t="s">
        <v>247</v>
      </c>
      <c r="AI1071" s="5" t="s">
        <v>248</v>
      </c>
      <c r="AO1071" s="5" t="s">
        <v>238</v>
      </c>
      <c r="AP1071" s="5" t="s">
        <v>238</v>
      </c>
      <c r="AQ1071" s="5" t="s">
        <v>238</v>
      </c>
      <c r="AR1071" s="6" t="s">
        <v>238</v>
      </c>
      <c r="AS1071" s="6" t="s">
        <v>238</v>
      </c>
      <c r="AT1071" s="6" t="s">
        <v>238</v>
      </c>
      <c r="AW1071" s="5" t="s">
        <v>304</v>
      </c>
      <c r="AX1071" s="5" t="s">
        <v>304</v>
      </c>
      <c r="AY1071" s="5" t="s">
        <v>250</v>
      </c>
      <c r="AZ1071" s="5" t="s">
        <v>305</v>
      </c>
      <c r="BA1071" s="5" t="s">
        <v>251</v>
      </c>
      <c r="BB1071" s="5" t="s">
        <v>238</v>
      </c>
      <c r="BC1071" s="5" t="s">
        <v>253</v>
      </c>
      <c r="BD1071" s="5" t="s">
        <v>238</v>
      </c>
      <c r="BF1071" s="5" t="s">
        <v>238</v>
      </c>
      <c r="BH1071" s="5" t="s">
        <v>283</v>
      </c>
      <c r="BI1071" s="6" t="s">
        <v>293</v>
      </c>
      <c r="BJ1071" s="5" t="s">
        <v>294</v>
      </c>
      <c r="BK1071" s="5" t="s">
        <v>294</v>
      </c>
      <c r="BL1071" s="5" t="s">
        <v>238</v>
      </c>
      <c r="BM1071" s="7">
        <f>0</f>
        <v>0</v>
      </c>
      <c r="BN1071" s="8">
        <f>-340648</f>
        <v>-340648</v>
      </c>
      <c r="BO1071" s="5" t="s">
        <v>257</v>
      </c>
      <c r="BP1071" s="5" t="s">
        <v>258</v>
      </c>
      <c r="BQ1071" s="5" t="s">
        <v>238</v>
      </c>
      <c r="BR1071" s="5" t="s">
        <v>238</v>
      </c>
      <c r="BS1071" s="5" t="s">
        <v>238</v>
      </c>
      <c r="BT1071" s="5" t="s">
        <v>238</v>
      </c>
      <c r="CC1071" s="5" t="s">
        <v>258</v>
      </c>
      <c r="CD1071" s="5" t="s">
        <v>238</v>
      </c>
      <c r="CE1071" s="5" t="s">
        <v>238</v>
      </c>
      <c r="CI1071" s="5" t="s">
        <v>259</v>
      </c>
      <c r="CJ1071" s="5" t="s">
        <v>260</v>
      </c>
      <c r="CK1071" s="5" t="s">
        <v>238</v>
      </c>
      <c r="CM1071" s="5" t="s">
        <v>711</v>
      </c>
      <c r="CN1071" s="6" t="s">
        <v>262</v>
      </c>
      <c r="CO1071" s="5" t="s">
        <v>263</v>
      </c>
      <c r="CP1071" s="5" t="s">
        <v>264</v>
      </c>
      <c r="CQ1071" s="5" t="s">
        <v>285</v>
      </c>
      <c r="CR1071" s="5" t="s">
        <v>238</v>
      </c>
      <c r="CS1071" s="5">
        <v>2.7E-2</v>
      </c>
      <c r="CT1071" s="5" t="s">
        <v>265</v>
      </c>
      <c r="CU1071" s="5" t="s">
        <v>1342</v>
      </c>
      <c r="CV1071" s="5" t="s">
        <v>308</v>
      </c>
      <c r="CW1071" s="7">
        <f>0</f>
        <v>0</v>
      </c>
      <c r="CX1071" s="8">
        <f>12616600</f>
        <v>12616600</v>
      </c>
      <c r="CY1071" s="8">
        <f>5462992</f>
        <v>5462992</v>
      </c>
      <c r="DA1071" s="5" t="s">
        <v>238</v>
      </c>
      <c r="DB1071" s="5" t="s">
        <v>238</v>
      </c>
      <c r="DD1071" s="5" t="s">
        <v>238</v>
      </c>
      <c r="DE1071" s="8">
        <f>0</f>
        <v>0</v>
      </c>
      <c r="DG1071" s="5" t="s">
        <v>238</v>
      </c>
      <c r="DH1071" s="5" t="s">
        <v>238</v>
      </c>
      <c r="DI1071" s="5" t="s">
        <v>238</v>
      </c>
      <c r="DJ1071" s="5" t="s">
        <v>238</v>
      </c>
      <c r="DK1071" s="5" t="s">
        <v>271</v>
      </c>
      <c r="DL1071" s="5" t="s">
        <v>272</v>
      </c>
      <c r="DM1071" s="7">
        <f>39.8</f>
        <v>39.799999999999997</v>
      </c>
      <c r="DN1071" s="5" t="s">
        <v>238</v>
      </c>
      <c r="DO1071" s="5" t="s">
        <v>238</v>
      </c>
      <c r="DP1071" s="5" t="s">
        <v>238</v>
      </c>
      <c r="DQ1071" s="5" t="s">
        <v>238</v>
      </c>
      <c r="DT1071" s="5" t="s">
        <v>1031</v>
      </c>
      <c r="DU1071" s="5" t="s">
        <v>274</v>
      </c>
      <c r="GL1071" s="5" t="s">
        <v>2240</v>
      </c>
      <c r="HM1071" s="5" t="s">
        <v>313</v>
      </c>
      <c r="HP1071" s="5" t="s">
        <v>272</v>
      </c>
      <c r="HQ1071" s="5" t="s">
        <v>272</v>
      </c>
      <c r="HR1071" s="5" t="s">
        <v>238</v>
      </c>
      <c r="HS1071" s="5" t="s">
        <v>238</v>
      </c>
      <c r="HT1071" s="5" t="s">
        <v>238</v>
      </c>
      <c r="HU1071" s="5" t="s">
        <v>238</v>
      </c>
      <c r="HV1071" s="5" t="s">
        <v>238</v>
      </c>
      <c r="HW1071" s="5" t="s">
        <v>238</v>
      </c>
      <c r="HX1071" s="5" t="s">
        <v>238</v>
      </c>
      <c r="HY1071" s="5" t="s">
        <v>238</v>
      </c>
      <c r="HZ1071" s="5" t="s">
        <v>238</v>
      </c>
      <c r="IA1071" s="5" t="s">
        <v>238</v>
      </c>
      <c r="IB1071" s="5" t="s">
        <v>238</v>
      </c>
      <c r="IC1071" s="5" t="s">
        <v>238</v>
      </c>
      <c r="ID1071" s="5" t="s">
        <v>238</v>
      </c>
    </row>
    <row r="1072" spans="1:238" x14ac:dyDescent="0.4">
      <c r="A1072" s="5">
        <v>1402</v>
      </c>
      <c r="B1072" s="5">
        <v>1</v>
      </c>
      <c r="C1072" s="5">
        <v>1</v>
      </c>
      <c r="D1072" s="5" t="s">
        <v>1028</v>
      </c>
      <c r="E1072" s="5" t="s">
        <v>338</v>
      </c>
      <c r="F1072" s="5" t="s">
        <v>282</v>
      </c>
      <c r="G1072" s="5" t="s">
        <v>633</v>
      </c>
      <c r="H1072" s="6" t="s">
        <v>1030</v>
      </c>
      <c r="I1072" s="5" t="s">
        <v>633</v>
      </c>
      <c r="J1072" s="7">
        <f>150.02</f>
        <v>150.02000000000001</v>
      </c>
      <c r="K1072" s="5" t="s">
        <v>270</v>
      </c>
      <c r="L1072" s="8">
        <f>1</f>
        <v>1</v>
      </c>
      <c r="M1072" s="8">
        <f>22052940</f>
        <v>22052940</v>
      </c>
      <c r="N1072" s="6" t="s">
        <v>1029</v>
      </c>
      <c r="O1072" s="5" t="s">
        <v>268</v>
      </c>
      <c r="P1072" s="5" t="s">
        <v>268</v>
      </c>
      <c r="R1072" s="8">
        <f>22052939</f>
        <v>22052939</v>
      </c>
      <c r="S1072" s="5" t="s">
        <v>240</v>
      </c>
      <c r="T1072" s="5" t="s">
        <v>237</v>
      </c>
      <c r="U1072" s="5" t="s">
        <v>238</v>
      </c>
      <c r="V1072" s="5" t="s">
        <v>238</v>
      </c>
      <c r="W1072" s="5" t="s">
        <v>241</v>
      </c>
      <c r="X1072" s="5" t="s">
        <v>337</v>
      </c>
      <c r="Y1072" s="5" t="s">
        <v>238</v>
      </c>
      <c r="AB1072" s="5" t="s">
        <v>238</v>
      </c>
      <c r="AD1072" s="6" t="s">
        <v>238</v>
      </c>
      <c r="AG1072" s="6" t="s">
        <v>246</v>
      </c>
      <c r="AH1072" s="5" t="s">
        <v>247</v>
      </c>
      <c r="AI1072" s="5" t="s">
        <v>248</v>
      </c>
      <c r="AY1072" s="5" t="s">
        <v>250</v>
      </c>
      <c r="AZ1072" s="5" t="s">
        <v>238</v>
      </c>
      <c r="BA1072" s="5" t="s">
        <v>251</v>
      </c>
      <c r="BB1072" s="5" t="s">
        <v>238</v>
      </c>
      <c r="BC1072" s="5" t="s">
        <v>253</v>
      </c>
      <c r="BD1072" s="5" t="s">
        <v>238</v>
      </c>
      <c r="BF1072" s="5" t="s">
        <v>238</v>
      </c>
      <c r="BH1072" s="5" t="s">
        <v>254</v>
      </c>
      <c r="BI1072" s="6" t="s">
        <v>246</v>
      </c>
      <c r="BJ1072" s="5" t="s">
        <v>255</v>
      </c>
      <c r="BK1072" s="5" t="s">
        <v>256</v>
      </c>
      <c r="BL1072" s="5" t="s">
        <v>238</v>
      </c>
      <c r="BM1072" s="7">
        <f>0</f>
        <v>0</v>
      </c>
      <c r="BN1072" s="8">
        <f>0</f>
        <v>0</v>
      </c>
      <c r="BO1072" s="5" t="s">
        <v>257</v>
      </c>
      <c r="BP1072" s="5" t="s">
        <v>258</v>
      </c>
      <c r="CD1072" s="5" t="s">
        <v>238</v>
      </c>
      <c r="CE1072" s="5" t="s">
        <v>238</v>
      </c>
      <c r="CI1072" s="5" t="s">
        <v>259</v>
      </c>
      <c r="CJ1072" s="5" t="s">
        <v>260</v>
      </c>
      <c r="CK1072" s="5" t="s">
        <v>238</v>
      </c>
      <c r="CM1072" s="5" t="s">
        <v>711</v>
      </c>
      <c r="CN1072" s="6" t="s">
        <v>262</v>
      </c>
      <c r="CO1072" s="5" t="s">
        <v>263</v>
      </c>
      <c r="CP1072" s="5" t="s">
        <v>264</v>
      </c>
      <c r="CQ1072" s="5" t="s">
        <v>238</v>
      </c>
      <c r="CR1072" s="5" t="s">
        <v>238</v>
      </c>
      <c r="CS1072" s="5">
        <v>0</v>
      </c>
      <c r="CT1072" s="5" t="s">
        <v>265</v>
      </c>
      <c r="CU1072" s="5" t="s">
        <v>266</v>
      </c>
      <c r="CV1072" s="5" t="s">
        <v>267</v>
      </c>
      <c r="CX1072" s="8">
        <f>22052940</f>
        <v>22052940</v>
      </c>
      <c r="CY1072" s="8">
        <f>0</f>
        <v>0</v>
      </c>
      <c r="DA1072" s="5" t="s">
        <v>238</v>
      </c>
      <c r="DB1072" s="5" t="s">
        <v>238</v>
      </c>
      <c r="DD1072" s="5" t="s">
        <v>238</v>
      </c>
      <c r="DG1072" s="5" t="s">
        <v>238</v>
      </c>
      <c r="DH1072" s="5" t="s">
        <v>238</v>
      </c>
      <c r="DI1072" s="5" t="s">
        <v>238</v>
      </c>
      <c r="DJ1072" s="5" t="s">
        <v>238</v>
      </c>
      <c r="DK1072" s="5" t="s">
        <v>274</v>
      </c>
      <c r="DL1072" s="5" t="s">
        <v>272</v>
      </c>
      <c r="DM1072" s="7">
        <f>150.02</f>
        <v>150.02000000000001</v>
      </c>
      <c r="DN1072" s="5" t="s">
        <v>238</v>
      </c>
      <c r="DO1072" s="5" t="s">
        <v>238</v>
      </c>
      <c r="DP1072" s="5" t="s">
        <v>238</v>
      </c>
      <c r="DQ1072" s="5" t="s">
        <v>238</v>
      </c>
      <c r="DT1072" s="5" t="s">
        <v>1031</v>
      </c>
      <c r="DU1072" s="5" t="s">
        <v>356</v>
      </c>
      <c r="HM1072" s="5" t="s">
        <v>271</v>
      </c>
      <c r="HP1072" s="5" t="s">
        <v>272</v>
      </c>
      <c r="HQ1072" s="5" t="s">
        <v>272</v>
      </c>
    </row>
    <row r="1073" spans="1:238" x14ac:dyDescent="0.4">
      <c r="A1073" s="5">
        <v>1403</v>
      </c>
      <c r="B1073" s="5">
        <v>1</v>
      </c>
      <c r="C1073" s="5">
        <v>4</v>
      </c>
      <c r="D1073" s="5" t="s">
        <v>1420</v>
      </c>
      <c r="E1073" s="5" t="s">
        <v>338</v>
      </c>
      <c r="F1073" s="5" t="s">
        <v>282</v>
      </c>
      <c r="G1073" s="5" t="s">
        <v>1415</v>
      </c>
      <c r="H1073" s="6" t="s">
        <v>1422</v>
      </c>
      <c r="I1073" s="5" t="s">
        <v>1419</v>
      </c>
      <c r="J1073" s="7">
        <f>206.59</f>
        <v>206.59</v>
      </c>
      <c r="K1073" s="5" t="s">
        <v>270</v>
      </c>
      <c r="L1073" s="8">
        <f>533840</f>
        <v>533840</v>
      </c>
      <c r="M1073" s="8">
        <f>7024060</f>
        <v>7024060</v>
      </c>
      <c r="N1073" s="6" t="s">
        <v>1421</v>
      </c>
      <c r="O1073" s="5" t="s">
        <v>651</v>
      </c>
      <c r="P1073" s="5" t="s">
        <v>712</v>
      </c>
      <c r="Q1073" s="8">
        <f>295010</f>
        <v>295010</v>
      </c>
      <c r="R1073" s="8">
        <f>6490220</f>
        <v>6490220</v>
      </c>
      <c r="S1073" s="5" t="s">
        <v>240</v>
      </c>
      <c r="T1073" s="5" t="s">
        <v>237</v>
      </c>
      <c r="U1073" s="5" t="s">
        <v>238</v>
      </c>
      <c r="V1073" s="5" t="s">
        <v>238</v>
      </c>
      <c r="W1073" s="5" t="s">
        <v>241</v>
      </c>
      <c r="X1073" s="5" t="s">
        <v>337</v>
      </c>
      <c r="Y1073" s="5" t="s">
        <v>238</v>
      </c>
      <c r="AB1073" s="5" t="s">
        <v>238</v>
      </c>
      <c r="AC1073" s="6" t="s">
        <v>238</v>
      </c>
      <c r="AD1073" s="6" t="s">
        <v>238</v>
      </c>
      <c r="AF1073" s="6" t="s">
        <v>238</v>
      </c>
      <c r="AG1073" s="6" t="s">
        <v>246</v>
      </c>
      <c r="AH1073" s="5" t="s">
        <v>247</v>
      </c>
      <c r="AI1073" s="5" t="s">
        <v>248</v>
      </c>
      <c r="AO1073" s="5" t="s">
        <v>238</v>
      </c>
      <c r="AP1073" s="5" t="s">
        <v>238</v>
      </c>
      <c r="AQ1073" s="5" t="s">
        <v>238</v>
      </c>
      <c r="AR1073" s="6" t="s">
        <v>238</v>
      </c>
      <c r="AS1073" s="6" t="s">
        <v>238</v>
      </c>
      <c r="AT1073" s="6" t="s">
        <v>238</v>
      </c>
      <c r="AW1073" s="5" t="s">
        <v>304</v>
      </c>
      <c r="AX1073" s="5" t="s">
        <v>304</v>
      </c>
      <c r="AY1073" s="5" t="s">
        <v>250</v>
      </c>
      <c r="AZ1073" s="5" t="s">
        <v>305</v>
      </c>
      <c r="BA1073" s="5" t="s">
        <v>251</v>
      </c>
      <c r="BB1073" s="5" t="s">
        <v>238</v>
      </c>
      <c r="BC1073" s="5" t="s">
        <v>253</v>
      </c>
      <c r="BD1073" s="5" t="s">
        <v>238</v>
      </c>
      <c r="BF1073" s="5" t="s">
        <v>238</v>
      </c>
      <c r="BH1073" s="5" t="s">
        <v>283</v>
      </c>
      <c r="BI1073" s="6" t="s">
        <v>293</v>
      </c>
      <c r="BJ1073" s="5" t="s">
        <v>294</v>
      </c>
      <c r="BK1073" s="5" t="s">
        <v>294</v>
      </c>
      <c r="BL1073" s="5" t="s">
        <v>238</v>
      </c>
      <c r="BM1073" s="7">
        <f>0</f>
        <v>0</v>
      </c>
      <c r="BN1073" s="8">
        <f>-295010</f>
        <v>-295010</v>
      </c>
      <c r="BO1073" s="5" t="s">
        <v>257</v>
      </c>
      <c r="BP1073" s="5" t="s">
        <v>258</v>
      </c>
      <c r="BQ1073" s="5" t="s">
        <v>238</v>
      </c>
      <c r="BR1073" s="5" t="s">
        <v>238</v>
      </c>
      <c r="BS1073" s="5" t="s">
        <v>238</v>
      </c>
      <c r="BT1073" s="5" t="s">
        <v>238</v>
      </c>
      <c r="CC1073" s="5" t="s">
        <v>258</v>
      </c>
      <c r="CD1073" s="5" t="s">
        <v>238</v>
      </c>
      <c r="CE1073" s="5" t="s">
        <v>238</v>
      </c>
      <c r="CI1073" s="5" t="s">
        <v>259</v>
      </c>
      <c r="CJ1073" s="5" t="s">
        <v>260</v>
      </c>
      <c r="CK1073" s="5" t="s">
        <v>238</v>
      </c>
      <c r="CM1073" s="5" t="s">
        <v>711</v>
      </c>
      <c r="CN1073" s="6" t="s">
        <v>262</v>
      </c>
      <c r="CO1073" s="5" t="s">
        <v>263</v>
      </c>
      <c r="CP1073" s="5" t="s">
        <v>264</v>
      </c>
      <c r="CQ1073" s="5" t="s">
        <v>285</v>
      </c>
      <c r="CR1073" s="5" t="s">
        <v>238</v>
      </c>
      <c r="CS1073" s="5">
        <v>4.2000000000000003E-2</v>
      </c>
      <c r="CT1073" s="5" t="s">
        <v>265</v>
      </c>
      <c r="CU1073" s="5" t="s">
        <v>1325</v>
      </c>
      <c r="CV1073" s="5" t="s">
        <v>267</v>
      </c>
      <c r="CW1073" s="7">
        <f>0</f>
        <v>0</v>
      </c>
      <c r="CX1073" s="8">
        <f>7024060</f>
        <v>7024060</v>
      </c>
      <c r="CY1073" s="8">
        <f>828850</f>
        <v>828850</v>
      </c>
      <c r="DA1073" s="5" t="s">
        <v>238</v>
      </c>
      <c r="DB1073" s="5" t="s">
        <v>238</v>
      </c>
      <c r="DD1073" s="5" t="s">
        <v>238</v>
      </c>
      <c r="DE1073" s="8">
        <f>0</f>
        <v>0</v>
      </c>
      <c r="DG1073" s="5" t="s">
        <v>238</v>
      </c>
      <c r="DH1073" s="5" t="s">
        <v>238</v>
      </c>
      <c r="DI1073" s="5" t="s">
        <v>238</v>
      </c>
      <c r="DJ1073" s="5" t="s">
        <v>238</v>
      </c>
      <c r="DK1073" s="5" t="s">
        <v>271</v>
      </c>
      <c r="DL1073" s="5" t="s">
        <v>272</v>
      </c>
      <c r="DM1073" s="7">
        <f>206.59</f>
        <v>206.59</v>
      </c>
      <c r="DN1073" s="5" t="s">
        <v>238</v>
      </c>
      <c r="DO1073" s="5" t="s">
        <v>238</v>
      </c>
      <c r="DP1073" s="5" t="s">
        <v>238</v>
      </c>
      <c r="DQ1073" s="5" t="s">
        <v>238</v>
      </c>
      <c r="DT1073" s="5" t="s">
        <v>1423</v>
      </c>
      <c r="DU1073" s="5" t="s">
        <v>271</v>
      </c>
      <c r="GL1073" s="5" t="s">
        <v>1424</v>
      </c>
      <c r="HM1073" s="5" t="s">
        <v>313</v>
      </c>
      <c r="HP1073" s="5" t="s">
        <v>272</v>
      </c>
      <c r="HQ1073" s="5" t="s">
        <v>272</v>
      </c>
      <c r="HR1073" s="5" t="s">
        <v>238</v>
      </c>
      <c r="HS1073" s="5" t="s">
        <v>238</v>
      </c>
      <c r="HT1073" s="5" t="s">
        <v>238</v>
      </c>
      <c r="HU1073" s="5" t="s">
        <v>238</v>
      </c>
      <c r="HV1073" s="5" t="s">
        <v>238</v>
      </c>
      <c r="HW1073" s="5" t="s">
        <v>238</v>
      </c>
      <c r="HX1073" s="5" t="s">
        <v>238</v>
      </c>
      <c r="HY1073" s="5" t="s">
        <v>238</v>
      </c>
      <c r="HZ1073" s="5" t="s">
        <v>238</v>
      </c>
      <c r="IA1073" s="5" t="s">
        <v>238</v>
      </c>
      <c r="IB1073" s="5" t="s">
        <v>238</v>
      </c>
      <c r="IC1073" s="5" t="s">
        <v>238</v>
      </c>
      <c r="ID1073" s="5" t="s">
        <v>238</v>
      </c>
    </row>
    <row r="1074" spans="1:238" x14ac:dyDescent="0.4">
      <c r="A1074" s="5">
        <v>1404</v>
      </c>
      <c r="B1074" s="5">
        <v>1</v>
      </c>
      <c r="C1074" s="5">
        <v>4</v>
      </c>
      <c r="D1074" s="5" t="s">
        <v>1013</v>
      </c>
      <c r="E1074" s="5" t="s">
        <v>338</v>
      </c>
      <c r="F1074" s="5" t="s">
        <v>282</v>
      </c>
      <c r="G1074" s="5" t="s">
        <v>1415</v>
      </c>
      <c r="H1074" s="6" t="s">
        <v>1015</v>
      </c>
      <c r="I1074" s="5" t="s">
        <v>1395</v>
      </c>
      <c r="J1074" s="7">
        <f>83.02</f>
        <v>83.02</v>
      </c>
      <c r="K1074" s="5" t="s">
        <v>270</v>
      </c>
      <c r="L1074" s="8">
        <f>1055208</f>
        <v>1055208</v>
      </c>
      <c r="M1074" s="8">
        <f>12868100</f>
        <v>12868100</v>
      </c>
      <c r="N1074" s="6" t="s">
        <v>1414</v>
      </c>
      <c r="O1074" s="5" t="s">
        <v>639</v>
      </c>
      <c r="P1074" s="5" t="s">
        <v>991</v>
      </c>
      <c r="Q1074" s="8">
        <f>347438</f>
        <v>347438</v>
      </c>
      <c r="R1074" s="8">
        <f>11812892</f>
        <v>11812892</v>
      </c>
      <c r="S1074" s="5" t="s">
        <v>240</v>
      </c>
      <c r="T1074" s="5" t="s">
        <v>237</v>
      </c>
      <c r="U1074" s="5" t="s">
        <v>238</v>
      </c>
      <c r="V1074" s="5" t="s">
        <v>238</v>
      </c>
      <c r="W1074" s="5" t="s">
        <v>241</v>
      </c>
      <c r="X1074" s="5" t="s">
        <v>337</v>
      </c>
      <c r="Y1074" s="5" t="s">
        <v>238</v>
      </c>
      <c r="AB1074" s="5" t="s">
        <v>238</v>
      </c>
      <c r="AC1074" s="6" t="s">
        <v>238</v>
      </c>
      <c r="AD1074" s="6" t="s">
        <v>238</v>
      </c>
      <c r="AF1074" s="6" t="s">
        <v>238</v>
      </c>
      <c r="AG1074" s="6" t="s">
        <v>246</v>
      </c>
      <c r="AH1074" s="5" t="s">
        <v>247</v>
      </c>
      <c r="AI1074" s="5" t="s">
        <v>248</v>
      </c>
      <c r="AO1074" s="5" t="s">
        <v>238</v>
      </c>
      <c r="AP1074" s="5" t="s">
        <v>238</v>
      </c>
      <c r="AQ1074" s="5" t="s">
        <v>238</v>
      </c>
      <c r="AR1074" s="6" t="s">
        <v>238</v>
      </c>
      <c r="AS1074" s="6" t="s">
        <v>238</v>
      </c>
      <c r="AT1074" s="6" t="s">
        <v>238</v>
      </c>
      <c r="AW1074" s="5" t="s">
        <v>304</v>
      </c>
      <c r="AX1074" s="5" t="s">
        <v>304</v>
      </c>
      <c r="AY1074" s="5" t="s">
        <v>250</v>
      </c>
      <c r="AZ1074" s="5" t="s">
        <v>305</v>
      </c>
      <c r="BA1074" s="5" t="s">
        <v>251</v>
      </c>
      <c r="BB1074" s="5" t="s">
        <v>238</v>
      </c>
      <c r="BC1074" s="5" t="s">
        <v>253</v>
      </c>
      <c r="BD1074" s="5" t="s">
        <v>238</v>
      </c>
      <c r="BF1074" s="5" t="s">
        <v>238</v>
      </c>
      <c r="BH1074" s="5" t="s">
        <v>283</v>
      </c>
      <c r="BI1074" s="6" t="s">
        <v>293</v>
      </c>
      <c r="BJ1074" s="5" t="s">
        <v>294</v>
      </c>
      <c r="BK1074" s="5" t="s">
        <v>294</v>
      </c>
      <c r="BL1074" s="5" t="s">
        <v>238</v>
      </c>
      <c r="BM1074" s="7">
        <f>0</f>
        <v>0</v>
      </c>
      <c r="BN1074" s="8">
        <f>-347438</f>
        <v>-347438</v>
      </c>
      <c r="BO1074" s="5" t="s">
        <v>257</v>
      </c>
      <c r="BP1074" s="5" t="s">
        <v>258</v>
      </c>
      <c r="BQ1074" s="5" t="s">
        <v>238</v>
      </c>
      <c r="BR1074" s="5" t="s">
        <v>238</v>
      </c>
      <c r="BS1074" s="5" t="s">
        <v>238</v>
      </c>
      <c r="BT1074" s="5" t="s">
        <v>238</v>
      </c>
      <c r="CC1074" s="5" t="s">
        <v>258</v>
      </c>
      <c r="CD1074" s="5" t="s">
        <v>238</v>
      </c>
      <c r="CE1074" s="5" t="s">
        <v>238</v>
      </c>
      <c r="CI1074" s="5" t="s">
        <v>259</v>
      </c>
      <c r="CJ1074" s="5" t="s">
        <v>260</v>
      </c>
      <c r="CK1074" s="5" t="s">
        <v>238</v>
      </c>
      <c r="CM1074" s="5" t="s">
        <v>1064</v>
      </c>
      <c r="CN1074" s="6" t="s">
        <v>262</v>
      </c>
      <c r="CO1074" s="5" t="s">
        <v>263</v>
      </c>
      <c r="CP1074" s="5" t="s">
        <v>264</v>
      </c>
      <c r="CQ1074" s="5" t="s">
        <v>285</v>
      </c>
      <c r="CR1074" s="5" t="s">
        <v>238</v>
      </c>
      <c r="CS1074" s="5">
        <v>2.7E-2</v>
      </c>
      <c r="CT1074" s="5" t="s">
        <v>265</v>
      </c>
      <c r="CU1074" s="5" t="s">
        <v>1325</v>
      </c>
      <c r="CV1074" s="5" t="s">
        <v>649</v>
      </c>
      <c r="CW1074" s="7">
        <f>0</f>
        <v>0</v>
      </c>
      <c r="CX1074" s="8">
        <f>12868100</f>
        <v>12868100</v>
      </c>
      <c r="CY1074" s="8">
        <f>1402646</f>
        <v>1402646</v>
      </c>
      <c r="DA1074" s="5" t="s">
        <v>238</v>
      </c>
      <c r="DB1074" s="5" t="s">
        <v>238</v>
      </c>
      <c r="DD1074" s="5" t="s">
        <v>238</v>
      </c>
      <c r="DE1074" s="8">
        <f>0</f>
        <v>0</v>
      </c>
      <c r="DG1074" s="5" t="s">
        <v>238</v>
      </c>
      <c r="DH1074" s="5" t="s">
        <v>238</v>
      </c>
      <c r="DI1074" s="5" t="s">
        <v>238</v>
      </c>
      <c r="DJ1074" s="5" t="s">
        <v>238</v>
      </c>
      <c r="DK1074" s="5" t="s">
        <v>271</v>
      </c>
      <c r="DL1074" s="5" t="s">
        <v>272</v>
      </c>
      <c r="DM1074" s="7">
        <f>83.02</f>
        <v>83.02</v>
      </c>
      <c r="DN1074" s="5" t="s">
        <v>238</v>
      </c>
      <c r="DO1074" s="5" t="s">
        <v>238</v>
      </c>
      <c r="DP1074" s="5" t="s">
        <v>238</v>
      </c>
      <c r="DQ1074" s="5" t="s">
        <v>238</v>
      </c>
      <c r="DT1074" s="5" t="s">
        <v>1018</v>
      </c>
      <c r="DU1074" s="5" t="s">
        <v>271</v>
      </c>
      <c r="GL1074" s="5" t="s">
        <v>1416</v>
      </c>
      <c r="HM1074" s="5" t="s">
        <v>313</v>
      </c>
      <c r="HP1074" s="5" t="s">
        <v>272</v>
      </c>
      <c r="HQ1074" s="5" t="s">
        <v>272</v>
      </c>
      <c r="HR1074" s="5" t="s">
        <v>238</v>
      </c>
      <c r="HS1074" s="5" t="s">
        <v>238</v>
      </c>
      <c r="HT1074" s="5" t="s">
        <v>238</v>
      </c>
      <c r="HU1074" s="5" t="s">
        <v>238</v>
      </c>
      <c r="HV1074" s="5" t="s">
        <v>238</v>
      </c>
      <c r="HW1074" s="5" t="s">
        <v>238</v>
      </c>
      <c r="HX1074" s="5" t="s">
        <v>238</v>
      </c>
      <c r="HY1074" s="5" t="s">
        <v>238</v>
      </c>
      <c r="HZ1074" s="5" t="s">
        <v>238</v>
      </c>
      <c r="IA1074" s="5" t="s">
        <v>238</v>
      </c>
      <c r="IB1074" s="5" t="s">
        <v>238</v>
      </c>
      <c r="IC1074" s="5" t="s">
        <v>238</v>
      </c>
      <c r="ID1074" s="5" t="s">
        <v>238</v>
      </c>
    </row>
    <row r="1075" spans="1:238" x14ac:dyDescent="0.4">
      <c r="A1075" s="5">
        <v>1405</v>
      </c>
      <c r="B1075" s="5">
        <v>1</v>
      </c>
      <c r="C1075" s="5">
        <v>1</v>
      </c>
      <c r="D1075" s="5" t="s">
        <v>1013</v>
      </c>
      <c r="E1075" s="5" t="s">
        <v>338</v>
      </c>
      <c r="F1075" s="5" t="s">
        <v>282</v>
      </c>
      <c r="G1075" s="5" t="s">
        <v>1384</v>
      </c>
      <c r="H1075" s="6" t="s">
        <v>1015</v>
      </c>
      <c r="I1075" s="5" t="s">
        <v>1408</v>
      </c>
      <c r="J1075" s="7">
        <f>168.27</f>
        <v>168.27</v>
      </c>
      <c r="K1075" s="5" t="s">
        <v>270</v>
      </c>
      <c r="L1075" s="8">
        <f>1</f>
        <v>1</v>
      </c>
      <c r="M1075" s="8">
        <f>15144300</f>
        <v>15144300</v>
      </c>
      <c r="N1075" s="6" t="s">
        <v>1409</v>
      </c>
      <c r="O1075" s="5" t="s">
        <v>639</v>
      </c>
      <c r="P1075" s="5" t="s">
        <v>1411</v>
      </c>
      <c r="R1075" s="8">
        <f>15144299</f>
        <v>15144299</v>
      </c>
      <c r="S1075" s="5" t="s">
        <v>240</v>
      </c>
      <c r="T1075" s="5" t="s">
        <v>237</v>
      </c>
      <c r="U1075" s="5" t="s">
        <v>238</v>
      </c>
      <c r="V1075" s="5" t="s">
        <v>238</v>
      </c>
      <c r="W1075" s="5" t="s">
        <v>241</v>
      </c>
      <c r="X1075" s="5" t="s">
        <v>337</v>
      </c>
      <c r="Y1075" s="5" t="s">
        <v>238</v>
      </c>
      <c r="AB1075" s="5" t="s">
        <v>238</v>
      </c>
      <c r="AD1075" s="6" t="s">
        <v>238</v>
      </c>
      <c r="AG1075" s="6" t="s">
        <v>246</v>
      </c>
      <c r="AH1075" s="5" t="s">
        <v>247</v>
      </c>
      <c r="AI1075" s="5" t="s">
        <v>248</v>
      </c>
      <c r="AY1075" s="5" t="s">
        <v>250</v>
      </c>
      <c r="AZ1075" s="5" t="s">
        <v>238</v>
      </c>
      <c r="BA1075" s="5" t="s">
        <v>251</v>
      </c>
      <c r="BB1075" s="5" t="s">
        <v>238</v>
      </c>
      <c r="BC1075" s="5" t="s">
        <v>253</v>
      </c>
      <c r="BD1075" s="5" t="s">
        <v>238</v>
      </c>
      <c r="BF1075" s="5" t="s">
        <v>238</v>
      </c>
      <c r="BH1075" s="5" t="s">
        <v>254</v>
      </c>
      <c r="BI1075" s="6" t="s">
        <v>246</v>
      </c>
      <c r="BJ1075" s="5" t="s">
        <v>255</v>
      </c>
      <c r="BK1075" s="5" t="s">
        <v>256</v>
      </c>
      <c r="BL1075" s="5" t="s">
        <v>238</v>
      </c>
      <c r="BM1075" s="7">
        <f>0</f>
        <v>0</v>
      </c>
      <c r="BN1075" s="8">
        <f>0</f>
        <v>0</v>
      </c>
      <c r="BO1075" s="5" t="s">
        <v>257</v>
      </c>
      <c r="BP1075" s="5" t="s">
        <v>258</v>
      </c>
      <c r="CD1075" s="5" t="s">
        <v>238</v>
      </c>
      <c r="CE1075" s="5" t="s">
        <v>238</v>
      </c>
      <c r="CI1075" s="5" t="s">
        <v>527</v>
      </c>
      <c r="CJ1075" s="5" t="s">
        <v>260</v>
      </c>
      <c r="CK1075" s="5" t="s">
        <v>238</v>
      </c>
      <c r="CM1075" s="5" t="s">
        <v>1410</v>
      </c>
      <c r="CN1075" s="6" t="s">
        <v>262</v>
      </c>
      <c r="CO1075" s="5" t="s">
        <v>263</v>
      </c>
      <c r="CP1075" s="5" t="s">
        <v>264</v>
      </c>
      <c r="CQ1075" s="5" t="s">
        <v>238</v>
      </c>
      <c r="CR1075" s="5" t="s">
        <v>238</v>
      </c>
      <c r="CS1075" s="5">
        <v>0</v>
      </c>
      <c r="CT1075" s="5" t="s">
        <v>265</v>
      </c>
      <c r="CU1075" s="5" t="s">
        <v>1325</v>
      </c>
      <c r="CV1075" s="5" t="s">
        <v>649</v>
      </c>
      <c r="CX1075" s="8">
        <f>15144300</f>
        <v>15144300</v>
      </c>
      <c r="CY1075" s="8">
        <f>0</f>
        <v>0</v>
      </c>
      <c r="DA1075" s="5" t="s">
        <v>238</v>
      </c>
      <c r="DB1075" s="5" t="s">
        <v>238</v>
      </c>
      <c r="DD1075" s="5" t="s">
        <v>238</v>
      </c>
      <c r="DG1075" s="5" t="s">
        <v>238</v>
      </c>
      <c r="DH1075" s="5" t="s">
        <v>238</v>
      </c>
      <c r="DI1075" s="5" t="s">
        <v>238</v>
      </c>
      <c r="DJ1075" s="5" t="s">
        <v>238</v>
      </c>
      <c r="DK1075" s="5" t="s">
        <v>271</v>
      </c>
      <c r="DL1075" s="5" t="s">
        <v>272</v>
      </c>
      <c r="DM1075" s="7">
        <f>168.27</f>
        <v>168.27</v>
      </c>
      <c r="DN1075" s="5" t="s">
        <v>238</v>
      </c>
      <c r="DO1075" s="5" t="s">
        <v>238</v>
      </c>
      <c r="DP1075" s="5" t="s">
        <v>238</v>
      </c>
      <c r="DQ1075" s="5" t="s">
        <v>238</v>
      </c>
      <c r="DT1075" s="5" t="s">
        <v>1018</v>
      </c>
      <c r="DU1075" s="5" t="s">
        <v>274</v>
      </c>
      <c r="HM1075" s="5" t="s">
        <v>271</v>
      </c>
      <c r="HP1075" s="5" t="s">
        <v>272</v>
      </c>
      <c r="HQ1075" s="5" t="s">
        <v>272</v>
      </c>
    </row>
    <row r="1076" spans="1:238" x14ac:dyDescent="0.4">
      <c r="A1076" s="5">
        <v>1406</v>
      </c>
      <c r="B1076" s="5">
        <v>1</v>
      </c>
      <c r="C1076" s="5">
        <v>1</v>
      </c>
      <c r="D1076" s="5" t="s">
        <v>1013</v>
      </c>
      <c r="E1076" s="5" t="s">
        <v>338</v>
      </c>
      <c r="F1076" s="5" t="s">
        <v>282</v>
      </c>
      <c r="G1076" s="5" t="s">
        <v>239</v>
      </c>
      <c r="H1076" s="6" t="s">
        <v>1015</v>
      </c>
      <c r="I1076" s="5" t="s">
        <v>1012</v>
      </c>
      <c r="J1076" s="7">
        <f>19.4</f>
        <v>19.399999999999999</v>
      </c>
      <c r="K1076" s="5" t="s">
        <v>270</v>
      </c>
      <c r="L1076" s="8">
        <f>1</f>
        <v>1</v>
      </c>
      <c r="M1076" s="8">
        <f>2522000</f>
        <v>2522000</v>
      </c>
      <c r="N1076" s="6" t="s">
        <v>1014</v>
      </c>
      <c r="O1076" s="5" t="s">
        <v>639</v>
      </c>
      <c r="P1076" s="5" t="s">
        <v>1017</v>
      </c>
      <c r="R1076" s="8">
        <f>2521999</f>
        <v>2521999</v>
      </c>
      <c r="S1076" s="5" t="s">
        <v>240</v>
      </c>
      <c r="T1076" s="5" t="s">
        <v>237</v>
      </c>
      <c r="U1076" s="5" t="s">
        <v>238</v>
      </c>
      <c r="V1076" s="5" t="s">
        <v>238</v>
      </c>
      <c r="W1076" s="5" t="s">
        <v>241</v>
      </c>
      <c r="X1076" s="5" t="s">
        <v>337</v>
      </c>
      <c r="Y1076" s="5" t="s">
        <v>238</v>
      </c>
      <c r="AB1076" s="5" t="s">
        <v>238</v>
      </c>
      <c r="AD1076" s="6" t="s">
        <v>238</v>
      </c>
      <c r="AG1076" s="6" t="s">
        <v>246</v>
      </c>
      <c r="AH1076" s="5" t="s">
        <v>247</v>
      </c>
      <c r="AI1076" s="5" t="s">
        <v>248</v>
      </c>
      <c r="AY1076" s="5" t="s">
        <v>250</v>
      </c>
      <c r="AZ1076" s="5" t="s">
        <v>238</v>
      </c>
      <c r="BA1076" s="5" t="s">
        <v>251</v>
      </c>
      <c r="BB1076" s="5" t="s">
        <v>238</v>
      </c>
      <c r="BC1076" s="5" t="s">
        <v>253</v>
      </c>
      <c r="BD1076" s="5" t="s">
        <v>238</v>
      </c>
      <c r="BF1076" s="5" t="s">
        <v>238</v>
      </c>
      <c r="BH1076" s="5" t="s">
        <v>254</v>
      </c>
      <c r="BI1076" s="6" t="s">
        <v>246</v>
      </c>
      <c r="BJ1076" s="5" t="s">
        <v>255</v>
      </c>
      <c r="BK1076" s="5" t="s">
        <v>256</v>
      </c>
      <c r="BL1076" s="5" t="s">
        <v>238</v>
      </c>
      <c r="BM1076" s="7">
        <f>0</f>
        <v>0</v>
      </c>
      <c r="BN1076" s="8">
        <f>0</f>
        <v>0</v>
      </c>
      <c r="BO1076" s="5" t="s">
        <v>257</v>
      </c>
      <c r="BP1076" s="5" t="s">
        <v>258</v>
      </c>
      <c r="CD1076" s="5" t="s">
        <v>238</v>
      </c>
      <c r="CE1076" s="5" t="s">
        <v>238</v>
      </c>
      <c r="CI1076" s="5" t="s">
        <v>527</v>
      </c>
      <c r="CJ1076" s="5" t="s">
        <v>260</v>
      </c>
      <c r="CK1076" s="5" t="s">
        <v>238</v>
      </c>
      <c r="CM1076" s="5" t="s">
        <v>1016</v>
      </c>
      <c r="CN1076" s="6" t="s">
        <v>262</v>
      </c>
      <c r="CO1076" s="5" t="s">
        <v>263</v>
      </c>
      <c r="CP1076" s="5" t="s">
        <v>264</v>
      </c>
      <c r="CQ1076" s="5" t="s">
        <v>238</v>
      </c>
      <c r="CR1076" s="5" t="s">
        <v>238</v>
      </c>
      <c r="CS1076" s="5">
        <v>0</v>
      </c>
      <c r="CT1076" s="5" t="s">
        <v>265</v>
      </c>
      <c r="CU1076" s="5" t="s">
        <v>266</v>
      </c>
      <c r="CV1076" s="5" t="s">
        <v>308</v>
      </c>
      <c r="CX1076" s="8">
        <f>2522000</f>
        <v>2522000</v>
      </c>
      <c r="CY1076" s="8">
        <f>0</f>
        <v>0</v>
      </c>
      <c r="DA1076" s="5" t="s">
        <v>238</v>
      </c>
      <c r="DB1076" s="5" t="s">
        <v>238</v>
      </c>
      <c r="DD1076" s="5" t="s">
        <v>238</v>
      </c>
      <c r="DG1076" s="5" t="s">
        <v>238</v>
      </c>
      <c r="DH1076" s="5" t="s">
        <v>238</v>
      </c>
      <c r="DI1076" s="5" t="s">
        <v>238</v>
      </c>
      <c r="DJ1076" s="5" t="s">
        <v>238</v>
      </c>
      <c r="DK1076" s="5" t="s">
        <v>271</v>
      </c>
      <c r="DL1076" s="5" t="s">
        <v>272</v>
      </c>
      <c r="DM1076" s="7">
        <f>19.4</f>
        <v>19.399999999999999</v>
      </c>
      <c r="DN1076" s="5" t="s">
        <v>238</v>
      </c>
      <c r="DO1076" s="5" t="s">
        <v>238</v>
      </c>
      <c r="DP1076" s="5" t="s">
        <v>238</v>
      </c>
      <c r="DQ1076" s="5" t="s">
        <v>238</v>
      </c>
      <c r="DT1076" s="5" t="s">
        <v>1018</v>
      </c>
      <c r="DU1076" s="5" t="s">
        <v>356</v>
      </c>
      <c r="HM1076" s="5" t="s">
        <v>271</v>
      </c>
      <c r="HP1076" s="5" t="s">
        <v>272</v>
      </c>
      <c r="HQ1076" s="5" t="s">
        <v>272</v>
      </c>
    </row>
    <row r="1077" spans="1:238" x14ac:dyDescent="0.4">
      <c r="A1077" s="5">
        <v>1407</v>
      </c>
      <c r="B1077" s="5">
        <v>1</v>
      </c>
      <c r="C1077" s="5">
        <v>1</v>
      </c>
      <c r="D1077" s="5" t="s">
        <v>1013</v>
      </c>
      <c r="E1077" s="5" t="s">
        <v>338</v>
      </c>
      <c r="F1077" s="5" t="s">
        <v>282</v>
      </c>
      <c r="G1077" s="5" t="s">
        <v>1309</v>
      </c>
      <c r="H1077" s="6" t="s">
        <v>1015</v>
      </c>
      <c r="I1077" s="5" t="s">
        <v>2204</v>
      </c>
      <c r="J1077" s="7">
        <f>14.91</f>
        <v>14.91</v>
      </c>
      <c r="K1077" s="5" t="s">
        <v>270</v>
      </c>
      <c r="L1077" s="8">
        <f>1</f>
        <v>1</v>
      </c>
      <c r="M1077" s="8">
        <f>5322870</f>
        <v>5322870</v>
      </c>
      <c r="N1077" s="6" t="s">
        <v>1414</v>
      </c>
      <c r="O1077" s="5" t="s">
        <v>268</v>
      </c>
      <c r="P1077" s="5" t="s">
        <v>784</v>
      </c>
      <c r="R1077" s="8">
        <f>5322869</f>
        <v>5322869</v>
      </c>
      <c r="S1077" s="5" t="s">
        <v>240</v>
      </c>
      <c r="T1077" s="5" t="s">
        <v>237</v>
      </c>
      <c r="U1077" s="5" t="s">
        <v>238</v>
      </c>
      <c r="V1077" s="5" t="s">
        <v>238</v>
      </c>
      <c r="W1077" s="5" t="s">
        <v>241</v>
      </c>
      <c r="X1077" s="5" t="s">
        <v>337</v>
      </c>
      <c r="Y1077" s="5" t="s">
        <v>238</v>
      </c>
      <c r="AB1077" s="5" t="s">
        <v>238</v>
      </c>
      <c r="AD1077" s="6" t="s">
        <v>238</v>
      </c>
      <c r="AG1077" s="6" t="s">
        <v>246</v>
      </c>
      <c r="AH1077" s="5" t="s">
        <v>247</v>
      </c>
      <c r="AI1077" s="5" t="s">
        <v>248</v>
      </c>
      <c r="AY1077" s="5" t="s">
        <v>250</v>
      </c>
      <c r="AZ1077" s="5" t="s">
        <v>238</v>
      </c>
      <c r="BA1077" s="5" t="s">
        <v>251</v>
      </c>
      <c r="BB1077" s="5" t="s">
        <v>238</v>
      </c>
      <c r="BC1077" s="5" t="s">
        <v>253</v>
      </c>
      <c r="BD1077" s="5" t="s">
        <v>238</v>
      </c>
      <c r="BF1077" s="5" t="s">
        <v>238</v>
      </c>
      <c r="BH1077" s="5" t="s">
        <v>254</v>
      </c>
      <c r="BI1077" s="6" t="s">
        <v>246</v>
      </c>
      <c r="BJ1077" s="5" t="s">
        <v>255</v>
      </c>
      <c r="BK1077" s="5" t="s">
        <v>256</v>
      </c>
      <c r="BL1077" s="5" t="s">
        <v>238</v>
      </c>
      <c r="BM1077" s="7">
        <f>0</f>
        <v>0</v>
      </c>
      <c r="BN1077" s="8">
        <f>0</f>
        <v>0</v>
      </c>
      <c r="BO1077" s="5" t="s">
        <v>257</v>
      </c>
      <c r="BP1077" s="5" t="s">
        <v>258</v>
      </c>
      <c r="CD1077" s="5" t="s">
        <v>238</v>
      </c>
      <c r="CE1077" s="5" t="s">
        <v>238</v>
      </c>
      <c r="CI1077" s="5" t="s">
        <v>259</v>
      </c>
      <c r="CJ1077" s="5" t="s">
        <v>260</v>
      </c>
      <c r="CK1077" s="5" t="s">
        <v>238</v>
      </c>
      <c r="CM1077" s="5" t="s">
        <v>1064</v>
      </c>
      <c r="CN1077" s="6" t="s">
        <v>262</v>
      </c>
      <c r="CO1077" s="5" t="s">
        <v>263</v>
      </c>
      <c r="CP1077" s="5" t="s">
        <v>264</v>
      </c>
      <c r="CQ1077" s="5" t="s">
        <v>238</v>
      </c>
      <c r="CR1077" s="5" t="s">
        <v>238</v>
      </c>
      <c r="CS1077" s="5">
        <v>0</v>
      </c>
      <c r="CT1077" s="5" t="s">
        <v>265</v>
      </c>
      <c r="CU1077" s="5" t="s">
        <v>1342</v>
      </c>
      <c r="CV1077" s="5" t="s">
        <v>267</v>
      </c>
      <c r="CX1077" s="8">
        <f>5322870</f>
        <v>5322870</v>
      </c>
      <c r="CY1077" s="8">
        <f>0</f>
        <v>0</v>
      </c>
      <c r="DA1077" s="5" t="s">
        <v>238</v>
      </c>
      <c r="DB1077" s="5" t="s">
        <v>238</v>
      </c>
      <c r="DD1077" s="5" t="s">
        <v>238</v>
      </c>
      <c r="DG1077" s="5" t="s">
        <v>238</v>
      </c>
      <c r="DH1077" s="5" t="s">
        <v>238</v>
      </c>
      <c r="DI1077" s="5" t="s">
        <v>238</v>
      </c>
      <c r="DJ1077" s="5" t="s">
        <v>238</v>
      </c>
      <c r="DK1077" s="5" t="s">
        <v>271</v>
      </c>
      <c r="DL1077" s="5" t="s">
        <v>272</v>
      </c>
      <c r="DM1077" s="7">
        <f>14.91</f>
        <v>14.91</v>
      </c>
      <c r="DN1077" s="5" t="s">
        <v>238</v>
      </c>
      <c r="DO1077" s="5" t="s">
        <v>238</v>
      </c>
      <c r="DP1077" s="5" t="s">
        <v>238</v>
      </c>
      <c r="DQ1077" s="5" t="s">
        <v>238</v>
      </c>
      <c r="DT1077" s="5" t="s">
        <v>1018</v>
      </c>
      <c r="DU1077" s="5" t="s">
        <v>310</v>
      </c>
      <c r="HM1077" s="5" t="s">
        <v>271</v>
      </c>
      <c r="HP1077" s="5" t="s">
        <v>272</v>
      </c>
      <c r="HQ1077" s="5" t="s">
        <v>272</v>
      </c>
    </row>
    <row r="1078" spans="1:238" x14ac:dyDescent="0.4">
      <c r="A1078" s="5">
        <v>1408</v>
      </c>
      <c r="B1078" s="5">
        <v>1</v>
      </c>
      <c r="C1078" s="5">
        <v>1</v>
      </c>
      <c r="D1078" s="5" t="s">
        <v>1458</v>
      </c>
      <c r="E1078" s="5" t="s">
        <v>338</v>
      </c>
      <c r="F1078" s="5" t="s">
        <v>282</v>
      </c>
      <c r="G1078" s="5" t="s">
        <v>1384</v>
      </c>
      <c r="H1078" s="6" t="s">
        <v>1459</v>
      </c>
      <c r="I1078" s="5" t="s">
        <v>1457</v>
      </c>
      <c r="J1078" s="7">
        <f>24</f>
        <v>24</v>
      </c>
      <c r="K1078" s="5" t="s">
        <v>270</v>
      </c>
      <c r="L1078" s="8">
        <f>1</f>
        <v>1</v>
      </c>
      <c r="M1078" s="8">
        <f>3120000</f>
        <v>3120000</v>
      </c>
      <c r="N1078" s="6" t="s">
        <v>906</v>
      </c>
      <c r="O1078" s="5" t="s">
        <v>279</v>
      </c>
      <c r="P1078" s="5" t="s">
        <v>909</v>
      </c>
      <c r="R1078" s="8">
        <f>3119999</f>
        <v>3119999</v>
      </c>
      <c r="S1078" s="5" t="s">
        <v>240</v>
      </c>
      <c r="T1078" s="5" t="s">
        <v>237</v>
      </c>
      <c r="U1078" s="5" t="s">
        <v>238</v>
      </c>
      <c r="V1078" s="5" t="s">
        <v>238</v>
      </c>
      <c r="W1078" s="5" t="s">
        <v>241</v>
      </c>
      <c r="X1078" s="5" t="s">
        <v>337</v>
      </c>
      <c r="Y1078" s="5" t="s">
        <v>238</v>
      </c>
      <c r="AB1078" s="5" t="s">
        <v>238</v>
      </c>
      <c r="AD1078" s="6" t="s">
        <v>238</v>
      </c>
      <c r="AG1078" s="6" t="s">
        <v>246</v>
      </c>
      <c r="AH1078" s="5" t="s">
        <v>247</v>
      </c>
      <c r="AI1078" s="5" t="s">
        <v>248</v>
      </c>
      <c r="AY1078" s="5" t="s">
        <v>250</v>
      </c>
      <c r="AZ1078" s="5" t="s">
        <v>238</v>
      </c>
      <c r="BA1078" s="5" t="s">
        <v>251</v>
      </c>
      <c r="BB1078" s="5" t="s">
        <v>238</v>
      </c>
      <c r="BC1078" s="5" t="s">
        <v>253</v>
      </c>
      <c r="BD1078" s="5" t="s">
        <v>238</v>
      </c>
      <c r="BF1078" s="5" t="s">
        <v>710</v>
      </c>
      <c r="BH1078" s="5" t="s">
        <v>254</v>
      </c>
      <c r="BI1078" s="6" t="s">
        <v>246</v>
      </c>
      <c r="BJ1078" s="5" t="s">
        <v>255</v>
      </c>
      <c r="BK1078" s="5" t="s">
        <v>256</v>
      </c>
      <c r="BL1078" s="5" t="s">
        <v>238</v>
      </c>
      <c r="BM1078" s="7">
        <f>0</f>
        <v>0</v>
      </c>
      <c r="BN1078" s="8">
        <f>0</f>
        <v>0</v>
      </c>
      <c r="BO1078" s="5" t="s">
        <v>257</v>
      </c>
      <c r="BP1078" s="5" t="s">
        <v>258</v>
      </c>
      <c r="CD1078" s="5" t="s">
        <v>238</v>
      </c>
      <c r="CE1078" s="5" t="s">
        <v>238</v>
      </c>
      <c r="CI1078" s="5" t="s">
        <v>527</v>
      </c>
      <c r="CJ1078" s="5" t="s">
        <v>260</v>
      </c>
      <c r="CK1078" s="5" t="s">
        <v>238</v>
      </c>
      <c r="CM1078" s="5" t="s">
        <v>908</v>
      </c>
      <c r="CN1078" s="6" t="s">
        <v>262</v>
      </c>
      <c r="CO1078" s="5" t="s">
        <v>263</v>
      </c>
      <c r="CP1078" s="5" t="s">
        <v>264</v>
      </c>
      <c r="CQ1078" s="5" t="s">
        <v>238</v>
      </c>
      <c r="CR1078" s="5" t="s">
        <v>238</v>
      </c>
      <c r="CS1078" s="5">
        <v>0</v>
      </c>
      <c r="CT1078" s="5" t="s">
        <v>265</v>
      </c>
      <c r="CU1078" s="5" t="s">
        <v>1325</v>
      </c>
      <c r="CV1078" s="5" t="s">
        <v>308</v>
      </c>
      <c r="CX1078" s="8">
        <f>3120000</f>
        <v>3120000</v>
      </c>
      <c r="CY1078" s="8">
        <f>0</f>
        <v>0</v>
      </c>
      <c r="DA1078" s="5" t="s">
        <v>238</v>
      </c>
      <c r="DB1078" s="5" t="s">
        <v>238</v>
      </c>
      <c r="DD1078" s="5" t="s">
        <v>238</v>
      </c>
      <c r="DG1078" s="5" t="s">
        <v>238</v>
      </c>
      <c r="DH1078" s="5" t="s">
        <v>238</v>
      </c>
      <c r="DI1078" s="5" t="s">
        <v>238</v>
      </c>
      <c r="DJ1078" s="5" t="s">
        <v>238</v>
      </c>
      <c r="DK1078" s="5" t="s">
        <v>271</v>
      </c>
      <c r="DL1078" s="5" t="s">
        <v>272</v>
      </c>
      <c r="DM1078" s="7">
        <f>24</f>
        <v>24</v>
      </c>
      <c r="DN1078" s="5" t="s">
        <v>238</v>
      </c>
      <c r="DO1078" s="5" t="s">
        <v>238</v>
      </c>
      <c r="DP1078" s="5" t="s">
        <v>238</v>
      </c>
      <c r="DQ1078" s="5" t="s">
        <v>238</v>
      </c>
      <c r="DT1078" s="5" t="s">
        <v>1460</v>
      </c>
      <c r="DU1078" s="5" t="s">
        <v>271</v>
      </c>
      <c r="HM1078" s="5" t="s">
        <v>271</v>
      </c>
      <c r="HP1078" s="5" t="s">
        <v>272</v>
      </c>
      <c r="HQ1078" s="5" t="s">
        <v>272</v>
      </c>
    </row>
    <row r="1079" spans="1:238" x14ac:dyDescent="0.4">
      <c r="A1079" s="5">
        <v>1409</v>
      </c>
      <c r="B1079" s="5">
        <v>1</v>
      </c>
      <c r="C1079" s="5">
        <v>6</v>
      </c>
      <c r="D1079" s="5" t="s">
        <v>584</v>
      </c>
      <c r="E1079" s="5" t="s">
        <v>338</v>
      </c>
      <c r="F1079" s="5" t="s">
        <v>282</v>
      </c>
      <c r="G1079" s="5" t="s">
        <v>349</v>
      </c>
      <c r="H1079" s="6" t="s">
        <v>238</v>
      </c>
      <c r="I1079" s="5" t="s">
        <v>3178</v>
      </c>
      <c r="J1079" s="7">
        <f>824.6</f>
        <v>824.6</v>
      </c>
      <c r="K1079" s="5" t="s">
        <v>270</v>
      </c>
      <c r="L1079" s="8">
        <f>555162120</f>
        <v>555162120</v>
      </c>
      <c r="M1079" s="8">
        <f>590598000</f>
        <v>590598000</v>
      </c>
      <c r="N1079" s="6" t="s">
        <v>3179</v>
      </c>
      <c r="O1079" s="5" t="s">
        <v>279</v>
      </c>
      <c r="P1079" s="5" t="s">
        <v>271</v>
      </c>
      <c r="Q1079" s="8">
        <f>11811960</f>
        <v>11811960</v>
      </c>
      <c r="R1079" s="8">
        <f>35435880</f>
        <v>35435880</v>
      </c>
      <c r="S1079" s="5" t="s">
        <v>240</v>
      </c>
      <c r="T1079" s="5" t="s">
        <v>237</v>
      </c>
      <c r="W1079" s="5" t="s">
        <v>241</v>
      </c>
      <c r="X1079" s="5" t="s">
        <v>337</v>
      </c>
      <c r="Y1079" s="5" t="s">
        <v>238</v>
      </c>
      <c r="AB1079" s="5" t="s">
        <v>238</v>
      </c>
      <c r="AC1079" s="6" t="s">
        <v>238</v>
      </c>
      <c r="AD1079" s="6" t="s">
        <v>238</v>
      </c>
      <c r="AE1079" s="5" t="s">
        <v>238</v>
      </c>
      <c r="AF1079" s="6" t="s">
        <v>238</v>
      </c>
      <c r="AG1079" s="6" t="s">
        <v>246</v>
      </c>
      <c r="AH1079" s="5" t="s">
        <v>247</v>
      </c>
      <c r="AI1079" s="5" t="s">
        <v>248</v>
      </c>
      <c r="AO1079" s="5" t="s">
        <v>238</v>
      </c>
      <c r="AP1079" s="5" t="s">
        <v>238</v>
      </c>
      <c r="AQ1079" s="5" t="s">
        <v>238</v>
      </c>
      <c r="AR1079" s="6" t="s">
        <v>238</v>
      </c>
      <c r="AS1079" s="6" t="s">
        <v>238</v>
      </c>
      <c r="AT1079" s="6" t="s">
        <v>238</v>
      </c>
      <c r="AW1079" s="5" t="s">
        <v>304</v>
      </c>
      <c r="AX1079" s="5" t="s">
        <v>304</v>
      </c>
      <c r="AY1079" s="5" t="s">
        <v>250</v>
      </c>
      <c r="AZ1079" s="5" t="s">
        <v>305</v>
      </c>
      <c r="BA1079" s="5" t="s">
        <v>251</v>
      </c>
      <c r="BB1079" s="5" t="s">
        <v>238</v>
      </c>
      <c r="BC1079" s="5" t="s">
        <v>253</v>
      </c>
      <c r="BD1079" s="5" t="s">
        <v>3170</v>
      </c>
      <c r="BF1079" s="5" t="s">
        <v>238</v>
      </c>
      <c r="BH1079" s="5" t="s">
        <v>283</v>
      </c>
      <c r="BI1079" s="6" t="s">
        <v>293</v>
      </c>
      <c r="BJ1079" s="5" t="s">
        <v>294</v>
      </c>
      <c r="BK1079" s="5" t="s">
        <v>870</v>
      </c>
      <c r="BL1079" s="5" t="s">
        <v>238</v>
      </c>
      <c r="BM1079" s="7">
        <f>0</f>
        <v>0</v>
      </c>
      <c r="BN1079" s="8">
        <f>-11811960</f>
        <v>-11811960</v>
      </c>
      <c r="BO1079" s="5" t="s">
        <v>257</v>
      </c>
      <c r="BP1079" s="5" t="s">
        <v>258</v>
      </c>
      <c r="BQ1079" s="5" t="s">
        <v>238</v>
      </c>
      <c r="BR1079" s="5" t="s">
        <v>238</v>
      </c>
      <c r="BS1079" s="5" t="s">
        <v>238</v>
      </c>
      <c r="BT1079" s="5" t="s">
        <v>238</v>
      </c>
      <c r="BY1079" s="6" t="s">
        <v>238</v>
      </c>
      <c r="BZ1079" s="5" t="s">
        <v>238</v>
      </c>
      <c r="CA1079" s="5" t="s">
        <v>238</v>
      </c>
      <c r="CB1079" s="5" t="s">
        <v>238</v>
      </c>
      <c r="CC1079" s="5" t="s">
        <v>258</v>
      </c>
      <c r="CD1079" s="5" t="s">
        <v>238</v>
      </c>
      <c r="CE1079" s="5" t="s">
        <v>238</v>
      </c>
      <c r="CI1079" s="5" t="s">
        <v>259</v>
      </c>
      <c r="CJ1079" s="5" t="s">
        <v>260</v>
      </c>
      <c r="CK1079" s="5" t="s">
        <v>272</v>
      </c>
      <c r="CM1079" s="5" t="s">
        <v>291</v>
      </c>
      <c r="CN1079" s="6" t="s">
        <v>262</v>
      </c>
      <c r="CO1079" s="5" t="s">
        <v>263</v>
      </c>
      <c r="CP1079" s="5" t="s">
        <v>264</v>
      </c>
      <c r="CQ1079" s="5" t="s">
        <v>285</v>
      </c>
      <c r="CR1079" s="5" t="s">
        <v>238</v>
      </c>
      <c r="CS1079" s="5">
        <v>0.02</v>
      </c>
      <c r="CT1079" s="5" t="s">
        <v>265</v>
      </c>
      <c r="CU1079" s="5" t="s">
        <v>1325</v>
      </c>
      <c r="CV1079" s="5" t="s">
        <v>308</v>
      </c>
      <c r="CW1079" s="7">
        <f>0</f>
        <v>0</v>
      </c>
      <c r="CX1079" s="8">
        <f>590598000</f>
        <v>590598000</v>
      </c>
      <c r="CY1079" s="8">
        <f>555162120</f>
        <v>555162120</v>
      </c>
      <c r="CZ1079" s="8" t="s">
        <v>238</v>
      </c>
      <c r="DA1079" s="5" t="s">
        <v>238</v>
      </c>
      <c r="DB1079" s="5" t="s">
        <v>238</v>
      </c>
      <c r="DD1079" s="5" t="s">
        <v>238</v>
      </c>
      <c r="DE1079" s="8">
        <f>0</f>
        <v>0</v>
      </c>
      <c r="DF1079" s="6" t="s">
        <v>238</v>
      </c>
      <c r="DG1079" s="5" t="s">
        <v>238</v>
      </c>
      <c r="DH1079" s="5" t="s">
        <v>238</v>
      </c>
      <c r="DI1079" s="5" t="s">
        <v>238</v>
      </c>
      <c r="DJ1079" s="5" t="s">
        <v>238</v>
      </c>
      <c r="DK1079" s="5" t="s">
        <v>272</v>
      </c>
      <c r="DL1079" s="5" t="s">
        <v>272</v>
      </c>
      <c r="DM1079" s="7">
        <f>724.6</f>
        <v>724.6</v>
      </c>
      <c r="DN1079" s="5" t="s">
        <v>238</v>
      </c>
      <c r="DO1079" s="5" t="s">
        <v>247</v>
      </c>
      <c r="DP1079" s="5" t="s">
        <v>3170</v>
      </c>
      <c r="DQ1079" s="5" t="s">
        <v>3170</v>
      </c>
      <c r="DR1079" s="5" t="s">
        <v>238</v>
      </c>
      <c r="DS1079" s="5" t="s">
        <v>238</v>
      </c>
      <c r="DT1079" s="5" t="s">
        <v>587</v>
      </c>
      <c r="DU1079" s="5" t="s">
        <v>271</v>
      </c>
      <c r="HP1079" s="5" t="s">
        <v>272</v>
      </c>
      <c r="HQ1079" s="5" t="s">
        <v>272</v>
      </c>
      <c r="HR1079" s="5" t="s">
        <v>238</v>
      </c>
      <c r="HS1079" s="5" t="s">
        <v>238</v>
      </c>
      <c r="HT1079" s="5" t="s">
        <v>238</v>
      </c>
      <c r="HU1079" s="5" t="s">
        <v>238</v>
      </c>
      <c r="HV1079" s="5" t="s">
        <v>238</v>
      </c>
      <c r="HW1079" s="5" t="s">
        <v>238</v>
      </c>
      <c r="HX1079" s="5" t="s">
        <v>238</v>
      </c>
      <c r="HY1079" s="5" t="s">
        <v>238</v>
      </c>
      <c r="HZ1079" s="5" t="s">
        <v>238</v>
      </c>
      <c r="IA1079" s="5" t="s">
        <v>238</v>
      </c>
      <c r="IB1079" s="5" t="s">
        <v>238</v>
      </c>
      <c r="IC1079" s="5" t="s">
        <v>238</v>
      </c>
      <c r="ID1079" s="5" t="s">
        <v>238</v>
      </c>
    </row>
    <row r="1080" spans="1:238" x14ac:dyDescent="0.4">
      <c r="A1080" s="5">
        <v>1410</v>
      </c>
      <c r="B1080" s="5">
        <v>1</v>
      </c>
      <c r="C1080" s="5">
        <v>4</v>
      </c>
      <c r="D1080" s="5" t="s">
        <v>584</v>
      </c>
      <c r="E1080" s="5" t="s">
        <v>585</v>
      </c>
      <c r="F1080" s="5" t="s">
        <v>282</v>
      </c>
      <c r="G1080" s="5" t="s">
        <v>349</v>
      </c>
      <c r="H1080" s="6" t="s">
        <v>238</v>
      </c>
      <c r="I1080" s="5" t="s">
        <v>583</v>
      </c>
      <c r="J1080" s="7">
        <f>0</f>
        <v>0</v>
      </c>
      <c r="K1080" s="5" t="s">
        <v>270</v>
      </c>
      <c r="L1080" s="8">
        <f>56512632</f>
        <v>56512632</v>
      </c>
      <c r="M1080" s="8">
        <f>70729200</f>
        <v>70729200</v>
      </c>
      <c r="N1080" s="6" t="s">
        <v>586</v>
      </c>
      <c r="O1080" s="5" t="s">
        <v>268</v>
      </c>
      <c r="P1080" s="5" t="s">
        <v>271</v>
      </c>
      <c r="Q1080" s="8">
        <f>4738856</f>
        <v>4738856</v>
      </c>
      <c r="R1080" s="8">
        <f>14216568</f>
        <v>14216568</v>
      </c>
      <c r="S1080" s="5" t="s">
        <v>240</v>
      </c>
      <c r="T1080" s="5" t="s">
        <v>287</v>
      </c>
      <c r="U1080" s="5" t="s">
        <v>238</v>
      </c>
      <c r="V1080" s="5" t="s">
        <v>238</v>
      </c>
      <c r="W1080" s="5" t="s">
        <v>241</v>
      </c>
      <c r="X1080" s="5" t="s">
        <v>238</v>
      </c>
      <c r="Y1080" s="5" t="s">
        <v>238</v>
      </c>
      <c r="AB1080" s="5" t="s">
        <v>238</v>
      </c>
      <c r="AC1080" s="6" t="s">
        <v>238</v>
      </c>
      <c r="AD1080" s="6" t="s">
        <v>238</v>
      </c>
      <c r="AF1080" s="6" t="s">
        <v>238</v>
      </c>
      <c r="AG1080" s="6" t="s">
        <v>246</v>
      </c>
      <c r="AH1080" s="5" t="s">
        <v>247</v>
      </c>
      <c r="AI1080" s="5" t="s">
        <v>248</v>
      </c>
      <c r="AT1080" s="6" t="s">
        <v>238</v>
      </c>
      <c r="AW1080" s="5" t="s">
        <v>304</v>
      </c>
      <c r="AX1080" s="5" t="s">
        <v>304</v>
      </c>
      <c r="AY1080" s="5" t="s">
        <v>250</v>
      </c>
      <c r="AZ1080" s="5" t="s">
        <v>305</v>
      </c>
      <c r="BA1080" s="5" t="s">
        <v>251</v>
      </c>
      <c r="BB1080" s="5" t="s">
        <v>238</v>
      </c>
      <c r="BC1080" s="5" t="s">
        <v>253</v>
      </c>
      <c r="BD1080" s="5" t="s">
        <v>238</v>
      </c>
      <c r="BF1080" s="5" t="s">
        <v>238</v>
      </c>
      <c r="BH1080" s="5" t="s">
        <v>283</v>
      </c>
      <c r="BI1080" s="6" t="s">
        <v>293</v>
      </c>
      <c r="BJ1080" s="5" t="s">
        <v>294</v>
      </c>
      <c r="BK1080" s="5" t="s">
        <v>294</v>
      </c>
      <c r="BL1080" s="5" t="s">
        <v>238</v>
      </c>
      <c r="BM1080" s="7">
        <f>0</f>
        <v>0</v>
      </c>
      <c r="BN1080" s="8">
        <f>-4738856</f>
        <v>-4738856</v>
      </c>
      <c r="BO1080" s="5" t="s">
        <v>257</v>
      </c>
      <c r="BP1080" s="5" t="s">
        <v>258</v>
      </c>
      <c r="BQ1080" s="5" t="s">
        <v>238</v>
      </c>
      <c r="BR1080" s="5" t="s">
        <v>238</v>
      </c>
      <c r="BS1080" s="5" t="s">
        <v>238</v>
      </c>
      <c r="BT1080" s="5" t="s">
        <v>238</v>
      </c>
      <c r="CC1080" s="5" t="s">
        <v>258</v>
      </c>
      <c r="CD1080" s="5" t="s">
        <v>238</v>
      </c>
      <c r="CE1080" s="5" t="s">
        <v>238</v>
      </c>
      <c r="CI1080" s="5" t="s">
        <v>259</v>
      </c>
      <c r="CJ1080" s="5" t="s">
        <v>260</v>
      </c>
      <c r="CK1080" s="5" t="s">
        <v>238</v>
      </c>
      <c r="CM1080" s="5" t="s">
        <v>291</v>
      </c>
      <c r="CN1080" s="6" t="s">
        <v>262</v>
      </c>
      <c r="CO1080" s="5" t="s">
        <v>263</v>
      </c>
      <c r="CP1080" s="5" t="s">
        <v>264</v>
      </c>
      <c r="CQ1080" s="5" t="s">
        <v>285</v>
      </c>
      <c r="CR1080" s="5" t="s">
        <v>238</v>
      </c>
      <c r="CS1080" s="5">
        <v>6.7000000000000004E-2</v>
      </c>
      <c r="CT1080" s="5" t="s">
        <v>265</v>
      </c>
      <c r="CU1080" s="5" t="s">
        <v>351</v>
      </c>
      <c r="CV1080" s="5" t="s">
        <v>365</v>
      </c>
      <c r="CW1080" s="7">
        <f>0</f>
        <v>0</v>
      </c>
      <c r="CX1080" s="8">
        <f>70729200</f>
        <v>70729200</v>
      </c>
      <c r="CY1080" s="8">
        <f>61251488</f>
        <v>61251488</v>
      </c>
      <c r="DA1080" s="5" t="s">
        <v>238</v>
      </c>
      <c r="DB1080" s="5" t="s">
        <v>238</v>
      </c>
      <c r="DD1080" s="5" t="s">
        <v>238</v>
      </c>
      <c r="DE1080" s="8">
        <f>0</f>
        <v>0</v>
      </c>
      <c r="DG1080" s="5" t="s">
        <v>238</v>
      </c>
      <c r="DH1080" s="5" t="s">
        <v>238</v>
      </c>
      <c r="DI1080" s="5" t="s">
        <v>238</v>
      </c>
      <c r="DJ1080" s="5" t="s">
        <v>238</v>
      </c>
      <c r="DK1080" s="5" t="s">
        <v>272</v>
      </c>
      <c r="DL1080" s="5" t="s">
        <v>272</v>
      </c>
      <c r="DM1080" s="8" t="s">
        <v>238</v>
      </c>
      <c r="DN1080" s="5" t="s">
        <v>238</v>
      </c>
      <c r="DO1080" s="5" t="s">
        <v>238</v>
      </c>
      <c r="DP1080" s="5" t="s">
        <v>238</v>
      </c>
      <c r="DQ1080" s="5" t="s">
        <v>238</v>
      </c>
      <c r="DT1080" s="5" t="s">
        <v>587</v>
      </c>
      <c r="DU1080" s="5" t="s">
        <v>274</v>
      </c>
      <c r="GL1080" s="5" t="s">
        <v>588</v>
      </c>
      <c r="HM1080" s="5" t="s">
        <v>356</v>
      </c>
      <c r="HP1080" s="5" t="s">
        <v>272</v>
      </c>
      <c r="HQ1080" s="5" t="s">
        <v>272</v>
      </c>
      <c r="HR1080" s="5" t="s">
        <v>238</v>
      </c>
      <c r="HS1080" s="5" t="s">
        <v>238</v>
      </c>
      <c r="HT1080" s="5" t="s">
        <v>238</v>
      </c>
      <c r="HU1080" s="5" t="s">
        <v>238</v>
      </c>
      <c r="HV1080" s="5" t="s">
        <v>238</v>
      </c>
      <c r="HW1080" s="5" t="s">
        <v>238</v>
      </c>
      <c r="HX1080" s="5" t="s">
        <v>238</v>
      </c>
      <c r="HY1080" s="5" t="s">
        <v>238</v>
      </c>
      <c r="HZ1080" s="5" t="s">
        <v>238</v>
      </c>
      <c r="IA1080" s="5" t="s">
        <v>238</v>
      </c>
      <c r="IB1080" s="5" t="s">
        <v>238</v>
      </c>
      <c r="IC1080" s="5" t="s">
        <v>238</v>
      </c>
      <c r="ID1080" s="5" t="s">
        <v>238</v>
      </c>
    </row>
    <row r="1081" spans="1:238" x14ac:dyDescent="0.4">
      <c r="A1081" s="5">
        <v>1411</v>
      </c>
      <c r="B1081" s="5">
        <v>1</v>
      </c>
      <c r="C1081" s="5">
        <v>4</v>
      </c>
      <c r="D1081" s="5" t="s">
        <v>584</v>
      </c>
      <c r="E1081" s="5" t="s">
        <v>585</v>
      </c>
      <c r="F1081" s="5" t="s">
        <v>282</v>
      </c>
      <c r="G1081" s="5" t="s">
        <v>349</v>
      </c>
      <c r="H1081" s="6" t="s">
        <v>238</v>
      </c>
      <c r="I1081" s="5" t="s">
        <v>589</v>
      </c>
      <c r="J1081" s="7">
        <f>0</f>
        <v>0</v>
      </c>
      <c r="K1081" s="5" t="s">
        <v>270</v>
      </c>
      <c r="L1081" s="8">
        <f>74431203</f>
        <v>74431203</v>
      </c>
      <c r="M1081" s="8">
        <f>96789600</f>
        <v>96789600</v>
      </c>
      <c r="N1081" s="6" t="s">
        <v>586</v>
      </c>
      <c r="O1081" s="5" t="s">
        <v>319</v>
      </c>
      <c r="P1081" s="5" t="s">
        <v>271</v>
      </c>
      <c r="Q1081" s="8">
        <f>7452799</f>
        <v>7452799</v>
      </c>
      <c r="R1081" s="8">
        <f>22358397</f>
        <v>22358397</v>
      </c>
      <c r="S1081" s="5" t="s">
        <v>240</v>
      </c>
      <c r="T1081" s="5" t="s">
        <v>287</v>
      </c>
      <c r="U1081" s="5" t="s">
        <v>238</v>
      </c>
      <c r="V1081" s="5" t="s">
        <v>238</v>
      </c>
      <c r="W1081" s="5" t="s">
        <v>241</v>
      </c>
      <c r="X1081" s="5" t="s">
        <v>238</v>
      </c>
      <c r="Y1081" s="5" t="s">
        <v>238</v>
      </c>
      <c r="AB1081" s="5" t="s">
        <v>238</v>
      </c>
      <c r="AC1081" s="6" t="s">
        <v>238</v>
      </c>
      <c r="AD1081" s="6" t="s">
        <v>238</v>
      </c>
      <c r="AF1081" s="6" t="s">
        <v>238</v>
      </c>
      <c r="AG1081" s="6" t="s">
        <v>246</v>
      </c>
      <c r="AH1081" s="5" t="s">
        <v>247</v>
      </c>
      <c r="AI1081" s="5" t="s">
        <v>248</v>
      </c>
      <c r="AT1081" s="6" t="s">
        <v>238</v>
      </c>
      <c r="AW1081" s="5" t="s">
        <v>304</v>
      </c>
      <c r="AX1081" s="5" t="s">
        <v>304</v>
      </c>
      <c r="AY1081" s="5" t="s">
        <v>250</v>
      </c>
      <c r="AZ1081" s="5" t="s">
        <v>305</v>
      </c>
      <c r="BA1081" s="5" t="s">
        <v>251</v>
      </c>
      <c r="BB1081" s="5" t="s">
        <v>238</v>
      </c>
      <c r="BC1081" s="5" t="s">
        <v>253</v>
      </c>
      <c r="BD1081" s="5" t="s">
        <v>238</v>
      </c>
      <c r="BF1081" s="5" t="s">
        <v>238</v>
      </c>
      <c r="BH1081" s="5" t="s">
        <v>283</v>
      </c>
      <c r="BI1081" s="6" t="s">
        <v>293</v>
      </c>
      <c r="BJ1081" s="5" t="s">
        <v>294</v>
      </c>
      <c r="BK1081" s="5" t="s">
        <v>294</v>
      </c>
      <c r="BL1081" s="5" t="s">
        <v>238</v>
      </c>
      <c r="BM1081" s="7">
        <f>0</f>
        <v>0</v>
      </c>
      <c r="BN1081" s="8">
        <f>-7452799</f>
        <v>-7452799</v>
      </c>
      <c r="BO1081" s="5" t="s">
        <v>257</v>
      </c>
      <c r="BP1081" s="5" t="s">
        <v>258</v>
      </c>
      <c r="BQ1081" s="5" t="s">
        <v>238</v>
      </c>
      <c r="BR1081" s="5" t="s">
        <v>238</v>
      </c>
      <c r="BS1081" s="5" t="s">
        <v>238</v>
      </c>
      <c r="BT1081" s="5" t="s">
        <v>238</v>
      </c>
      <c r="CC1081" s="5" t="s">
        <v>258</v>
      </c>
      <c r="CD1081" s="5" t="s">
        <v>238</v>
      </c>
      <c r="CE1081" s="5" t="s">
        <v>238</v>
      </c>
      <c r="CI1081" s="5" t="s">
        <v>259</v>
      </c>
      <c r="CJ1081" s="5" t="s">
        <v>260</v>
      </c>
      <c r="CK1081" s="5" t="s">
        <v>238</v>
      </c>
      <c r="CM1081" s="5" t="s">
        <v>291</v>
      </c>
      <c r="CN1081" s="6" t="s">
        <v>262</v>
      </c>
      <c r="CO1081" s="5" t="s">
        <v>263</v>
      </c>
      <c r="CP1081" s="5" t="s">
        <v>264</v>
      </c>
      <c r="CQ1081" s="5" t="s">
        <v>285</v>
      </c>
      <c r="CR1081" s="5" t="s">
        <v>238</v>
      </c>
      <c r="CS1081" s="5">
        <v>7.6999999999999999E-2</v>
      </c>
      <c r="CT1081" s="5" t="s">
        <v>265</v>
      </c>
      <c r="CU1081" s="5" t="s">
        <v>351</v>
      </c>
      <c r="CV1081" s="5" t="s">
        <v>352</v>
      </c>
      <c r="CW1081" s="7">
        <f>0</f>
        <v>0</v>
      </c>
      <c r="CX1081" s="8">
        <f>96789600</f>
        <v>96789600</v>
      </c>
      <c r="CY1081" s="8">
        <f>81884002</f>
        <v>81884002</v>
      </c>
      <c r="DA1081" s="5" t="s">
        <v>238</v>
      </c>
      <c r="DB1081" s="5" t="s">
        <v>238</v>
      </c>
      <c r="DD1081" s="5" t="s">
        <v>238</v>
      </c>
      <c r="DE1081" s="8">
        <f>0</f>
        <v>0</v>
      </c>
      <c r="DG1081" s="5" t="s">
        <v>238</v>
      </c>
      <c r="DH1081" s="5" t="s">
        <v>238</v>
      </c>
      <c r="DI1081" s="5" t="s">
        <v>238</v>
      </c>
      <c r="DJ1081" s="5" t="s">
        <v>238</v>
      </c>
      <c r="DK1081" s="5" t="s">
        <v>272</v>
      </c>
      <c r="DL1081" s="5" t="s">
        <v>272</v>
      </c>
      <c r="DM1081" s="8" t="s">
        <v>238</v>
      </c>
      <c r="DN1081" s="5" t="s">
        <v>238</v>
      </c>
      <c r="DO1081" s="5" t="s">
        <v>238</v>
      </c>
      <c r="DP1081" s="5" t="s">
        <v>238</v>
      </c>
      <c r="DQ1081" s="5" t="s">
        <v>238</v>
      </c>
      <c r="DT1081" s="5" t="s">
        <v>587</v>
      </c>
      <c r="DU1081" s="5" t="s">
        <v>356</v>
      </c>
      <c r="GL1081" s="5" t="s">
        <v>590</v>
      </c>
      <c r="HM1081" s="5" t="s">
        <v>356</v>
      </c>
      <c r="HP1081" s="5" t="s">
        <v>272</v>
      </c>
      <c r="HQ1081" s="5" t="s">
        <v>272</v>
      </c>
      <c r="HR1081" s="5" t="s">
        <v>238</v>
      </c>
      <c r="HS1081" s="5" t="s">
        <v>238</v>
      </c>
      <c r="HT1081" s="5" t="s">
        <v>238</v>
      </c>
      <c r="HU1081" s="5" t="s">
        <v>238</v>
      </c>
      <c r="HV1081" s="5" t="s">
        <v>238</v>
      </c>
      <c r="HW1081" s="5" t="s">
        <v>238</v>
      </c>
      <c r="HX1081" s="5" t="s">
        <v>238</v>
      </c>
      <c r="HY1081" s="5" t="s">
        <v>238</v>
      </c>
      <c r="HZ1081" s="5" t="s">
        <v>238</v>
      </c>
      <c r="IA1081" s="5" t="s">
        <v>238</v>
      </c>
      <c r="IB1081" s="5" t="s">
        <v>238</v>
      </c>
      <c r="IC1081" s="5" t="s">
        <v>238</v>
      </c>
      <c r="ID1081" s="5" t="s">
        <v>238</v>
      </c>
    </row>
    <row r="1082" spans="1:238" x14ac:dyDescent="0.4">
      <c r="A1082" s="5">
        <v>1412</v>
      </c>
      <c r="B1082" s="5">
        <v>1</v>
      </c>
      <c r="C1082" s="5">
        <v>1</v>
      </c>
      <c r="D1082" s="5" t="s">
        <v>2750</v>
      </c>
      <c r="E1082" s="5" t="s">
        <v>338</v>
      </c>
      <c r="F1082" s="5" t="s">
        <v>282</v>
      </c>
      <c r="G1082" s="5" t="s">
        <v>238</v>
      </c>
      <c r="H1082" s="6" t="s">
        <v>2752</v>
      </c>
      <c r="I1082" s="5" t="s">
        <v>2749</v>
      </c>
      <c r="J1082" s="7">
        <f>238</f>
        <v>238</v>
      </c>
      <c r="K1082" s="5" t="s">
        <v>270</v>
      </c>
      <c r="L1082" s="8">
        <f>1</f>
        <v>1</v>
      </c>
      <c r="M1082" s="8">
        <f>75114000</f>
        <v>75114000</v>
      </c>
      <c r="N1082" s="6" t="s">
        <v>2751</v>
      </c>
      <c r="O1082" s="5" t="s">
        <v>286</v>
      </c>
      <c r="P1082" s="5" t="s">
        <v>2754</v>
      </c>
      <c r="R1082" s="8">
        <f>75113999</f>
        <v>75113999</v>
      </c>
      <c r="S1082" s="5" t="s">
        <v>240</v>
      </c>
      <c r="T1082" s="5" t="s">
        <v>287</v>
      </c>
      <c r="U1082" s="5" t="s">
        <v>238</v>
      </c>
      <c r="V1082" s="5" t="s">
        <v>238</v>
      </c>
      <c r="W1082" s="5" t="s">
        <v>241</v>
      </c>
      <c r="X1082" s="5" t="s">
        <v>238</v>
      </c>
      <c r="Y1082" s="5" t="s">
        <v>238</v>
      </c>
      <c r="AB1082" s="5" t="s">
        <v>238</v>
      </c>
      <c r="AD1082" s="6" t="s">
        <v>238</v>
      </c>
      <c r="AG1082" s="6" t="s">
        <v>246</v>
      </c>
      <c r="AH1082" s="5" t="s">
        <v>247</v>
      </c>
      <c r="AI1082" s="5" t="s">
        <v>248</v>
      </c>
      <c r="AY1082" s="5" t="s">
        <v>250</v>
      </c>
      <c r="AZ1082" s="5" t="s">
        <v>238</v>
      </c>
      <c r="BA1082" s="5" t="s">
        <v>251</v>
      </c>
      <c r="BB1082" s="5" t="s">
        <v>238</v>
      </c>
      <c r="BC1082" s="5" t="s">
        <v>253</v>
      </c>
      <c r="BD1082" s="5" t="s">
        <v>238</v>
      </c>
      <c r="BF1082" s="5" t="s">
        <v>710</v>
      </c>
      <c r="BH1082" s="5" t="s">
        <v>254</v>
      </c>
      <c r="BI1082" s="6" t="s">
        <v>246</v>
      </c>
      <c r="BJ1082" s="5" t="s">
        <v>255</v>
      </c>
      <c r="BK1082" s="5" t="s">
        <v>1300</v>
      </c>
      <c r="BL1082" s="5" t="s">
        <v>238</v>
      </c>
      <c r="BM1082" s="7">
        <f>0</f>
        <v>0</v>
      </c>
      <c r="BN1082" s="8">
        <f>0</f>
        <v>0</v>
      </c>
      <c r="BO1082" s="5" t="s">
        <v>257</v>
      </c>
      <c r="BP1082" s="5" t="s">
        <v>258</v>
      </c>
      <c r="CD1082" s="5" t="s">
        <v>238</v>
      </c>
      <c r="CE1082" s="5" t="s">
        <v>238</v>
      </c>
      <c r="CI1082" s="5" t="s">
        <v>527</v>
      </c>
      <c r="CJ1082" s="5" t="s">
        <v>260</v>
      </c>
      <c r="CK1082" s="5" t="s">
        <v>238</v>
      </c>
      <c r="CM1082" s="5" t="s">
        <v>2753</v>
      </c>
      <c r="CN1082" s="6" t="s">
        <v>262</v>
      </c>
      <c r="CO1082" s="5" t="s">
        <v>263</v>
      </c>
      <c r="CP1082" s="5" t="s">
        <v>264</v>
      </c>
      <c r="CQ1082" s="5" t="s">
        <v>238</v>
      </c>
      <c r="CR1082" s="5" t="s">
        <v>238</v>
      </c>
      <c r="CS1082" s="5">
        <v>0</v>
      </c>
      <c r="CT1082" s="5" t="s">
        <v>265</v>
      </c>
      <c r="CU1082" s="5" t="s">
        <v>1360</v>
      </c>
      <c r="CV1082" s="5" t="s">
        <v>267</v>
      </c>
      <c r="CX1082" s="8">
        <f>75114000</f>
        <v>75114000</v>
      </c>
      <c r="CY1082" s="8">
        <f>0</f>
        <v>0</v>
      </c>
      <c r="DA1082" s="5" t="s">
        <v>238</v>
      </c>
      <c r="DB1082" s="5" t="s">
        <v>238</v>
      </c>
      <c r="DD1082" s="5" t="s">
        <v>238</v>
      </c>
      <c r="DG1082" s="5" t="s">
        <v>238</v>
      </c>
      <c r="DH1082" s="5" t="s">
        <v>238</v>
      </c>
      <c r="DI1082" s="5" t="s">
        <v>238</v>
      </c>
      <c r="DJ1082" s="5" t="s">
        <v>238</v>
      </c>
      <c r="DK1082" s="5" t="s">
        <v>272</v>
      </c>
      <c r="DL1082" s="5" t="s">
        <v>272</v>
      </c>
      <c r="DM1082" s="7">
        <f>238</f>
        <v>238</v>
      </c>
      <c r="DN1082" s="5" t="s">
        <v>238</v>
      </c>
      <c r="DO1082" s="5" t="s">
        <v>238</v>
      </c>
      <c r="DP1082" s="5" t="s">
        <v>238</v>
      </c>
      <c r="DQ1082" s="5" t="s">
        <v>238</v>
      </c>
      <c r="DT1082" s="5" t="s">
        <v>2755</v>
      </c>
      <c r="DU1082" s="5" t="s">
        <v>271</v>
      </c>
      <c r="HM1082" s="5" t="s">
        <v>271</v>
      </c>
      <c r="HP1082" s="5" t="s">
        <v>272</v>
      </c>
      <c r="HQ1082" s="5" t="s">
        <v>272</v>
      </c>
    </row>
    <row r="1083" spans="1:238" x14ac:dyDescent="0.4">
      <c r="A1083" s="5">
        <v>1413</v>
      </c>
      <c r="B1083" s="5">
        <v>1</v>
      </c>
      <c r="C1083" s="5">
        <v>4</v>
      </c>
      <c r="D1083" s="5" t="s">
        <v>238</v>
      </c>
      <c r="E1083" s="5" t="s">
        <v>338</v>
      </c>
      <c r="F1083" s="5" t="s">
        <v>282</v>
      </c>
      <c r="G1083" s="5" t="s">
        <v>1666</v>
      </c>
      <c r="H1083" s="6" t="s">
        <v>545</v>
      </c>
      <c r="I1083" s="5" t="s">
        <v>1308</v>
      </c>
      <c r="J1083" s="7">
        <f>3718.07</f>
        <v>3718.07</v>
      </c>
      <c r="K1083" s="5" t="s">
        <v>270</v>
      </c>
      <c r="L1083" s="8">
        <f>36139649</f>
        <v>36139649</v>
      </c>
      <c r="M1083" s="8">
        <f>669252600</f>
        <v>669252600</v>
      </c>
      <c r="N1083" s="6" t="s">
        <v>953</v>
      </c>
      <c r="O1083" s="5" t="s">
        <v>898</v>
      </c>
      <c r="P1083" s="5" t="s">
        <v>965</v>
      </c>
      <c r="Q1083" s="8">
        <f>14723557</f>
        <v>14723557</v>
      </c>
      <c r="R1083" s="8">
        <f>633112951</f>
        <v>633112951</v>
      </c>
      <c r="S1083" s="5" t="s">
        <v>240</v>
      </c>
      <c r="T1083" s="5" t="s">
        <v>237</v>
      </c>
      <c r="W1083" s="5" t="s">
        <v>241</v>
      </c>
      <c r="X1083" s="5" t="s">
        <v>337</v>
      </c>
      <c r="Y1083" s="5" t="s">
        <v>238</v>
      </c>
      <c r="AB1083" s="5" t="s">
        <v>238</v>
      </c>
      <c r="AC1083" s="6" t="s">
        <v>238</v>
      </c>
      <c r="AD1083" s="6" t="s">
        <v>238</v>
      </c>
      <c r="AE1083" s="5" t="s">
        <v>238</v>
      </c>
      <c r="AF1083" s="6" t="s">
        <v>238</v>
      </c>
      <c r="AG1083" s="6" t="s">
        <v>246</v>
      </c>
      <c r="AH1083" s="5" t="s">
        <v>247</v>
      </c>
      <c r="AI1083" s="5" t="s">
        <v>248</v>
      </c>
      <c r="AO1083" s="5" t="s">
        <v>238</v>
      </c>
      <c r="AP1083" s="5" t="s">
        <v>238</v>
      </c>
      <c r="AQ1083" s="5" t="s">
        <v>238</v>
      </c>
      <c r="AR1083" s="6" t="s">
        <v>238</v>
      </c>
      <c r="AS1083" s="6" t="s">
        <v>238</v>
      </c>
      <c r="AT1083" s="6" t="s">
        <v>238</v>
      </c>
      <c r="AW1083" s="5" t="s">
        <v>304</v>
      </c>
      <c r="AX1083" s="5" t="s">
        <v>304</v>
      </c>
      <c r="AY1083" s="5" t="s">
        <v>250</v>
      </c>
      <c r="AZ1083" s="5" t="s">
        <v>305</v>
      </c>
      <c r="BA1083" s="5" t="s">
        <v>251</v>
      </c>
      <c r="BB1083" s="5" t="s">
        <v>238</v>
      </c>
      <c r="BC1083" s="5" t="s">
        <v>253</v>
      </c>
      <c r="BD1083" s="5" t="s">
        <v>3170</v>
      </c>
      <c r="BF1083" s="5" t="s">
        <v>710</v>
      </c>
      <c r="BH1083" s="5" t="s">
        <v>283</v>
      </c>
      <c r="BI1083" s="6" t="s">
        <v>293</v>
      </c>
      <c r="BJ1083" s="5" t="s">
        <v>294</v>
      </c>
      <c r="BK1083" s="5" t="s">
        <v>294</v>
      </c>
      <c r="BL1083" s="5" t="s">
        <v>238</v>
      </c>
      <c r="BM1083" s="7">
        <f>0</f>
        <v>0</v>
      </c>
      <c r="BN1083" s="8">
        <f>-14723557</f>
        <v>-14723557</v>
      </c>
      <c r="BO1083" s="5" t="s">
        <v>257</v>
      </c>
      <c r="BP1083" s="5" t="s">
        <v>258</v>
      </c>
      <c r="BQ1083" s="5" t="s">
        <v>238</v>
      </c>
      <c r="BR1083" s="5" t="s">
        <v>238</v>
      </c>
      <c r="BS1083" s="5" t="s">
        <v>238</v>
      </c>
      <c r="BT1083" s="5" t="s">
        <v>238</v>
      </c>
      <c r="BY1083" s="6" t="s">
        <v>3530</v>
      </c>
      <c r="BZ1083" s="5" t="s">
        <v>257</v>
      </c>
      <c r="CA1083" s="5" t="s">
        <v>238</v>
      </c>
      <c r="CB1083" s="5" t="s">
        <v>238</v>
      </c>
      <c r="CC1083" s="5" t="s">
        <v>258</v>
      </c>
      <c r="CD1083" s="5" t="s">
        <v>238</v>
      </c>
      <c r="CE1083" s="5" t="s">
        <v>238</v>
      </c>
      <c r="CI1083" s="5" t="s">
        <v>527</v>
      </c>
      <c r="CJ1083" s="5" t="s">
        <v>260</v>
      </c>
      <c r="CK1083" s="5" t="s">
        <v>272</v>
      </c>
      <c r="CM1083" s="5" t="s">
        <v>865</v>
      </c>
      <c r="CN1083" s="6" t="s">
        <v>262</v>
      </c>
      <c r="CO1083" s="5" t="s">
        <v>263</v>
      </c>
      <c r="CP1083" s="5" t="s">
        <v>264</v>
      </c>
      <c r="CQ1083" s="5" t="s">
        <v>285</v>
      </c>
      <c r="CR1083" s="5" t="s">
        <v>238</v>
      </c>
      <c r="CS1083" s="5">
        <v>2.1999999999999999E-2</v>
      </c>
      <c r="CT1083" s="5" t="s">
        <v>265</v>
      </c>
      <c r="CU1083" s="5" t="s">
        <v>1330</v>
      </c>
      <c r="CV1083" s="5" t="s">
        <v>308</v>
      </c>
      <c r="CW1083" s="7">
        <f>0</f>
        <v>0</v>
      </c>
      <c r="CX1083" s="8">
        <f>669252600</f>
        <v>669252600</v>
      </c>
      <c r="CY1083" s="8">
        <f>50863206</f>
        <v>50863206</v>
      </c>
      <c r="CZ1083" s="8" t="s">
        <v>238</v>
      </c>
      <c r="DA1083" s="5" t="s">
        <v>238</v>
      </c>
      <c r="DB1083" s="5" t="s">
        <v>238</v>
      </c>
      <c r="DD1083" s="5" t="s">
        <v>238</v>
      </c>
      <c r="DE1083" s="8">
        <f>0</f>
        <v>0</v>
      </c>
      <c r="DF1083" s="6" t="s">
        <v>238</v>
      </c>
      <c r="DG1083" s="5" t="s">
        <v>238</v>
      </c>
      <c r="DH1083" s="5" t="s">
        <v>238</v>
      </c>
      <c r="DI1083" s="5" t="s">
        <v>238</v>
      </c>
      <c r="DJ1083" s="5" t="s">
        <v>238</v>
      </c>
      <c r="DK1083" s="5" t="s">
        <v>274</v>
      </c>
      <c r="DL1083" s="5" t="s">
        <v>272</v>
      </c>
      <c r="DM1083" s="7">
        <f>3718.07</f>
        <v>3718.07</v>
      </c>
      <c r="DN1083" s="5" t="s">
        <v>238</v>
      </c>
      <c r="DO1083" s="5" t="s">
        <v>247</v>
      </c>
      <c r="DP1083" s="5" t="s">
        <v>3170</v>
      </c>
      <c r="DQ1083" s="5" t="s">
        <v>3170</v>
      </c>
      <c r="DR1083" s="5" t="s">
        <v>238</v>
      </c>
      <c r="DS1083" s="5" t="s">
        <v>238</v>
      </c>
      <c r="DT1083" s="5" t="s">
        <v>1746</v>
      </c>
      <c r="DU1083" s="5" t="s">
        <v>271</v>
      </c>
      <c r="GL1083" s="5" t="s">
        <v>3531</v>
      </c>
      <c r="HP1083" s="5" t="s">
        <v>272</v>
      </c>
      <c r="HQ1083" s="5" t="s">
        <v>272</v>
      </c>
      <c r="HR1083" s="5" t="s">
        <v>238</v>
      </c>
      <c r="HS1083" s="5" t="s">
        <v>238</v>
      </c>
      <c r="HT1083" s="5" t="s">
        <v>238</v>
      </c>
      <c r="HU1083" s="5" t="s">
        <v>238</v>
      </c>
      <c r="HV1083" s="5" t="s">
        <v>238</v>
      </c>
      <c r="HW1083" s="5" t="s">
        <v>238</v>
      </c>
      <c r="HX1083" s="5" t="s">
        <v>238</v>
      </c>
      <c r="HY1083" s="5" t="s">
        <v>238</v>
      </c>
      <c r="HZ1083" s="5" t="s">
        <v>238</v>
      </c>
      <c r="IA1083" s="5" t="s">
        <v>238</v>
      </c>
      <c r="IB1083" s="5" t="s">
        <v>238</v>
      </c>
      <c r="IC1083" s="5" t="s">
        <v>238</v>
      </c>
      <c r="ID1083" s="5" t="s">
        <v>238</v>
      </c>
    </row>
    <row r="1084" spans="1:238" x14ac:dyDescent="0.4">
      <c r="A1084" s="5">
        <v>1414</v>
      </c>
      <c r="B1084" s="5">
        <v>1</v>
      </c>
      <c r="C1084" s="5">
        <v>4</v>
      </c>
      <c r="D1084" s="5" t="s">
        <v>1743</v>
      </c>
      <c r="E1084" s="5" t="s">
        <v>338</v>
      </c>
      <c r="F1084" s="5" t="s">
        <v>282</v>
      </c>
      <c r="G1084" s="5" t="s">
        <v>1745</v>
      </c>
      <c r="H1084" s="6" t="s">
        <v>545</v>
      </c>
      <c r="I1084" s="5" t="s">
        <v>1742</v>
      </c>
      <c r="J1084" s="7">
        <f>0</f>
        <v>0</v>
      </c>
      <c r="K1084" s="5" t="s">
        <v>270</v>
      </c>
      <c r="L1084" s="8">
        <f>12341810</f>
        <v>12341810</v>
      </c>
      <c r="M1084" s="8">
        <f>13867200</f>
        <v>13867200</v>
      </c>
      <c r="N1084" s="6" t="s">
        <v>1744</v>
      </c>
      <c r="O1084" s="5" t="s">
        <v>898</v>
      </c>
      <c r="P1084" s="5" t="s">
        <v>356</v>
      </c>
      <c r="Q1084" s="8">
        <f>305078</f>
        <v>305078</v>
      </c>
      <c r="R1084" s="8">
        <f>1525390</f>
        <v>1525390</v>
      </c>
      <c r="S1084" s="5" t="s">
        <v>240</v>
      </c>
      <c r="T1084" s="5" t="s">
        <v>287</v>
      </c>
      <c r="U1084" s="5" t="s">
        <v>238</v>
      </c>
      <c r="V1084" s="5" t="s">
        <v>238</v>
      </c>
      <c r="W1084" s="5" t="s">
        <v>241</v>
      </c>
      <c r="X1084" s="5" t="s">
        <v>337</v>
      </c>
      <c r="Y1084" s="5" t="s">
        <v>238</v>
      </c>
      <c r="AB1084" s="5" t="s">
        <v>238</v>
      </c>
      <c r="AC1084" s="6" t="s">
        <v>238</v>
      </c>
      <c r="AD1084" s="6" t="s">
        <v>238</v>
      </c>
      <c r="AF1084" s="6" t="s">
        <v>238</v>
      </c>
      <c r="AG1084" s="6" t="s">
        <v>246</v>
      </c>
      <c r="AH1084" s="5" t="s">
        <v>247</v>
      </c>
      <c r="AI1084" s="5" t="s">
        <v>248</v>
      </c>
      <c r="AO1084" s="5" t="s">
        <v>238</v>
      </c>
      <c r="AP1084" s="5" t="s">
        <v>238</v>
      </c>
      <c r="AQ1084" s="5" t="s">
        <v>238</v>
      </c>
      <c r="AR1084" s="6" t="s">
        <v>238</v>
      </c>
      <c r="AS1084" s="6" t="s">
        <v>238</v>
      </c>
      <c r="AT1084" s="6" t="s">
        <v>238</v>
      </c>
      <c r="AW1084" s="5" t="s">
        <v>304</v>
      </c>
      <c r="AX1084" s="5" t="s">
        <v>304</v>
      </c>
      <c r="AY1084" s="5" t="s">
        <v>250</v>
      </c>
      <c r="AZ1084" s="5" t="s">
        <v>305</v>
      </c>
      <c r="BA1084" s="5" t="s">
        <v>251</v>
      </c>
      <c r="BB1084" s="5" t="s">
        <v>238</v>
      </c>
      <c r="BC1084" s="5" t="s">
        <v>253</v>
      </c>
      <c r="BD1084" s="5" t="s">
        <v>238</v>
      </c>
      <c r="BF1084" s="5" t="s">
        <v>238</v>
      </c>
      <c r="BH1084" s="5" t="s">
        <v>283</v>
      </c>
      <c r="BI1084" s="6" t="s">
        <v>293</v>
      </c>
      <c r="BJ1084" s="5" t="s">
        <v>294</v>
      </c>
      <c r="BK1084" s="5" t="s">
        <v>294</v>
      </c>
      <c r="BL1084" s="5" t="s">
        <v>238</v>
      </c>
      <c r="BM1084" s="7">
        <f>0</f>
        <v>0</v>
      </c>
      <c r="BN1084" s="8">
        <f>-305078</f>
        <v>-305078</v>
      </c>
      <c r="BO1084" s="5" t="s">
        <v>257</v>
      </c>
      <c r="BP1084" s="5" t="s">
        <v>258</v>
      </c>
      <c r="BQ1084" s="5" t="s">
        <v>238</v>
      </c>
      <c r="BR1084" s="5" t="s">
        <v>238</v>
      </c>
      <c r="BS1084" s="5" t="s">
        <v>238</v>
      </c>
      <c r="BT1084" s="5" t="s">
        <v>238</v>
      </c>
      <c r="CC1084" s="5" t="s">
        <v>258</v>
      </c>
      <c r="CD1084" s="5" t="s">
        <v>238</v>
      </c>
      <c r="CE1084" s="5" t="s">
        <v>238</v>
      </c>
      <c r="CI1084" s="5" t="s">
        <v>259</v>
      </c>
      <c r="CJ1084" s="5" t="s">
        <v>260</v>
      </c>
      <c r="CK1084" s="5" t="s">
        <v>238</v>
      </c>
      <c r="CM1084" s="5" t="s">
        <v>376</v>
      </c>
      <c r="CN1084" s="6" t="s">
        <v>262</v>
      </c>
      <c r="CO1084" s="5" t="s">
        <v>263</v>
      </c>
      <c r="CP1084" s="5" t="s">
        <v>264</v>
      </c>
      <c r="CQ1084" s="5" t="s">
        <v>285</v>
      </c>
      <c r="CR1084" s="5" t="s">
        <v>238</v>
      </c>
      <c r="CS1084" s="5">
        <v>2.1999999999999999E-2</v>
      </c>
      <c r="CT1084" s="5" t="s">
        <v>265</v>
      </c>
      <c r="CU1084" s="5" t="s">
        <v>1330</v>
      </c>
      <c r="CV1084" s="5" t="s">
        <v>308</v>
      </c>
      <c r="CW1084" s="7">
        <f>0</f>
        <v>0</v>
      </c>
      <c r="CX1084" s="8">
        <f>13867200</f>
        <v>13867200</v>
      </c>
      <c r="CY1084" s="8">
        <f>12646888</f>
        <v>12646888</v>
      </c>
      <c r="DA1084" s="5" t="s">
        <v>238</v>
      </c>
      <c r="DB1084" s="5" t="s">
        <v>238</v>
      </c>
      <c r="DD1084" s="5" t="s">
        <v>238</v>
      </c>
      <c r="DE1084" s="8">
        <f>0</f>
        <v>0</v>
      </c>
      <c r="DG1084" s="5" t="s">
        <v>238</v>
      </c>
      <c r="DH1084" s="5" t="s">
        <v>238</v>
      </c>
      <c r="DI1084" s="5" t="s">
        <v>238</v>
      </c>
      <c r="DJ1084" s="5" t="s">
        <v>238</v>
      </c>
      <c r="DK1084" s="5" t="s">
        <v>272</v>
      </c>
      <c r="DL1084" s="5" t="s">
        <v>272</v>
      </c>
      <c r="DM1084" s="8" t="s">
        <v>238</v>
      </c>
      <c r="DN1084" s="5" t="s">
        <v>238</v>
      </c>
      <c r="DO1084" s="5" t="s">
        <v>238</v>
      </c>
      <c r="DP1084" s="5" t="s">
        <v>238</v>
      </c>
      <c r="DQ1084" s="5" t="s">
        <v>238</v>
      </c>
      <c r="DT1084" s="5" t="s">
        <v>1746</v>
      </c>
      <c r="DU1084" s="5" t="s">
        <v>274</v>
      </c>
      <c r="GL1084" s="5" t="s">
        <v>1747</v>
      </c>
      <c r="HM1084" s="5" t="s">
        <v>379</v>
      </c>
      <c r="HP1084" s="5" t="s">
        <v>272</v>
      </c>
      <c r="HQ1084" s="5" t="s">
        <v>272</v>
      </c>
      <c r="HR1084" s="5" t="s">
        <v>238</v>
      </c>
      <c r="HS1084" s="5" t="s">
        <v>238</v>
      </c>
      <c r="HT1084" s="5" t="s">
        <v>238</v>
      </c>
      <c r="HU1084" s="5" t="s">
        <v>238</v>
      </c>
      <c r="HV1084" s="5" t="s">
        <v>238</v>
      </c>
      <c r="HW1084" s="5" t="s">
        <v>238</v>
      </c>
      <c r="HX1084" s="5" t="s">
        <v>238</v>
      </c>
      <c r="HY1084" s="5" t="s">
        <v>238</v>
      </c>
      <c r="HZ1084" s="5" t="s">
        <v>238</v>
      </c>
      <c r="IA1084" s="5" t="s">
        <v>238</v>
      </c>
      <c r="IB1084" s="5" t="s">
        <v>238</v>
      </c>
      <c r="IC1084" s="5" t="s">
        <v>238</v>
      </c>
      <c r="ID1084" s="5" t="s">
        <v>238</v>
      </c>
    </row>
    <row r="1085" spans="1:238" x14ac:dyDescent="0.4">
      <c r="A1085" s="5">
        <v>1415</v>
      </c>
      <c r="B1085" s="5">
        <v>1</v>
      </c>
      <c r="C1085" s="5">
        <v>4</v>
      </c>
      <c r="D1085" s="5" t="s">
        <v>600</v>
      </c>
      <c r="E1085" s="5" t="s">
        <v>338</v>
      </c>
      <c r="F1085" s="5" t="s">
        <v>282</v>
      </c>
      <c r="G1085" s="5" t="s">
        <v>1666</v>
      </c>
      <c r="H1085" s="6" t="s">
        <v>602</v>
      </c>
      <c r="I1085" s="5" t="s">
        <v>1308</v>
      </c>
      <c r="J1085" s="7">
        <f>4990.57</f>
        <v>4990.57</v>
      </c>
      <c r="K1085" s="5" t="s">
        <v>270</v>
      </c>
      <c r="L1085" s="8">
        <f>489075860</f>
        <v>489075860</v>
      </c>
      <c r="M1085" s="8">
        <f>1746699500</f>
        <v>1746699500</v>
      </c>
      <c r="N1085" s="6" t="s">
        <v>1099</v>
      </c>
      <c r="O1085" s="5" t="s">
        <v>755</v>
      </c>
      <c r="P1085" s="5" t="s">
        <v>286</v>
      </c>
      <c r="Q1085" s="8">
        <f>52400985</f>
        <v>52400985</v>
      </c>
      <c r="R1085" s="8">
        <f>1257623640</f>
        <v>1257623640</v>
      </c>
      <c r="S1085" s="5" t="s">
        <v>240</v>
      </c>
      <c r="T1085" s="5" t="s">
        <v>237</v>
      </c>
      <c r="U1085" s="5" t="s">
        <v>238</v>
      </c>
      <c r="V1085" s="5" t="s">
        <v>238</v>
      </c>
      <c r="W1085" s="5" t="s">
        <v>241</v>
      </c>
      <c r="X1085" s="5" t="s">
        <v>337</v>
      </c>
      <c r="Y1085" s="5" t="s">
        <v>238</v>
      </c>
      <c r="AB1085" s="5" t="s">
        <v>238</v>
      </c>
      <c r="AC1085" s="6" t="s">
        <v>238</v>
      </c>
      <c r="AD1085" s="6" t="s">
        <v>238</v>
      </c>
      <c r="AF1085" s="6" t="s">
        <v>238</v>
      </c>
      <c r="AG1085" s="6" t="s">
        <v>246</v>
      </c>
      <c r="AH1085" s="5" t="s">
        <v>247</v>
      </c>
      <c r="AI1085" s="5" t="s">
        <v>248</v>
      </c>
      <c r="AO1085" s="5" t="s">
        <v>238</v>
      </c>
      <c r="AP1085" s="5" t="s">
        <v>238</v>
      </c>
      <c r="AQ1085" s="5" t="s">
        <v>238</v>
      </c>
      <c r="AR1085" s="6" t="s">
        <v>238</v>
      </c>
      <c r="AS1085" s="6" t="s">
        <v>238</v>
      </c>
      <c r="AT1085" s="6" t="s">
        <v>238</v>
      </c>
      <c r="AW1085" s="5" t="s">
        <v>304</v>
      </c>
      <c r="AX1085" s="5" t="s">
        <v>304</v>
      </c>
      <c r="AY1085" s="5" t="s">
        <v>250</v>
      </c>
      <c r="AZ1085" s="5" t="s">
        <v>305</v>
      </c>
      <c r="BA1085" s="5" t="s">
        <v>251</v>
      </c>
      <c r="BB1085" s="5" t="s">
        <v>238</v>
      </c>
      <c r="BC1085" s="5" t="s">
        <v>253</v>
      </c>
      <c r="BD1085" s="5" t="s">
        <v>238</v>
      </c>
      <c r="BF1085" s="5" t="s">
        <v>238</v>
      </c>
      <c r="BH1085" s="5" t="s">
        <v>283</v>
      </c>
      <c r="BI1085" s="6" t="s">
        <v>293</v>
      </c>
      <c r="BJ1085" s="5" t="s">
        <v>294</v>
      </c>
      <c r="BK1085" s="5" t="s">
        <v>294</v>
      </c>
      <c r="BL1085" s="5" t="s">
        <v>238</v>
      </c>
      <c r="BM1085" s="7">
        <f>0</f>
        <v>0</v>
      </c>
      <c r="BN1085" s="8">
        <f>-52400985</f>
        <v>-52400985</v>
      </c>
      <c r="BO1085" s="5" t="s">
        <v>257</v>
      </c>
      <c r="BP1085" s="5" t="s">
        <v>258</v>
      </c>
      <c r="BQ1085" s="5" t="s">
        <v>238</v>
      </c>
      <c r="BR1085" s="5" t="s">
        <v>238</v>
      </c>
      <c r="BS1085" s="5" t="s">
        <v>238</v>
      </c>
      <c r="BT1085" s="5" t="s">
        <v>238</v>
      </c>
      <c r="CC1085" s="5" t="s">
        <v>258</v>
      </c>
      <c r="CD1085" s="5" t="s">
        <v>238</v>
      </c>
      <c r="CE1085" s="5" t="s">
        <v>238</v>
      </c>
      <c r="CI1085" s="5" t="s">
        <v>259</v>
      </c>
      <c r="CJ1085" s="5" t="s">
        <v>260</v>
      </c>
      <c r="CK1085" s="5" t="s">
        <v>238</v>
      </c>
      <c r="CM1085" s="5" t="s">
        <v>330</v>
      </c>
      <c r="CN1085" s="6" t="s">
        <v>262</v>
      </c>
      <c r="CO1085" s="5" t="s">
        <v>263</v>
      </c>
      <c r="CP1085" s="5" t="s">
        <v>264</v>
      </c>
      <c r="CQ1085" s="5" t="s">
        <v>285</v>
      </c>
      <c r="CR1085" s="5" t="s">
        <v>238</v>
      </c>
      <c r="CS1085" s="5">
        <v>0.03</v>
      </c>
      <c r="CT1085" s="5" t="s">
        <v>265</v>
      </c>
      <c r="CU1085" s="5" t="s">
        <v>1330</v>
      </c>
      <c r="CV1085" s="5" t="s">
        <v>649</v>
      </c>
      <c r="CW1085" s="7">
        <f>0</f>
        <v>0</v>
      </c>
      <c r="CX1085" s="8">
        <f>1746699500</f>
        <v>1746699500</v>
      </c>
      <c r="CY1085" s="8">
        <f>541476845</f>
        <v>541476845</v>
      </c>
      <c r="DA1085" s="5" t="s">
        <v>238</v>
      </c>
      <c r="DB1085" s="5" t="s">
        <v>238</v>
      </c>
      <c r="DD1085" s="5" t="s">
        <v>238</v>
      </c>
      <c r="DE1085" s="8">
        <f>0</f>
        <v>0</v>
      </c>
      <c r="DG1085" s="5" t="s">
        <v>238</v>
      </c>
      <c r="DH1085" s="5" t="s">
        <v>238</v>
      </c>
      <c r="DI1085" s="5" t="s">
        <v>238</v>
      </c>
      <c r="DJ1085" s="5" t="s">
        <v>238</v>
      </c>
      <c r="DK1085" s="5" t="s">
        <v>274</v>
      </c>
      <c r="DL1085" s="5" t="s">
        <v>272</v>
      </c>
      <c r="DM1085" s="7">
        <f>4990.57</f>
        <v>4990.57</v>
      </c>
      <c r="DN1085" s="5" t="s">
        <v>238</v>
      </c>
      <c r="DO1085" s="5" t="s">
        <v>238</v>
      </c>
      <c r="DP1085" s="5" t="s">
        <v>238</v>
      </c>
      <c r="DQ1085" s="5" t="s">
        <v>238</v>
      </c>
      <c r="DT1085" s="5" t="s">
        <v>603</v>
      </c>
      <c r="DU1085" s="5" t="s">
        <v>271</v>
      </c>
      <c r="GL1085" s="5" t="s">
        <v>1749</v>
      </c>
      <c r="HM1085" s="5" t="s">
        <v>313</v>
      </c>
      <c r="HP1085" s="5" t="s">
        <v>272</v>
      </c>
      <c r="HQ1085" s="5" t="s">
        <v>272</v>
      </c>
      <c r="HR1085" s="5" t="s">
        <v>238</v>
      </c>
      <c r="HS1085" s="5" t="s">
        <v>238</v>
      </c>
      <c r="HT1085" s="5" t="s">
        <v>238</v>
      </c>
      <c r="HU1085" s="5" t="s">
        <v>238</v>
      </c>
      <c r="HV1085" s="5" t="s">
        <v>238</v>
      </c>
      <c r="HW1085" s="5" t="s">
        <v>238</v>
      </c>
      <c r="HX1085" s="5" t="s">
        <v>238</v>
      </c>
      <c r="HY1085" s="5" t="s">
        <v>238</v>
      </c>
      <c r="HZ1085" s="5" t="s">
        <v>238</v>
      </c>
      <c r="IA1085" s="5" t="s">
        <v>238</v>
      </c>
      <c r="IB1085" s="5" t="s">
        <v>238</v>
      </c>
      <c r="IC1085" s="5" t="s">
        <v>238</v>
      </c>
      <c r="ID1085" s="5" t="s">
        <v>238</v>
      </c>
    </row>
    <row r="1086" spans="1:238" x14ac:dyDescent="0.4">
      <c r="A1086" s="5">
        <v>1416</v>
      </c>
      <c r="B1086" s="5">
        <v>1</v>
      </c>
      <c r="C1086" s="5">
        <v>4</v>
      </c>
      <c r="D1086" s="5" t="s">
        <v>600</v>
      </c>
      <c r="E1086" s="5" t="s">
        <v>338</v>
      </c>
      <c r="F1086" s="5" t="s">
        <v>282</v>
      </c>
      <c r="G1086" s="5" t="s">
        <v>448</v>
      </c>
      <c r="H1086" s="6" t="s">
        <v>602</v>
      </c>
      <c r="I1086" s="5" t="s">
        <v>599</v>
      </c>
      <c r="J1086" s="7">
        <f>0</f>
        <v>0</v>
      </c>
      <c r="K1086" s="5" t="s">
        <v>270</v>
      </c>
      <c r="L1086" s="8">
        <f>1992600</f>
        <v>1992600</v>
      </c>
      <c r="M1086" s="8">
        <f>3240000</f>
        <v>3240000</v>
      </c>
      <c r="N1086" s="6" t="s">
        <v>601</v>
      </c>
      <c r="O1086" s="5" t="s">
        <v>319</v>
      </c>
      <c r="P1086" s="5" t="s">
        <v>356</v>
      </c>
      <c r="Q1086" s="8">
        <f>249480</f>
        <v>249480</v>
      </c>
      <c r="R1086" s="8">
        <f>1247400</f>
        <v>1247400</v>
      </c>
      <c r="S1086" s="5" t="s">
        <v>240</v>
      </c>
      <c r="T1086" s="5" t="s">
        <v>287</v>
      </c>
      <c r="U1086" s="5" t="s">
        <v>238</v>
      </c>
      <c r="V1086" s="5" t="s">
        <v>238</v>
      </c>
      <c r="W1086" s="5" t="s">
        <v>241</v>
      </c>
      <c r="X1086" s="5" t="s">
        <v>337</v>
      </c>
      <c r="Y1086" s="5" t="s">
        <v>238</v>
      </c>
      <c r="AB1086" s="5" t="s">
        <v>238</v>
      </c>
      <c r="AC1086" s="6" t="s">
        <v>238</v>
      </c>
      <c r="AD1086" s="6" t="s">
        <v>238</v>
      </c>
      <c r="AF1086" s="6" t="s">
        <v>238</v>
      </c>
      <c r="AG1086" s="6" t="s">
        <v>246</v>
      </c>
      <c r="AH1086" s="5" t="s">
        <v>247</v>
      </c>
      <c r="AI1086" s="5" t="s">
        <v>248</v>
      </c>
      <c r="AO1086" s="5" t="s">
        <v>238</v>
      </c>
      <c r="AP1086" s="5" t="s">
        <v>238</v>
      </c>
      <c r="AQ1086" s="5" t="s">
        <v>238</v>
      </c>
      <c r="AR1086" s="6" t="s">
        <v>238</v>
      </c>
      <c r="AS1086" s="6" t="s">
        <v>238</v>
      </c>
      <c r="AT1086" s="6" t="s">
        <v>238</v>
      </c>
      <c r="AW1086" s="5" t="s">
        <v>304</v>
      </c>
      <c r="AX1086" s="5" t="s">
        <v>304</v>
      </c>
      <c r="AY1086" s="5" t="s">
        <v>250</v>
      </c>
      <c r="AZ1086" s="5" t="s">
        <v>305</v>
      </c>
      <c r="BA1086" s="5" t="s">
        <v>251</v>
      </c>
      <c r="BB1086" s="5" t="s">
        <v>238</v>
      </c>
      <c r="BC1086" s="5" t="s">
        <v>253</v>
      </c>
      <c r="BD1086" s="5" t="s">
        <v>238</v>
      </c>
      <c r="BF1086" s="5" t="s">
        <v>238</v>
      </c>
      <c r="BH1086" s="5" t="s">
        <v>283</v>
      </c>
      <c r="BI1086" s="6" t="s">
        <v>293</v>
      </c>
      <c r="BJ1086" s="5" t="s">
        <v>294</v>
      </c>
      <c r="BK1086" s="5" t="s">
        <v>294</v>
      </c>
      <c r="BL1086" s="5" t="s">
        <v>238</v>
      </c>
      <c r="BM1086" s="7">
        <f>0</f>
        <v>0</v>
      </c>
      <c r="BN1086" s="8">
        <f>-249480</f>
        <v>-249480</v>
      </c>
      <c r="BO1086" s="5" t="s">
        <v>257</v>
      </c>
      <c r="BP1086" s="5" t="s">
        <v>258</v>
      </c>
      <c r="BQ1086" s="5" t="s">
        <v>238</v>
      </c>
      <c r="BR1086" s="5" t="s">
        <v>238</v>
      </c>
      <c r="BS1086" s="5" t="s">
        <v>238</v>
      </c>
      <c r="BT1086" s="5" t="s">
        <v>238</v>
      </c>
      <c r="CC1086" s="5" t="s">
        <v>258</v>
      </c>
      <c r="CD1086" s="5" t="s">
        <v>238</v>
      </c>
      <c r="CE1086" s="5" t="s">
        <v>238</v>
      </c>
      <c r="CI1086" s="5" t="s">
        <v>259</v>
      </c>
      <c r="CJ1086" s="5" t="s">
        <v>260</v>
      </c>
      <c r="CK1086" s="5" t="s">
        <v>238</v>
      </c>
      <c r="CM1086" s="5" t="s">
        <v>376</v>
      </c>
      <c r="CN1086" s="6" t="s">
        <v>262</v>
      </c>
      <c r="CO1086" s="5" t="s">
        <v>263</v>
      </c>
      <c r="CP1086" s="5" t="s">
        <v>264</v>
      </c>
      <c r="CQ1086" s="5" t="s">
        <v>285</v>
      </c>
      <c r="CR1086" s="5" t="s">
        <v>238</v>
      </c>
      <c r="CS1086" s="5">
        <v>7.6999999999999999E-2</v>
      </c>
      <c r="CT1086" s="5" t="s">
        <v>265</v>
      </c>
      <c r="CU1086" s="5" t="s">
        <v>351</v>
      </c>
      <c r="CV1086" s="5" t="s">
        <v>352</v>
      </c>
      <c r="CW1086" s="7">
        <f>0</f>
        <v>0</v>
      </c>
      <c r="CX1086" s="8">
        <f>3240000</f>
        <v>3240000</v>
      </c>
      <c r="CY1086" s="8">
        <f>2242080</f>
        <v>2242080</v>
      </c>
      <c r="DA1086" s="5" t="s">
        <v>238</v>
      </c>
      <c r="DB1086" s="5" t="s">
        <v>238</v>
      </c>
      <c r="DD1086" s="5" t="s">
        <v>238</v>
      </c>
      <c r="DE1086" s="8">
        <f>0</f>
        <v>0</v>
      </c>
      <c r="DG1086" s="5" t="s">
        <v>238</v>
      </c>
      <c r="DH1086" s="5" t="s">
        <v>238</v>
      </c>
      <c r="DI1086" s="5" t="s">
        <v>238</v>
      </c>
      <c r="DJ1086" s="5" t="s">
        <v>238</v>
      </c>
      <c r="DK1086" s="5" t="s">
        <v>272</v>
      </c>
      <c r="DL1086" s="5" t="s">
        <v>272</v>
      </c>
      <c r="DM1086" s="8" t="s">
        <v>238</v>
      </c>
      <c r="DN1086" s="5" t="s">
        <v>238</v>
      </c>
      <c r="DO1086" s="5" t="s">
        <v>238</v>
      </c>
      <c r="DP1086" s="5" t="s">
        <v>238</v>
      </c>
      <c r="DQ1086" s="5" t="s">
        <v>238</v>
      </c>
      <c r="DT1086" s="5" t="s">
        <v>603</v>
      </c>
      <c r="DU1086" s="5" t="s">
        <v>274</v>
      </c>
      <c r="GL1086" s="5" t="s">
        <v>604</v>
      </c>
      <c r="HM1086" s="5" t="s">
        <v>379</v>
      </c>
      <c r="HP1086" s="5" t="s">
        <v>272</v>
      </c>
      <c r="HQ1086" s="5" t="s">
        <v>272</v>
      </c>
      <c r="HR1086" s="5" t="s">
        <v>238</v>
      </c>
      <c r="HS1086" s="5" t="s">
        <v>238</v>
      </c>
      <c r="HT1086" s="5" t="s">
        <v>238</v>
      </c>
      <c r="HU1086" s="5" t="s">
        <v>238</v>
      </c>
      <c r="HV1086" s="5" t="s">
        <v>238</v>
      </c>
      <c r="HW1086" s="5" t="s">
        <v>238</v>
      </c>
      <c r="HX1086" s="5" t="s">
        <v>238</v>
      </c>
      <c r="HY1086" s="5" t="s">
        <v>238</v>
      </c>
      <c r="HZ1086" s="5" t="s">
        <v>238</v>
      </c>
      <c r="IA1086" s="5" t="s">
        <v>238</v>
      </c>
      <c r="IB1086" s="5" t="s">
        <v>238</v>
      </c>
      <c r="IC1086" s="5" t="s">
        <v>238</v>
      </c>
      <c r="ID1086" s="5" t="s">
        <v>238</v>
      </c>
    </row>
    <row r="1087" spans="1:238" x14ac:dyDescent="0.4">
      <c r="A1087" s="5">
        <v>1417</v>
      </c>
      <c r="B1087" s="5">
        <v>1</v>
      </c>
      <c r="C1087" s="5">
        <v>4</v>
      </c>
      <c r="D1087" s="5" t="s">
        <v>600</v>
      </c>
      <c r="E1087" s="5" t="s">
        <v>338</v>
      </c>
      <c r="F1087" s="5" t="s">
        <v>282</v>
      </c>
      <c r="G1087" s="5" t="s">
        <v>607</v>
      </c>
      <c r="H1087" s="6" t="s">
        <v>602</v>
      </c>
      <c r="I1087" s="5" t="s">
        <v>605</v>
      </c>
      <c r="J1087" s="7">
        <f>0</f>
        <v>0</v>
      </c>
      <c r="K1087" s="5" t="s">
        <v>270</v>
      </c>
      <c r="L1087" s="8">
        <f>1281990</f>
        <v>1281990</v>
      </c>
      <c r="M1087" s="8">
        <f>1927800</f>
        <v>1927800</v>
      </c>
      <c r="N1087" s="6" t="s">
        <v>606</v>
      </c>
      <c r="O1087" s="5" t="s">
        <v>268</v>
      </c>
      <c r="P1087" s="5" t="s">
        <v>356</v>
      </c>
      <c r="Q1087" s="8">
        <f>129162</f>
        <v>129162</v>
      </c>
      <c r="R1087" s="8">
        <f>645810</f>
        <v>645810</v>
      </c>
      <c r="S1087" s="5" t="s">
        <v>240</v>
      </c>
      <c r="T1087" s="5" t="s">
        <v>287</v>
      </c>
      <c r="U1087" s="5" t="s">
        <v>238</v>
      </c>
      <c r="V1087" s="5" t="s">
        <v>238</v>
      </c>
      <c r="W1087" s="5" t="s">
        <v>241</v>
      </c>
      <c r="X1087" s="5" t="s">
        <v>337</v>
      </c>
      <c r="Y1087" s="5" t="s">
        <v>238</v>
      </c>
      <c r="AB1087" s="5" t="s">
        <v>238</v>
      </c>
      <c r="AC1087" s="6" t="s">
        <v>238</v>
      </c>
      <c r="AD1087" s="6" t="s">
        <v>238</v>
      </c>
      <c r="AF1087" s="6" t="s">
        <v>238</v>
      </c>
      <c r="AG1087" s="6" t="s">
        <v>246</v>
      </c>
      <c r="AH1087" s="5" t="s">
        <v>247</v>
      </c>
      <c r="AI1087" s="5" t="s">
        <v>248</v>
      </c>
      <c r="AO1087" s="5" t="s">
        <v>238</v>
      </c>
      <c r="AP1087" s="5" t="s">
        <v>238</v>
      </c>
      <c r="AQ1087" s="5" t="s">
        <v>238</v>
      </c>
      <c r="AR1087" s="6" t="s">
        <v>238</v>
      </c>
      <c r="AS1087" s="6" t="s">
        <v>238</v>
      </c>
      <c r="AT1087" s="6" t="s">
        <v>238</v>
      </c>
      <c r="AW1087" s="5" t="s">
        <v>304</v>
      </c>
      <c r="AX1087" s="5" t="s">
        <v>304</v>
      </c>
      <c r="AY1087" s="5" t="s">
        <v>250</v>
      </c>
      <c r="AZ1087" s="5" t="s">
        <v>305</v>
      </c>
      <c r="BA1087" s="5" t="s">
        <v>251</v>
      </c>
      <c r="BB1087" s="5" t="s">
        <v>238</v>
      </c>
      <c r="BC1087" s="5" t="s">
        <v>253</v>
      </c>
      <c r="BD1087" s="5" t="s">
        <v>238</v>
      </c>
      <c r="BF1087" s="5" t="s">
        <v>238</v>
      </c>
      <c r="BH1087" s="5" t="s">
        <v>283</v>
      </c>
      <c r="BI1087" s="6" t="s">
        <v>293</v>
      </c>
      <c r="BJ1087" s="5" t="s">
        <v>294</v>
      </c>
      <c r="BK1087" s="5" t="s">
        <v>294</v>
      </c>
      <c r="BL1087" s="5" t="s">
        <v>238</v>
      </c>
      <c r="BM1087" s="7">
        <f>0</f>
        <v>0</v>
      </c>
      <c r="BN1087" s="8">
        <f>-129162</f>
        <v>-129162</v>
      </c>
      <c r="BO1087" s="5" t="s">
        <v>257</v>
      </c>
      <c r="BP1087" s="5" t="s">
        <v>258</v>
      </c>
      <c r="BQ1087" s="5" t="s">
        <v>238</v>
      </c>
      <c r="BR1087" s="5" t="s">
        <v>238</v>
      </c>
      <c r="BS1087" s="5" t="s">
        <v>238</v>
      </c>
      <c r="BT1087" s="5" t="s">
        <v>238</v>
      </c>
      <c r="CC1087" s="5" t="s">
        <v>258</v>
      </c>
      <c r="CD1087" s="5" t="s">
        <v>238</v>
      </c>
      <c r="CE1087" s="5" t="s">
        <v>238</v>
      </c>
      <c r="CI1087" s="5" t="s">
        <v>259</v>
      </c>
      <c r="CJ1087" s="5" t="s">
        <v>260</v>
      </c>
      <c r="CK1087" s="5" t="s">
        <v>238</v>
      </c>
      <c r="CM1087" s="5" t="s">
        <v>376</v>
      </c>
      <c r="CN1087" s="6" t="s">
        <v>262</v>
      </c>
      <c r="CO1087" s="5" t="s">
        <v>263</v>
      </c>
      <c r="CP1087" s="5" t="s">
        <v>264</v>
      </c>
      <c r="CQ1087" s="5" t="s">
        <v>285</v>
      </c>
      <c r="CR1087" s="5" t="s">
        <v>238</v>
      </c>
      <c r="CS1087" s="5">
        <v>6.7000000000000004E-2</v>
      </c>
      <c r="CT1087" s="5" t="s">
        <v>265</v>
      </c>
      <c r="CU1087" s="5" t="s">
        <v>351</v>
      </c>
      <c r="CV1087" s="5" t="s">
        <v>365</v>
      </c>
      <c r="CW1087" s="7">
        <f>0</f>
        <v>0</v>
      </c>
      <c r="CX1087" s="8">
        <f>1927800</f>
        <v>1927800</v>
      </c>
      <c r="CY1087" s="8">
        <f>1411152</f>
        <v>1411152</v>
      </c>
      <c r="DA1087" s="5" t="s">
        <v>238</v>
      </c>
      <c r="DB1087" s="5" t="s">
        <v>238</v>
      </c>
      <c r="DD1087" s="5" t="s">
        <v>238</v>
      </c>
      <c r="DE1087" s="8">
        <f>0</f>
        <v>0</v>
      </c>
      <c r="DG1087" s="5" t="s">
        <v>238</v>
      </c>
      <c r="DH1087" s="5" t="s">
        <v>238</v>
      </c>
      <c r="DI1087" s="5" t="s">
        <v>238</v>
      </c>
      <c r="DJ1087" s="5" t="s">
        <v>238</v>
      </c>
      <c r="DK1087" s="5" t="s">
        <v>272</v>
      </c>
      <c r="DL1087" s="5" t="s">
        <v>272</v>
      </c>
      <c r="DM1087" s="8" t="s">
        <v>238</v>
      </c>
      <c r="DN1087" s="5" t="s">
        <v>238</v>
      </c>
      <c r="DO1087" s="5" t="s">
        <v>238</v>
      </c>
      <c r="DP1087" s="5" t="s">
        <v>238</v>
      </c>
      <c r="DQ1087" s="5" t="s">
        <v>238</v>
      </c>
      <c r="DT1087" s="5" t="s">
        <v>603</v>
      </c>
      <c r="DU1087" s="5" t="s">
        <v>356</v>
      </c>
      <c r="GL1087" s="5" t="s">
        <v>608</v>
      </c>
      <c r="HM1087" s="5" t="s">
        <v>379</v>
      </c>
      <c r="HP1087" s="5" t="s">
        <v>272</v>
      </c>
      <c r="HQ1087" s="5" t="s">
        <v>272</v>
      </c>
      <c r="HR1087" s="5" t="s">
        <v>238</v>
      </c>
      <c r="HS1087" s="5" t="s">
        <v>238</v>
      </c>
      <c r="HT1087" s="5" t="s">
        <v>238</v>
      </c>
      <c r="HU1087" s="5" t="s">
        <v>238</v>
      </c>
      <c r="HV1087" s="5" t="s">
        <v>238</v>
      </c>
      <c r="HW1087" s="5" t="s">
        <v>238</v>
      </c>
      <c r="HX1087" s="5" t="s">
        <v>238</v>
      </c>
      <c r="HY1087" s="5" t="s">
        <v>238</v>
      </c>
      <c r="HZ1087" s="5" t="s">
        <v>238</v>
      </c>
      <c r="IA1087" s="5" t="s">
        <v>238</v>
      </c>
      <c r="IB1087" s="5" t="s">
        <v>238</v>
      </c>
      <c r="IC1087" s="5" t="s">
        <v>238</v>
      </c>
      <c r="ID1087" s="5" t="s">
        <v>238</v>
      </c>
    </row>
    <row r="1088" spans="1:238" x14ac:dyDescent="0.4">
      <c r="A1088" s="5">
        <v>1418</v>
      </c>
      <c r="B1088" s="5">
        <v>1</v>
      </c>
      <c r="C1088" s="5">
        <v>4</v>
      </c>
      <c r="D1088" s="5" t="s">
        <v>600</v>
      </c>
      <c r="E1088" s="5" t="s">
        <v>338</v>
      </c>
      <c r="F1088" s="5" t="s">
        <v>282</v>
      </c>
      <c r="G1088" s="5" t="s">
        <v>349</v>
      </c>
      <c r="H1088" s="6" t="s">
        <v>602</v>
      </c>
      <c r="I1088" s="5" t="s">
        <v>609</v>
      </c>
      <c r="J1088" s="7">
        <f>0</f>
        <v>0</v>
      </c>
      <c r="K1088" s="5" t="s">
        <v>270</v>
      </c>
      <c r="L1088" s="8">
        <f>1876160</f>
        <v>1876160</v>
      </c>
      <c r="M1088" s="8">
        <f>2255000</f>
        <v>2255000</v>
      </c>
      <c r="N1088" s="6" t="s">
        <v>348</v>
      </c>
      <c r="O1088" s="5" t="s">
        <v>611</v>
      </c>
      <c r="P1088" s="5" t="s">
        <v>271</v>
      </c>
      <c r="Q1088" s="8">
        <f>126280</f>
        <v>126280</v>
      </c>
      <c r="R1088" s="8">
        <f>378840</f>
        <v>378840</v>
      </c>
      <c r="S1088" s="5" t="s">
        <v>240</v>
      </c>
      <c r="T1088" s="5" t="s">
        <v>287</v>
      </c>
      <c r="U1088" s="5" t="s">
        <v>238</v>
      </c>
      <c r="V1088" s="5" t="s">
        <v>238</v>
      </c>
      <c r="W1088" s="5" t="s">
        <v>241</v>
      </c>
      <c r="X1088" s="5" t="s">
        <v>238</v>
      </c>
      <c r="Y1088" s="5" t="s">
        <v>238</v>
      </c>
      <c r="AB1088" s="5" t="s">
        <v>238</v>
      </c>
      <c r="AC1088" s="6" t="s">
        <v>238</v>
      </c>
      <c r="AD1088" s="6" t="s">
        <v>238</v>
      </c>
      <c r="AF1088" s="6" t="s">
        <v>238</v>
      </c>
      <c r="AG1088" s="6" t="s">
        <v>246</v>
      </c>
      <c r="AH1088" s="5" t="s">
        <v>247</v>
      </c>
      <c r="AI1088" s="5" t="s">
        <v>248</v>
      </c>
      <c r="AO1088" s="5" t="s">
        <v>238</v>
      </c>
      <c r="AP1088" s="5" t="s">
        <v>238</v>
      </c>
      <c r="AQ1088" s="5" t="s">
        <v>238</v>
      </c>
      <c r="AR1088" s="6" t="s">
        <v>238</v>
      </c>
      <c r="AS1088" s="6" t="s">
        <v>238</v>
      </c>
      <c r="AT1088" s="6" t="s">
        <v>238</v>
      </c>
      <c r="AW1088" s="5" t="s">
        <v>304</v>
      </c>
      <c r="AX1088" s="5" t="s">
        <v>304</v>
      </c>
      <c r="AY1088" s="5" t="s">
        <v>250</v>
      </c>
      <c r="AZ1088" s="5" t="s">
        <v>305</v>
      </c>
      <c r="BA1088" s="5" t="s">
        <v>251</v>
      </c>
      <c r="BB1088" s="5" t="s">
        <v>238</v>
      </c>
      <c r="BC1088" s="5" t="s">
        <v>253</v>
      </c>
      <c r="BD1088" s="5" t="s">
        <v>238</v>
      </c>
      <c r="BF1088" s="5" t="s">
        <v>238</v>
      </c>
      <c r="BH1088" s="5" t="s">
        <v>283</v>
      </c>
      <c r="BI1088" s="6" t="s">
        <v>293</v>
      </c>
      <c r="BJ1088" s="5" t="s">
        <v>294</v>
      </c>
      <c r="BK1088" s="5" t="s">
        <v>294</v>
      </c>
      <c r="BL1088" s="5" t="s">
        <v>238</v>
      </c>
      <c r="BM1088" s="7">
        <f>0</f>
        <v>0</v>
      </c>
      <c r="BN1088" s="8">
        <f>-126280</f>
        <v>-126280</v>
      </c>
      <c r="BO1088" s="5" t="s">
        <v>257</v>
      </c>
      <c r="BP1088" s="5" t="s">
        <v>258</v>
      </c>
      <c r="BQ1088" s="5" t="s">
        <v>238</v>
      </c>
      <c r="BR1088" s="5" t="s">
        <v>238</v>
      </c>
      <c r="BS1088" s="5" t="s">
        <v>238</v>
      </c>
      <c r="BT1088" s="5" t="s">
        <v>238</v>
      </c>
      <c r="CC1088" s="5" t="s">
        <v>258</v>
      </c>
      <c r="CD1088" s="5" t="s">
        <v>238</v>
      </c>
      <c r="CE1088" s="5" t="s">
        <v>238</v>
      </c>
      <c r="CI1088" s="5" t="s">
        <v>259</v>
      </c>
      <c r="CJ1088" s="5" t="s">
        <v>260</v>
      </c>
      <c r="CK1088" s="5" t="s">
        <v>238</v>
      </c>
      <c r="CM1088" s="5" t="s">
        <v>291</v>
      </c>
      <c r="CN1088" s="6" t="s">
        <v>262</v>
      </c>
      <c r="CO1088" s="5" t="s">
        <v>263</v>
      </c>
      <c r="CP1088" s="5" t="s">
        <v>264</v>
      </c>
      <c r="CQ1088" s="5" t="s">
        <v>285</v>
      </c>
      <c r="CR1088" s="5" t="s">
        <v>238</v>
      </c>
      <c r="CS1088" s="5">
        <v>5.6000000000000001E-2</v>
      </c>
      <c r="CT1088" s="5" t="s">
        <v>265</v>
      </c>
      <c r="CU1088" s="5" t="s">
        <v>351</v>
      </c>
      <c r="CV1088" s="5" t="s">
        <v>610</v>
      </c>
      <c r="CW1088" s="7">
        <f>0</f>
        <v>0</v>
      </c>
      <c r="CX1088" s="8">
        <f>2255000</f>
        <v>2255000</v>
      </c>
      <c r="CY1088" s="8">
        <f>2002440</f>
        <v>2002440</v>
      </c>
      <c r="DA1088" s="5" t="s">
        <v>238</v>
      </c>
      <c r="DB1088" s="5" t="s">
        <v>238</v>
      </c>
      <c r="DD1088" s="5" t="s">
        <v>238</v>
      </c>
      <c r="DE1088" s="8">
        <f>0</f>
        <v>0</v>
      </c>
      <c r="DG1088" s="5" t="s">
        <v>238</v>
      </c>
      <c r="DH1088" s="5" t="s">
        <v>238</v>
      </c>
      <c r="DI1088" s="5" t="s">
        <v>238</v>
      </c>
      <c r="DJ1088" s="5" t="s">
        <v>238</v>
      </c>
      <c r="DK1088" s="5" t="s">
        <v>272</v>
      </c>
      <c r="DL1088" s="5" t="s">
        <v>272</v>
      </c>
      <c r="DM1088" s="8" t="s">
        <v>238</v>
      </c>
      <c r="DN1088" s="5" t="s">
        <v>238</v>
      </c>
      <c r="DO1088" s="5" t="s">
        <v>238</v>
      </c>
      <c r="DP1088" s="5" t="s">
        <v>238</v>
      </c>
      <c r="DQ1088" s="5" t="s">
        <v>238</v>
      </c>
      <c r="DT1088" s="5" t="s">
        <v>603</v>
      </c>
      <c r="DU1088" s="5" t="s">
        <v>310</v>
      </c>
      <c r="GL1088" s="5" t="s">
        <v>612</v>
      </c>
      <c r="HM1088" s="5" t="s">
        <v>356</v>
      </c>
      <c r="HP1088" s="5" t="s">
        <v>272</v>
      </c>
      <c r="HQ1088" s="5" t="s">
        <v>272</v>
      </c>
      <c r="HR1088" s="5" t="s">
        <v>238</v>
      </c>
      <c r="HS1088" s="5" t="s">
        <v>238</v>
      </c>
      <c r="HT1088" s="5" t="s">
        <v>238</v>
      </c>
      <c r="HU1088" s="5" t="s">
        <v>238</v>
      </c>
      <c r="HV1088" s="5" t="s">
        <v>238</v>
      </c>
      <c r="HW1088" s="5" t="s">
        <v>238</v>
      </c>
      <c r="HX1088" s="5" t="s">
        <v>238</v>
      </c>
      <c r="HY1088" s="5" t="s">
        <v>238</v>
      </c>
      <c r="HZ1088" s="5" t="s">
        <v>238</v>
      </c>
      <c r="IA1088" s="5" t="s">
        <v>238</v>
      </c>
      <c r="IB1088" s="5" t="s">
        <v>238</v>
      </c>
      <c r="IC1088" s="5" t="s">
        <v>238</v>
      </c>
      <c r="ID1088" s="5" t="s">
        <v>238</v>
      </c>
    </row>
    <row r="1089" spans="1:238" x14ac:dyDescent="0.4">
      <c r="A1089" s="5">
        <v>1419</v>
      </c>
      <c r="B1089" s="5">
        <v>1</v>
      </c>
      <c r="C1089" s="5">
        <v>4</v>
      </c>
      <c r="D1089" s="5" t="s">
        <v>600</v>
      </c>
      <c r="E1089" s="5" t="s">
        <v>338</v>
      </c>
      <c r="F1089" s="5" t="s">
        <v>282</v>
      </c>
      <c r="G1089" s="5" t="s">
        <v>349</v>
      </c>
      <c r="H1089" s="6" t="s">
        <v>602</v>
      </c>
      <c r="I1089" s="5" t="s">
        <v>542</v>
      </c>
      <c r="J1089" s="7">
        <f>0</f>
        <v>0</v>
      </c>
      <c r="K1089" s="5" t="s">
        <v>270</v>
      </c>
      <c r="L1089" s="8">
        <f>4299372</f>
        <v>4299372</v>
      </c>
      <c r="M1089" s="8">
        <f>5082000</f>
        <v>5082000</v>
      </c>
      <c r="N1089" s="6" t="s">
        <v>620</v>
      </c>
      <c r="O1089" s="5" t="s">
        <v>319</v>
      </c>
      <c r="P1089" s="5" t="s">
        <v>272</v>
      </c>
      <c r="Q1089" s="8">
        <f>5081999</f>
        <v>5081999</v>
      </c>
      <c r="R1089" s="8">
        <f>782628</f>
        <v>782628</v>
      </c>
      <c r="S1089" s="5" t="s">
        <v>240</v>
      </c>
      <c r="T1089" s="5" t="s">
        <v>287</v>
      </c>
      <c r="U1089" s="5" t="s">
        <v>238</v>
      </c>
      <c r="V1089" s="5" t="s">
        <v>238</v>
      </c>
      <c r="W1089" s="5" t="s">
        <v>241</v>
      </c>
      <c r="X1089" s="5" t="s">
        <v>238</v>
      </c>
      <c r="Y1089" s="5" t="s">
        <v>238</v>
      </c>
      <c r="AB1089" s="5" t="s">
        <v>238</v>
      </c>
      <c r="AC1089" s="6" t="s">
        <v>238</v>
      </c>
      <c r="AD1089" s="6" t="s">
        <v>238</v>
      </c>
      <c r="AF1089" s="6" t="s">
        <v>238</v>
      </c>
      <c r="AG1089" s="6" t="s">
        <v>246</v>
      </c>
      <c r="AH1089" s="5" t="s">
        <v>247</v>
      </c>
      <c r="AI1089" s="5" t="s">
        <v>248</v>
      </c>
      <c r="AO1089" s="5" t="s">
        <v>238</v>
      </c>
      <c r="AP1089" s="5" t="s">
        <v>238</v>
      </c>
      <c r="AQ1089" s="5" t="s">
        <v>238</v>
      </c>
      <c r="AR1089" s="6" t="s">
        <v>238</v>
      </c>
      <c r="AS1089" s="6" t="s">
        <v>238</v>
      </c>
      <c r="AT1089" s="6" t="s">
        <v>238</v>
      </c>
      <c r="AW1089" s="5" t="s">
        <v>304</v>
      </c>
      <c r="AX1089" s="5" t="s">
        <v>304</v>
      </c>
      <c r="AY1089" s="5" t="s">
        <v>250</v>
      </c>
      <c r="AZ1089" s="5" t="s">
        <v>305</v>
      </c>
      <c r="BA1089" s="5" t="s">
        <v>251</v>
      </c>
      <c r="BB1089" s="5" t="s">
        <v>238</v>
      </c>
      <c r="BC1089" s="5" t="s">
        <v>253</v>
      </c>
      <c r="BD1089" s="5" t="s">
        <v>238</v>
      </c>
      <c r="BF1089" s="5" t="s">
        <v>238</v>
      </c>
      <c r="BH1089" s="5" t="s">
        <v>283</v>
      </c>
      <c r="BI1089" s="6" t="s">
        <v>293</v>
      </c>
      <c r="BJ1089" s="5" t="s">
        <v>294</v>
      </c>
      <c r="BK1089" s="5" t="s">
        <v>294</v>
      </c>
      <c r="BL1089" s="5" t="s">
        <v>238</v>
      </c>
      <c r="BM1089" s="7">
        <f>0</f>
        <v>0</v>
      </c>
      <c r="BN1089" s="8">
        <f>-391314</f>
        <v>-391314</v>
      </c>
      <c r="BO1089" s="5" t="s">
        <v>257</v>
      </c>
      <c r="BP1089" s="5" t="s">
        <v>258</v>
      </c>
      <c r="BQ1089" s="5" t="s">
        <v>238</v>
      </c>
      <c r="BR1089" s="5" t="s">
        <v>238</v>
      </c>
      <c r="BS1089" s="5" t="s">
        <v>238</v>
      </c>
      <c r="BT1089" s="5" t="s">
        <v>238</v>
      </c>
      <c r="CC1089" s="5" t="s">
        <v>258</v>
      </c>
      <c r="CD1089" s="5" t="s">
        <v>238</v>
      </c>
      <c r="CE1089" s="5" t="s">
        <v>238</v>
      </c>
      <c r="CI1089" s="5" t="s">
        <v>259</v>
      </c>
      <c r="CJ1089" s="5" t="s">
        <v>260</v>
      </c>
      <c r="CK1089" s="5" t="s">
        <v>238</v>
      </c>
      <c r="CM1089" s="5" t="s">
        <v>408</v>
      </c>
      <c r="CN1089" s="6" t="s">
        <v>262</v>
      </c>
      <c r="CO1089" s="5" t="s">
        <v>263</v>
      </c>
      <c r="CP1089" s="5" t="s">
        <v>264</v>
      </c>
      <c r="CQ1089" s="5" t="s">
        <v>285</v>
      </c>
      <c r="CR1089" s="5" t="s">
        <v>238</v>
      </c>
      <c r="CS1089" s="5">
        <v>7.6999999999999999E-2</v>
      </c>
      <c r="CT1089" s="5" t="s">
        <v>265</v>
      </c>
      <c r="CU1089" s="5" t="s">
        <v>351</v>
      </c>
      <c r="CV1089" s="5" t="s">
        <v>352</v>
      </c>
      <c r="CW1089" s="7">
        <f>0</f>
        <v>0</v>
      </c>
      <c r="CX1089" s="8">
        <f>5082000</f>
        <v>5082000</v>
      </c>
      <c r="CY1089" s="8">
        <f>4690686</f>
        <v>4690686</v>
      </c>
      <c r="DA1089" s="5" t="s">
        <v>238</v>
      </c>
      <c r="DB1089" s="5" t="s">
        <v>238</v>
      </c>
      <c r="DD1089" s="5" t="s">
        <v>238</v>
      </c>
      <c r="DE1089" s="8">
        <f>0</f>
        <v>0</v>
      </c>
      <c r="DG1089" s="5" t="s">
        <v>238</v>
      </c>
      <c r="DH1089" s="5" t="s">
        <v>238</v>
      </c>
      <c r="DI1089" s="5" t="s">
        <v>238</v>
      </c>
      <c r="DJ1089" s="5" t="s">
        <v>238</v>
      </c>
      <c r="DK1089" s="5" t="s">
        <v>272</v>
      </c>
      <c r="DL1089" s="5" t="s">
        <v>272</v>
      </c>
      <c r="DM1089" s="8" t="s">
        <v>238</v>
      </c>
      <c r="DN1089" s="5" t="s">
        <v>238</v>
      </c>
      <c r="DO1089" s="5" t="s">
        <v>238</v>
      </c>
      <c r="DP1089" s="5" t="s">
        <v>238</v>
      </c>
      <c r="DQ1089" s="5" t="s">
        <v>238</v>
      </c>
      <c r="DT1089" s="5" t="s">
        <v>603</v>
      </c>
      <c r="DU1089" s="5" t="s">
        <v>379</v>
      </c>
      <c r="GL1089" s="5" t="s">
        <v>621</v>
      </c>
      <c r="HM1089" s="5" t="s">
        <v>274</v>
      </c>
      <c r="HP1089" s="5" t="s">
        <v>272</v>
      </c>
      <c r="HQ1089" s="5" t="s">
        <v>272</v>
      </c>
      <c r="HR1089" s="5" t="s">
        <v>238</v>
      </c>
      <c r="HS1089" s="5" t="s">
        <v>238</v>
      </c>
      <c r="HT1089" s="5" t="s">
        <v>238</v>
      </c>
      <c r="HU1089" s="5" t="s">
        <v>238</v>
      </c>
      <c r="HV1089" s="5" t="s">
        <v>238</v>
      </c>
      <c r="HW1089" s="5" t="s">
        <v>238</v>
      </c>
      <c r="HX1089" s="5" t="s">
        <v>238</v>
      </c>
      <c r="HY1089" s="5" t="s">
        <v>238</v>
      </c>
      <c r="HZ1089" s="5" t="s">
        <v>238</v>
      </c>
      <c r="IA1089" s="5" t="s">
        <v>238</v>
      </c>
      <c r="IB1089" s="5" t="s">
        <v>238</v>
      </c>
      <c r="IC1089" s="5" t="s">
        <v>238</v>
      </c>
      <c r="ID1089" s="5" t="s">
        <v>238</v>
      </c>
    </row>
    <row r="1090" spans="1:238" x14ac:dyDescent="0.4">
      <c r="A1090" s="5">
        <v>1420</v>
      </c>
      <c r="B1090" s="5">
        <v>1</v>
      </c>
      <c r="C1090" s="5">
        <v>4</v>
      </c>
      <c r="D1090" s="5" t="s">
        <v>623</v>
      </c>
      <c r="E1090" s="5" t="s">
        <v>338</v>
      </c>
      <c r="F1090" s="5" t="s">
        <v>282</v>
      </c>
      <c r="G1090" s="5" t="s">
        <v>1666</v>
      </c>
      <c r="H1090" s="6" t="s">
        <v>625</v>
      </c>
      <c r="I1090" s="5" t="s">
        <v>1308</v>
      </c>
      <c r="J1090" s="7">
        <f>4407</f>
        <v>4407</v>
      </c>
      <c r="K1090" s="5" t="s">
        <v>270</v>
      </c>
      <c r="L1090" s="8">
        <f>569534238</f>
        <v>569534238</v>
      </c>
      <c r="M1090" s="8">
        <f>1573299000</f>
        <v>1573299000</v>
      </c>
      <c r="N1090" s="6" t="s">
        <v>1711</v>
      </c>
      <c r="O1090" s="5" t="s">
        <v>898</v>
      </c>
      <c r="P1090" s="5" t="s">
        <v>784</v>
      </c>
      <c r="Q1090" s="8">
        <f>34612578</f>
        <v>34612578</v>
      </c>
      <c r="R1090" s="8">
        <f>1003764762</f>
        <v>1003764762</v>
      </c>
      <c r="S1090" s="5" t="s">
        <v>240</v>
      </c>
      <c r="T1090" s="5" t="s">
        <v>237</v>
      </c>
      <c r="U1090" s="5" t="s">
        <v>238</v>
      </c>
      <c r="V1090" s="5" t="s">
        <v>238</v>
      </c>
      <c r="W1090" s="5" t="s">
        <v>241</v>
      </c>
      <c r="X1090" s="5" t="s">
        <v>337</v>
      </c>
      <c r="Y1090" s="5" t="s">
        <v>238</v>
      </c>
      <c r="AB1090" s="5" t="s">
        <v>238</v>
      </c>
      <c r="AC1090" s="6" t="s">
        <v>238</v>
      </c>
      <c r="AD1090" s="6" t="s">
        <v>238</v>
      </c>
      <c r="AF1090" s="6" t="s">
        <v>238</v>
      </c>
      <c r="AG1090" s="6" t="s">
        <v>246</v>
      </c>
      <c r="AH1090" s="5" t="s">
        <v>247</v>
      </c>
      <c r="AI1090" s="5" t="s">
        <v>248</v>
      </c>
      <c r="AO1090" s="5" t="s">
        <v>238</v>
      </c>
      <c r="AP1090" s="5" t="s">
        <v>238</v>
      </c>
      <c r="AQ1090" s="5" t="s">
        <v>238</v>
      </c>
      <c r="AR1090" s="6" t="s">
        <v>238</v>
      </c>
      <c r="AS1090" s="6" t="s">
        <v>238</v>
      </c>
      <c r="AT1090" s="6" t="s">
        <v>238</v>
      </c>
      <c r="AW1090" s="5" t="s">
        <v>304</v>
      </c>
      <c r="AX1090" s="5" t="s">
        <v>304</v>
      </c>
      <c r="AY1090" s="5" t="s">
        <v>250</v>
      </c>
      <c r="AZ1090" s="5" t="s">
        <v>305</v>
      </c>
      <c r="BA1090" s="5" t="s">
        <v>251</v>
      </c>
      <c r="BB1090" s="5" t="s">
        <v>238</v>
      </c>
      <c r="BC1090" s="5" t="s">
        <v>253</v>
      </c>
      <c r="BD1090" s="5" t="s">
        <v>238</v>
      </c>
      <c r="BF1090" s="5" t="s">
        <v>238</v>
      </c>
      <c r="BH1090" s="5" t="s">
        <v>283</v>
      </c>
      <c r="BI1090" s="6" t="s">
        <v>293</v>
      </c>
      <c r="BJ1090" s="5" t="s">
        <v>294</v>
      </c>
      <c r="BK1090" s="5" t="s">
        <v>294</v>
      </c>
      <c r="BL1090" s="5" t="s">
        <v>238</v>
      </c>
      <c r="BM1090" s="7">
        <f>0</f>
        <v>0</v>
      </c>
      <c r="BN1090" s="8">
        <f>-34612578</f>
        <v>-34612578</v>
      </c>
      <c r="BO1090" s="5" t="s">
        <v>257</v>
      </c>
      <c r="BP1090" s="5" t="s">
        <v>258</v>
      </c>
      <c r="BQ1090" s="5" t="s">
        <v>238</v>
      </c>
      <c r="BR1090" s="5" t="s">
        <v>238</v>
      </c>
      <c r="BS1090" s="5" t="s">
        <v>238</v>
      </c>
      <c r="BT1090" s="5" t="s">
        <v>238</v>
      </c>
      <c r="CC1090" s="5" t="s">
        <v>258</v>
      </c>
      <c r="CD1090" s="5" t="s">
        <v>238</v>
      </c>
      <c r="CE1090" s="5" t="s">
        <v>238</v>
      </c>
      <c r="CI1090" s="5" t="s">
        <v>259</v>
      </c>
      <c r="CJ1090" s="5" t="s">
        <v>260</v>
      </c>
      <c r="CK1090" s="5" t="s">
        <v>238</v>
      </c>
      <c r="CM1090" s="5" t="s">
        <v>783</v>
      </c>
      <c r="CN1090" s="6" t="s">
        <v>262</v>
      </c>
      <c r="CO1090" s="5" t="s">
        <v>263</v>
      </c>
      <c r="CP1090" s="5" t="s">
        <v>264</v>
      </c>
      <c r="CQ1090" s="5" t="s">
        <v>285</v>
      </c>
      <c r="CR1090" s="5" t="s">
        <v>238</v>
      </c>
      <c r="CS1090" s="5">
        <v>2.1999999999999999E-2</v>
      </c>
      <c r="CT1090" s="5" t="s">
        <v>265</v>
      </c>
      <c r="CU1090" s="5" t="s">
        <v>1330</v>
      </c>
      <c r="CV1090" s="5" t="s">
        <v>308</v>
      </c>
      <c r="CW1090" s="7">
        <f>0</f>
        <v>0</v>
      </c>
      <c r="CX1090" s="8">
        <f>1573299000</f>
        <v>1573299000</v>
      </c>
      <c r="CY1090" s="8">
        <f>604146816</f>
        <v>604146816</v>
      </c>
      <c r="DA1090" s="5" t="s">
        <v>238</v>
      </c>
      <c r="DB1090" s="5" t="s">
        <v>238</v>
      </c>
      <c r="DD1090" s="5" t="s">
        <v>238</v>
      </c>
      <c r="DE1090" s="8">
        <f>0</f>
        <v>0</v>
      </c>
      <c r="DG1090" s="5" t="s">
        <v>238</v>
      </c>
      <c r="DH1090" s="5" t="s">
        <v>238</v>
      </c>
      <c r="DI1090" s="5" t="s">
        <v>238</v>
      </c>
      <c r="DJ1090" s="5" t="s">
        <v>238</v>
      </c>
      <c r="DK1090" s="5" t="s">
        <v>271</v>
      </c>
      <c r="DL1090" s="5" t="s">
        <v>272</v>
      </c>
      <c r="DM1090" s="7">
        <f>4407</f>
        <v>4407</v>
      </c>
      <c r="DN1090" s="5" t="s">
        <v>238</v>
      </c>
      <c r="DO1090" s="5" t="s">
        <v>238</v>
      </c>
      <c r="DP1090" s="5" t="s">
        <v>238</v>
      </c>
      <c r="DQ1090" s="5" t="s">
        <v>238</v>
      </c>
      <c r="DT1090" s="5" t="s">
        <v>626</v>
      </c>
      <c r="DU1090" s="5" t="s">
        <v>271</v>
      </c>
      <c r="GL1090" s="5" t="s">
        <v>1712</v>
      </c>
      <c r="HM1090" s="5" t="s">
        <v>313</v>
      </c>
      <c r="HP1090" s="5" t="s">
        <v>272</v>
      </c>
      <c r="HQ1090" s="5" t="s">
        <v>272</v>
      </c>
      <c r="HR1090" s="5" t="s">
        <v>238</v>
      </c>
      <c r="HS1090" s="5" t="s">
        <v>238</v>
      </c>
      <c r="HT1090" s="5" t="s">
        <v>238</v>
      </c>
      <c r="HU1090" s="5" t="s">
        <v>238</v>
      </c>
      <c r="HV1090" s="5" t="s">
        <v>238</v>
      </c>
      <c r="HW1090" s="5" t="s">
        <v>238</v>
      </c>
      <c r="HX1090" s="5" t="s">
        <v>238</v>
      </c>
      <c r="HY1090" s="5" t="s">
        <v>238</v>
      </c>
      <c r="HZ1090" s="5" t="s">
        <v>238</v>
      </c>
      <c r="IA1090" s="5" t="s">
        <v>238</v>
      </c>
      <c r="IB1090" s="5" t="s">
        <v>238</v>
      </c>
      <c r="IC1090" s="5" t="s">
        <v>238</v>
      </c>
      <c r="ID1090" s="5" t="s">
        <v>238</v>
      </c>
    </row>
    <row r="1091" spans="1:238" x14ac:dyDescent="0.4">
      <c r="A1091" s="5">
        <v>1421</v>
      </c>
      <c r="B1091" s="5">
        <v>1</v>
      </c>
      <c r="C1091" s="5">
        <v>4</v>
      </c>
      <c r="D1091" s="5" t="s">
        <v>623</v>
      </c>
      <c r="E1091" s="5" t="s">
        <v>338</v>
      </c>
      <c r="F1091" s="5" t="s">
        <v>282</v>
      </c>
      <c r="G1091" s="5" t="s">
        <v>349</v>
      </c>
      <c r="H1091" s="6" t="s">
        <v>625</v>
      </c>
      <c r="I1091" s="5" t="s">
        <v>622</v>
      </c>
      <c r="J1091" s="7">
        <f>0</f>
        <v>0</v>
      </c>
      <c r="K1091" s="5" t="s">
        <v>270</v>
      </c>
      <c r="L1091" s="8">
        <f>5379924</f>
        <v>5379924</v>
      </c>
      <c r="M1091" s="8">
        <f>6996000</f>
        <v>6996000</v>
      </c>
      <c r="N1091" s="6" t="s">
        <v>624</v>
      </c>
      <c r="O1091" s="5" t="s">
        <v>319</v>
      </c>
      <c r="P1091" s="5" t="s">
        <v>271</v>
      </c>
      <c r="Q1091" s="8">
        <f>538692</f>
        <v>538692</v>
      </c>
      <c r="R1091" s="8">
        <f>1616076</f>
        <v>1616076</v>
      </c>
      <c r="S1091" s="5" t="s">
        <v>240</v>
      </c>
      <c r="T1091" s="5" t="s">
        <v>287</v>
      </c>
      <c r="U1091" s="5" t="s">
        <v>238</v>
      </c>
      <c r="V1091" s="5" t="s">
        <v>238</v>
      </c>
      <c r="W1091" s="5" t="s">
        <v>241</v>
      </c>
      <c r="X1091" s="5" t="s">
        <v>238</v>
      </c>
      <c r="Y1091" s="5" t="s">
        <v>238</v>
      </c>
      <c r="AB1091" s="5" t="s">
        <v>238</v>
      </c>
      <c r="AC1091" s="6" t="s">
        <v>238</v>
      </c>
      <c r="AD1091" s="6" t="s">
        <v>238</v>
      </c>
      <c r="AF1091" s="6" t="s">
        <v>238</v>
      </c>
      <c r="AG1091" s="6" t="s">
        <v>246</v>
      </c>
      <c r="AH1091" s="5" t="s">
        <v>247</v>
      </c>
      <c r="AI1091" s="5" t="s">
        <v>248</v>
      </c>
      <c r="AO1091" s="5" t="s">
        <v>238</v>
      </c>
      <c r="AP1091" s="5" t="s">
        <v>238</v>
      </c>
      <c r="AQ1091" s="5" t="s">
        <v>238</v>
      </c>
      <c r="AR1091" s="6" t="s">
        <v>238</v>
      </c>
      <c r="AS1091" s="6" t="s">
        <v>238</v>
      </c>
      <c r="AT1091" s="6" t="s">
        <v>238</v>
      </c>
      <c r="AW1091" s="5" t="s">
        <v>304</v>
      </c>
      <c r="AX1091" s="5" t="s">
        <v>304</v>
      </c>
      <c r="AY1091" s="5" t="s">
        <v>250</v>
      </c>
      <c r="AZ1091" s="5" t="s">
        <v>305</v>
      </c>
      <c r="BA1091" s="5" t="s">
        <v>251</v>
      </c>
      <c r="BB1091" s="5" t="s">
        <v>238</v>
      </c>
      <c r="BC1091" s="5" t="s">
        <v>253</v>
      </c>
      <c r="BD1091" s="5" t="s">
        <v>238</v>
      </c>
      <c r="BF1091" s="5" t="s">
        <v>238</v>
      </c>
      <c r="BH1091" s="5" t="s">
        <v>283</v>
      </c>
      <c r="BI1091" s="6" t="s">
        <v>293</v>
      </c>
      <c r="BJ1091" s="5" t="s">
        <v>294</v>
      </c>
      <c r="BK1091" s="5" t="s">
        <v>294</v>
      </c>
      <c r="BL1091" s="5" t="s">
        <v>238</v>
      </c>
      <c r="BM1091" s="7">
        <f>0</f>
        <v>0</v>
      </c>
      <c r="BN1091" s="8">
        <f>-538692</f>
        <v>-538692</v>
      </c>
      <c r="BO1091" s="5" t="s">
        <v>257</v>
      </c>
      <c r="BP1091" s="5" t="s">
        <v>258</v>
      </c>
      <c r="BQ1091" s="5" t="s">
        <v>238</v>
      </c>
      <c r="BR1091" s="5" t="s">
        <v>238</v>
      </c>
      <c r="BS1091" s="5" t="s">
        <v>238</v>
      </c>
      <c r="BT1091" s="5" t="s">
        <v>238</v>
      </c>
      <c r="CC1091" s="5" t="s">
        <v>258</v>
      </c>
      <c r="CD1091" s="5" t="s">
        <v>238</v>
      </c>
      <c r="CE1091" s="5" t="s">
        <v>238</v>
      </c>
      <c r="CI1091" s="5" t="s">
        <v>259</v>
      </c>
      <c r="CJ1091" s="5" t="s">
        <v>260</v>
      </c>
      <c r="CK1091" s="5" t="s">
        <v>238</v>
      </c>
      <c r="CM1091" s="5" t="s">
        <v>291</v>
      </c>
      <c r="CN1091" s="6" t="s">
        <v>262</v>
      </c>
      <c r="CO1091" s="5" t="s">
        <v>263</v>
      </c>
      <c r="CP1091" s="5" t="s">
        <v>264</v>
      </c>
      <c r="CQ1091" s="5" t="s">
        <v>285</v>
      </c>
      <c r="CR1091" s="5" t="s">
        <v>238</v>
      </c>
      <c r="CS1091" s="5">
        <v>7.6999999999999999E-2</v>
      </c>
      <c r="CT1091" s="5" t="s">
        <v>265</v>
      </c>
      <c r="CU1091" s="5" t="s">
        <v>351</v>
      </c>
      <c r="CV1091" s="5" t="s">
        <v>352</v>
      </c>
      <c r="CW1091" s="7">
        <f>0</f>
        <v>0</v>
      </c>
      <c r="CX1091" s="8">
        <f>6996000</f>
        <v>6996000</v>
      </c>
      <c r="CY1091" s="8">
        <f>5918616</f>
        <v>5918616</v>
      </c>
      <c r="DA1091" s="5" t="s">
        <v>238</v>
      </c>
      <c r="DB1091" s="5" t="s">
        <v>238</v>
      </c>
      <c r="DD1091" s="5" t="s">
        <v>238</v>
      </c>
      <c r="DE1091" s="8">
        <f>0</f>
        <v>0</v>
      </c>
      <c r="DG1091" s="5" t="s">
        <v>238</v>
      </c>
      <c r="DH1091" s="5" t="s">
        <v>238</v>
      </c>
      <c r="DI1091" s="5" t="s">
        <v>238</v>
      </c>
      <c r="DJ1091" s="5" t="s">
        <v>238</v>
      </c>
      <c r="DK1091" s="5" t="s">
        <v>272</v>
      </c>
      <c r="DL1091" s="5" t="s">
        <v>272</v>
      </c>
      <c r="DM1091" s="8" t="s">
        <v>238</v>
      </c>
      <c r="DN1091" s="5" t="s">
        <v>238</v>
      </c>
      <c r="DO1091" s="5" t="s">
        <v>238</v>
      </c>
      <c r="DP1091" s="5" t="s">
        <v>238</v>
      </c>
      <c r="DQ1091" s="5" t="s">
        <v>238</v>
      </c>
      <c r="DT1091" s="5" t="s">
        <v>626</v>
      </c>
      <c r="DU1091" s="5" t="s">
        <v>274</v>
      </c>
      <c r="GL1091" s="5" t="s">
        <v>627</v>
      </c>
      <c r="HM1091" s="5" t="s">
        <v>356</v>
      </c>
      <c r="HP1091" s="5" t="s">
        <v>272</v>
      </c>
      <c r="HQ1091" s="5" t="s">
        <v>272</v>
      </c>
      <c r="HR1091" s="5" t="s">
        <v>238</v>
      </c>
      <c r="HS1091" s="5" t="s">
        <v>238</v>
      </c>
      <c r="HT1091" s="5" t="s">
        <v>238</v>
      </c>
      <c r="HU1091" s="5" t="s">
        <v>238</v>
      </c>
      <c r="HV1091" s="5" t="s">
        <v>238</v>
      </c>
      <c r="HW1091" s="5" t="s">
        <v>238</v>
      </c>
      <c r="HX1091" s="5" t="s">
        <v>238</v>
      </c>
      <c r="HY1091" s="5" t="s">
        <v>238</v>
      </c>
      <c r="HZ1091" s="5" t="s">
        <v>238</v>
      </c>
      <c r="IA1091" s="5" t="s">
        <v>238</v>
      </c>
      <c r="IB1091" s="5" t="s">
        <v>238</v>
      </c>
      <c r="IC1091" s="5" t="s">
        <v>238</v>
      </c>
      <c r="ID1091" s="5" t="s">
        <v>238</v>
      </c>
    </row>
    <row r="1092" spans="1:238" x14ac:dyDescent="0.4">
      <c r="A1092" s="5">
        <v>1422</v>
      </c>
      <c r="B1092" s="5">
        <v>1</v>
      </c>
      <c r="C1092" s="5">
        <v>4</v>
      </c>
      <c r="D1092" s="5" t="s">
        <v>623</v>
      </c>
      <c r="E1092" s="5" t="s">
        <v>338</v>
      </c>
      <c r="F1092" s="5" t="s">
        <v>282</v>
      </c>
      <c r="G1092" s="5" t="s">
        <v>349</v>
      </c>
      <c r="H1092" s="6" t="s">
        <v>625</v>
      </c>
      <c r="I1092" s="5" t="s">
        <v>628</v>
      </c>
      <c r="J1092" s="7">
        <f>0</f>
        <v>0</v>
      </c>
      <c r="K1092" s="5" t="s">
        <v>270</v>
      </c>
      <c r="L1092" s="8">
        <f>769505</f>
        <v>769505</v>
      </c>
      <c r="M1092" s="8">
        <f>935000</f>
        <v>935000</v>
      </c>
      <c r="N1092" s="6" t="s">
        <v>629</v>
      </c>
      <c r="O1092" s="5" t="s">
        <v>631</v>
      </c>
      <c r="P1092" s="5" t="s">
        <v>271</v>
      </c>
      <c r="Q1092" s="8">
        <f>55165</f>
        <v>55165</v>
      </c>
      <c r="R1092" s="8">
        <f>165495</f>
        <v>165495</v>
      </c>
      <c r="S1092" s="5" t="s">
        <v>240</v>
      </c>
      <c r="T1092" s="5" t="s">
        <v>287</v>
      </c>
      <c r="U1092" s="5" t="s">
        <v>238</v>
      </c>
      <c r="V1092" s="5" t="s">
        <v>238</v>
      </c>
      <c r="W1092" s="5" t="s">
        <v>241</v>
      </c>
      <c r="X1092" s="5" t="s">
        <v>238</v>
      </c>
      <c r="Y1092" s="5" t="s">
        <v>238</v>
      </c>
      <c r="AB1092" s="5" t="s">
        <v>238</v>
      </c>
      <c r="AC1092" s="6" t="s">
        <v>238</v>
      </c>
      <c r="AD1092" s="6" t="s">
        <v>238</v>
      </c>
      <c r="AF1092" s="6" t="s">
        <v>238</v>
      </c>
      <c r="AG1092" s="6" t="s">
        <v>246</v>
      </c>
      <c r="AH1092" s="5" t="s">
        <v>247</v>
      </c>
      <c r="AI1092" s="5" t="s">
        <v>248</v>
      </c>
      <c r="AO1092" s="5" t="s">
        <v>238</v>
      </c>
      <c r="AP1092" s="5" t="s">
        <v>238</v>
      </c>
      <c r="AQ1092" s="5" t="s">
        <v>238</v>
      </c>
      <c r="AR1092" s="6" t="s">
        <v>238</v>
      </c>
      <c r="AS1092" s="6" t="s">
        <v>238</v>
      </c>
      <c r="AT1092" s="6" t="s">
        <v>238</v>
      </c>
      <c r="AW1092" s="5" t="s">
        <v>304</v>
      </c>
      <c r="AX1092" s="5" t="s">
        <v>304</v>
      </c>
      <c r="AY1092" s="5" t="s">
        <v>250</v>
      </c>
      <c r="AZ1092" s="5" t="s">
        <v>305</v>
      </c>
      <c r="BA1092" s="5" t="s">
        <v>251</v>
      </c>
      <c r="BB1092" s="5" t="s">
        <v>238</v>
      </c>
      <c r="BC1092" s="5" t="s">
        <v>253</v>
      </c>
      <c r="BD1092" s="5" t="s">
        <v>238</v>
      </c>
      <c r="BF1092" s="5" t="s">
        <v>238</v>
      </c>
      <c r="BH1092" s="5" t="s">
        <v>283</v>
      </c>
      <c r="BI1092" s="6" t="s">
        <v>293</v>
      </c>
      <c r="BJ1092" s="5" t="s">
        <v>294</v>
      </c>
      <c r="BK1092" s="5" t="s">
        <v>294</v>
      </c>
      <c r="BL1092" s="5" t="s">
        <v>238</v>
      </c>
      <c r="BM1092" s="7">
        <f>0</f>
        <v>0</v>
      </c>
      <c r="BN1092" s="8">
        <f>-55165</f>
        <v>-55165</v>
      </c>
      <c r="BO1092" s="5" t="s">
        <v>257</v>
      </c>
      <c r="BP1092" s="5" t="s">
        <v>258</v>
      </c>
      <c r="BQ1092" s="5" t="s">
        <v>238</v>
      </c>
      <c r="BR1092" s="5" t="s">
        <v>238</v>
      </c>
      <c r="BS1092" s="5" t="s">
        <v>238</v>
      </c>
      <c r="BT1092" s="5" t="s">
        <v>238</v>
      </c>
      <c r="CC1092" s="5" t="s">
        <v>258</v>
      </c>
      <c r="CD1092" s="5" t="s">
        <v>238</v>
      </c>
      <c r="CE1092" s="5" t="s">
        <v>238</v>
      </c>
      <c r="CI1092" s="5" t="s">
        <v>259</v>
      </c>
      <c r="CJ1092" s="5" t="s">
        <v>260</v>
      </c>
      <c r="CK1092" s="5" t="s">
        <v>238</v>
      </c>
      <c r="CM1092" s="5" t="s">
        <v>291</v>
      </c>
      <c r="CN1092" s="6" t="s">
        <v>262</v>
      </c>
      <c r="CO1092" s="5" t="s">
        <v>263</v>
      </c>
      <c r="CP1092" s="5" t="s">
        <v>264</v>
      </c>
      <c r="CQ1092" s="5" t="s">
        <v>285</v>
      </c>
      <c r="CR1092" s="5" t="s">
        <v>238</v>
      </c>
      <c r="CS1092" s="5">
        <v>5.8999999999999997E-2</v>
      </c>
      <c r="CT1092" s="5" t="s">
        <v>265</v>
      </c>
      <c r="CU1092" s="5" t="s">
        <v>351</v>
      </c>
      <c r="CV1092" s="5" t="s">
        <v>630</v>
      </c>
      <c r="CW1092" s="7">
        <f>0</f>
        <v>0</v>
      </c>
      <c r="CX1092" s="8">
        <f>935000</f>
        <v>935000</v>
      </c>
      <c r="CY1092" s="8">
        <f>824670</f>
        <v>824670</v>
      </c>
      <c r="DA1092" s="5" t="s">
        <v>238</v>
      </c>
      <c r="DB1092" s="5" t="s">
        <v>238</v>
      </c>
      <c r="DD1092" s="5" t="s">
        <v>238</v>
      </c>
      <c r="DE1092" s="8">
        <f>0</f>
        <v>0</v>
      </c>
      <c r="DG1092" s="5" t="s">
        <v>238</v>
      </c>
      <c r="DH1092" s="5" t="s">
        <v>238</v>
      </c>
      <c r="DI1092" s="5" t="s">
        <v>238</v>
      </c>
      <c r="DJ1092" s="5" t="s">
        <v>238</v>
      </c>
      <c r="DK1092" s="5" t="s">
        <v>272</v>
      </c>
      <c r="DL1092" s="5" t="s">
        <v>272</v>
      </c>
      <c r="DM1092" s="8" t="s">
        <v>238</v>
      </c>
      <c r="DN1092" s="5" t="s">
        <v>238</v>
      </c>
      <c r="DO1092" s="5" t="s">
        <v>238</v>
      </c>
      <c r="DP1092" s="5" t="s">
        <v>238</v>
      </c>
      <c r="DQ1092" s="5" t="s">
        <v>238</v>
      </c>
      <c r="DT1092" s="5" t="s">
        <v>626</v>
      </c>
      <c r="DU1092" s="5" t="s">
        <v>356</v>
      </c>
      <c r="GL1092" s="5" t="s">
        <v>632</v>
      </c>
      <c r="HM1092" s="5" t="s">
        <v>356</v>
      </c>
      <c r="HP1092" s="5" t="s">
        <v>272</v>
      </c>
      <c r="HQ1092" s="5" t="s">
        <v>272</v>
      </c>
      <c r="HR1092" s="5" t="s">
        <v>238</v>
      </c>
      <c r="HS1092" s="5" t="s">
        <v>238</v>
      </c>
      <c r="HT1092" s="5" t="s">
        <v>238</v>
      </c>
      <c r="HU1092" s="5" t="s">
        <v>238</v>
      </c>
      <c r="HV1092" s="5" t="s">
        <v>238</v>
      </c>
      <c r="HW1092" s="5" t="s">
        <v>238</v>
      </c>
      <c r="HX1092" s="5" t="s">
        <v>238</v>
      </c>
      <c r="HY1092" s="5" t="s">
        <v>238</v>
      </c>
      <c r="HZ1092" s="5" t="s">
        <v>238</v>
      </c>
      <c r="IA1092" s="5" t="s">
        <v>238</v>
      </c>
      <c r="IB1092" s="5" t="s">
        <v>238</v>
      </c>
      <c r="IC1092" s="5" t="s">
        <v>238</v>
      </c>
      <c r="ID1092" s="5" t="s">
        <v>238</v>
      </c>
    </row>
    <row r="1093" spans="1:238" x14ac:dyDescent="0.4">
      <c r="A1093" s="5">
        <v>1423</v>
      </c>
      <c r="B1093" s="5">
        <v>1</v>
      </c>
      <c r="C1093" s="5">
        <v>4</v>
      </c>
      <c r="D1093" s="5" t="s">
        <v>623</v>
      </c>
      <c r="E1093" s="5" t="s">
        <v>338</v>
      </c>
      <c r="F1093" s="5" t="s">
        <v>282</v>
      </c>
      <c r="G1093" s="5" t="s">
        <v>349</v>
      </c>
      <c r="H1093" s="6" t="s">
        <v>625</v>
      </c>
      <c r="I1093" s="5" t="s">
        <v>2884</v>
      </c>
      <c r="J1093" s="7">
        <f>0</f>
        <v>0</v>
      </c>
      <c r="K1093" s="5" t="s">
        <v>270</v>
      </c>
      <c r="L1093" s="8">
        <f>1031250</f>
        <v>1031250</v>
      </c>
      <c r="M1093" s="8">
        <f>1375000</f>
        <v>1375000</v>
      </c>
      <c r="N1093" s="6" t="s">
        <v>2885</v>
      </c>
      <c r="O1093" s="5" t="s">
        <v>354</v>
      </c>
      <c r="P1093" s="5" t="s">
        <v>272</v>
      </c>
      <c r="Q1093" s="8">
        <f>1374999</f>
        <v>1374999</v>
      </c>
      <c r="R1093" s="8">
        <f>343750</f>
        <v>343750</v>
      </c>
      <c r="S1093" s="5" t="s">
        <v>240</v>
      </c>
      <c r="T1093" s="5" t="s">
        <v>287</v>
      </c>
      <c r="U1093" s="5" t="s">
        <v>238</v>
      </c>
      <c r="V1093" s="5" t="s">
        <v>238</v>
      </c>
      <c r="W1093" s="5" t="s">
        <v>241</v>
      </c>
      <c r="X1093" s="5" t="s">
        <v>238</v>
      </c>
      <c r="Y1093" s="5" t="s">
        <v>238</v>
      </c>
      <c r="AB1093" s="5" t="s">
        <v>238</v>
      </c>
      <c r="AC1093" s="6" t="s">
        <v>238</v>
      </c>
      <c r="AD1093" s="6" t="s">
        <v>238</v>
      </c>
      <c r="AF1093" s="6" t="s">
        <v>238</v>
      </c>
      <c r="AG1093" s="6" t="s">
        <v>246</v>
      </c>
      <c r="AH1093" s="5" t="s">
        <v>247</v>
      </c>
      <c r="AI1093" s="5" t="s">
        <v>248</v>
      </c>
      <c r="AO1093" s="5" t="s">
        <v>238</v>
      </c>
      <c r="AP1093" s="5" t="s">
        <v>238</v>
      </c>
      <c r="AQ1093" s="5" t="s">
        <v>238</v>
      </c>
      <c r="AR1093" s="6" t="s">
        <v>238</v>
      </c>
      <c r="AS1093" s="6" t="s">
        <v>238</v>
      </c>
      <c r="AT1093" s="6" t="s">
        <v>238</v>
      </c>
      <c r="AW1093" s="5" t="s">
        <v>304</v>
      </c>
      <c r="AX1093" s="5" t="s">
        <v>304</v>
      </c>
      <c r="AY1093" s="5" t="s">
        <v>250</v>
      </c>
      <c r="AZ1093" s="5" t="s">
        <v>305</v>
      </c>
      <c r="BA1093" s="5" t="s">
        <v>251</v>
      </c>
      <c r="BB1093" s="5" t="s">
        <v>238</v>
      </c>
      <c r="BC1093" s="5" t="s">
        <v>253</v>
      </c>
      <c r="BD1093" s="5" t="s">
        <v>238</v>
      </c>
      <c r="BF1093" s="5" t="s">
        <v>238</v>
      </c>
      <c r="BH1093" s="5" t="s">
        <v>283</v>
      </c>
      <c r="BI1093" s="6" t="s">
        <v>293</v>
      </c>
      <c r="BJ1093" s="5" t="s">
        <v>294</v>
      </c>
      <c r="BK1093" s="5" t="s">
        <v>294</v>
      </c>
      <c r="BL1093" s="5" t="s">
        <v>238</v>
      </c>
      <c r="BM1093" s="7">
        <f>0</f>
        <v>0</v>
      </c>
      <c r="BN1093" s="8">
        <f>-171875</f>
        <v>-171875</v>
      </c>
      <c r="BO1093" s="5" t="s">
        <v>257</v>
      </c>
      <c r="BP1093" s="5" t="s">
        <v>258</v>
      </c>
      <c r="BQ1093" s="5" t="s">
        <v>238</v>
      </c>
      <c r="BR1093" s="5" t="s">
        <v>238</v>
      </c>
      <c r="BS1093" s="5" t="s">
        <v>238</v>
      </c>
      <c r="BT1093" s="5" t="s">
        <v>238</v>
      </c>
      <c r="CC1093" s="5" t="s">
        <v>258</v>
      </c>
      <c r="CD1093" s="5" t="s">
        <v>238</v>
      </c>
      <c r="CE1093" s="5" t="s">
        <v>238</v>
      </c>
      <c r="CI1093" s="5" t="s">
        <v>259</v>
      </c>
      <c r="CJ1093" s="5" t="s">
        <v>260</v>
      </c>
      <c r="CK1093" s="5" t="s">
        <v>238</v>
      </c>
      <c r="CM1093" s="5" t="s">
        <v>408</v>
      </c>
      <c r="CN1093" s="6" t="s">
        <v>262</v>
      </c>
      <c r="CO1093" s="5" t="s">
        <v>263</v>
      </c>
      <c r="CP1093" s="5" t="s">
        <v>264</v>
      </c>
      <c r="CQ1093" s="5" t="s">
        <v>285</v>
      </c>
      <c r="CR1093" s="5" t="s">
        <v>238</v>
      </c>
      <c r="CS1093" s="5">
        <v>0.125</v>
      </c>
      <c r="CT1093" s="5" t="s">
        <v>265</v>
      </c>
      <c r="CU1093" s="5" t="s">
        <v>351</v>
      </c>
      <c r="CV1093" s="5" t="s">
        <v>494</v>
      </c>
      <c r="CW1093" s="7">
        <f>0</f>
        <v>0</v>
      </c>
      <c r="CX1093" s="8">
        <f>1375000</f>
        <v>1375000</v>
      </c>
      <c r="CY1093" s="8">
        <f>1203125</f>
        <v>1203125</v>
      </c>
      <c r="DA1093" s="5" t="s">
        <v>238</v>
      </c>
      <c r="DB1093" s="5" t="s">
        <v>238</v>
      </c>
      <c r="DD1093" s="5" t="s">
        <v>238</v>
      </c>
      <c r="DE1093" s="8">
        <f>0</f>
        <v>0</v>
      </c>
      <c r="DG1093" s="5" t="s">
        <v>238</v>
      </c>
      <c r="DH1093" s="5" t="s">
        <v>238</v>
      </c>
      <c r="DI1093" s="5" t="s">
        <v>238</v>
      </c>
      <c r="DJ1093" s="5" t="s">
        <v>238</v>
      </c>
      <c r="DK1093" s="5" t="s">
        <v>272</v>
      </c>
      <c r="DL1093" s="5" t="s">
        <v>272</v>
      </c>
      <c r="DM1093" s="8" t="s">
        <v>238</v>
      </c>
      <c r="DN1093" s="5" t="s">
        <v>238</v>
      </c>
      <c r="DO1093" s="5" t="s">
        <v>238</v>
      </c>
      <c r="DP1093" s="5" t="s">
        <v>238</v>
      </c>
      <c r="DQ1093" s="5" t="s">
        <v>238</v>
      </c>
      <c r="DT1093" s="5" t="s">
        <v>626</v>
      </c>
      <c r="DU1093" s="5" t="s">
        <v>310</v>
      </c>
      <c r="GL1093" s="5" t="s">
        <v>2886</v>
      </c>
      <c r="HM1093" s="5" t="s">
        <v>274</v>
      </c>
      <c r="HP1093" s="5" t="s">
        <v>272</v>
      </c>
      <c r="HQ1093" s="5" t="s">
        <v>272</v>
      </c>
      <c r="HR1093" s="5" t="s">
        <v>238</v>
      </c>
      <c r="HS1093" s="5" t="s">
        <v>238</v>
      </c>
      <c r="HT1093" s="5" t="s">
        <v>238</v>
      </c>
      <c r="HU1093" s="5" t="s">
        <v>238</v>
      </c>
      <c r="HV1093" s="5" t="s">
        <v>238</v>
      </c>
      <c r="HW1093" s="5" t="s">
        <v>238</v>
      </c>
      <c r="HX1093" s="5" t="s">
        <v>238</v>
      </c>
      <c r="HY1093" s="5" t="s">
        <v>238</v>
      </c>
      <c r="HZ1093" s="5" t="s">
        <v>238</v>
      </c>
      <c r="IA1093" s="5" t="s">
        <v>238</v>
      </c>
      <c r="IB1093" s="5" t="s">
        <v>238</v>
      </c>
      <c r="IC1093" s="5" t="s">
        <v>238</v>
      </c>
      <c r="ID1093" s="5" t="s">
        <v>238</v>
      </c>
    </row>
    <row r="1094" spans="1:238" x14ac:dyDescent="0.4">
      <c r="A1094" s="5">
        <v>1424</v>
      </c>
      <c r="B1094" s="5">
        <v>1</v>
      </c>
      <c r="C1094" s="5">
        <v>1</v>
      </c>
      <c r="D1094" s="5" t="s">
        <v>1707</v>
      </c>
      <c r="E1094" s="5" t="s">
        <v>338</v>
      </c>
      <c r="F1094" s="5" t="s">
        <v>282</v>
      </c>
      <c r="G1094" s="5" t="s">
        <v>1308</v>
      </c>
      <c r="H1094" s="6" t="s">
        <v>1708</v>
      </c>
      <c r="I1094" s="5" t="s">
        <v>1308</v>
      </c>
      <c r="J1094" s="7">
        <f>1031</f>
        <v>1031</v>
      </c>
      <c r="K1094" s="5" t="s">
        <v>270</v>
      </c>
      <c r="L1094" s="8">
        <f>1</f>
        <v>1</v>
      </c>
      <c r="M1094" s="8">
        <f>92790000</f>
        <v>92790000</v>
      </c>
      <c r="N1094" s="6" t="s">
        <v>1355</v>
      </c>
      <c r="O1094" s="5" t="s">
        <v>755</v>
      </c>
      <c r="P1094" s="5" t="s">
        <v>639</v>
      </c>
      <c r="R1094" s="8">
        <f>92789999</f>
        <v>92789999</v>
      </c>
      <c r="S1094" s="5" t="s">
        <v>240</v>
      </c>
      <c r="T1094" s="5" t="s">
        <v>237</v>
      </c>
      <c r="U1094" s="5" t="s">
        <v>238</v>
      </c>
      <c r="V1094" s="5" t="s">
        <v>238</v>
      </c>
      <c r="W1094" s="5" t="s">
        <v>241</v>
      </c>
      <c r="X1094" s="5" t="s">
        <v>337</v>
      </c>
      <c r="Y1094" s="5" t="s">
        <v>238</v>
      </c>
      <c r="AB1094" s="5" t="s">
        <v>238</v>
      </c>
      <c r="AD1094" s="6" t="s">
        <v>238</v>
      </c>
      <c r="AG1094" s="6" t="s">
        <v>246</v>
      </c>
      <c r="AH1094" s="5" t="s">
        <v>247</v>
      </c>
      <c r="AI1094" s="5" t="s">
        <v>248</v>
      </c>
      <c r="AY1094" s="5" t="s">
        <v>250</v>
      </c>
      <c r="AZ1094" s="5" t="s">
        <v>238</v>
      </c>
      <c r="BA1094" s="5" t="s">
        <v>251</v>
      </c>
      <c r="BB1094" s="5" t="s">
        <v>238</v>
      </c>
      <c r="BC1094" s="5" t="s">
        <v>253</v>
      </c>
      <c r="BD1094" s="5" t="s">
        <v>238</v>
      </c>
      <c r="BF1094" s="5" t="s">
        <v>238</v>
      </c>
      <c r="BH1094" s="5" t="s">
        <v>254</v>
      </c>
      <c r="BI1094" s="6" t="s">
        <v>246</v>
      </c>
      <c r="BJ1094" s="5" t="s">
        <v>255</v>
      </c>
      <c r="BK1094" s="5" t="s">
        <v>256</v>
      </c>
      <c r="BL1094" s="5" t="s">
        <v>238</v>
      </c>
      <c r="BM1094" s="7">
        <f>0</f>
        <v>0</v>
      </c>
      <c r="BN1094" s="8">
        <f>0</f>
        <v>0</v>
      </c>
      <c r="BO1094" s="5" t="s">
        <v>257</v>
      </c>
      <c r="BP1094" s="5" t="s">
        <v>258</v>
      </c>
      <c r="CD1094" s="5" t="s">
        <v>238</v>
      </c>
      <c r="CE1094" s="5" t="s">
        <v>238</v>
      </c>
      <c r="CI1094" s="5" t="s">
        <v>527</v>
      </c>
      <c r="CJ1094" s="5" t="s">
        <v>260</v>
      </c>
      <c r="CK1094" s="5" t="s">
        <v>238</v>
      </c>
      <c r="CM1094" s="5" t="s">
        <v>1095</v>
      </c>
      <c r="CN1094" s="6" t="s">
        <v>262</v>
      </c>
      <c r="CO1094" s="5" t="s">
        <v>263</v>
      </c>
      <c r="CP1094" s="5" t="s">
        <v>264</v>
      </c>
      <c r="CQ1094" s="5" t="s">
        <v>238</v>
      </c>
      <c r="CR1094" s="5" t="s">
        <v>238</v>
      </c>
      <c r="CS1094" s="5">
        <v>0</v>
      </c>
      <c r="CT1094" s="5" t="s">
        <v>265</v>
      </c>
      <c r="CU1094" s="5" t="s">
        <v>1330</v>
      </c>
      <c r="CV1094" s="5" t="s">
        <v>649</v>
      </c>
      <c r="CX1094" s="8">
        <f>92790000</f>
        <v>92790000</v>
      </c>
      <c r="CY1094" s="8">
        <f>0</f>
        <v>0</v>
      </c>
      <c r="DA1094" s="5" t="s">
        <v>238</v>
      </c>
      <c r="DB1094" s="5" t="s">
        <v>238</v>
      </c>
      <c r="DD1094" s="5" t="s">
        <v>238</v>
      </c>
      <c r="DG1094" s="5" t="s">
        <v>238</v>
      </c>
      <c r="DH1094" s="5" t="s">
        <v>238</v>
      </c>
      <c r="DI1094" s="5" t="s">
        <v>238</v>
      </c>
      <c r="DJ1094" s="5" t="s">
        <v>238</v>
      </c>
      <c r="DK1094" s="5" t="s">
        <v>271</v>
      </c>
      <c r="DL1094" s="5" t="s">
        <v>272</v>
      </c>
      <c r="DM1094" s="7">
        <f>1031</f>
        <v>1031</v>
      </c>
      <c r="DN1094" s="5" t="s">
        <v>238</v>
      </c>
      <c r="DO1094" s="5" t="s">
        <v>238</v>
      </c>
      <c r="DP1094" s="5" t="s">
        <v>238</v>
      </c>
      <c r="DQ1094" s="5" t="s">
        <v>238</v>
      </c>
      <c r="DT1094" s="5" t="s">
        <v>1709</v>
      </c>
      <c r="DU1094" s="5" t="s">
        <v>271</v>
      </c>
      <c r="HM1094" s="5" t="s">
        <v>271</v>
      </c>
      <c r="HP1094" s="5" t="s">
        <v>272</v>
      </c>
      <c r="HQ1094" s="5" t="s">
        <v>272</v>
      </c>
    </row>
    <row r="1095" spans="1:238" x14ac:dyDescent="0.4">
      <c r="A1095" s="5">
        <v>1425</v>
      </c>
      <c r="B1095" s="5">
        <v>1</v>
      </c>
      <c r="C1095" s="5">
        <v>1</v>
      </c>
      <c r="D1095" s="5" t="s">
        <v>1788</v>
      </c>
      <c r="E1095" s="5" t="s">
        <v>338</v>
      </c>
      <c r="F1095" s="5" t="s">
        <v>282</v>
      </c>
      <c r="G1095" s="5" t="s">
        <v>1308</v>
      </c>
      <c r="H1095" s="6" t="s">
        <v>1789</v>
      </c>
      <c r="I1095" s="5" t="s">
        <v>1308</v>
      </c>
      <c r="J1095" s="7">
        <f>803</f>
        <v>803</v>
      </c>
      <c r="K1095" s="5" t="s">
        <v>270</v>
      </c>
      <c r="L1095" s="8">
        <f>1</f>
        <v>1</v>
      </c>
      <c r="M1095" s="8">
        <f>72270000</f>
        <v>72270000</v>
      </c>
      <c r="N1095" s="6" t="s">
        <v>876</v>
      </c>
      <c r="O1095" s="5" t="s">
        <v>755</v>
      </c>
      <c r="P1095" s="5" t="s">
        <v>755</v>
      </c>
      <c r="R1095" s="8">
        <f>72269999</f>
        <v>72269999</v>
      </c>
      <c r="S1095" s="5" t="s">
        <v>240</v>
      </c>
      <c r="T1095" s="5" t="s">
        <v>237</v>
      </c>
      <c r="U1095" s="5" t="s">
        <v>238</v>
      </c>
      <c r="V1095" s="5" t="s">
        <v>238</v>
      </c>
      <c r="W1095" s="5" t="s">
        <v>241</v>
      </c>
      <c r="X1095" s="5" t="s">
        <v>337</v>
      </c>
      <c r="Y1095" s="5" t="s">
        <v>238</v>
      </c>
      <c r="AB1095" s="5" t="s">
        <v>238</v>
      </c>
      <c r="AD1095" s="6" t="s">
        <v>238</v>
      </c>
      <c r="AG1095" s="6" t="s">
        <v>246</v>
      </c>
      <c r="AH1095" s="5" t="s">
        <v>247</v>
      </c>
      <c r="AI1095" s="5" t="s">
        <v>248</v>
      </c>
      <c r="AY1095" s="5" t="s">
        <v>250</v>
      </c>
      <c r="AZ1095" s="5" t="s">
        <v>238</v>
      </c>
      <c r="BA1095" s="5" t="s">
        <v>251</v>
      </c>
      <c r="BB1095" s="5" t="s">
        <v>238</v>
      </c>
      <c r="BC1095" s="5" t="s">
        <v>253</v>
      </c>
      <c r="BD1095" s="5" t="s">
        <v>238</v>
      </c>
      <c r="BF1095" s="5" t="s">
        <v>238</v>
      </c>
      <c r="BH1095" s="5" t="s">
        <v>254</v>
      </c>
      <c r="BI1095" s="6" t="s">
        <v>246</v>
      </c>
      <c r="BJ1095" s="5" t="s">
        <v>255</v>
      </c>
      <c r="BK1095" s="5" t="s">
        <v>294</v>
      </c>
      <c r="BL1095" s="5" t="s">
        <v>238</v>
      </c>
      <c r="BM1095" s="7">
        <f>0</f>
        <v>0</v>
      </c>
      <c r="BN1095" s="8">
        <f>0</f>
        <v>0</v>
      </c>
      <c r="BO1095" s="5" t="s">
        <v>257</v>
      </c>
      <c r="BP1095" s="5" t="s">
        <v>258</v>
      </c>
      <c r="CD1095" s="5" t="s">
        <v>238</v>
      </c>
      <c r="CE1095" s="5" t="s">
        <v>238</v>
      </c>
      <c r="CI1095" s="5" t="s">
        <v>527</v>
      </c>
      <c r="CJ1095" s="5" t="s">
        <v>260</v>
      </c>
      <c r="CK1095" s="5" t="s">
        <v>238</v>
      </c>
      <c r="CM1095" s="5" t="s">
        <v>877</v>
      </c>
      <c r="CN1095" s="6" t="s">
        <v>262</v>
      </c>
      <c r="CO1095" s="5" t="s">
        <v>263</v>
      </c>
      <c r="CP1095" s="5" t="s">
        <v>264</v>
      </c>
      <c r="CQ1095" s="5" t="s">
        <v>238</v>
      </c>
      <c r="CR1095" s="5" t="s">
        <v>238</v>
      </c>
      <c r="CS1095" s="5">
        <v>0</v>
      </c>
      <c r="CT1095" s="5" t="s">
        <v>265</v>
      </c>
      <c r="CU1095" s="5" t="s">
        <v>1330</v>
      </c>
      <c r="CV1095" s="5" t="s">
        <v>649</v>
      </c>
      <c r="CX1095" s="8">
        <f>72270000</f>
        <v>72270000</v>
      </c>
      <c r="CY1095" s="8">
        <f>0</f>
        <v>0</v>
      </c>
      <c r="DA1095" s="5" t="s">
        <v>238</v>
      </c>
      <c r="DB1095" s="5" t="s">
        <v>238</v>
      </c>
      <c r="DD1095" s="5" t="s">
        <v>238</v>
      </c>
      <c r="DG1095" s="5" t="s">
        <v>238</v>
      </c>
      <c r="DH1095" s="5" t="s">
        <v>238</v>
      </c>
      <c r="DI1095" s="5" t="s">
        <v>238</v>
      </c>
      <c r="DJ1095" s="5" t="s">
        <v>238</v>
      </c>
      <c r="DK1095" s="5" t="s">
        <v>271</v>
      </c>
      <c r="DL1095" s="5" t="s">
        <v>272</v>
      </c>
      <c r="DM1095" s="7">
        <f>803</f>
        <v>803</v>
      </c>
      <c r="DN1095" s="5" t="s">
        <v>238</v>
      </c>
      <c r="DO1095" s="5" t="s">
        <v>238</v>
      </c>
      <c r="DP1095" s="5" t="s">
        <v>238</v>
      </c>
      <c r="DQ1095" s="5" t="s">
        <v>238</v>
      </c>
      <c r="DT1095" s="5" t="s">
        <v>1790</v>
      </c>
      <c r="DU1095" s="5" t="s">
        <v>271</v>
      </c>
      <c r="HM1095" s="5" t="s">
        <v>310</v>
      </c>
      <c r="HP1095" s="5" t="s">
        <v>272</v>
      </c>
      <c r="HQ1095" s="5" t="s">
        <v>272</v>
      </c>
    </row>
    <row r="1096" spans="1:238" x14ac:dyDescent="0.4">
      <c r="A1096" s="5">
        <v>1426</v>
      </c>
      <c r="B1096" s="5">
        <v>1</v>
      </c>
      <c r="C1096" s="5">
        <v>4</v>
      </c>
      <c r="D1096" s="5" t="s">
        <v>1725</v>
      </c>
      <c r="E1096" s="5" t="s">
        <v>338</v>
      </c>
      <c r="F1096" s="5" t="s">
        <v>282</v>
      </c>
      <c r="G1096" s="5" t="s">
        <v>1666</v>
      </c>
      <c r="H1096" s="6" t="s">
        <v>1199</v>
      </c>
      <c r="I1096" s="5" t="s">
        <v>1308</v>
      </c>
      <c r="J1096" s="7">
        <f>1529.57</f>
        <v>1529.57</v>
      </c>
      <c r="K1096" s="5" t="s">
        <v>270</v>
      </c>
      <c r="L1096" s="8">
        <f>26981623</f>
        <v>26981623</v>
      </c>
      <c r="M1096" s="8">
        <f>275322600</f>
        <v>275322600</v>
      </c>
      <c r="N1096" s="6" t="s">
        <v>1084</v>
      </c>
      <c r="O1096" s="5" t="s">
        <v>898</v>
      </c>
      <c r="P1096" s="5" t="s">
        <v>975</v>
      </c>
      <c r="Q1096" s="8">
        <f>6057097</f>
        <v>6057097</v>
      </c>
      <c r="R1096" s="8">
        <f>248340977</f>
        <v>248340977</v>
      </c>
      <c r="S1096" s="5" t="s">
        <v>240</v>
      </c>
      <c r="T1096" s="5" t="s">
        <v>237</v>
      </c>
      <c r="U1096" s="5" t="s">
        <v>238</v>
      </c>
      <c r="V1096" s="5" t="s">
        <v>238</v>
      </c>
      <c r="W1096" s="5" t="s">
        <v>241</v>
      </c>
      <c r="X1096" s="5" t="s">
        <v>337</v>
      </c>
      <c r="Y1096" s="5" t="s">
        <v>238</v>
      </c>
      <c r="AB1096" s="5" t="s">
        <v>238</v>
      </c>
      <c r="AC1096" s="6" t="s">
        <v>238</v>
      </c>
      <c r="AD1096" s="6" t="s">
        <v>238</v>
      </c>
      <c r="AF1096" s="6" t="s">
        <v>238</v>
      </c>
      <c r="AG1096" s="6" t="s">
        <v>246</v>
      </c>
      <c r="AH1096" s="5" t="s">
        <v>247</v>
      </c>
      <c r="AI1096" s="5" t="s">
        <v>248</v>
      </c>
      <c r="AO1096" s="5" t="s">
        <v>238</v>
      </c>
      <c r="AP1096" s="5" t="s">
        <v>238</v>
      </c>
      <c r="AQ1096" s="5" t="s">
        <v>238</v>
      </c>
      <c r="AR1096" s="6" t="s">
        <v>238</v>
      </c>
      <c r="AS1096" s="6" t="s">
        <v>238</v>
      </c>
      <c r="AT1096" s="6" t="s">
        <v>238</v>
      </c>
      <c r="AW1096" s="5" t="s">
        <v>304</v>
      </c>
      <c r="AX1096" s="5" t="s">
        <v>304</v>
      </c>
      <c r="AY1096" s="5" t="s">
        <v>250</v>
      </c>
      <c r="AZ1096" s="5" t="s">
        <v>305</v>
      </c>
      <c r="BA1096" s="5" t="s">
        <v>251</v>
      </c>
      <c r="BB1096" s="5" t="s">
        <v>238</v>
      </c>
      <c r="BC1096" s="5" t="s">
        <v>253</v>
      </c>
      <c r="BD1096" s="5" t="s">
        <v>238</v>
      </c>
      <c r="BF1096" s="5" t="s">
        <v>238</v>
      </c>
      <c r="BH1096" s="5" t="s">
        <v>283</v>
      </c>
      <c r="BI1096" s="6" t="s">
        <v>293</v>
      </c>
      <c r="BJ1096" s="5" t="s">
        <v>294</v>
      </c>
      <c r="BK1096" s="5" t="s">
        <v>294</v>
      </c>
      <c r="BL1096" s="5" t="s">
        <v>238</v>
      </c>
      <c r="BM1096" s="7">
        <f>0</f>
        <v>0</v>
      </c>
      <c r="BN1096" s="8">
        <f>-6057097</f>
        <v>-6057097</v>
      </c>
      <c r="BO1096" s="5" t="s">
        <v>257</v>
      </c>
      <c r="BP1096" s="5" t="s">
        <v>258</v>
      </c>
      <c r="BQ1096" s="5" t="s">
        <v>238</v>
      </c>
      <c r="BR1096" s="5" t="s">
        <v>238</v>
      </c>
      <c r="BS1096" s="5" t="s">
        <v>238</v>
      </c>
      <c r="BT1096" s="5" t="s">
        <v>238</v>
      </c>
      <c r="CC1096" s="5" t="s">
        <v>258</v>
      </c>
      <c r="CD1096" s="5" t="s">
        <v>238</v>
      </c>
      <c r="CE1096" s="5" t="s">
        <v>238</v>
      </c>
      <c r="CI1096" s="5" t="s">
        <v>527</v>
      </c>
      <c r="CJ1096" s="5" t="s">
        <v>260</v>
      </c>
      <c r="CK1096" s="5" t="s">
        <v>238</v>
      </c>
      <c r="CM1096" s="5" t="s">
        <v>1020</v>
      </c>
      <c r="CN1096" s="6" t="s">
        <v>262</v>
      </c>
      <c r="CO1096" s="5" t="s">
        <v>263</v>
      </c>
      <c r="CP1096" s="5" t="s">
        <v>264</v>
      </c>
      <c r="CQ1096" s="5" t="s">
        <v>285</v>
      </c>
      <c r="CR1096" s="5" t="s">
        <v>238</v>
      </c>
      <c r="CS1096" s="5">
        <v>2.1999999999999999E-2</v>
      </c>
      <c r="CT1096" s="5" t="s">
        <v>265</v>
      </c>
      <c r="CU1096" s="5" t="s">
        <v>1330</v>
      </c>
      <c r="CV1096" s="5" t="s">
        <v>308</v>
      </c>
      <c r="CW1096" s="7">
        <f>0</f>
        <v>0</v>
      </c>
      <c r="CX1096" s="8">
        <f>275322600</f>
        <v>275322600</v>
      </c>
      <c r="CY1096" s="8">
        <f>33038720</f>
        <v>33038720</v>
      </c>
      <c r="DA1096" s="5" t="s">
        <v>238</v>
      </c>
      <c r="DB1096" s="5" t="s">
        <v>238</v>
      </c>
      <c r="DD1096" s="5" t="s">
        <v>238</v>
      </c>
      <c r="DE1096" s="8">
        <f>0</f>
        <v>0</v>
      </c>
      <c r="DG1096" s="5" t="s">
        <v>238</v>
      </c>
      <c r="DH1096" s="5" t="s">
        <v>238</v>
      </c>
      <c r="DI1096" s="5" t="s">
        <v>238</v>
      </c>
      <c r="DJ1096" s="5" t="s">
        <v>238</v>
      </c>
      <c r="DK1096" s="5" t="s">
        <v>271</v>
      </c>
      <c r="DL1096" s="5" t="s">
        <v>272</v>
      </c>
      <c r="DM1096" s="7">
        <f>1529.57</f>
        <v>1529.57</v>
      </c>
      <c r="DN1096" s="5" t="s">
        <v>238</v>
      </c>
      <c r="DO1096" s="5" t="s">
        <v>238</v>
      </c>
      <c r="DP1096" s="5" t="s">
        <v>238</v>
      </c>
      <c r="DQ1096" s="5" t="s">
        <v>238</v>
      </c>
      <c r="DT1096" s="5" t="s">
        <v>1726</v>
      </c>
      <c r="DU1096" s="5" t="s">
        <v>271</v>
      </c>
      <c r="GL1096" s="5" t="s">
        <v>1727</v>
      </c>
      <c r="HM1096" s="5" t="s">
        <v>313</v>
      </c>
      <c r="HP1096" s="5" t="s">
        <v>272</v>
      </c>
      <c r="HQ1096" s="5" t="s">
        <v>272</v>
      </c>
      <c r="HR1096" s="5" t="s">
        <v>238</v>
      </c>
      <c r="HS1096" s="5" t="s">
        <v>238</v>
      </c>
      <c r="HT1096" s="5" t="s">
        <v>238</v>
      </c>
      <c r="HU1096" s="5" t="s">
        <v>238</v>
      </c>
      <c r="HV1096" s="5" t="s">
        <v>238</v>
      </c>
      <c r="HW1096" s="5" t="s">
        <v>238</v>
      </c>
      <c r="HX1096" s="5" t="s">
        <v>238</v>
      </c>
      <c r="HY1096" s="5" t="s">
        <v>238</v>
      </c>
      <c r="HZ1096" s="5" t="s">
        <v>238</v>
      </c>
      <c r="IA1096" s="5" t="s">
        <v>238</v>
      </c>
      <c r="IB1096" s="5" t="s">
        <v>238</v>
      </c>
      <c r="IC1096" s="5" t="s">
        <v>238</v>
      </c>
      <c r="ID1096" s="5" t="s">
        <v>238</v>
      </c>
    </row>
    <row r="1097" spans="1:238" x14ac:dyDescent="0.4">
      <c r="A1097" s="5">
        <v>1427</v>
      </c>
      <c r="B1097" s="5">
        <v>1</v>
      </c>
      <c r="C1097" s="5">
        <v>4</v>
      </c>
      <c r="D1097" s="5" t="s">
        <v>1725</v>
      </c>
      <c r="E1097" s="5" t="s">
        <v>338</v>
      </c>
      <c r="F1097" s="5" t="s">
        <v>282</v>
      </c>
      <c r="G1097" s="5" t="s">
        <v>1779</v>
      </c>
      <c r="H1097" s="6" t="s">
        <v>1199</v>
      </c>
      <c r="I1097" s="5" t="s">
        <v>1777</v>
      </c>
      <c r="J1097" s="7">
        <f>0</f>
        <v>0</v>
      </c>
      <c r="K1097" s="5" t="s">
        <v>270</v>
      </c>
      <c r="L1097" s="8">
        <f>24587500</f>
        <v>24587500</v>
      </c>
      <c r="M1097" s="8">
        <f>27626400</f>
        <v>27626400</v>
      </c>
      <c r="N1097" s="6" t="s">
        <v>1778</v>
      </c>
      <c r="O1097" s="5" t="s">
        <v>898</v>
      </c>
      <c r="P1097" s="5" t="s">
        <v>356</v>
      </c>
      <c r="Q1097" s="8">
        <f>607780</f>
        <v>607780</v>
      </c>
      <c r="R1097" s="8">
        <f>3038900</f>
        <v>3038900</v>
      </c>
      <c r="S1097" s="5" t="s">
        <v>240</v>
      </c>
      <c r="T1097" s="5" t="s">
        <v>287</v>
      </c>
      <c r="U1097" s="5" t="s">
        <v>238</v>
      </c>
      <c r="V1097" s="5" t="s">
        <v>238</v>
      </c>
      <c r="W1097" s="5" t="s">
        <v>241</v>
      </c>
      <c r="X1097" s="5" t="s">
        <v>337</v>
      </c>
      <c r="Y1097" s="5" t="s">
        <v>238</v>
      </c>
      <c r="AB1097" s="5" t="s">
        <v>238</v>
      </c>
      <c r="AC1097" s="6" t="s">
        <v>238</v>
      </c>
      <c r="AD1097" s="6" t="s">
        <v>238</v>
      </c>
      <c r="AF1097" s="6" t="s">
        <v>238</v>
      </c>
      <c r="AG1097" s="6" t="s">
        <v>246</v>
      </c>
      <c r="AH1097" s="5" t="s">
        <v>247</v>
      </c>
      <c r="AI1097" s="5" t="s">
        <v>248</v>
      </c>
      <c r="AO1097" s="5" t="s">
        <v>238</v>
      </c>
      <c r="AP1097" s="5" t="s">
        <v>238</v>
      </c>
      <c r="AQ1097" s="5" t="s">
        <v>238</v>
      </c>
      <c r="AR1097" s="6" t="s">
        <v>238</v>
      </c>
      <c r="AS1097" s="6" t="s">
        <v>238</v>
      </c>
      <c r="AT1097" s="6" t="s">
        <v>238</v>
      </c>
      <c r="AW1097" s="5" t="s">
        <v>304</v>
      </c>
      <c r="AX1097" s="5" t="s">
        <v>304</v>
      </c>
      <c r="AY1097" s="5" t="s">
        <v>250</v>
      </c>
      <c r="AZ1097" s="5" t="s">
        <v>305</v>
      </c>
      <c r="BA1097" s="5" t="s">
        <v>251</v>
      </c>
      <c r="BB1097" s="5" t="s">
        <v>238</v>
      </c>
      <c r="BC1097" s="5" t="s">
        <v>253</v>
      </c>
      <c r="BD1097" s="5" t="s">
        <v>238</v>
      </c>
      <c r="BF1097" s="5" t="s">
        <v>238</v>
      </c>
      <c r="BH1097" s="5" t="s">
        <v>283</v>
      </c>
      <c r="BI1097" s="6" t="s">
        <v>293</v>
      </c>
      <c r="BJ1097" s="5" t="s">
        <v>294</v>
      </c>
      <c r="BK1097" s="5" t="s">
        <v>294</v>
      </c>
      <c r="BL1097" s="5" t="s">
        <v>238</v>
      </c>
      <c r="BM1097" s="7">
        <f>0</f>
        <v>0</v>
      </c>
      <c r="BN1097" s="8">
        <f>-607780</f>
        <v>-607780</v>
      </c>
      <c r="BO1097" s="5" t="s">
        <v>257</v>
      </c>
      <c r="BP1097" s="5" t="s">
        <v>258</v>
      </c>
      <c r="BQ1097" s="5" t="s">
        <v>238</v>
      </c>
      <c r="BR1097" s="5" t="s">
        <v>238</v>
      </c>
      <c r="BS1097" s="5" t="s">
        <v>238</v>
      </c>
      <c r="BT1097" s="5" t="s">
        <v>238</v>
      </c>
      <c r="CC1097" s="5" t="s">
        <v>258</v>
      </c>
      <c r="CD1097" s="5" t="s">
        <v>238</v>
      </c>
      <c r="CE1097" s="5" t="s">
        <v>238</v>
      </c>
      <c r="CI1097" s="5" t="s">
        <v>259</v>
      </c>
      <c r="CJ1097" s="5" t="s">
        <v>260</v>
      </c>
      <c r="CK1097" s="5" t="s">
        <v>238</v>
      </c>
      <c r="CM1097" s="5" t="s">
        <v>376</v>
      </c>
      <c r="CN1097" s="6" t="s">
        <v>262</v>
      </c>
      <c r="CO1097" s="5" t="s">
        <v>263</v>
      </c>
      <c r="CP1097" s="5" t="s">
        <v>264</v>
      </c>
      <c r="CQ1097" s="5" t="s">
        <v>285</v>
      </c>
      <c r="CR1097" s="5" t="s">
        <v>238</v>
      </c>
      <c r="CS1097" s="5">
        <v>2.1999999999999999E-2</v>
      </c>
      <c r="CT1097" s="5" t="s">
        <v>265</v>
      </c>
      <c r="CU1097" s="5" t="s">
        <v>1330</v>
      </c>
      <c r="CV1097" s="5" t="s">
        <v>308</v>
      </c>
      <c r="CW1097" s="7">
        <f>0</f>
        <v>0</v>
      </c>
      <c r="CX1097" s="8">
        <f>27626400</f>
        <v>27626400</v>
      </c>
      <c r="CY1097" s="8">
        <f>25195280</f>
        <v>25195280</v>
      </c>
      <c r="DA1097" s="5" t="s">
        <v>238</v>
      </c>
      <c r="DB1097" s="5" t="s">
        <v>238</v>
      </c>
      <c r="DD1097" s="5" t="s">
        <v>238</v>
      </c>
      <c r="DE1097" s="8">
        <f>0</f>
        <v>0</v>
      </c>
      <c r="DG1097" s="5" t="s">
        <v>238</v>
      </c>
      <c r="DH1097" s="5" t="s">
        <v>238</v>
      </c>
      <c r="DI1097" s="5" t="s">
        <v>238</v>
      </c>
      <c r="DJ1097" s="5" t="s">
        <v>238</v>
      </c>
      <c r="DK1097" s="5" t="s">
        <v>272</v>
      </c>
      <c r="DL1097" s="5" t="s">
        <v>272</v>
      </c>
      <c r="DM1097" s="8" t="s">
        <v>238</v>
      </c>
      <c r="DN1097" s="5" t="s">
        <v>238</v>
      </c>
      <c r="DO1097" s="5" t="s">
        <v>238</v>
      </c>
      <c r="DP1097" s="5" t="s">
        <v>238</v>
      </c>
      <c r="DQ1097" s="5" t="s">
        <v>238</v>
      </c>
      <c r="DT1097" s="5" t="s">
        <v>1726</v>
      </c>
      <c r="DU1097" s="5" t="s">
        <v>274</v>
      </c>
      <c r="GL1097" s="5" t="s">
        <v>1780</v>
      </c>
      <c r="HM1097" s="5" t="s">
        <v>379</v>
      </c>
      <c r="HP1097" s="5" t="s">
        <v>272</v>
      </c>
      <c r="HQ1097" s="5" t="s">
        <v>272</v>
      </c>
      <c r="HR1097" s="5" t="s">
        <v>238</v>
      </c>
      <c r="HS1097" s="5" t="s">
        <v>238</v>
      </c>
      <c r="HT1097" s="5" t="s">
        <v>238</v>
      </c>
      <c r="HU1097" s="5" t="s">
        <v>238</v>
      </c>
      <c r="HV1097" s="5" t="s">
        <v>238</v>
      </c>
      <c r="HW1097" s="5" t="s">
        <v>238</v>
      </c>
      <c r="HX1097" s="5" t="s">
        <v>238</v>
      </c>
      <c r="HY1097" s="5" t="s">
        <v>238</v>
      </c>
      <c r="HZ1097" s="5" t="s">
        <v>238</v>
      </c>
      <c r="IA1097" s="5" t="s">
        <v>238</v>
      </c>
      <c r="IB1097" s="5" t="s">
        <v>238</v>
      </c>
      <c r="IC1097" s="5" t="s">
        <v>238</v>
      </c>
      <c r="ID1097" s="5" t="s">
        <v>238</v>
      </c>
    </row>
    <row r="1098" spans="1:238" x14ac:dyDescent="0.4">
      <c r="A1098" s="5">
        <v>1428</v>
      </c>
      <c r="B1098" s="5">
        <v>1</v>
      </c>
      <c r="C1098" s="5">
        <v>4</v>
      </c>
      <c r="D1098" s="5" t="s">
        <v>1704</v>
      </c>
      <c r="E1098" s="5" t="s">
        <v>338</v>
      </c>
      <c r="F1098" s="5" t="s">
        <v>282</v>
      </c>
      <c r="G1098" s="5" t="s">
        <v>1666</v>
      </c>
      <c r="H1098" s="6" t="s">
        <v>1335</v>
      </c>
      <c r="I1098" s="5" t="s">
        <v>1308</v>
      </c>
      <c r="J1098" s="7">
        <f>1257.93</f>
        <v>1257.93</v>
      </c>
      <c r="K1098" s="5" t="s">
        <v>270</v>
      </c>
      <c r="L1098" s="8">
        <f>37134124</f>
        <v>37134124</v>
      </c>
      <c r="M1098" s="8">
        <f>226427400</f>
        <v>226427400</v>
      </c>
      <c r="N1098" s="6" t="s">
        <v>876</v>
      </c>
      <c r="O1098" s="5" t="s">
        <v>898</v>
      </c>
      <c r="P1098" s="5" t="s">
        <v>866</v>
      </c>
      <c r="Q1098" s="8">
        <f>4981402</f>
        <v>4981402</v>
      </c>
      <c r="R1098" s="8">
        <f>189293276</f>
        <v>189293276</v>
      </c>
      <c r="S1098" s="5" t="s">
        <v>240</v>
      </c>
      <c r="T1098" s="5" t="s">
        <v>237</v>
      </c>
      <c r="U1098" s="5" t="s">
        <v>238</v>
      </c>
      <c r="V1098" s="5" t="s">
        <v>238</v>
      </c>
      <c r="W1098" s="5" t="s">
        <v>241</v>
      </c>
      <c r="X1098" s="5" t="s">
        <v>337</v>
      </c>
      <c r="Y1098" s="5" t="s">
        <v>238</v>
      </c>
      <c r="AB1098" s="5" t="s">
        <v>238</v>
      </c>
      <c r="AC1098" s="6" t="s">
        <v>238</v>
      </c>
      <c r="AD1098" s="6" t="s">
        <v>238</v>
      </c>
      <c r="AF1098" s="6" t="s">
        <v>238</v>
      </c>
      <c r="AG1098" s="6" t="s">
        <v>246</v>
      </c>
      <c r="AH1098" s="5" t="s">
        <v>247</v>
      </c>
      <c r="AI1098" s="5" t="s">
        <v>248</v>
      </c>
      <c r="AO1098" s="5" t="s">
        <v>238</v>
      </c>
      <c r="AP1098" s="5" t="s">
        <v>238</v>
      </c>
      <c r="AQ1098" s="5" t="s">
        <v>238</v>
      </c>
      <c r="AR1098" s="6" t="s">
        <v>238</v>
      </c>
      <c r="AS1098" s="6" t="s">
        <v>238</v>
      </c>
      <c r="AT1098" s="6" t="s">
        <v>238</v>
      </c>
      <c r="AW1098" s="5" t="s">
        <v>304</v>
      </c>
      <c r="AX1098" s="5" t="s">
        <v>304</v>
      </c>
      <c r="AY1098" s="5" t="s">
        <v>250</v>
      </c>
      <c r="AZ1098" s="5" t="s">
        <v>305</v>
      </c>
      <c r="BA1098" s="5" t="s">
        <v>251</v>
      </c>
      <c r="BB1098" s="5" t="s">
        <v>238</v>
      </c>
      <c r="BC1098" s="5" t="s">
        <v>253</v>
      </c>
      <c r="BD1098" s="5" t="s">
        <v>238</v>
      </c>
      <c r="BF1098" s="5" t="s">
        <v>710</v>
      </c>
      <c r="BH1098" s="5" t="s">
        <v>283</v>
      </c>
      <c r="BI1098" s="6" t="s">
        <v>293</v>
      </c>
      <c r="BJ1098" s="5" t="s">
        <v>294</v>
      </c>
      <c r="BK1098" s="5" t="s">
        <v>294</v>
      </c>
      <c r="BL1098" s="5" t="s">
        <v>238</v>
      </c>
      <c r="BM1098" s="7">
        <f>0</f>
        <v>0</v>
      </c>
      <c r="BN1098" s="8">
        <f>-4981402</f>
        <v>-4981402</v>
      </c>
      <c r="BO1098" s="5" t="s">
        <v>257</v>
      </c>
      <c r="BP1098" s="5" t="s">
        <v>258</v>
      </c>
      <c r="BQ1098" s="5" t="s">
        <v>238</v>
      </c>
      <c r="BR1098" s="5" t="s">
        <v>238</v>
      </c>
      <c r="BS1098" s="5" t="s">
        <v>238</v>
      </c>
      <c r="BT1098" s="5" t="s">
        <v>238</v>
      </c>
      <c r="CC1098" s="5" t="s">
        <v>258</v>
      </c>
      <c r="CD1098" s="5" t="s">
        <v>238</v>
      </c>
      <c r="CE1098" s="5" t="s">
        <v>238</v>
      </c>
      <c r="CI1098" s="5" t="s">
        <v>527</v>
      </c>
      <c r="CJ1098" s="5" t="s">
        <v>260</v>
      </c>
      <c r="CK1098" s="5" t="s">
        <v>238</v>
      </c>
      <c r="CM1098" s="5" t="s">
        <v>877</v>
      </c>
      <c r="CN1098" s="6" t="s">
        <v>262</v>
      </c>
      <c r="CO1098" s="5" t="s">
        <v>263</v>
      </c>
      <c r="CP1098" s="5" t="s">
        <v>264</v>
      </c>
      <c r="CQ1098" s="5" t="s">
        <v>285</v>
      </c>
      <c r="CR1098" s="5" t="s">
        <v>238</v>
      </c>
      <c r="CS1098" s="5">
        <v>2.1999999999999999E-2</v>
      </c>
      <c r="CT1098" s="5" t="s">
        <v>265</v>
      </c>
      <c r="CU1098" s="5" t="s">
        <v>1330</v>
      </c>
      <c r="CV1098" s="5" t="s">
        <v>308</v>
      </c>
      <c r="CW1098" s="7">
        <f>0</f>
        <v>0</v>
      </c>
      <c r="CX1098" s="8">
        <f>226427400</f>
        <v>226427400</v>
      </c>
      <c r="CY1098" s="8">
        <f>42115526</f>
        <v>42115526</v>
      </c>
      <c r="DA1098" s="5" t="s">
        <v>238</v>
      </c>
      <c r="DB1098" s="5" t="s">
        <v>238</v>
      </c>
      <c r="DD1098" s="5" t="s">
        <v>238</v>
      </c>
      <c r="DE1098" s="8">
        <f>0</f>
        <v>0</v>
      </c>
      <c r="DG1098" s="5" t="s">
        <v>238</v>
      </c>
      <c r="DH1098" s="5" t="s">
        <v>238</v>
      </c>
      <c r="DI1098" s="5" t="s">
        <v>238</v>
      </c>
      <c r="DJ1098" s="5" t="s">
        <v>238</v>
      </c>
      <c r="DK1098" s="5" t="s">
        <v>271</v>
      </c>
      <c r="DL1098" s="5" t="s">
        <v>272</v>
      </c>
      <c r="DM1098" s="7">
        <f>1257.93</f>
        <v>1257.93</v>
      </c>
      <c r="DN1098" s="5" t="s">
        <v>238</v>
      </c>
      <c r="DO1098" s="5" t="s">
        <v>238</v>
      </c>
      <c r="DP1098" s="5" t="s">
        <v>238</v>
      </c>
      <c r="DQ1098" s="5" t="s">
        <v>238</v>
      </c>
      <c r="DT1098" s="5" t="s">
        <v>1705</v>
      </c>
      <c r="DU1098" s="5" t="s">
        <v>271</v>
      </c>
      <c r="GL1098" s="5" t="s">
        <v>1706</v>
      </c>
      <c r="HM1098" s="5" t="s">
        <v>313</v>
      </c>
      <c r="HP1098" s="5" t="s">
        <v>272</v>
      </c>
      <c r="HQ1098" s="5" t="s">
        <v>272</v>
      </c>
      <c r="HR1098" s="5" t="s">
        <v>238</v>
      </c>
      <c r="HS1098" s="5" t="s">
        <v>238</v>
      </c>
      <c r="HT1098" s="5" t="s">
        <v>238</v>
      </c>
      <c r="HU1098" s="5" t="s">
        <v>238</v>
      </c>
      <c r="HV1098" s="5" t="s">
        <v>238</v>
      </c>
      <c r="HW1098" s="5" t="s">
        <v>238</v>
      </c>
      <c r="HX1098" s="5" t="s">
        <v>238</v>
      </c>
      <c r="HY1098" s="5" t="s">
        <v>238</v>
      </c>
      <c r="HZ1098" s="5" t="s">
        <v>238</v>
      </c>
      <c r="IA1098" s="5" t="s">
        <v>238</v>
      </c>
      <c r="IB1098" s="5" t="s">
        <v>238</v>
      </c>
      <c r="IC1098" s="5" t="s">
        <v>238</v>
      </c>
      <c r="ID1098" s="5" t="s">
        <v>238</v>
      </c>
    </row>
    <row r="1099" spans="1:238" x14ac:dyDescent="0.4">
      <c r="A1099" s="5">
        <v>1429</v>
      </c>
      <c r="B1099" s="5">
        <v>1</v>
      </c>
      <c r="C1099" s="5">
        <v>4</v>
      </c>
      <c r="D1099" s="5" t="s">
        <v>1704</v>
      </c>
      <c r="E1099" s="5" t="s">
        <v>338</v>
      </c>
      <c r="F1099" s="5" t="s">
        <v>282</v>
      </c>
      <c r="G1099" s="5" t="s">
        <v>1666</v>
      </c>
      <c r="H1099" s="6" t="s">
        <v>1335</v>
      </c>
      <c r="I1099" s="5" t="s">
        <v>1308</v>
      </c>
      <c r="J1099" s="7">
        <f>15.54</f>
        <v>15.54</v>
      </c>
      <c r="K1099" s="5" t="s">
        <v>270</v>
      </c>
      <c r="L1099" s="8">
        <f>1</f>
        <v>1</v>
      </c>
      <c r="M1099" s="8">
        <f>1787100</f>
        <v>1787100</v>
      </c>
      <c r="N1099" s="6" t="s">
        <v>876</v>
      </c>
      <c r="O1099" s="5" t="s">
        <v>639</v>
      </c>
      <c r="P1099" s="5" t="s">
        <v>866</v>
      </c>
      <c r="Q1099" s="8">
        <f>48251</f>
        <v>48251</v>
      </c>
      <c r="R1099" s="8">
        <f>1787099</f>
        <v>1787099</v>
      </c>
      <c r="S1099" s="5" t="s">
        <v>240</v>
      </c>
      <c r="T1099" s="5" t="s">
        <v>237</v>
      </c>
      <c r="U1099" s="5" t="s">
        <v>238</v>
      </c>
      <c r="V1099" s="5" t="s">
        <v>238</v>
      </c>
      <c r="W1099" s="5" t="s">
        <v>241</v>
      </c>
      <c r="X1099" s="5" t="s">
        <v>337</v>
      </c>
      <c r="Y1099" s="5" t="s">
        <v>238</v>
      </c>
      <c r="AB1099" s="5" t="s">
        <v>238</v>
      </c>
      <c r="AC1099" s="6" t="s">
        <v>238</v>
      </c>
      <c r="AD1099" s="6" t="s">
        <v>238</v>
      </c>
      <c r="AF1099" s="6" t="s">
        <v>238</v>
      </c>
      <c r="AG1099" s="6" t="s">
        <v>246</v>
      </c>
      <c r="AH1099" s="5" t="s">
        <v>247</v>
      </c>
      <c r="AI1099" s="5" t="s">
        <v>248</v>
      </c>
      <c r="AO1099" s="5" t="s">
        <v>238</v>
      </c>
      <c r="AP1099" s="5" t="s">
        <v>238</v>
      </c>
      <c r="AQ1099" s="5" t="s">
        <v>238</v>
      </c>
      <c r="AR1099" s="6" t="s">
        <v>238</v>
      </c>
      <c r="AS1099" s="6" t="s">
        <v>238</v>
      </c>
      <c r="AT1099" s="6" t="s">
        <v>238</v>
      </c>
      <c r="AW1099" s="5" t="s">
        <v>304</v>
      </c>
      <c r="AX1099" s="5" t="s">
        <v>304</v>
      </c>
      <c r="AY1099" s="5" t="s">
        <v>250</v>
      </c>
      <c r="AZ1099" s="5" t="s">
        <v>305</v>
      </c>
      <c r="BA1099" s="5" t="s">
        <v>251</v>
      </c>
      <c r="BB1099" s="5" t="s">
        <v>238</v>
      </c>
      <c r="BC1099" s="5" t="s">
        <v>253</v>
      </c>
      <c r="BD1099" s="5" t="s">
        <v>238</v>
      </c>
      <c r="BF1099" s="5" t="s">
        <v>238</v>
      </c>
      <c r="BH1099" s="5" t="s">
        <v>283</v>
      </c>
      <c r="BI1099" s="6" t="s">
        <v>293</v>
      </c>
      <c r="BJ1099" s="5" t="s">
        <v>294</v>
      </c>
      <c r="BK1099" s="5" t="s">
        <v>294</v>
      </c>
      <c r="BL1099" s="5" t="s">
        <v>238</v>
      </c>
      <c r="BM1099" s="7">
        <f>0</f>
        <v>0</v>
      </c>
      <c r="BN1099" s="8">
        <f>-1812</f>
        <v>-1812</v>
      </c>
      <c r="BO1099" s="5" t="s">
        <v>257</v>
      </c>
      <c r="BP1099" s="5" t="s">
        <v>258</v>
      </c>
      <c r="BQ1099" s="5" t="s">
        <v>238</v>
      </c>
      <c r="BR1099" s="5" t="s">
        <v>238</v>
      </c>
      <c r="BS1099" s="5" t="s">
        <v>238</v>
      </c>
      <c r="BT1099" s="5" t="s">
        <v>238</v>
      </c>
      <c r="CC1099" s="5" t="s">
        <v>258</v>
      </c>
      <c r="CD1099" s="5" t="s">
        <v>238</v>
      </c>
      <c r="CE1099" s="5" t="s">
        <v>238</v>
      </c>
      <c r="CI1099" s="5" t="s">
        <v>527</v>
      </c>
      <c r="CJ1099" s="5" t="s">
        <v>260</v>
      </c>
      <c r="CK1099" s="5" t="s">
        <v>238</v>
      </c>
      <c r="CM1099" s="5" t="s">
        <v>877</v>
      </c>
      <c r="CN1099" s="6" t="s">
        <v>262</v>
      </c>
      <c r="CO1099" s="5" t="s">
        <v>263</v>
      </c>
      <c r="CP1099" s="5" t="s">
        <v>264</v>
      </c>
      <c r="CQ1099" s="5" t="s">
        <v>285</v>
      </c>
      <c r="CR1099" s="5" t="s">
        <v>238</v>
      </c>
      <c r="CS1099" s="5">
        <v>2.7E-2</v>
      </c>
      <c r="CT1099" s="5" t="s">
        <v>265</v>
      </c>
      <c r="CU1099" s="5" t="s">
        <v>1330</v>
      </c>
      <c r="CV1099" s="5" t="s">
        <v>754</v>
      </c>
      <c r="CW1099" s="7">
        <f>0</f>
        <v>0</v>
      </c>
      <c r="CX1099" s="8">
        <f>1787100</f>
        <v>1787100</v>
      </c>
      <c r="CY1099" s="8">
        <f>1813</f>
        <v>1813</v>
      </c>
      <c r="DA1099" s="5" t="s">
        <v>238</v>
      </c>
      <c r="DB1099" s="5" t="s">
        <v>238</v>
      </c>
      <c r="DD1099" s="5" t="s">
        <v>238</v>
      </c>
      <c r="DE1099" s="8">
        <f>0</f>
        <v>0</v>
      </c>
      <c r="DG1099" s="5" t="s">
        <v>238</v>
      </c>
      <c r="DH1099" s="5" t="s">
        <v>238</v>
      </c>
      <c r="DI1099" s="5" t="s">
        <v>238</v>
      </c>
      <c r="DJ1099" s="5" t="s">
        <v>238</v>
      </c>
      <c r="DK1099" s="5" t="s">
        <v>271</v>
      </c>
      <c r="DL1099" s="5" t="s">
        <v>272</v>
      </c>
      <c r="DM1099" s="7">
        <f>15.54</f>
        <v>15.54</v>
      </c>
      <c r="DN1099" s="5" t="s">
        <v>238</v>
      </c>
      <c r="DO1099" s="5" t="s">
        <v>238</v>
      </c>
      <c r="DP1099" s="5" t="s">
        <v>238</v>
      </c>
      <c r="DQ1099" s="5" t="s">
        <v>238</v>
      </c>
      <c r="DT1099" s="5" t="s">
        <v>1705</v>
      </c>
      <c r="DU1099" s="5" t="s">
        <v>274</v>
      </c>
      <c r="GL1099" s="5" t="s">
        <v>1748</v>
      </c>
      <c r="HM1099" s="5" t="s">
        <v>313</v>
      </c>
      <c r="HP1099" s="5" t="s">
        <v>272</v>
      </c>
      <c r="HQ1099" s="5" t="s">
        <v>272</v>
      </c>
      <c r="HR1099" s="5" t="s">
        <v>238</v>
      </c>
      <c r="HS1099" s="5" t="s">
        <v>238</v>
      </c>
      <c r="HT1099" s="5" t="s">
        <v>238</v>
      </c>
      <c r="HU1099" s="5" t="s">
        <v>238</v>
      </c>
      <c r="HV1099" s="5" t="s">
        <v>238</v>
      </c>
      <c r="HW1099" s="5" t="s">
        <v>238</v>
      </c>
      <c r="HX1099" s="5" t="s">
        <v>238</v>
      </c>
      <c r="HY1099" s="5" t="s">
        <v>238</v>
      </c>
      <c r="HZ1099" s="5" t="s">
        <v>238</v>
      </c>
      <c r="IA1099" s="5" t="s">
        <v>238</v>
      </c>
      <c r="IB1099" s="5" t="s">
        <v>238</v>
      </c>
      <c r="IC1099" s="5" t="s">
        <v>238</v>
      </c>
      <c r="ID1099" s="5" t="s">
        <v>238</v>
      </c>
    </row>
    <row r="1100" spans="1:238" x14ac:dyDescent="0.4">
      <c r="A1100" s="5">
        <v>1430</v>
      </c>
      <c r="B1100" s="5">
        <v>1</v>
      </c>
      <c r="C1100" s="5">
        <v>4</v>
      </c>
      <c r="D1100" s="5" t="s">
        <v>1704</v>
      </c>
      <c r="E1100" s="5" t="s">
        <v>338</v>
      </c>
      <c r="F1100" s="5" t="s">
        <v>282</v>
      </c>
      <c r="G1100" s="5" t="s">
        <v>1666</v>
      </c>
      <c r="H1100" s="6" t="s">
        <v>1335</v>
      </c>
      <c r="I1100" s="5" t="s">
        <v>1308</v>
      </c>
      <c r="J1100" s="7">
        <f>16.2</f>
        <v>16.2</v>
      </c>
      <c r="K1100" s="5" t="s">
        <v>270</v>
      </c>
      <c r="L1100" s="8">
        <f>1</f>
        <v>1</v>
      </c>
      <c r="M1100" s="8">
        <f>1863000</f>
        <v>1863000</v>
      </c>
      <c r="N1100" s="6" t="s">
        <v>876</v>
      </c>
      <c r="O1100" s="5" t="s">
        <v>639</v>
      </c>
      <c r="P1100" s="5" t="s">
        <v>866</v>
      </c>
      <c r="Q1100" s="8">
        <f>50301</f>
        <v>50301</v>
      </c>
      <c r="R1100" s="8">
        <f>1862999</f>
        <v>1862999</v>
      </c>
      <c r="S1100" s="5" t="s">
        <v>240</v>
      </c>
      <c r="T1100" s="5" t="s">
        <v>237</v>
      </c>
      <c r="U1100" s="5" t="s">
        <v>238</v>
      </c>
      <c r="V1100" s="5" t="s">
        <v>238</v>
      </c>
      <c r="W1100" s="5" t="s">
        <v>241</v>
      </c>
      <c r="X1100" s="5" t="s">
        <v>337</v>
      </c>
      <c r="Y1100" s="5" t="s">
        <v>238</v>
      </c>
      <c r="AB1100" s="5" t="s">
        <v>238</v>
      </c>
      <c r="AC1100" s="6" t="s">
        <v>238</v>
      </c>
      <c r="AD1100" s="6" t="s">
        <v>238</v>
      </c>
      <c r="AF1100" s="6" t="s">
        <v>238</v>
      </c>
      <c r="AG1100" s="6" t="s">
        <v>246</v>
      </c>
      <c r="AH1100" s="5" t="s">
        <v>247</v>
      </c>
      <c r="AI1100" s="5" t="s">
        <v>248</v>
      </c>
      <c r="AO1100" s="5" t="s">
        <v>238</v>
      </c>
      <c r="AP1100" s="5" t="s">
        <v>238</v>
      </c>
      <c r="AQ1100" s="5" t="s">
        <v>238</v>
      </c>
      <c r="AR1100" s="6" t="s">
        <v>238</v>
      </c>
      <c r="AS1100" s="6" t="s">
        <v>238</v>
      </c>
      <c r="AT1100" s="6" t="s">
        <v>238</v>
      </c>
      <c r="AW1100" s="5" t="s">
        <v>304</v>
      </c>
      <c r="AX1100" s="5" t="s">
        <v>304</v>
      </c>
      <c r="AY1100" s="5" t="s">
        <v>250</v>
      </c>
      <c r="AZ1100" s="5" t="s">
        <v>305</v>
      </c>
      <c r="BA1100" s="5" t="s">
        <v>251</v>
      </c>
      <c r="BB1100" s="5" t="s">
        <v>238</v>
      </c>
      <c r="BC1100" s="5" t="s">
        <v>253</v>
      </c>
      <c r="BD1100" s="5" t="s">
        <v>238</v>
      </c>
      <c r="BF1100" s="5" t="s">
        <v>238</v>
      </c>
      <c r="BH1100" s="5" t="s">
        <v>283</v>
      </c>
      <c r="BI1100" s="6" t="s">
        <v>293</v>
      </c>
      <c r="BJ1100" s="5" t="s">
        <v>294</v>
      </c>
      <c r="BK1100" s="5" t="s">
        <v>294</v>
      </c>
      <c r="BL1100" s="5" t="s">
        <v>238</v>
      </c>
      <c r="BM1100" s="7">
        <f>0</f>
        <v>0</v>
      </c>
      <c r="BN1100" s="8">
        <f>-1862</f>
        <v>-1862</v>
      </c>
      <c r="BO1100" s="5" t="s">
        <v>257</v>
      </c>
      <c r="BP1100" s="5" t="s">
        <v>258</v>
      </c>
      <c r="BQ1100" s="5" t="s">
        <v>238</v>
      </c>
      <c r="BR1100" s="5" t="s">
        <v>238</v>
      </c>
      <c r="BS1100" s="5" t="s">
        <v>238</v>
      </c>
      <c r="BT1100" s="5" t="s">
        <v>238</v>
      </c>
      <c r="CC1100" s="5" t="s">
        <v>258</v>
      </c>
      <c r="CD1100" s="5" t="s">
        <v>238</v>
      </c>
      <c r="CE1100" s="5" t="s">
        <v>238</v>
      </c>
      <c r="CI1100" s="5" t="s">
        <v>527</v>
      </c>
      <c r="CJ1100" s="5" t="s">
        <v>260</v>
      </c>
      <c r="CK1100" s="5" t="s">
        <v>238</v>
      </c>
      <c r="CM1100" s="5" t="s">
        <v>877</v>
      </c>
      <c r="CN1100" s="6" t="s">
        <v>262</v>
      </c>
      <c r="CO1100" s="5" t="s">
        <v>263</v>
      </c>
      <c r="CP1100" s="5" t="s">
        <v>264</v>
      </c>
      <c r="CQ1100" s="5" t="s">
        <v>285</v>
      </c>
      <c r="CR1100" s="5" t="s">
        <v>238</v>
      </c>
      <c r="CS1100" s="5">
        <v>2.7E-2</v>
      </c>
      <c r="CT1100" s="5" t="s">
        <v>265</v>
      </c>
      <c r="CU1100" s="5" t="s">
        <v>1330</v>
      </c>
      <c r="CV1100" s="5" t="s">
        <v>754</v>
      </c>
      <c r="CW1100" s="7">
        <f>0</f>
        <v>0</v>
      </c>
      <c r="CX1100" s="8">
        <f>1863000</f>
        <v>1863000</v>
      </c>
      <c r="CY1100" s="8">
        <f>1863</f>
        <v>1863</v>
      </c>
      <c r="DA1100" s="5" t="s">
        <v>238</v>
      </c>
      <c r="DB1100" s="5" t="s">
        <v>238</v>
      </c>
      <c r="DD1100" s="5" t="s">
        <v>238</v>
      </c>
      <c r="DE1100" s="8">
        <f>0</f>
        <v>0</v>
      </c>
      <c r="DG1100" s="5" t="s">
        <v>238</v>
      </c>
      <c r="DH1100" s="5" t="s">
        <v>238</v>
      </c>
      <c r="DI1100" s="5" t="s">
        <v>238</v>
      </c>
      <c r="DJ1100" s="5" t="s">
        <v>238</v>
      </c>
      <c r="DK1100" s="5" t="s">
        <v>271</v>
      </c>
      <c r="DL1100" s="5" t="s">
        <v>272</v>
      </c>
      <c r="DM1100" s="7">
        <f>16.2</f>
        <v>16.2</v>
      </c>
      <c r="DN1100" s="5" t="s">
        <v>238</v>
      </c>
      <c r="DO1100" s="5" t="s">
        <v>238</v>
      </c>
      <c r="DP1100" s="5" t="s">
        <v>238</v>
      </c>
      <c r="DQ1100" s="5" t="s">
        <v>238</v>
      </c>
      <c r="DT1100" s="5" t="s">
        <v>1705</v>
      </c>
      <c r="DU1100" s="5" t="s">
        <v>356</v>
      </c>
      <c r="GL1100" s="5" t="s">
        <v>1741</v>
      </c>
      <c r="HM1100" s="5" t="s">
        <v>313</v>
      </c>
      <c r="HP1100" s="5" t="s">
        <v>272</v>
      </c>
      <c r="HQ1100" s="5" t="s">
        <v>272</v>
      </c>
      <c r="HR1100" s="5" t="s">
        <v>238</v>
      </c>
      <c r="HS1100" s="5" t="s">
        <v>238</v>
      </c>
      <c r="HT1100" s="5" t="s">
        <v>238</v>
      </c>
      <c r="HU1100" s="5" t="s">
        <v>238</v>
      </c>
      <c r="HV1100" s="5" t="s">
        <v>238</v>
      </c>
      <c r="HW1100" s="5" t="s">
        <v>238</v>
      </c>
      <c r="HX1100" s="5" t="s">
        <v>238</v>
      </c>
      <c r="HY1100" s="5" t="s">
        <v>238</v>
      </c>
      <c r="HZ1100" s="5" t="s">
        <v>238</v>
      </c>
      <c r="IA1100" s="5" t="s">
        <v>238</v>
      </c>
      <c r="IB1100" s="5" t="s">
        <v>238</v>
      </c>
      <c r="IC1100" s="5" t="s">
        <v>238</v>
      </c>
      <c r="ID1100" s="5" t="s">
        <v>238</v>
      </c>
    </row>
    <row r="1101" spans="1:238" x14ac:dyDescent="0.4">
      <c r="A1101" s="5">
        <v>1431</v>
      </c>
      <c r="B1101" s="5">
        <v>1</v>
      </c>
      <c r="C1101" s="5">
        <v>1</v>
      </c>
      <c r="D1101" s="5" t="s">
        <v>1684</v>
      </c>
      <c r="E1101" s="5" t="s">
        <v>338</v>
      </c>
      <c r="F1101" s="5" t="s">
        <v>282</v>
      </c>
      <c r="G1101" s="5" t="s">
        <v>1308</v>
      </c>
      <c r="H1101" s="6" t="s">
        <v>1108</v>
      </c>
      <c r="I1101" s="5" t="s">
        <v>1308</v>
      </c>
      <c r="J1101" s="7">
        <f>765</f>
        <v>765</v>
      </c>
      <c r="K1101" s="5" t="s">
        <v>270</v>
      </c>
      <c r="L1101" s="8">
        <f>1</f>
        <v>1</v>
      </c>
      <c r="M1101" s="8">
        <f>68850000</f>
        <v>68850000</v>
      </c>
      <c r="N1101" s="6" t="s">
        <v>1117</v>
      </c>
      <c r="O1101" s="5" t="s">
        <v>755</v>
      </c>
      <c r="P1101" s="5" t="s">
        <v>971</v>
      </c>
      <c r="R1101" s="8">
        <f>68849999</f>
        <v>68849999</v>
      </c>
      <c r="S1101" s="5" t="s">
        <v>240</v>
      </c>
      <c r="T1101" s="5" t="s">
        <v>237</v>
      </c>
      <c r="U1101" s="5" t="s">
        <v>238</v>
      </c>
      <c r="V1101" s="5" t="s">
        <v>238</v>
      </c>
      <c r="W1101" s="5" t="s">
        <v>241</v>
      </c>
      <c r="X1101" s="5" t="s">
        <v>337</v>
      </c>
      <c r="Y1101" s="5" t="s">
        <v>238</v>
      </c>
      <c r="AB1101" s="5" t="s">
        <v>238</v>
      </c>
      <c r="AD1101" s="6" t="s">
        <v>238</v>
      </c>
      <c r="AG1101" s="6" t="s">
        <v>246</v>
      </c>
      <c r="AH1101" s="5" t="s">
        <v>247</v>
      </c>
      <c r="AI1101" s="5" t="s">
        <v>248</v>
      </c>
      <c r="AY1101" s="5" t="s">
        <v>250</v>
      </c>
      <c r="AZ1101" s="5" t="s">
        <v>238</v>
      </c>
      <c r="BA1101" s="5" t="s">
        <v>251</v>
      </c>
      <c r="BB1101" s="5" t="s">
        <v>238</v>
      </c>
      <c r="BC1101" s="5" t="s">
        <v>253</v>
      </c>
      <c r="BD1101" s="5" t="s">
        <v>238</v>
      </c>
      <c r="BF1101" s="5" t="s">
        <v>238</v>
      </c>
      <c r="BH1101" s="5" t="s">
        <v>254</v>
      </c>
      <c r="BI1101" s="6" t="s">
        <v>246</v>
      </c>
      <c r="BJ1101" s="5" t="s">
        <v>255</v>
      </c>
      <c r="BK1101" s="5" t="s">
        <v>256</v>
      </c>
      <c r="BL1101" s="5" t="s">
        <v>238</v>
      </c>
      <c r="BM1101" s="7">
        <f>0</f>
        <v>0</v>
      </c>
      <c r="BN1101" s="8">
        <f>0</f>
        <v>0</v>
      </c>
      <c r="BO1101" s="5" t="s">
        <v>257</v>
      </c>
      <c r="BP1101" s="5" t="s">
        <v>258</v>
      </c>
      <c r="CD1101" s="5" t="s">
        <v>238</v>
      </c>
      <c r="CE1101" s="5" t="s">
        <v>238</v>
      </c>
      <c r="CI1101" s="5" t="s">
        <v>527</v>
      </c>
      <c r="CJ1101" s="5" t="s">
        <v>260</v>
      </c>
      <c r="CK1101" s="5" t="s">
        <v>238</v>
      </c>
      <c r="CM1101" s="5" t="s">
        <v>970</v>
      </c>
      <c r="CN1101" s="6" t="s">
        <v>262</v>
      </c>
      <c r="CO1101" s="5" t="s">
        <v>263</v>
      </c>
      <c r="CP1101" s="5" t="s">
        <v>264</v>
      </c>
      <c r="CQ1101" s="5" t="s">
        <v>238</v>
      </c>
      <c r="CR1101" s="5" t="s">
        <v>238</v>
      </c>
      <c r="CS1101" s="5">
        <v>0</v>
      </c>
      <c r="CT1101" s="5" t="s">
        <v>265</v>
      </c>
      <c r="CU1101" s="5" t="s">
        <v>1330</v>
      </c>
      <c r="CV1101" s="5" t="s">
        <v>649</v>
      </c>
      <c r="CX1101" s="8">
        <f>68850000</f>
        <v>68850000</v>
      </c>
      <c r="CY1101" s="8">
        <f>0</f>
        <v>0</v>
      </c>
      <c r="DA1101" s="5" t="s">
        <v>238</v>
      </c>
      <c r="DB1101" s="5" t="s">
        <v>238</v>
      </c>
      <c r="DD1101" s="5" t="s">
        <v>238</v>
      </c>
      <c r="DG1101" s="5" t="s">
        <v>238</v>
      </c>
      <c r="DH1101" s="5" t="s">
        <v>238</v>
      </c>
      <c r="DI1101" s="5" t="s">
        <v>238</v>
      </c>
      <c r="DJ1101" s="5" t="s">
        <v>238</v>
      </c>
      <c r="DK1101" s="5" t="s">
        <v>271</v>
      </c>
      <c r="DL1101" s="5" t="s">
        <v>272</v>
      </c>
      <c r="DM1101" s="7">
        <f>765</f>
        <v>765</v>
      </c>
      <c r="DN1101" s="5" t="s">
        <v>238</v>
      </c>
      <c r="DO1101" s="5" t="s">
        <v>238</v>
      </c>
      <c r="DP1101" s="5" t="s">
        <v>238</v>
      </c>
      <c r="DQ1101" s="5" t="s">
        <v>238</v>
      </c>
      <c r="DT1101" s="5" t="s">
        <v>1685</v>
      </c>
      <c r="DU1101" s="5" t="s">
        <v>271</v>
      </c>
      <c r="HM1101" s="5" t="s">
        <v>271</v>
      </c>
      <c r="HP1101" s="5" t="s">
        <v>272</v>
      </c>
      <c r="HQ1101" s="5" t="s">
        <v>272</v>
      </c>
    </row>
    <row r="1102" spans="1:238" x14ac:dyDescent="0.4">
      <c r="A1102" s="5">
        <v>1432</v>
      </c>
      <c r="B1102" s="5">
        <v>1</v>
      </c>
      <c r="C1102" s="5">
        <v>4</v>
      </c>
      <c r="D1102" s="5" t="s">
        <v>1715</v>
      </c>
      <c r="E1102" s="5" t="s">
        <v>338</v>
      </c>
      <c r="F1102" s="5" t="s">
        <v>282</v>
      </c>
      <c r="G1102" s="5" t="s">
        <v>1666</v>
      </c>
      <c r="H1102" s="6" t="s">
        <v>989</v>
      </c>
      <c r="I1102" s="5" t="s">
        <v>1308</v>
      </c>
      <c r="J1102" s="7">
        <f>2421.9</f>
        <v>2421.9</v>
      </c>
      <c r="K1102" s="5" t="s">
        <v>270</v>
      </c>
      <c r="L1102" s="8">
        <f>71494488</f>
        <v>71494488</v>
      </c>
      <c r="M1102" s="8">
        <f>435942000</f>
        <v>435942000</v>
      </c>
      <c r="N1102" s="6" t="s">
        <v>1728</v>
      </c>
      <c r="O1102" s="5" t="s">
        <v>898</v>
      </c>
      <c r="P1102" s="5" t="s">
        <v>866</v>
      </c>
      <c r="Q1102" s="8">
        <f>9590724</f>
        <v>9590724</v>
      </c>
      <c r="R1102" s="8">
        <f>364447512</f>
        <v>364447512</v>
      </c>
      <c r="S1102" s="5" t="s">
        <v>240</v>
      </c>
      <c r="T1102" s="5" t="s">
        <v>237</v>
      </c>
      <c r="U1102" s="5" t="s">
        <v>238</v>
      </c>
      <c r="V1102" s="5" t="s">
        <v>238</v>
      </c>
      <c r="W1102" s="5" t="s">
        <v>241</v>
      </c>
      <c r="X1102" s="5" t="s">
        <v>337</v>
      </c>
      <c r="Y1102" s="5" t="s">
        <v>238</v>
      </c>
      <c r="AB1102" s="5" t="s">
        <v>238</v>
      </c>
      <c r="AC1102" s="6" t="s">
        <v>238</v>
      </c>
      <c r="AD1102" s="6" t="s">
        <v>238</v>
      </c>
      <c r="AF1102" s="6" t="s">
        <v>238</v>
      </c>
      <c r="AG1102" s="6" t="s">
        <v>246</v>
      </c>
      <c r="AH1102" s="5" t="s">
        <v>247</v>
      </c>
      <c r="AI1102" s="5" t="s">
        <v>248</v>
      </c>
      <c r="AO1102" s="5" t="s">
        <v>238</v>
      </c>
      <c r="AP1102" s="5" t="s">
        <v>238</v>
      </c>
      <c r="AQ1102" s="5" t="s">
        <v>238</v>
      </c>
      <c r="AR1102" s="6" t="s">
        <v>238</v>
      </c>
      <c r="AS1102" s="6" t="s">
        <v>238</v>
      </c>
      <c r="AT1102" s="6" t="s">
        <v>238</v>
      </c>
      <c r="AW1102" s="5" t="s">
        <v>304</v>
      </c>
      <c r="AX1102" s="5" t="s">
        <v>304</v>
      </c>
      <c r="AY1102" s="5" t="s">
        <v>250</v>
      </c>
      <c r="AZ1102" s="5" t="s">
        <v>305</v>
      </c>
      <c r="BA1102" s="5" t="s">
        <v>251</v>
      </c>
      <c r="BB1102" s="5" t="s">
        <v>238</v>
      </c>
      <c r="BC1102" s="5" t="s">
        <v>253</v>
      </c>
      <c r="BD1102" s="5" t="s">
        <v>238</v>
      </c>
      <c r="BF1102" s="5" t="s">
        <v>238</v>
      </c>
      <c r="BH1102" s="5" t="s">
        <v>283</v>
      </c>
      <c r="BI1102" s="6" t="s">
        <v>293</v>
      </c>
      <c r="BJ1102" s="5" t="s">
        <v>294</v>
      </c>
      <c r="BK1102" s="5" t="s">
        <v>294</v>
      </c>
      <c r="BL1102" s="5" t="s">
        <v>238</v>
      </c>
      <c r="BM1102" s="7">
        <f>0</f>
        <v>0</v>
      </c>
      <c r="BN1102" s="8">
        <f>-9590724</f>
        <v>-9590724</v>
      </c>
      <c r="BO1102" s="5" t="s">
        <v>257</v>
      </c>
      <c r="BP1102" s="5" t="s">
        <v>258</v>
      </c>
      <c r="BQ1102" s="5" t="s">
        <v>238</v>
      </c>
      <c r="BR1102" s="5" t="s">
        <v>238</v>
      </c>
      <c r="BS1102" s="5" t="s">
        <v>238</v>
      </c>
      <c r="BT1102" s="5" t="s">
        <v>238</v>
      </c>
      <c r="CC1102" s="5" t="s">
        <v>258</v>
      </c>
      <c r="CD1102" s="5" t="s">
        <v>238</v>
      </c>
      <c r="CE1102" s="5" t="s">
        <v>238</v>
      </c>
      <c r="CI1102" s="5" t="s">
        <v>527</v>
      </c>
      <c r="CJ1102" s="5" t="s">
        <v>260</v>
      </c>
      <c r="CK1102" s="5" t="s">
        <v>238</v>
      </c>
      <c r="CM1102" s="5" t="s">
        <v>877</v>
      </c>
      <c r="CN1102" s="6" t="s">
        <v>262</v>
      </c>
      <c r="CO1102" s="5" t="s">
        <v>263</v>
      </c>
      <c r="CP1102" s="5" t="s">
        <v>264</v>
      </c>
      <c r="CQ1102" s="5" t="s">
        <v>285</v>
      </c>
      <c r="CR1102" s="5" t="s">
        <v>238</v>
      </c>
      <c r="CS1102" s="5">
        <v>2.1999999999999999E-2</v>
      </c>
      <c r="CT1102" s="5" t="s">
        <v>265</v>
      </c>
      <c r="CU1102" s="5" t="s">
        <v>1330</v>
      </c>
      <c r="CV1102" s="5" t="s">
        <v>308</v>
      </c>
      <c r="CW1102" s="7">
        <f>0</f>
        <v>0</v>
      </c>
      <c r="CX1102" s="8">
        <f>435942000</f>
        <v>435942000</v>
      </c>
      <c r="CY1102" s="8">
        <f>81085212</f>
        <v>81085212</v>
      </c>
      <c r="DA1102" s="5" t="s">
        <v>238</v>
      </c>
      <c r="DB1102" s="5" t="s">
        <v>238</v>
      </c>
      <c r="DD1102" s="5" t="s">
        <v>238</v>
      </c>
      <c r="DE1102" s="8">
        <f>0</f>
        <v>0</v>
      </c>
      <c r="DG1102" s="5" t="s">
        <v>238</v>
      </c>
      <c r="DH1102" s="5" t="s">
        <v>238</v>
      </c>
      <c r="DI1102" s="5" t="s">
        <v>238</v>
      </c>
      <c r="DJ1102" s="5" t="s">
        <v>238</v>
      </c>
      <c r="DK1102" s="5" t="s">
        <v>274</v>
      </c>
      <c r="DL1102" s="5" t="s">
        <v>272</v>
      </c>
      <c r="DM1102" s="7">
        <f>2421.9</f>
        <v>2421.9</v>
      </c>
      <c r="DN1102" s="5" t="s">
        <v>238</v>
      </c>
      <c r="DO1102" s="5" t="s">
        <v>238</v>
      </c>
      <c r="DP1102" s="5" t="s">
        <v>238</v>
      </c>
      <c r="DQ1102" s="5" t="s">
        <v>238</v>
      </c>
      <c r="DT1102" s="5" t="s">
        <v>1717</v>
      </c>
      <c r="DU1102" s="5" t="s">
        <v>271</v>
      </c>
      <c r="GL1102" s="5" t="s">
        <v>1729</v>
      </c>
      <c r="HM1102" s="5" t="s">
        <v>313</v>
      </c>
      <c r="HP1102" s="5" t="s">
        <v>272</v>
      </c>
      <c r="HQ1102" s="5" t="s">
        <v>272</v>
      </c>
      <c r="HR1102" s="5" t="s">
        <v>238</v>
      </c>
      <c r="HS1102" s="5" t="s">
        <v>238</v>
      </c>
      <c r="HT1102" s="5" t="s">
        <v>238</v>
      </c>
      <c r="HU1102" s="5" t="s">
        <v>238</v>
      </c>
      <c r="HV1102" s="5" t="s">
        <v>238</v>
      </c>
      <c r="HW1102" s="5" t="s">
        <v>238</v>
      </c>
      <c r="HX1102" s="5" t="s">
        <v>238</v>
      </c>
      <c r="HY1102" s="5" t="s">
        <v>238</v>
      </c>
      <c r="HZ1102" s="5" t="s">
        <v>238</v>
      </c>
      <c r="IA1102" s="5" t="s">
        <v>238</v>
      </c>
      <c r="IB1102" s="5" t="s">
        <v>238</v>
      </c>
      <c r="IC1102" s="5" t="s">
        <v>238</v>
      </c>
      <c r="ID1102" s="5" t="s">
        <v>238</v>
      </c>
    </row>
    <row r="1103" spans="1:238" x14ac:dyDescent="0.4">
      <c r="A1103" s="5">
        <v>1433</v>
      </c>
      <c r="B1103" s="5">
        <v>1</v>
      </c>
      <c r="C1103" s="5">
        <v>4</v>
      </c>
      <c r="D1103" s="5" t="s">
        <v>1715</v>
      </c>
      <c r="E1103" s="5" t="s">
        <v>338</v>
      </c>
      <c r="F1103" s="5" t="s">
        <v>282</v>
      </c>
      <c r="G1103" s="5" t="s">
        <v>349</v>
      </c>
      <c r="H1103" s="6" t="s">
        <v>989</v>
      </c>
      <c r="I1103" s="5" t="s">
        <v>1714</v>
      </c>
      <c r="J1103" s="7">
        <f>0</f>
        <v>0</v>
      </c>
      <c r="K1103" s="5" t="s">
        <v>270</v>
      </c>
      <c r="L1103" s="8">
        <f>49362430</f>
        <v>49362430</v>
      </c>
      <c r="M1103" s="8">
        <f>55463400</f>
        <v>55463400</v>
      </c>
      <c r="N1103" s="6" t="s">
        <v>1716</v>
      </c>
      <c r="O1103" s="5" t="s">
        <v>898</v>
      </c>
      <c r="P1103" s="5" t="s">
        <v>356</v>
      </c>
      <c r="Q1103" s="8">
        <f>1220194</f>
        <v>1220194</v>
      </c>
      <c r="R1103" s="8">
        <f>6100970</f>
        <v>6100970</v>
      </c>
      <c r="S1103" s="5" t="s">
        <v>240</v>
      </c>
      <c r="T1103" s="5" t="s">
        <v>287</v>
      </c>
      <c r="U1103" s="5" t="s">
        <v>238</v>
      </c>
      <c r="V1103" s="5" t="s">
        <v>238</v>
      </c>
      <c r="W1103" s="5" t="s">
        <v>241</v>
      </c>
      <c r="X1103" s="5" t="s">
        <v>337</v>
      </c>
      <c r="Y1103" s="5" t="s">
        <v>238</v>
      </c>
      <c r="AB1103" s="5" t="s">
        <v>238</v>
      </c>
      <c r="AC1103" s="6" t="s">
        <v>238</v>
      </c>
      <c r="AD1103" s="6" t="s">
        <v>238</v>
      </c>
      <c r="AF1103" s="6" t="s">
        <v>238</v>
      </c>
      <c r="AG1103" s="6" t="s">
        <v>246</v>
      </c>
      <c r="AH1103" s="5" t="s">
        <v>247</v>
      </c>
      <c r="AI1103" s="5" t="s">
        <v>248</v>
      </c>
      <c r="AO1103" s="5" t="s">
        <v>238</v>
      </c>
      <c r="AP1103" s="5" t="s">
        <v>238</v>
      </c>
      <c r="AQ1103" s="5" t="s">
        <v>238</v>
      </c>
      <c r="AR1103" s="6" t="s">
        <v>238</v>
      </c>
      <c r="AS1103" s="6" t="s">
        <v>238</v>
      </c>
      <c r="AT1103" s="6" t="s">
        <v>238</v>
      </c>
      <c r="AW1103" s="5" t="s">
        <v>304</v>
      </c>
      <c r="AX1103" s="5" t="s">
        <v>304</v>
      </c>
      <c r="AY1103" s="5" t="s">
        <v>250</v>
      </c>
      <c r="AZ1103" s="5" t="s">
        <v>305</v>
      </c>
      <c r="BA1103" s="5" t="s">
        <v>251</v>
      </c>
      <c r="BB1103" s="5" t="s">
        <v>238</v>
      </c>
      <c r="BC1103" s="5" t="s">
        <v>253</v>
      </c>
      <c r="BD1103" s="5" t="s">
        <v>238</v>
      </c>
      <c r="BF1103" s="5" t="s">
        <v>238</v>
      </c>
      <c r="BH1103" s="5" t="s">
        <v>283</v>
      </c>
      <c r="BI1103" s="6" t="s">
        <v>293</v>
      </c>
      <c r="BJ1103" s="5" t="s">
        <v>294</v>
      </c>
      <c r="BK1103" s="5" t="s">
        <v>294</v>
      </c>
      <c r="BL1103" s="5" t="s">
        <v>238</v>
      </c>
      <c r="BM1103" s="7">
        <f>0</f>
        <v>0</v>
      </c>
      <c r="BN1103" s="8">
        <f>-1220194</f>
        <v>-1220194</v>
      </c>
      <c r="BO1103" s="5" t="s">
        <v>257</v>
      </c>
      <c r="BP1103" s="5" t="s">
        <v>258</v>
      </c>
      <c r="BQ1103" s="5" t="s">
        <v>238</v>
      </c>
      <c r="BR1103" s="5" t="s">
        <v>238</v>
      </c>
      <c r="BS1103" s="5" t="s">
        <v>238</v>
      </c>
      <c r="BT1103" s="5" t="s">
        <v>238</v>
      </c>
      <c r="CC1103" s="5" t="s">
        <v>258</v>
      </c>
      <c r="CD1103" s="5" t="s">
        <v>238</v>
      </c>
      <c r="CE1103" s="5" t="s">
        <v>238</v>
      </c>
      <c r="CI1103" s="5" t="s">
        <v>259</v>
      </c>
      <c r="CJ1103" s="5" t="s">
        <v>260</v>
      </c>
      <c r="CK1103" s="5" t="s">
        <v>238</v>
      </c>
      <c r="CM1103" s="5" t="s">
        <v>376</v>
      </c>
      <c r="CN1103" s="6" t="s">
        <v>262</v>
      </c>
      <c r="CO1103" s="5" t="s">
        <v>263</v>
      </c>
      <c r="CP1103" s="5" t="s">
        <v>264</v>
      </c>
      <c r="CQ1103" s="5" t="s">
        <v>285</v>
      </c>
      <c r="CR1103" s="5" t="s">
        <v>238</v>
      </c>
      <c r="CS1103" s="5">
        <v>2.1999999999999999E-2</v>
      </c>
      <c r="CT1103" s="5" t="s">
        <v>265</v>
      </c>
      <c r="CU1103" s="5" t="s">
        <v>1330</v>
      </c>
      <c r="CV1103" s="5" t="s">
        <v>308</v>
      </c>
      <c r="CW1103" s="7">
        <f>0</f>
        <v>0</v>
      </c>
      <c r="CX1103" s="8">
        <f>55463400</f>
        <v>55463400</v>
      </c>
      <c r="CY1103" s="8">
        <f>50582624</f>
        <v>50582624</v>
      </c>
      <c r="DA1103" s="5" t="s">
        <v>238</v>
      </c>
      <c r="DB1103" s="5" t="s">
        <v>238</v>
      </c>
      <c r="DD1103" s="5" t="s">
        <v>238</v>
      </c>
      <c r="DE1103" s="8">
        <f>0</f>
        <v>0</v>
      </c>
      <c r="DG1103" s="5" t="s">
        <v>238</v>
      </c>
      <c r="DH1103" s="5" t="s">
        <v>238</v>
      </c>
      <c r="DI1103" s="5" t="s">
        <v>238</v>
      </c>
      <c r="DJ1103" s="5" t="s">
        <v>238</v>
      </c>
      <c r="DK1103" s="5" t="s">
        <v>272</v>
      </c>
      <c r="DL1103" s="5" t="s">
        <v>272</v>
      </c>
      <c r="DM1103" s="8" t="s">
        <v>238</v>
      </c>
      <c r="DN1103" s="5" t="s">
        <v>238</v>
      </c>
      <c r="DO1103" s="5" t="s">
        <v>238</v>
      </c>
      <c r="DP1103" s="5" t="s">
        <v>238</v>
      </c>
      <c r="DQ1103" s="5" t="s">
        <v>238</v>
      </c>
      <c r="DT1103" s="5" t="s">
        <v>1717</v>
      </c>
      <c r="DU1103" s="5" t="s">
        <v>274</v>
      </c>
      <c r="GL1103" s="5" t="s">
        <v>1718</v>
      </c>
      <c r="HM1103" s="5" t="s">
        <v>379</v>
      </c>
      <c r="HP1103" s="5" t="s">
        <v>272</v>
      </c>
      <c r="HQ1103" s="5" t="s">
        <v>272</v>
      </c>
      <c r="HR1103" s="5" t="s">
        <v>238</v>
      </c>
      <c r="HS1103" s="5" t="s">
        <v>238</v>
      </c>
      <c r="HT1103" s="5" t="s">
        <v>238</v>
      </c>
      <c r="HU1103" s="5" t="s">
        <v>238</v>
      </c>
      <c r="HV1103" s="5" t="s">
        <v>238</v>
      </c>
      <c r="HW1103" s="5" t="s">
        <v>238</v>
      </c>
      <c r="HX1103" s="5" t="s">
        <v>238</v>
      </c>
      <c r="HY1103" s="5" t="s">
        <v>238</v>
      </c>
      <c r="HZ1103" s="5" t="s">
        <v>238</v>
      </c>
      <c r="IA1103" s="5" t="s">
        <v>238</v>
      </c>
      <c r="IB1103" s="5" t="s">
        <v>238</v>
      </c>
      <c r="IC1103" s="5" t="s">
        <v>238</v>
      </c>
      <c r="ID1103" s="5" t="s">
        <v>238</v>
      </c>
    </row>
    <row r="1104" spans="1:238" x14ac:dyDescent="0.4">
      <c r="A1104" s="5">
        <v>1434</v>
      </c>
      <c r="B1104" s="5">
        <v>1</v>
      </c>
      <c r="C1104" s="5">
        <v>4</v>
      </c>
      <c r="D1104" s="5" t="s">
        <v>2038</v>
      </c>
      <c r="E1104" s="5" t="s">
        <v>338</v>
      </c>
      <c r="F1104" s="5" t="s">
        <v>282</v>
      </c>
      <c r="G1104" s="5" t="s">
        <v>1329</v>
      </c>
      <c r="H1104" s="6" t="s">
        <v>2039</v>
      </c>
      <c r="I1104" s="5" t="s">
        <v>1917</v>
      </c>
      <c r="J1104" s="7">
        <f>429.01</f>
        <v>429.01</v>
      </c>
      <c r="K1104" s="5" t="s">
        <v>270</v>
      </c>
      <c r="L1104" s="8">
        <f>8108289</f>
        <v>8108289</v>
      </c>
      <c r="M1104" s="8">
        <f>57916350</f>
        <v>57916350</v>
      </c>
      <c r="N1104" s="6" t="s">
        <v>953</v>
      </c>
      <c r="O1104" s="5" t="s">
        <v>279</v>
      </c>
      <c r="P1104" s="5" t="s">
        <v>965</v>
      </c>
      <c r="Q1104" s="8">
        <f>1158327</f>
        <v>1158327</v>
      </c>
      <c r="R1104" s="8">
        <f>49808061</f>
        <v>49808061</v>
      </c>
      <c r="S1104" s="5" t="s">
        <v>240</v>
      </c>
      <c r="T1104" s="5" t="s">
        <v>237</v>
      </c>
      <c r="U1104" s="5" t="s">
        <v>238</v>
      </c>
      <c r="V1104" s="5" t="s">
        <v>238</v>
      </c>
      <c r="W1104" s="5" t="s">
        <v>241</v>
      </c>
      <c r="X1104" s="5" t="s">
        <v>337</v>
      </c>
      <c r="Y1104" s="5" t="s">
        <v>238</v>
      </c>
      <c r="AB1104" s="5" t="s">
        <v>238</v>
      </c>
      <c r="AC1104" s="6" t="s">
        <v>238</v>
      </c>
      <c r="AD1104" s="6" t="s">
        <v>238</v>
      </c>
      <c r="AF1104" s="6" t="s">
        <v>238</v>
      </c>
      <c r="AG1104" s="6" t="s">
        <v>246</v>
      </c>
      <c r="AH1104" s="5" t="s">
        <v>247</v>
      </c>
      <c r="AI1104" s="5" t="s">
        <v>248</v>
      </c>
      <c r="AO1104" s="5" t="s">
        <v>238</v>
      </c>
      <c r="AP1104" s="5" t="s">
        <v>238</v>
      </c>
      <c r="AQ1104" s="5" t="s">
        <v>238</v>
      </c>
      <c r="AR1104" s="6" t="s">
        <v>238</v>
      </c>
      <c r="AS1104" s="6" t="s">
        <v>238</v>
      </c>
      <c r="AT1104" s="6" t="s">
        <v>238</v>
      </c>
      <c r="AW1104" s="5" t="s">
        <v>304</v>
      </c>
      <c r="AX1104" s="5" t="s">
        <v>304</v>
      </c>
      <c r="AY1104" s="5" t="s">
        <v>250</v>
      </c>
      <c r="AZ1104" s="5" t="s">
        <v>305</v>
      </c>
      <c r="BA1104" s="5" t="s">
        <v>251</v>
      </c>
      <c r="BB1104" s="5" t="s">
        <v>238</v>
      </c>
      <c r="BC1104" s="5" t="s">
        <v>253</v>
      </c>
      <c r="BD1104" s="5" t="s">
        <v>238</v>
      </c>
      <c r="BF1104" s="5" t="s">
        <v>238</v>
      </c>
      <c r="BH1104" s="5" t="s">
        <v>283</v>
      </c>
      <c r="BI1104" s="6" t="s">
        <v>293</v>
      </c>
      <c r="BJ1104" s="5" t="s">
        <v>294</v>
      </c>
      <c r="BK1104" s="5" t="s">
        <v>294</v>
      </c>
      <c r="BL1104" s="5" t="s">
        <v>238</v>
      </c>
      <c r="BM1104" s="7">
        <f>0</f>
        <v>0</v>
      </c>
      <c r="BN1104" s="8">
        <f>-1158327</f>
        <v>-1158327</v>
      </c>
      <c r="BO1104" s="5" t="s">
        <v>257</v>
      </c>
      <c r="BP1104" s="5" t="s">
        <v>258</v>
      </c>
      <c r="BQ1104" s="5" t="s">
        <v>238</v>
      </c>
      <c r="BR1104" s="5" t="s">
        <v>238</v>
      </c>
      <c r="BS1104" s="5" t="s">
        <v>238</v>
      </c>
      <c r="BT1104" s="5" t="s">
        <v>238</v>
      </c>
      <c r="CC1104" s="5" t="s">
        <v>258</v>
      </c>
      <c r="CD1104" s="5" t="s">
        <v>238</v>
      </c>
      <c r="CE1104" s="5" t="s">
        <v>238</v>
      </c>
      <c r="CI1104" s="5" t="s">
        <v>527</v>
      </c>
      <c r="CJ1104" s="5" t="s">
        <v>260</v>
      </c>
      <c r="CK1104" s="5" t="s">
        <v>238</v>
      </c>
      <c r="CM1104" s="5" t="s">
        <v>865</v>
      </c>
      <c r="CN1104" s="6" t="s">
        <v>262</v>
      </c>
      <c r="CO1104" s="5" t="s">
        <v>263</v>
      </c>
      <c r="CP1104" s="5" t="s">
        <v>264</v>
      </c>
      <c r="CQ1104" s="5" t="s">
        <v>285</v>
      </c>
      <c r="CR1104" s="5" t="s">
        <v>238</v>
      </c>
      <c r="CS1104" s="5">
        <v>0.02</v>
      </c>
      <c r="CT1104" s="5" t="s">
        <v>265</v>
      </c>
      <c r="CU1104" s="5" t="s">
        <v>1333</v>
      </c>
      <c r="CV1104" s="5" t="s">
        <v>308</v>
      </c>
      <c r="CW1104" s="7">
        <f>0</f>
        <v>0</v>
      </c>
      <c r="CX1104" s="8">
        <f>57916350</f>
        <v>57916350</v>
      </c>
      <c r="CY1104" s="8">
        <f>9266616</f>
        <v>9266616</v>
      </c>
      <c r="DA1104" s="5" t="s">
        <v>238</v>
      </c>
      <c r="DB1104" s="5" t="s">
        <v>238</v>
      </c>
      <c r="DD1104" s="5" t="s">
        <v>238</v>
      </c>
      <c r="DE1104" s="8">
        <f>0</f>
        <v>0</v>
      </c>
      <c r="DG1104" s="5" t="s">
        <v>238</v>
      </c>
      <c r="DH1104" s="5" t="s">
        <v>238</v>
      </c>
      <c r="DI1104" s="5" t="s">
        <v>238</v>
      </c>
      <c r="DJ1104" s="5" t="s">
        <v>238</v>
      </c>
      <c r="DK1104" s="5" t="s">
        <v>271</v>
      </c>
      <c r="DL1104" s="5" t="s">
        <v>272</v>
      </c>
      <c r="DM1104" s="7">
        <f>429.01</f>
        <v>429.01</v>
      </c>
      <c r="DN1104" s="5" t="s">
        <v>238</v>
      </c>
      <c r="DO1104" s="5" t="s">
        <v>238</v>
      </c>
      <c r="DP1104" s="5" t="s">
        <v>238</v>
      </c>
      <c r="DQ1104" s="5" t="s">
        <v>238</v>
      </c>
      <c r="DT1104" s="5" t="s">
        <v>2040</v>
      </c>
      <c r="DU1104" s="5" t="s">
        <v>271</v>
      </c>
      <c r="GL1104" s="5" t="s">
        <v>2041</v>
      </c>
      <c r="HM1104" s="5" t="s">
        <v>313</v>
      </c>
      <c r="HP1104" s="5" t="s">
        <v>272</v>
      </c>
      <c r="HQ1104" s="5" t="s">
        <v>272</v>
      </c>
      <c r="HR1104" s="5" t="s">
        <v>238</v>
      </c>
      <c r="HS1104" s="5" t="s">
        <v>238</v>
      </c>
      <c r="HT1104" s="5" t="s">
        <v>238</v>
      </c>
      <c r="HU1104" s="5" t="s">
        <v>238</v>
      </c>
      <c r="HV1104" s="5" t="s">
        <v>238</v>
      </c>
      <c r="HW1104" s="5" t="s">
        <v>238</v>
      </c>
      <c r="HX1104" s="5" t="s">
        <v>238</v>
      </c>
      <c r="HY1104" s="5" t="s">
        <v>238</v>
      </c>
      <c r="HZ1104" s="5" t="s">
        <v>238</v>
      </c>
      <c r="IA1104" s="5" t="s">
        <v>238</v>
      </c>
      <c r="IB1104" s="5" t="s">
        <v>238</v>
      </c>
      <c r="IC1104" s="5" t="s">
        <v>238</v>
      </c>
      <c r="ID1104" s="5" t="s">
        <v>238</v>
      </c>
    </row>
    <row r="1105" spans="1:238" x14ac:dyDescent="0.4">
      <c r="A1105" s="5">
        <v>1435</v>
      </c>
      <c r="B1105" s="5">
        <v>1</v>
      </c>
      <c r="C1105" s="5">
        <v>4</v>
      </c>
      <c r="D1105" s="5" t="s">
        <v>661</v>
      </c>
      <c r="E1105" s="5" t="s">
        <v>338</v>
      </c>
      <c r="F1105" s="5" t="s">
        <v>282</v>
      </c>
      <c r="G1105" s="5" t="s">
        <v>1329</v>
      </c>
      <c r="H1105" s="6" t="s">
        <v>663</v>
      </c>
      <c r="I1105" s="5" t="s">
        <v>1917</v>
      </c>
      <c r="J1105" s="7">
        <f>170.57</f>
        <v>170.57</v>
      </c>
      <c r="K1105" s="5" t="s">
        <v>270</v>
      </c>
      <c r="L1105" s="8">
        <f>19066080</f>
        <v>19066080</v>
      </c>
      <c r="M1105" s="8">
        <f>41448000</f>
        <v>41448000</v>
      </c>
      <c r="N1105" s="6" t="s">
        <v>662</v>
      </c>
      <c r="O1105" s="5" t="s">
        <v>279</v>
      </c>
      <c r="P1105" s="5" t="s">
        <v>640</v>
      </c>
      <c r="Q1105" s="8">
        <f>828960</f>
        <v>828960</v>
      </c>
      <c r="R1105" s="8">
        <f>22381920</f>
        <v>22381920</v>
      </c>
      <c r="S1105" s="5" t="s">
        <v>240</v>
      </c>
      <c r="T1105" s="5" t="s">
        <v>237</v>
      </c>
      <c r="U1105" s="5" t="s">
        <v>238</v>
      </c>
      <c r="V1105" s="5" t="s">
        <v>238</v>
      </c>
      <c r="W1105" s="5" t="s">
        <v>241</v>
      </c>
      <c r="X1105" s="5" t="s">
        <v>337</v>
      </c>
      <c r="Y1105" s="5" t="s">
        <v>238</v>
      </c>
      <c r="AB1105" s="5" t="s">
        <v>238</v>
      </c>
      <c r="AC1105" s="6" t="s">
        <v>238</v>
      </c>
      <c r="AD1105" s="6" t="s">
        <v>238</v>
      </c>
      <c r="AF1105" s="6" t="s">
        <v>238</v>
      </c>
      <c r="AG1105" s="6" t="s">
        <v>246</v>
      </c>
      <c r="AH1105" s="5" t="s">
        <v>247</v>
      </c>
      <c r="AI1105" s="5" t="s">
        <v>248</v>
      </c>
      <c r="AO1105" s="5" t="s">
        <v>238</v>
      </c>
      <c r="AP1105" s="5" t="s">
        <v>238</v>
      </c>
      <c r="AQ1105" s="5" t="s">
        <v>238</v>
      </c>
      <c r="AR1105" s="6" t="s">
        <v>238</v>
      </c>
      <c r="AS1105" s="6" t="s">
        <v>238</v>
      </c>
      <c r="AT1105" s="6" t="s">
        <v>238</v>
      </c>
      <c r="AW1105" s="5" t="s">
        <v>304</v>
      </c>
      <c r="AX1105" s="5" t="s">
        <v>304</v>
      </c>
      <c r="AY1105" s="5" t="s">
        <v>250</v>
      </c>
      <c r="AZ1105" s="5" t="s">
        <v>305</v>
      </c>
      <c r="BA1105" s="5" t="s">
        <v>251</v>
      </c>
      <c r="BB1105" s="5" t="s">
        <v>238</v>
      </c>
      <c r="BC1105" s="5" t="s">
        <v>253</v>
      </c>
      <c r="BD1105" s="5" t="s">
        <v>238</v>
      </c>
      <c r="BF1105" s="5" t="s">
        <v>710</v>
      </c>
      <c r="BH1105" s="5" t="s">
        <v>283</v>
      </c>
      <c r="BI1105" s="6" t="s">
        <v>293</v>
      </c>
      <c r="BJ1105" s="5" t="s">
        <v>294</v>
      </c>
      <c r="BK1105" s="5" t="s">
        <v>294</v>
      </c>
      <c r="BL1105" s="5" t="s">
        <v>238</v>
      </c>
      <c r="BM1105" s="7">
        <f>0</f>
        <v>0</v>
      </c>
      <c r="BN1105" s="8">
        <f>-828960</f>
        <v>-828960</v>
      </c>
      <c r="BO1105" s="5" t="s">
        <v>257</v>
      </c>
      <c r="BP1105" s="5" t="s">
        <v>258</v>
      </c>
      <c r="BQ1105" s="5" t="s">
        <v>238</v>
      </c>
      <c r="BR1105" s="5" t="s">
        <v>238</v>
      </c>
      <c r="BS1105" s="5" t="s">
        <v>238</v>
      </c>
      <c r="BT1105" s="5" t="s">
        <v>238</v>
      </c>
      <c r="CC1105" s="5" t="s">
        <v>258</v>
      </c>
      <c r="CD1105" s="5" t="s">
        <v>238</v>
      </c>
      <c r="CE1105" s="5" t="s">
        <v>238</v>
      </c>
      <c r="CI1105" s="5" t="s">
        <v>259</v>
      </c>
      <c r="CJ1105" s="5" t="s">
        <v>260</v>
      </c>
      <c r="CK1105" s="5" t="s">
        <v>238</v>
      </c>
      <c r="CM1105" s="5" t="s">
        <v>638</v>
      </c>
      <c r="CN1105" s="6" t="s">
        <v>262</v>
      </c>
      <c r="CO1105" s="5" t="s">
        <v>263</v>
      </c>
      <c r="CP1105" s="5" t="s">
        <v>264</v>
      </c>
      <c r="CQ1105" s="5" t="s">
        <v>285</v>
      </c>
      <c r="CR1105" s="5" t="s">
        <v>238</v>
      </c>
      <c r="CS1105" s="5">
        <v>0.02</v>
      </c>
      <c r="CT1105" s="5" t="s">
        <v>265</v>
      </c>
      <c r="CU1105" s="5" t="s">
        <v>1333</v>
      </c>
      <c r="CV1105" s="5" t="s">
        <v>308</v>
      </c>
      <c r="CW1105" s="7">
        <f>0</f>
        <v>0</v>
      </c>
      <c r="CX1105" s="8">
        <f>41448000</f>
        <v>41448000</v>
      </c>
      <c r="CY1105" s="8">
        <f>19895040</f>
        <v>19895040</v>
      </c>
      <c r="DA1105" s="5" t="s">
        <v>238</v>
      </c>
      <c r="DB1105" s="5" t="s">
        <v>238</v>
      </c>
      <c r="DD1105" s="5" t="s">
        <v>238</v>
      </c>
      <c r="DE1105" s="8">
        <f>0</f>
        <v>0</v>
      </c>
      <c r="DG1105" s="5" t="s">
        <v>238</v>
      </c>
      <c r="DH1105" s="5" t="s">
        <v>238</v>
      </c>
      <c r="DI1105" s="5" t="s">
        <v>238</v>
      </c>
      <c r="DJ1105" s="5" t="s">
        <v>238</v>
      </c>
      <c r="DK1105" s="5" t="s">
        <v>271</v>
      </c>
      <c r="DL1105" s="5" t="s">
        <v>272</v>
      </c>
      <c r="DM1105" s="7">
        <f>170.57</f>
        <v>170.57</v>
      </c>
      <c r="DN1105" s="5" t="s">
        <v>238</v>
      </c>
      <c r="DO1105" s="5" t="s">
        <v>238</v>
      </c>
      <c r="DP1105" s="5" t="s">
        <v>238</v>
      </c>
      <c r="DQ1105" s="5" t="s">
        <v>238</v>
      </c>
      <c r="DT1105" s="5" t="s">
        <v>664</v>
      </c>
      <c r="DU1105" s="5" t="s">
        <v>271</v>
      </c>
      <c r="GL1105" s="5" t="s">
        <v>1928</v>
      </c>
      <c r="HM1105" s="5" t="s">
        <v>313</v>
      </c>
      <c r="HP1105" s="5" t="s">
        <v>272</v>
      </c>
      <c r="HQ1105" s="5" t="s">
        <v>272</v>
      </c>
      <c r="HR1105" s="5" t="s">
        <v>238</v>
      </c>
      <c r="HS1105" s="5" t="s">
        <v>238</v>
      </c>
      <c r="HT1105" s="5" t="s">
        <v>238</v>
      </c>
      <c r="HU1105" s="5" t="s">
        <v>238</v>
      </c>
      <c r="HV1105" s="5" t="s">
        <v>238</v>
      </c>
      <c r="HW1105" s="5" t="s">
        <v>238</v>
      </c>
      <c r="HX1105" s="5" t="s">
        <v>238</v>
      </c>
      <c r="HY1105" s="5" t="s">
        <v>238</v>
      </c>
      <c r="HZ1105" s="5" t="s">
        <v>238</v>
      </c>
      <c r="IA1105" s="5" t="s">
        <v>238</v>
      </c>
      <c r="IB1105" s="5" t="s">
        <v>238</v>
      </c>
      <c r="IC1105" s="5" t="s">
        <v>238</v>
      </c>
      <c r="ID1105" s="5" t="s">
        <v>238</v>
      </c>
    </row>
    <row r="1106" spans="1:238" x14ac:dyDescent="0.4">
      <c r="A1106" s="5">
        <v>1436</v>
      </c>
      <c r="B1106" s="5">
        <v>1</v>
      </c>
      <c r="C1106" s="5">
        <v>4</v>
      </c>
      <c r="D1106" s="5" t="s">
        <v>661</v>
      </c>
      <c r="E1106" s="5" t="s">
        <v>338</v>
      </c>
      <c r="F1106" s="5" t="s">
        <v>282</v>
      </c>
      <c r="G1106" s="5" t="s">
        <v>1329</v>
      </c>
      <c r="H1106" s="6" t="s">
        <v>663</v>
      </c>
      <c r="I1106" s="5" t="s">
        <v>1917</v>
      </c>
      <c r="J1106" s="7">
        <f>43.2</f>
        <v>43.2</v>
      </c>
      <c r="K1106" s="5" t="s">
        <v>270</v>
      </c>
      <c r="L1106" s="8">
        <f>1053648</f>
        <v>1053648</v>
      </c>
      <c r="M1106" s="8">
        <f>3888000</f>
        <v>3888000</v>
      </c>
      <c r="N1106" s="6" t="s">
        <v>662</v>
      </c>
      <c r="O1106" s="5" t="s">
        <v>639</v>
      </c>
      <c r="P1106" s="5" t="s">
        <v>640</v>
      </c>
      <c r="Q1106" s="8">
        <f>104976</f>
        <v>104976</v>
      </c>
      <c r="R1106" s="8">
        <f>2834352</f>
        <v>2834352</v>
      </c>
      <c r="S1106" s="5" t="s">
        <v>240</v>
      </c>
      <c r="T1106" s="5" t="s">
        <v>237</v>
      </c>
      <c r="U1106" s="5" t="s">
        <v>238</v>
      </c>
      <c r="V1106" s="5" t="s">
        <v>238</v>
      </c>
      <c r="W1106" s="5" t="s">
        <v>241</v>
      </c>
      <c r="X1106" s="5" t="s">
        <v>337</v>
      </c>
      <c r="Y1106" s="5" t="s">
        <v>238</v>
      </c>
      <c r="AB1106" s="5" t="s">
        <v>238</v>
      </c>
      <c r="AC1106" s="6" t="s">
        <v>238</v>
      </c>
      <c r="AD1106" s="6" t="s">
        <v>238</v>
      </c>
      <c r="AF1106" s="6" t="s">
        <v>238</v>
      </c>
      <c r="AG1106" s="6" t="s">
        <v>246</v>
      </c>
      <c r="AH1106" s="5" t="s">
        <v>247</v>
      </c>
      <c r="AI1106" s="5" t="s">
        <v>248</v>
      </c>
      <c r="AO1106" s="5" t="s">
        <v>238</v>
      </c>
      <c r="AP1106" s="5" t="s">
        <v>238</v>
      </c>
      <c r="AQ1106" s="5" t="s">
        <v>238</v>
      </c>
      <c r="AR1106" s="6" t="s">
        <v>238</v>
      </c>
      <c r="AS1106" s="6" t="s">
        <v>238</v>
      </c>
      <c r="AT1106" s="6" t="s">
        <v>238</v>
      </c>
      <c r="AW1106" s="5" t="s">
        <v>304</v>
      </c>
      <c r="AX1106" s="5" t="s">
        <v>304</v>
      </c>
      <c r="AY1106" s="5" t="s">
        <v>250</v>
      </c>
      <c r="AZ1106" s="5" t="s">
        <v>305</v>
      </c>
      <c r="BA1106" s="5" t="s">
        <v>251</v>
      </c>
      <c r="BB1106" s="5" t="s">
        <v>238</v>
      </c>
      <c r="BC1106" s="5" t="s">
        <v>253</v>
      </c>
      <c r="BD1106" s="5" t="s">
        <v>238</v>
      </c>
      <c r="BF1106" s="5" t="s">
        <v>238</v>
      </c>
      <c r="BH1106" s="5" t="s">
        <v>283</v>
      </c>
      <c r="BI1106" s="6" t="s">
        <v>293</v>
      </c>
      <c r="BJ1106" s="5" t="s">
        <v>294</v>
      </c>
      <c r="BK1106" s="5" t="s">
        <v>294</v>
      </c>
      <c r="BL1106" s="5" t="s">
        <v>238</v>
      </c>
      <c r="BM1106" s="7">
        <f>0</f>
        <v>0</v>
      </c>
      <c r="BN1106" s="8">
        <f>-104976</f>
        <v>-104976</v>
      </c>
      <c r="BO1106" s="5" t="s">
        <v>257</v>
      </c>
      <c r="BP1106" s="5" t="s">
        <v>258</v>
      </c>
      <c r="BQ1106" s="5" t="s">
        <v>238</v>
      </c>
      <c r="BR1106" s="5" t="s">
        <v>238</v>
      </c>
      <c r="BS1106" s="5" t="s">
        <v>238</v>
      </c>
      <c r="BT1106" s="5" t="s">
        <v>238</v>
      </c>
      <c r="CC1106" s="5" t="s">
        <v>258</v>
      </c>
      <c r="CD1106" s="5" t="s">
        <v>238</v>
      </c>
      <c r="CE1106" s="5" t="s">
        <v>238</v>
      </c>
      <c r="CI1106" s="5" t="s">
        <v>259</v>
      </c>
      <c r="CJ1106" s="5" t="s">
        <v>260</v>
      </c>
      <c r="CK1106" s="5" t="s">
        <v>238</v>
      </c>
      <c r="CM1106" s="5" t="s">
        <v>638</v>
      </c>
      <c r="CN1106" s="6" t="s">
        <v>262</v>
      </c>
      <c r="CO1106" s="5" t="s">
        <v>263</v>
      </c>
      <c r="CP1106" s="5" t="s">
        <v>264</v>
      </c>
      <c r="CQ1106" s="5" t="s">
        <v>285</v>
      </c>
      <c r="CR1106" s="5" t="s">
        <v>238</v>
      </c>
      <c r="CS1106" s="5">
        <v>2.7E-2</v>
      </c>
      <c r="CT1106" s="5" t="s">
        <v>265</v>
      </c>
      <c r="CU1106" s="5" t="s">
        <v>1333</v>
      </c>
      <c r="CV1106" s="5" t="s">
        <v>649</v>
      </c>
      <c r="CW1106" s="7">
        <f>0</f>
        <v>0</v>
      </c>
      <c r="CX1106" s="8">
        <f>3888000</f>
        <v>3888000</v>
      </c>
      <c r="CY1106" s="8">
        <f>1158624</f>
        <v>1158624</v>
      </c>
      <c r="DA1106" s="5" t="s">
        <v>238</v>
      </c>
      <c r="DB1106" s="5" t="s">
        <v>238</v>
      </c>
      <c r="DD1106" s="5" t="s">
        <v>238</v>
      </c>
      <c r="DE1106" s="8">
        <f>0</f>
        <v>0</v>
      </c>
      <c r="DG1106" s="5" t="s">
        <v>238</v>
      </c>
      <c r="DH1106" s="5" t="s">
        <v>238</v>
      </c>
      <c r="DI1106" s="5" t="s">
        <v>238</v>
      </c>
      <c r="DJ1106" s="5" t="s">
        <v>238</v>
      </c>
      <c r="DK1106" s="5" t="s">
        <v>271</v>
      </c>
      <c r="DL1106" s="5" t="s">
        <v>272</v>
      </c>
      <c r="DM1106" s="7">
        <f>43.2</f>
        <v>43.2</v>
      </c>
      <c r="DN1106" s="5" t="s">
        <v>238</v>
      </c>
      <c r="DO1106" s="5" t="s">
        <v>238</v>
      </c>
      <c r="DP1106" s="5" t="s">
        <v>238</v>
      </c>
      <c r="DQ1106" s="5" t="s">
        <v>238</v>
      </c>
      <c r="DT1106" s="5" t="s">
        <v>664</v>
      </c>
      <c r="DU1106" s="5" t="s">
        <v>274</v>
      </c>
      <c r="GL1106" s="5" t="s">
        <v>1926</v>
      </c>
      <c r="HM1106" s="5" t="s">
        <v>313</v>
      </c>
      <c r="HP1106" s="5" t="s">
        <v>272</v>
      </c>
      <c r="HQ1106" s="5" t="s">
        <v>272</v>
      </c>
      <c r="HR1106" s="5" t="s">
        <v>238</v>
      </c>
      <c r="HS1106" s="5" t="s">
        <v>238</v>
      </c>
      <c r="HT1106" s="5" t="s">
        <v>238</v>
      </c>
      <c r="HU1106" s="5" t="s">
        <v>238</v>
      </c>
      <c r="HV1106" s="5" t="s">
        <v>238</v>
      </c>
      <c r="HW1106" s="5" t="s">
        <v>238</v>
      </c>
      <c r="HX1106" s="5" t="s">
        <v>238</v>
      </c>
      <c r="HY1106" s="5" t="s">
        <v>238</v>
      </c>
      <c r="HZ1106" s="5" t="s">
        <v>238</v>
      </c>
      <c r="IA1106" s="5" t="s">
        <v>238</v>
      </c>
      <c r="IB1106" s="5" t="s">
        <v>238</v>
      </c>
      <c r="IC1106" s="5" t="s">
        <v>238</v>
      </c>
      <c r="ID1106" s="5" t="s">
        <v>238</v>
      </c>
    </row>
    <row r="1107" spans="1:238" x14ac:dyDescent="0.4">
      <c r="A1107" s="5">
        <v>1437</v>
      </c>
      <c r="B1107" s="5">
        <v>1</v>
      </c>
      <c r="C1107" s="5">
        <v>4</v>
      </c>
      <c r="D1107" s="5" t="s">
        <v>661</v>
      </c>
      <c r="E1107" s="5" t="s">
        <v>338</v>
      </c>
      <c r="F1107" s="5" t="s">
        <v>282</v>
      </c>
      <c r="G1107" s="5" t="s">
        <v>646</v>
      </c>
      <c r="H1107" s="6" t="s">
        <v>663</v>
      </c>
      <c r="I1107" s="5" t="s">
        <v>239</v>
      </c>
      <c r="J1107" s="7">
        <f>34.7</f>
        <v>34.700000000000003</v>
      </c>
      <c r="K1107" s="5" t="s">
        <v>270</v>
      </c>
      <c r="L1107" s="8">
        <f>3520700</f>
        <v>3520700</v>
      </c>
      <c r="M1107" s="8">
        <f>32300000</f>
        <v>32300000</v>
      </c>
      <c r="N1107" s="6" t="s">
        <v>662</v>
      </c>
      <c r="O1107" s="5" t="s">
        <v>650</v>
      </c>
      <c r="P1107" s="5" t="s">
        <v>640</v>
      </c>
      <c r="Q1107" s="8">
        <f>1065900</f>
        <v>1065900</v>
      </c>
      <c r="R1107" s="8">
        <f>28779300</f>
        <v>28779300</v>
      </c>
      <c r="S1107" s="5" t="s">
        <v>240</v>
      </c>
      <c r="T1107" s="5" t="s">
        <v>237</v>
      </c>
      <c r="U1107" s="5" t="s">
        <v>238</v>
      </c>
      <c r="V1107" s="5" t="s">
        <v>238</v>
      </c>
      <c r="W1107" s="5" t="s">
        <v>241</v>
      </c>
      <c r="X1107" s="5" t="s">
        <v>337</v>
      </c>
      <c r="Y1107" s="5" t="s">
        <v>238</v>
      </c>
      <c r="AB1107" s="5" t="s">
        <v>238</v>
      </c>
      <c r="AC1107" s="6" t="s">
        <v>238</v>
      </c>
      <c r="AD1107" s="6" t="s">
        <v>238</v>
      </c>
      <c r="AF1107" s="6" t="s">
        <v>238</v>
      </c>
      <c r="AG1107" s="6" t="s">
        <v>246</v>
      </c>
      <c r="AH1107" s="5" t="s">
        <v>247</v>
      </c>
      <c r="AI1107" s="5" t="s">
        <v>248</v>
      </c>
      <c r="AO1107" s="5" t="s">
        <v>238</v>
      </c>
      <c r="AP1107" s="5" t="s">
        <v>238</v>
      </c>
      <c r="AQ1107" s="5" t="s">
        <v>238</v>
      </c>
      <c r="AR1107" s="6" t="s">
        <v>238</v>
      </c>
      <c r="AS1107" s="6" t="s">
        <v>238</v>
      </c>
      <c r="AT1107" s="6" t="s">
        <v>238</v>
      </c>
      <c r="AW1107" s="5" t="s">
        <v>304</v>
      </c>
      <c r="AX1107" s="5" t="s">
        <v>304</v>
      </c>
      <c r="AY1107" s="5" t="s">
        <v>250</v>
      </c>
      <c r="AZ1107" s="5" t="s">
        <v>305</v>
      </c>
      <c r="BA1107" s="5" t="s">
        <v>251</v>
      </c>
      <c r="BB1107" s="5" t="s">
        <v>238</v>
      </c>
      <c r="BC1107" s="5" t="s">
        <v>253</v>
      </c>
      <c r="BD1107" s="5" t="s">
        <v>238</v>
      </c>
      <c r="BF1107" s="5" t="s">
        <v>238</v>
      </c>
      <c r="BH1107" s="5" t="s">
        <v>283</v>
      </c>
      <c r="BI1107" s="6" t="s">
        <v>293</v>
      </c>
      <c r="BJ1107" s="5" t="s">
        <v>294</v>
      </c>
      <c r="BK1107" s="5" t="s">
        <v>294</v>
      </c>
      <c r="BL1107" s="5" t="s">
        <v>238</v>
      </c>
      <c r="BM1107" s="7">
        <f>0</f>
        <v>0</v>
      </c>
      <c r="BN1107" s="8">
        <f>-1065900</f>
        <v>-1065900</v>
      </c>
      <c r="BO1107" s="5" t="s">
        <v>257</v>
      </c>
      <c r="BP1107" s="5" t="s">
        <v>258</v>
      </c>
      <c r="BQ1107" s="5" t="s">
        <v>238</v>
      </c>
      <c r="BR1107" s="5" t="s">
        <v>238</v>
      </c>
      <c r="BS1107" s="5" t="s">
        <v>238</v>
      </c>
      <c r="BT1107" s="5" t="s">
        <v>238</v>
      </c>
      <c r="CC1107" s="5" t="s">
        <v>258</v>
      </c>
      <c r="CD1107" s="5" t="s">
        <v>238</v>
      </c>
      <c r="CE1107" s="5" t="s">
        <v>238</v>
      </c>
      <c r="CI1107" s="5" t="s">
        <v>259</v>
      </c>
      <c r="CJ1107" s="5" t="s">
        <v>260</v>
      </c>
      <c r="CK1107" s="5" t="s">
        <v>238</v>
      </c>
      <c r="CM1107" s="5" t="s">
        <v>638</v>
      </c>
      <c r="CN1107" s="6" t="s">
        <v>262</v>
      </c>
      <c r="CO1107" s="5" t="s">
        <v>263</v>
      </c>
      <c r="CP1107" s="5" t="s">
        <v>264</v>
      </c>
      <c r="CQ1107" s="5" t="s">
        <v>285</v>
      </c>
      <c r="CR1107" s="5" t="s">
        <v>238</v>
      </c>
      <c r="CS1107" s="5">
        <v>3.3000000000000002E-2</v>
      </c>
      <c r="CT1107" s="5" t="s">
        <v>265</v>
      </c>
      <c r="CU1107" s="5" t="s">
        <v>266</v>
      </c>
      <c r="CV1107" s="5" t="s">
        <v>649</v>
      </c>
      <c r="CW1107" s="7">
        <f>0</f>
        <v>0</v>
      </c>
      <c r="CX1107" s="8">
        <f>32300000</f>
        <v>32300000</v>
      </c>
      <c r="CY1107" s="8">
        <f>4586600</f>
        <v>4586600</v>
      </c>
      <c r="DA1107" s="5" t="s">
        <v>238</v>
      </c>
      <c r="DB1107" s="5" t="s">
        <v>238</v>
      </c>
      <c r="DD1107" s="5" t="s">
        <v>238</v>
      </c>
      <c r="DE1107" s="8">
        <f>0</f>
        <v>0</v>
      </c>
      <c r="DG1107" s="5" t="s">
        <v>238</v>
      </c>
      <c r="DH1107" s="5" t="s">
        <v>238</v>
      </c>
      <c r="DI1107" s="5" t="s">
        <v>238</v>
      </c>
      <c r="DJ1107" s="5" t="s">
        <v>238</v>
      </c>
      <c r="DK1107" s="5" t="s">
        <v>271</v>
      </c>
      <c r="DL1107" s="5" t="s">
        <v>272</v>
      </c>
      <c r="DM1107" s="7">
        <f>34.7</f>
        <v>34.700000000000003</v>
      </c>
      <c r="DN1107" s="5" t="s">
        <v>238</v>
      </c>
      <c r="DO1107" s="5" t="s">
        <v>238</v>
      </c>
      <c r="DP1107" s="5" t="s">
        <v>238</v>
      </c>
      <c r="DQ1107" s="5" t="s">
        <v>238</v>
      </c>
      <c r="DT1107" s="5" t="s">
        <v>664</v>
      </c>
      <c r="DU1107" s="5" t="s">
        <v>356</v>
      </c>
      <c r="GL1107" s="5" t="s">
        <v>665</v>
      </c>
      <c r="HM1107" s="5" t="s">
        <v>313</v>
      </c>
      <c r="HP1107" s="5" t="s">
        <v>272</v>
      </c>
      <c r="HQ1107" s="5" t="s">
        <v>272</v>
      </c>
      <c r="HR1107" s="5" t="s">
        <v>238</v>
      </c>
      <c r="HS1107" s="5" t="s">
        <v>238</v>
      </c>
      <c r="HT1107" s="5" t="s">
        <v>238</v>
      </c>
      <c r="HU1107" s="5" t="s">
        <v>238</v>
      </c>
      <c r="HV1107" s="5" t="s">
        <v>238</v>
      </c>
      <c r="HW1107" s="5" t="s">
        <v>238</v>
      </c>
      <c r="HX1107" s="5" t="s">
        <v>238</v>
      </c>
      <c r="HY1107" s="5" t="s">
        <v>238</v>
      </c>
      <c r="HZ1107" s="5" t="s">
        <v>238</v>
      </c>
      <c r="IA1107" s="5" t="s">
        <v>238</v>
      </c>
      <c r="IB1107" s="5" t="s">
        <v>238</v>
      </c>
      <c r="IC1107" s="5" t="s">
        <v>238</v>
      </c>
      <c r="ID1107" s="5" t="s">
        <v>238</v>
      </c>
    </row>
    <row r="1108" spans="1:238" x14ac:dyDescent="0.4">
      <c r="A1108" s="5">
        <v>1438</v>
      </c>
      <c r="B1108" s="5">
        <v>1</v>
      </c>
      <c r="C1108" s="5">
        <v>4</v>
      </c>
      <c r="D1108" s="5" t="s">
        <v>1918</v>
      </c>
      <c r="E1108" s="5" t="s">
        <v>338</v>
      </c>
      <c r="F1108" s="5" t="s">
        <v>282</v>
      </c>
      <c r="G1108" s="5" t="s">
        <v>1329</v>
      </c>
      <c r="H1108" s="6" t="s">
        <v>1843</v>
      </c>
      <c r="I1108" s="5" t="s">
        <v>1917</v>
      </c>
      <c r="J1108" s="7">
        <f>322.16</f>
        <v>322.16000000000003</v>
      </c>
      <c r="K1108" s="5" t="s">
        <v>270</v>
      </c>
      <c r="L1108" s="8">
        <f>40592160</f>
        <v>40592160</v>
      </c>
      <c r="M1108" s="8">
        <f>72486000</f>
        <v>72486000</v>
      </c>
      <c r="N1108" s="6" t="s">
        <v>708</v>
      </c>
      <c r="O1108" s="5" t="s">
        <v>279</v>
      </c>
      <c r="P1108" s="5" t="s">
        <v>712</v>
      </c>
      <c r="Q1108" s="8">
        <f>1449720</f>
        <v>1449720</v>
      </c>
      <c r="R1108" s="8">
        <f>31893840</f>
        <v>31893840</v>
      </c>
      <c r="S1108" s="5" t="s">
        <v>240</v>
      </c>
      <c r="T1108" s="5" t="s">
        <v>237</v>
      </c>
      <c r="U1108" s="5" t="s">
        <v>238</v>
      </c>
      <c r="V1108" s="5" t="s">
        <v>238</v>
      </c>
      <c r="W1108" s="5" t="s">
        <v>241</v>
      </c>
      <c r="X1108" s="5" t="s">
        <v>337</v>
      </c>
      <c r="Y1108" s="5" t="s">
        <v>238</v>
      </c>
      <c r="AB1108" s="5" t="s">
        <v>238</v>
      </c>
      <c r="AC1108" s="6" t="s">
        <v>238</v>
      </c>
      <c r="AD1108" s="6" t="s">
        <v>238</v>
      </c>
      <c r="AF1108" s="6" t="s">
        <v>238</v>
      </c>
      <c r="AG1108" s="6" t="s">
        <v>246</v>
      </c>
      <c r="AH1108" s="5" t="s">
        <v>247</v>
      </c>
      <c r="AI1108" s="5" t="s">
        <v>248</v>
      </c>
      <c r="AO1108" s="5" t="s">
        <v>238</v>
      </c>
      <c r="AP1108" s="5" t="s">
        <v>238</v>
      </c>
      <c r="AQ1108" s="5" t="s">
        <v>238</v>
      </c>
      <c r="AR1108" s="6" t="s">
        <v>238</v>
      </c>
      <c r="AS1108" s="6" t="s">
        <v>238</v>
      </c>
      <c r="AT1108" s="6" t="s">
        <v>238</v>
      </c>
      <c r="AW1108" s="5" t="s">
        <v>304</v>
      </c>
      <c r="AX1108" s="5" t="s">
        <v>304</v>
      </c>
      <c r="AY1108" s="5" t="s">
        <v>250</v>
      </c>
      <c r="AZ1108" s="5" t="s">
        <v>305</v>
      </c>
      <c r="BA1108" s="5" t="s">
        <v>251</v>
      </c>
      <c r="BB1108" s="5" t="s">
        <v>238</v>
      </c>
      <c r="BC1108" s="5" t="s">
        <v>253</v>
      </c>
      <c r="BD1108" s="5" t="s">
        <v>238</v>
      </c>
      <c r="BF1108" s="5" t="s">
        <v>238</v>
      </c>
      <c r="BH1108" s="5" t="s">
        <v>283</v>
      </c>
      <c r="BI1108" s="6" t="s">
        <v>293</v>
      </c>
      <c r="BJ1108" s="5" t="s">
        <v>294</v>
      </c>
      <c r="BK1108" s="5" t="s">
        <v>294</v>
      </c>
      <c r="BL1108" s="5" t="s">
        <v>238</v>
      </c>
      <c r="BM1108" s="7">
        <f>0</f>
        <v>0</v>
      </c>
      <c r="BN1108" s="8">
        <f>-1449720</f>
        <v>-1449720</v>
      </c>
      <c r="BO1108" s="5" t="s">
        <v>257</v>
      </c>
      <c r="BP1108" s="5" t="s">
        <v>258</v>
      </c>
      <c r="BQ1108" s="5" t="s">
        <v>238</v>
      </c>
      <c r="BR1108" s="5" t="s">
        <v>238</v>
      </c>
      <c r="BS1108" s="5" t="s">
        <v>238</v>
      </c>
      <c r="BT1108" s="5" t="s">
        <v>238</v>
      </c>
      <c r="CC1108" s="5" t="s">
        <v>258</v>
      </c>
      <c r="CD1108" s="5" t="s">
        <v>238</v>
      </c>
      <c r="CE1108" s="5" t="s">
        <v>238</v>
      </c>
      <c r="CI1108" s="5" t="s">
        <v>259</v>
      </c>
      <c r="CJ1108" s="5" t="s">
        <v>260</v>
      </c>
      <c r="CK1108" s="5" t="s">
        <v>238</v>
      </c>
      <c r="CM1108" s="5" t="s">
        <v>711</v>
      </c>
      <c r="CN1108" s="6" t="s">
        <v>262</v>
      </c>
      <c r="CO1108" s="5" t="s">
        <v>263</v>
      </c>
      <c r="CP1108" s="5" t="s">
        <v>264</v>
      </c>
      <c r="CQ1108" s="5" t="s">
        <v>285</v>
      </c>
      <c r="CR1108" s="5" t="s">
        <v>238</v>
      </c>
      <c r="CS1108" s="5">
        <v>0.02</v>
      </c>
      <c r="CT1108" s="5" t="s">
        <v>265</v>
      </c>
      <c r="CU1108" s="5" t="s">
        <v>1333</v>
      </c>
      <c r="CV1108" s="5" t="s">
        <v>308</v>
      </c>
      <c r="CW1108" s="7">
        <f>0</f>
        <v>0</v>
      </c>
      <c r="CX1108" s="8">
        <f>72486000</f>
        <v>72486000</v>
      </c>
      <c r="CY1108" s="8">
        <f>42041880</f>
        <v>42041880</v>
      </c>
      <c r="DA1108" s="5" t="s">
        <v>238</v>
      </c>
      <c r="DB1108" s="5" t="s">
        <v>238</v>
      </c>
      <c r="DD1108" s="5" t="s">
        <v>238</v>
      </c>
      <c r="DE1108" s="8">
        <f>0</f>
        <v>0</v>
      </c>
      <c r="DG1108" s="5" t="s">
        <v>238</v>
      </c>
      <c r="DH1108" s="5" t="s">
        <v>238</v>
      </c>
      <c r="DI1108" s="5" t="s">
        <v>238</v>
      </c>
      <c r="DJ1108" s="5" t="s">
        <v>238</v>
      </c>
      <c r="DK1108" s="5" t="s">
        <v>271</v>
      </c>
      <c r="DL1108" s="5" t="s">
        <v>272</v>
      </c>
      <c r="DM1108" s="7">
        <f>322.16</f>
        <v>322.16000000000003</v>
      </c>
      <c r="DN1108" s="5" t="s">
        <v>238</v>
      </c>
      <c r="DO1108" s="5" t="s">
        <v>238</v>
      </c>
      <c r="DP1108" s="5" t="s">
        <v>238</v>
      </c>
      <c r="DQ1108" s="5" t="s">
        <v>238</v>
      </c>
      <c r="DT1108" s="5" t="s">
        <v>1919</v>
      </c>
      <c r="DU1108" s="5" t="s">
        <v>271</v>
      </c>
      <c r="GL1108" s="5" t="s">
        <v>1920</v>
      </c>
      <c r="HM1108" s="5" t="s">
        <v>313</v>
      </c>
      <c r="HP1108" s="5" t="s">
        <v>272</v>
      </c>
      <c r="HQ1108" s="5" t="s">
        <v>272</v>
      </c>
      <c r="HR1108" s="5" t="s">
        <v>238</v>
      </c>
      <c r="HS1108" s="5" t="s">
        <v>238</v>
      </c>
      <c r="HT1108" s="5" t="s">
        <v>238</v>
      </c>
      <c r="HU1108" s="5" t="s">
        <v>238</v>
      </c>
      <c r="HV1108" s="5" t="s">
        <v>238</v>
      </c>
      <c r="HW1108" s="5" t="s">
        <v>238</v>
      </c>
      <c r="HX1108" s="5" t="s">
        <v>238</v>
      </c>
      <c r="HY1108" s="5" t="s">
        <v>238</v>
      </c>
      <c r="HZ1108" s="5" t="s">
        <v>238</v>
      </c>
      <c r="IA1108" s="5" t="s">
        <v>238</v>
      </c>
      <c r="IB1108" s="5" t="s">
        <v>238</v>
      </c>
      <c r="IC1108" s="5" t="s">
        <v>238</v>
      </c>
      <c r="ID1108" s="5" t="s">
        <v>238</v>
      </c>
    </row>
    <row r="1109" spans="1:238" x14ac:dyDescent="0.4">
      <c r="A1109" s="5">
        <v>1439</v>
      </c>
      <c r="B1109" s="5">
        <v>1</v>
      </c>
      <c r="C1109" s="5">
        <v>4</v>
      </c>
      <c r="D1109" s="5" t="s">
        <v>1918</v>
      </c>
      <c r="E1109" s="5" t="s">
        <v>338</v>
      </c>
      <c r="F1109" s="5" t="s">
        <v>282</v>
      </c>
      <c r="G1109" s="5" t="s">
        <v>349</v>
      </c>
      <c r="H1109" s="6" t="s">
        <v>1843</v>
      </c>
      <c r="I1109" s="5" t="s">
        <v>1361</v>
      </c>
      <c r="J1109" s="7">
        <f>0</f>
        <v>0</v>
      </c>
      <c r="K1109" s="5" t="s">
        <v>270</v>
      </c>
      <c r="L1109" s="8">
        <f>1618057</f>
        <v>1618057</v>
      </c>
      <c r="M1109" s="8">
        <f>2025100</f>
        <v>2025100</v>
      </c>
      <c r="N1109" s="6" t="s">
        <v>2907</v>
      </c>
      <c r="O1109" s="5" t="s">
        <v>268</v>
      </c>
      <c r="P1109" s="5" t="s">
        <v>271</v>
      </c>
      <c r="Q1109" s="8">
        <f>135681</f>
        <v>135681</v>
      </c>
      <c r="R1109" s="8">
        <f>407043</f>
        <v>407043</v>
      </c>
      <c r="S1109" s="5" t="s">
        <v>240</v>
      </c>
      <c r="T1109" s="5" t="s">
        <v>287</v>
      </c>
      <c r="U1109" s="5" t="s">
        <v>238</v>
      </c>
      <c r="V1109" s="5" t="s">
        <v>238</v>
      </c>
      <c r="W1109" s="5" t="s">
        <v>241</v>
      </c>
      <c r="X1109" s="5" t="s">
        <v>238</v>
      </c>
      <c r="Y1109" s="5" t="s">
        <v>238</v>
      </c>
      <c r="AB1109" s="5" t="s">
        <v>238</v>
      </c>
      <c r="AC1109" s="6" t="s">
        <v>238</v>
      </c>
      <c r="AD1109" s="6" t="s">
        <v>238</v>
      </c>
      <c r="AF1109" s="6" t="s">
        <v>238</v>
      </c>
      <c r="AG1109" s="6" t="s">
        <v>246</v>
      </c>
      <c r="AH1109" s="5" t="s">
        <v>247</v>
      </c>
      <c r="AI1109" s="5" t="s">
        <v>248</v>
      </c>
      <c r="AO1109" s="5" t="s">
        <v>238</v>
      </c>
      <c r="AP1109" s="5" t="s">
        <v>238</v>
      </c>
      <c r="AQ1109" s="5" t="s">
        <v>238</v>
      </c>
      <c r="AR1109" s="6" t="s">
        <v>238</v>
      </c>
      <c r="AS1109" s="6" t="s">
        <v>238</v>
      </c>
      <c r="AT1109" s="6" t="s">
        <v>238</v>
      </c>
      <c r="AW1109" s="5" t="s">
        <v>304</v>
      </c>
      <c r="AX1109" s="5" t="s">
        <v>304</v>
      </c>
      <c r="AY1109" s="5" t="s">
        <v>250</v>
      </c>
      <c r="AZ1109" s="5" t="s">
        <v>305</v>
      </c>
      <c r="BA1109" s="5" t="s">
        <v>251</v>
      </c>
      <c r="BB1109" s="5" t="s">
        <v>238</v>
      </c>
      <c r="BC1109" s="5" t="s">
        <v>253</v>
      </c>
      <c r="BD1109" s="5" t="s">
        <v>238</v>
      </c>
      <c r="BF1109" s="5" t="s">
        <v>238</v>
      </c>
      <c r="BH1109" s="5" t="s">
        <v>283</v>
      </c>
      <c r="BI1109" s="6" t="s">
        <v>293</v>
      </c>
      <c r="BJ1109" s="5" t="s">
        <v>294</v>
      </c>
      <c r="BK1109" s="5" t="s">
        <v>294</v>
      </c>
      <c r="BL1109" s="5" t="s">
        <v>238</v>
      </c>
      <c r="BM1109" s="7">
        <f>0</f>
        <v>0</v>
      </c>
      <c r="BN1109" s="8">
        <f>-135681</f>
        <v>-135681</v>
      </c>
      <c r="BO1109" s="5" t="s">
        <v>257</v>
      </c>
      <c r="BP1109" s="5" t="s">
        <v>258</v>
      </c>
      <c r="BQ1109" s="5" t="s">
        <v>238</v>
      </c>
      <c r="BR1109" s="5" t="s">
        <v>238</v>
      </c>
      <c r="BS1109" s="5" t="s">
        <v>238</v>
      </c>
      <c r="BT1109" s="5" t="s">
        <v>238</v>
      </c>
      <c r="CC1109" s="5" t="s">
        <v>258</v>
      </c>
      <c r="CD1109" s="5" t="s">
        <v>238</v>
      </c>
      <c r="CE1109" s="5" t="s">
        <v>238</v>
      </c>
      <c r="CI1109" s="5" t="s">
        <v>259</v>
      </c>
      <c r="CJ1109" s="5" t="s">
        <v>260</v>
      </c>
      <c r="CK1109" s="5" t="s">
        <v>238</v>
      </c>
      <c r="CM1109" s="5" t="s">
        <v>291</v>
      </c>
      <c r="CN1109" s="6" t="s">
        <v>262</v>
      </c>
      <c r="CO1109" s="5" t="s">
        <v>263</v>
      </c>
      <c r="CP1109" s="5" t="s">
        <v>264</v>
      </c>
      <c r="CQ1109" s="5" t="s">
        <v>285</v>
      </c>
      <c r="CR1109" s="5" t="s">
        <v>238</v>
      </c>
      <c r="CS1109" s="5">
        <v>6.7000000000000004E-2</v>
      </c>
      <c r="CT1109" s="5" t="s">
        <v>265</v>
      </c>
      <c r="CU1109" s="5" t="s">
        <v>351</v>
      </c>
      <c r="CV1109" s="5" t="s">
        <v>365</v>
      </c>
      <c r="CW1109" s="7">
        <f>0</f>
        <v>0</v>
      </c>
      <c r="CX1109" s="8">
        <f>2025100</f>
        <v>2025100</v>
      </c>
      <c r="CY1109" s="8">
        <f>1753738</f>
        <v>1753738</v>
      </c>
      <c r="DA1109" s="5" t="s">
        <v>238</v>
      </c>
      <c r="DB1109" s="5" t="s">
        <v>238</v>
      </c>
      <c r="DD1109" s="5" t="s">
        <v>238</v>
      </c>
      <c r="DE1109" s="8">
        <f>0</f>
        <v>0</v>
      </c>
      <c r="DG1109" s="5" t="s">
        <v>238</v>
      </c>
      <c r="DH1109" s="5" t="s">
        <v>238</v>
      </c>
      <c r="DI1109" s="5" t="s">
        <v>238</v>
      </c>
      <c r="DJ1109" s="5" t="s">
        <v>238</v>
      </c>
      <c r="DK1109" s="5" t="s">
        <v>272</v>
      </c>
      <c r="DL1109" s="5" t="s">
        <v>272</v>
      </c>
      <c r="DM1109" s="8" t="s">
        <v>238</v>
      </c>
      <c r="DN1109" s="5" t="s">
        <v>238</v>
      </c>
      <c r="DO1109" s="5" t="s">
        <v>238</v>
      </c>
      <c r="DP1109" s="5" t="s">
        <v>238</v>
      </c>
      <c r="DQ1109" s="5" t="s">
        <v>238</v>
      </c>
      <c r="DT1109" s="5" t="s">
        <v>1919</v>
      </c>
      <c r="DU1109" s="5" t="s">
        <v>274</v>
      </c>
      <c r="GL1109" s="5" t="s">
        <v>2908</v>
      </c>
      <c r="HM1109" s="5" t="s">
        <v>356</v>
      </c>
      <c r="HP1109" s="5" t="s">
        <v>272</v>
      </c>
      <c r="HQ1109" s="5" t="s">
        <v>272</v>
      </c>
      <c r="HR1109" s="5" t="s">
        <v>238</v>
      </c>
      <c r="HS1109" s="5" t="s">
        <v>238</v>
      </c>
      <c r="HT1109" s="5" t="s">
        <v>238</v>
      </c>
      <c r="HU1109" s="5" t="s">
        <v>238</v>
      </c>
      <c r="HV1109" s="5" t="s">
        <v>238</v>
      </c>
      <c r="HW1109" s="5" t="s">
        <v>238</v>
      </c>
      <c r="HX1109" s="5" t="s">
        <v>238</v>
      </c>
      <c r="HY1109" s="5" t="s">
        <v>238</v>
      </c>
      <c r="HZ1109" s="5" t="s">
        <v>238</v>
      </c>
      <c r="IA1109" s="5" t="s">
        <v>238</v>
      </c>
      <c r="IB1109" s="5" t="s">
        <v>238</v>
      </c>
      <c r="IC1109" s="5" t="s">
        <v>238</v>
      </c>
      <c r="ID1109" s="5" t="s">
        <v>238</v>
      </c>
    </row>
    <row r="1110" spans="1:238" x14ac:dyDescent="0.4">
      <c r="A1110" s="5">
        <v>1440</v>
      </c>
      <c r="B1110" s="5">
        <v>1</v>
      </c>
      <c r="C1110" s="5">
        <v>4</v>
      </c>
      <c r="D1110" s="5" t="s">
        <v>1673</v>
      </c>
      <c r="E1110" s="5" t="s">
        <v>338</v>
      </c>
      <c r="F1110" s="5" t="s">
        <v>282</v>
      </c>
      <c r="G1110" s="5" t="s">
        <v>1674</v>
      </c>
      <c r="H1110" s="6" t="s">
        <v>1675</v>
      </c>
      <c r="I1110" s="5" t="s">
        <v>1672</v>
      </c>
      <c r="J1110" s="7">
        <f>2528.22</f>
        <v>2528.2199999999998</v>
      </c>
      <c r="K1110" s="5" t="s">
        <v>270</v>
      </c>
      <c r="L1110" s="8">
        <f>237172343</f>
        <v>237172343</v>
      </c>
      <c r="M1110" s="8">
        <f>745824900</f>
        <v>745824900</v>
      </c>
      <c r="N1110" s="6" t="s">
        <v>1107</v>
      </c>
      <c r="O1110" s="5" t="s">
        <v>898</v>
      </c>
      <c r="P1110" s="5" t="s">
        <v>690</v>
      </c>
      <c r="Q1110" s="8">
        <f>16408147</f>
        <v>16408147</v>
      </c>
      <c r="R1110" s="8">
        <f>508652557</f>
        <v>508652557</v>
      </c>
      <c r="S1110" s="5" t="s">
        <v>240</v>
      </c>
      <c r="T1110" s="5" t="s">
        <v>237</v>
      </c>
      <c r="U1110" s="5" t="s">
        <v>238</v>
      </c>
      <c r="V1110" s="5" t="s">
        <v>238</v>
      </c>
      <c r="W1110" s="5" t="s">
        <v>241</v>
      </c>
      <c r="X1110" s="5" t="s">
        <v>337</v>
      </c>
      <c r="Y1110" s="5" t="s">
        <v>238</v>
      </c>
      <c r="AB1110" s="5" t="s">
        <v>238</v>
      </c>
      <c r="AC1110" s="6" t="s">
        <v>238</v>
      </c>
      <c r="AD1110" s="6" t="s">
        <v>238</v>
      </c>
      <c r="AF1110" s="6" t="s">
        <v>238</v>
      </c>
      <c r="AG1110" s="6" t="s">
        <v>246</v>
      </c>
      <c r="AH1110" s="5" t="s">
        <v>247</v>
      </c>
      <c r="AI1110" s="5" t="s">
        <v>248</v>
      </c>
      <c r="AO1110" s="5" t="s">
        <v>238</v>
      </c>
      <c r="AP1110" s="5" t="s">
        <v>238</v>
      </c>
      <c r="AQ1110" s="5" t="s">
        <v>238</v>
      </c>
      <c r="AR1110" s="6" t="s">
        <v>238</v>
      </c>
      <c r="AS1110" s="6" t="s">
        <v>238</v>
      </c>
      <c r="AT1110" s="6" t="s">
        <v>238</v>
      </c>
      <c r="AW1110" s="5" t="s">
        <v>304</v>
      </c>
      <c r="AX1110" s="5" t="s">
        <v>304</v>
      </c>
      <c r="AY1110" s="5" t="s">
        <v>250</v>
      </c>
      <c r="AZ1110" s="5" t="s">
        <v>305</v>
      </c>
      <c r="BA1110" s="5" t="s">
        <v>251</v>
      </c>
      <c r="BB1110" s="5" t="s">
        <v>238</v>
      </c>
      <c r="BC1110" s="5" t="s">
        <v>253</v>
      </c>
      <c r="BD1110" s="5" t="s">
        <v>238</v>
      </c>
      <c r="BF1110" s="5" t="s">
        <v>238</v>
      </c>
      <c r="BH1110" s="5" t="s">
        <v>283</v>
      </c>
      <c r="BI1110" s="6" t="s">
        <v>293</v>
      </c>
      <c r="BJ1110" s="5" t="s">
        <v>294</v>
      </c>
      <c r="BK1110" s="5" t="s">
        <v>294</v>
      </c>
      <c r="BL1110" s="5" t="s">
        <v>238</v>
      </c>
      <c r="BM1110" s="7">
        <f>0</f>
        <v>0</v>
      </c>
      <c r="BN1110" s="8">
        <f>-16408147</f>
        <v>-16408147</v>
      </c>
      <c r="BO1110" s="5" t="s">
        <v>257</v>
      </c>
      <c r="BP1110" s="5" t="s">
        <v>258</v>
      </c>
      <c r="BQ1110" s="5" t="s">
        <v>238</v>
      </c>
      <c r="BR1110" s="5" t="s">
        <v>238</v>
      </c>
      <c r="BS1110" s="5" t="s">
        <v>238</v>
      </c>
      <c r="BT1110" s="5" t="s">
        <v>238</v>
      </c>
      <c r="CC1110" s="5" t="s">
        <v>258</v>
      </c>
      <c r="CD1110" s="5" t="s">
        <v>238</v>
      </c>
      <c r="CE1110" s="5" t="s">
        <v>238</v>
      </c>
      <c r="CI1110" s="5" t="s">
        <v>259</v>
      </c>
      <c r="CJ1110" s="5" t="s">
        <v>260</v>
      </c>
      <c r="CK1110" s="5" t="s">
        <v>238</v>
      </c>
      <c r="CM1110" s="5" t="s">
        <v>768</v>
      </c>
      <c r="CN1110" s="6" t="s">
        <v>262</v>
      </c>
      <c r="CO1110" s="5" t="s">
        <v>263</v>
      </c>
      <c r="CP1110" s="5" t="s">
        <v>264</v>
      </c>
      <c r="CQ1110" s="5" t="s">
        <v>285</v>
      </c>
      <c r="CR1110" s="5" t="s">
        <v>238</v>
      </c>
      <c r="CS1110" s="5">
        <v>2.1999999999999999E-2</v>
      </c>
      <c r="CT1110" s="5" t="s">
        <v>265</v>
      </c>
      <c r="CU1110" s="5" t="s">
        <v>1330</v>
      </c>
      <c r="CV1110" s="5" t="s">
        <v>308</v>
      </c>
      <c r="CW1110" s="7">
        <f>0</f>
        <v>0</v>
      </c>
      <c r="CX1110" s="8">
        <f>745824900</f>
        <v>745824900</v>
      </c>
      <c r="CY1110" s="8">
        <f>253580490</f>
        <v>253580490</v>
      </c>
      <c r="DA1110" s="5" t="s">
        <v>238</v>
      </c>
      <c r="DB1110" s="5" t="s">
        <v>238</v>
      </c>
      <c r="DD1110" s="5" t="s">
        <v>238</v>
      </c>
      <c r="DE1110" s="8">
        <f>0</f>
        <v>0</v>
      </c>
      <c r="DG1110" s="5" t="s">
        <v>238</v>
      </c>
      <c r="DH1110" s="5" t="s">
        <v>238</v>
      </c>
      <c r="DI1110" s="5" t="s">
        <v>238</v>
      </c>
      <c r="DJ1110" s="5" t="s">
        <v>238</v>
      </c>
      <c r="DK1110" s="5" t="s">
        <v>274</v>
      </c>
      <c r="DL1110" s="5" t="s">
        <v>272</v>
      </c>
      <c r="DM1110" s="7">
        <f>2528.22</f>
        <v>2528.2199999999998</v>
      </c>
      <c r="DN1110" s="5" t="s">
        <v>238</v>
      </c>
      <c r="DO1110" s="5" t="s">
        <v>238</v>
      </c>
      <c r="DP1110" s="5" t="s">
        <v>238</v>
      </c>
      <c r="DQ1110" s="5" t="s">
        <v>238</v>
      </c>
      <c r="DT1110" s="5" t="s">
        <v>1676</v>
      </c>
      <c r="DU1110" s="5" t="s">
        <v>271</v>
      </c>
      <c r="GL1110" s="5" t="s">
        <v>1677</v>
      </c>
      <c r="HM1110" s="5" t="s">
        <v>313</v>
      </c>
      <c r="HP1110" s="5" t="s">
        <v>272</v>
      </c>
      <c r="HQ1110" s="5" t="s">
        <v>272</v>
      </c>
      <c r="HR1110" s="5" t="s">
        <v>238</v>
      </c>
      <c r="HS1110" s="5" t="s">
        <v>238</v>
      </c>
      <c r="HT1110" s="5" t="s">
        <v>238</v>
      </c>
      <c r="HU1110" s="5" t="s">
        <v>238</v>
      </c>
      <c r="HV1110" s="5" t="s">
        <v>238</v>
      </c>
      <c r="HW1110" s="5" t="s">
        <v>238</v>
      </c>
      <c r="HX1110" s="5" t="s">
        <v>238</v>
      </c>
      <c r="HY1110" s="5" t="s">
        <v>238</v>
      </c>
      <c r="HZ1110" s="5" t="s">
        <v>238</v>
      </c>
      <c r="IA1110" s="5" t="s">
        <v>238</v>
      </c>
      <c r="IB1110" s="5" t="s">
        <v>238</v>
      </c>
      <c r="IC1110" s="5" t="s">
        <v>238</v>
      </c>
      <c r="ID1110" s="5" t="s">
        <v>238</v>
      </c>
    </row>
    <row r="1111" spans="1:238" x14ac:dyDescent="0.4">
      <c r="A1111" s="5">
        <v>1441</v>
      </c>
      <c r="B1111" s="5">
        <v>1</v>
      </c>
      <c r="C1111" s="5">
        <v>4</v>
      </c>
      <c r="D1111" s="5" t="s">
        <v>1673</v>
      </c>
      <c r="E1111" s="5" t="s">
        <v>338</v>
      </c>
      <c r="F1111" s="5" t="s">
        <v>282</v>
      </c>
      <c r="G1111" s="5" t="s">
        <v>2913</v>
      </c>
      <c r="H1111" s="6" t="s">
        <v>1675</v>
      </c>
      <c r="I1111" s="5" t="s">
        <v>2911</v>
      </c>
      <c r="J1111" s="7">
        <f>0</f>
        <v>0</v>
      </c>
      <c r="K1111" s="5" t="s">
        <v>270</v>
      </c>
      <c r="L1111" s="8">
        <f>1089450</f>
        <v>1089450</v>
      </c>
      <c r="M1111" s="8">
        <f>2905200</f>
        <v>2905200</v>
      </c>
      <c r="N1111" s="6" t="s">
        <v>2912</v>
      </c>
      <c r="O1111" s="5" t="s">
        <v>354</v>
      </c>
      <c r="P1111" s="5" t="s">
        <v>356</v>
      </c>
      <c r="Q1111" s="8">
        <f>363150</f>
        <v>363150</v>
      </c>
      <c r="R1111" s="8">
        <f>1815750</f>
        <v>1815750</v>
      </c>
      <c r="S1111" s="5" t="s">
        <v>240</v>
      </c>
      <c r="T1111" s="5" t="s">
        <v>287</v>
      </c>
      <c r="U1111" s="5" t="s">
        <v>238</v>
      </c>
      <c r="V1111" s="5" t="s">
        <v>238</v>
      </c>
      <c r="W1111" s="5" t="s">
        <v>241</v>
      </c>
      <c r="X1111" s="5" t="s">
        <v>337</v>
      </c>
      <c r="Y1111" s="5" t="s">
        <v>238</v>
      </c>
      <c r="AB1111" s="5" t="s">
        <v>238</v>
      </c>
      <c r="AC1111" s="6" t="s">
        <v>238</v>
      </c>
      <c r="AD1111" s="6" t="s">
        <v>238</v>
      </c>
      <c r="AF1111" s="6" t="s">
        <v>238</v>
      </c>
      <c r="AG1111" s="6" t="s">
        <v>246</v>
      </c>
      <c r="AH1111" s="5" t="s">
        <v>247</v>
      </c>
      <c r="AI1111" s="5" t="s">
        <v>248</v>
      </c>
      <c r="AO1111" s="5" t="s">
        <v>238</v>
      </c>
      <c r="AP1111" s="5" t="s">
        <v>238</v>
      </c>
      <c r="AQ1111" s="5" t="s">
        <v>238</v>
      </c>
      <c r="AR1111" s="6" t="s">
        <v>238</v>
      </c>
      <c r="AS1111" s="6" t="s">
        <v>238</v>
      </c>
      <c r="AT1111" s="6" t="s">
        <v>238</v>
      </c>
      <c r="AW1111" s="5" t="s">
        <v>304</v>
      </c>
      <c r="AX1111" s="5" t="s">
        <v>304</v>
      </c>
      <c r="AY1111" s="5" t="s">
        <v>250</v>
      </c>
      <c r="AZ1111" s="5" t="s">
        <v>305</v>
      </c>
      <c r="BA1111" s="5" t="s">
        <v>251</v>
      </c>
      <c r="BB1111" s="5" t="s">
        <v>238</v>
      </c>
      <c r="BC1111" s="5" t="s">
        <v>253</v>
      </c>
      <c r="BD1111" s="5" t="s">
        <v>238</v>
      </c>
      <c r="BF1111" s="5" t="s">
        <v>238</v>
      </c>
      <c r="BH1111" s="5" t="s">
        <v>283</v>
      </c>
      <c r="BI1111" s="6" t="s">
        <v>293</v>
      </c>
      <c r="BJ1111" s="5" t="s">
        <v>294</v>
      </c>
      <c r="BK1111" s="5" t="s">
        <v>294</v>
      </c>
      <c r="BL1111" s="5" t="s">
        <v>238</v>
      </c>
      <c r="BM1111" s="7">
        <f>0</f>
        <v>0</v>
      </c>
      <c r="BN1111" s="8">
        <f>-363150</f>
        <v>-363150</v>
      </c>
      <c r="BO1111" s="5" t="s">
        <v>257</v>
      </c>
      <c r="BP1111" s="5" t="s">
        <v>258</v>
      </c>
      <c r="BQ1111" s="5" t="s">
        <v>238</v>
      </c>
      <c r="BR1111" s="5" t="s">
        <v>238</v>
      </c>
      <c r="BS1111" s="5" t="s">
        <v>238</v>
      </c>
      <c r="BT1111" s="5" t="s">
        <v>238</v>
      </c>
      <c r="CC1111" s="5" t="s">
        <v>258</v>
      </c>
      <c r="CD1111" s="5" t="s">
        <v>238</v>
      </c>
      <c r="CE1111" s="5" t="s">
        <v>238</v>
      </c>
      <c r="CI1111" s="5" t="s">
        <v>259</v>
      </c>
      <c r="CJ1111" s="5" t="s">
        <v>260</v>
      </c>
      <c r="CK1111" s="5" t="s">
        <v>238</v>
      </c>
      <c r="CM1111" s="5" t="s">
        <v>376</v>
      </c>
      <c r="CN1111" s="6" t="s">
        <v>262</v>
      </c>
      <c r="CO1111" s="5" t="s">
        <v>263</v>
      </c>
      <c r="CP1111" s="5" t="s">
        <v>264</v>
      </c>
      <c r="CQ1111" s="5" t="s">
        <v>285</v>
      </c>
      <c r="CR1111" s="5" t="s">
        <v>238</v>
      </c>
      <c r="CS1111" s="5">
        <v>0.125</v>
      </c>
      <c r="CT1111" s="5" t="s">
        <v>265</v>
      </c>
      <c r="CU1111" s="5" t="s">
        <v>351</v>
      </c>
      <c r="CV1111" s="5" t="s">
        <v>494</v>
      </c>
      <c r="CW1111" s="7">
        <f>0</f>
        <v>0</v>
      </c>
      <c r="CX1111" s="8">
        <f>2905200</f>
        <v>2905200</v>
      </c>
      <c r="CY1111" s="8">
        <f>1452600</f>
        <v>1452600</v>
      </c>
      <c r="DA1111" s="5" t="s">
        <v>238</v>
      </c>
      <c r="DB1111" s="5" t="s">
        <v>238</v>
      </c>
      <c r="DD1111" s="5" t="s">
        <v>238</v>
      </c>
      <c r="DE1111" s="8">
        <f>0</f>
        <v>0</v>
      </c>
      <c r="DG1111" s="5" t="s">
        <v>238</v>
      </c>
      <c r="DH1111" s="5" t="s">
        <v>238</v>
      </c>
      <c r="DI1111" s="5" t="s">
        <v>238</v>
      </c>
      <c r="DJ1111" s="5" t="s">
        <v>238</v>
      </c>
      <c r="DK1111" s="5" t="s">
        <v>272</v>
      </c>
      <c r="DL1111" s="5" t="s">
        <v>272</v>
      </c>
      <c r="DM1111" s="8" t="s">
        <v>238</v>
      </c>
      <c r="DN1111" s="5" t="s">
        <v>238</v>
      </c>
      <c r="DO1111" s="5" t="s">
        <v>238</v>
      </c>
      <c r="DP1111" s="5" t="s">
        <v>238</v>
      </c>
      <c r="DQ1111" s="5" t="s">
        <v>238</v>
      </c>
      <c r="DT1111" s="5" t="s">
        <v>1676</v>
      </c>
      <c r="DU1111" s="5" t="s">
        <v>274</v>
      </c>
      <c r="GL1111" s="5" t="s">
        <v>2914</v>
      </c>
      <c r="HM1111" s="5" t="s">
        <v>379</v>
      </c>
      <c r="HP1111" s="5" t="s">
        <v>272</v>
      </c>
      <c r="HQ1111" s="5" t="s">
        <v>272</v>
      </c>
      <c r="HR1111" s="5" t="s">
        <v>238</v>
      </c>
      <c r="HS1111" s="5" t="s">
        <v>238</v>
      </c>
      <c r="HT1111" s="5" t="s">
        <v>238</v>
      </c>
      <c r="HU1111" s="5" t="s">
        <v>238</v>
      </c>
      <c r="HV1111" s="5" t="s">
        <v>238</v>
      </c>
      <c r="HW1111" s="5" t="s">
        <v>238</v>
      </c>
      <c r="HX1111" s="5" t="s">
        <v>238</v>
      </c>
      <c r="HY1111" s="5" t="s">
        <v>238</v>
      </c>
      <c r="HZ1111" s="5" t="s">
        <v>238</v>
      </c>
      <c r="IA1111" s="5" t="s">
        <v>238</v>
      </c>
      <c r="IB1111" s="5" t="s">
        <v>238</v>
      </c>
      <c r="IC1111" s="5" t="s">
        <v>238</v>
      </c>
      <c r="ID1111" s="5" t="s">
        <v>238</v>
      </c>
    </row>
    <row r="1112" spans="1:238" x14ac:dyDescent="0.4">
      <c r="A1112" s="5">
        <v>1442</v>
      </c>
      <c r="B1112" s="5">
        <v>1</v>
      </c>
      <c r="C1112" s="5">
        <v>4</v>
      </c>
      <c r="D1112" s="5" t="s">
        <v>1673</v>
      </c>
      <c r="E1112" s="5" t="s">
        <v>338</v>
      </c>
      <c r="F1112" s="5" t="s">
        <v>282</v>
      </c>
      <c r="G1112" s="5" t="s">
        <v>349</v>
      </c>
      <c r="H1112" s="6" t="s">
        <v>1675</v>
      </c>
      <c r="I1112" s="5" t="s">
        <v>1697</v>
      </c>
      <c r="J1112" s="7">
        <f>0</f>
        <v>0</v>
      </c>
      <c r="K1112" s="5" t="s">
        <v>270</v>
      </c>
      <c r="L1112" s="8">
        <f>7157897</f>
        <v>7157897</v>
      </c>
      <c r="M1112" s="8">
        <f>7663700</f>
        <v>7663700</v>
      </c>
      <c r="N1112" s="6" t="s">
        <v>348</v>
      </c>
      <c r="O1112" s="5" t="s">
        <v>898</v>
      </c>
      <c r="P1112" s="5" t="s">
        <v>271</v>
      </c>
      <c r="Q1112" s="8">
        <f>168601</f>
        <v>168601</v>
      </c>
      <c r="R1112" s="8">
        <f>505803</f>
        <v>505803</v>
      </c>
      <c r="S1112" s="5" t="s">
        <v>240</v>
      </c>
      <c r="T1112" s="5" t="s">
        <v>287</v>
      </c>
      <c r="U1112" s="5" t="s">
        <v>238</v>
      </c>
      <c r="V1112" s="5" t="s">
        <v>238</v>
      </c>
      <c r="W1112" s="5" t="s">
        <v>241</v>
      </c>
      <c r="X1112" s="5" t="s">
        <v>238</v>
      </c>
      <c r="Y1112" s="5" t="s">
        <v>238</v>
      </c>
      <c r="AB1112" s="5" t="s">
        <v>238</v>
      </c>
      <c r="AC1112" s="6" t="s">
        <v>238</v>
      </c>
      <c r="AD1112" s="6" t="s">
        <v>238</v>
      </c>
      <c r="AF1112" s="6" t="s">
        <v>238</v>
      </c>
      <c r="AG1112" s="6" t="s">
        <v>246</v>
      </c>
      <c r="AH1112" s="5" t="s">
        <v>247</v>
      </c>
      <c r="AI1112" s="5" t="s">
        <v>248</v>
      </c>
      <c r="AO1112" s="5" t="s">
        <v>238</v>
      </c>
      <c r="AP1112" s="5" t="s">
        <v>238</v>
      </c>
      <c r="AQ1112" s="5" t="s">
        <v>238</v>
      </c>
      <c r="AR1112" s="6" t="s">
        <v>238</v>
      </c>
      <c r="AS1112" s="6" t="s">
        <v>238</v>
      </c>
      <c r="AT1112" s="6" t="s">
        <v>238</v>
      </c>
      <c r="AW1112" s="5" t="s">
        <v>304</v>
      </c>
      <c r="AX1112" s="5" t="s">
        <v>304</v>
      </c>
      <c r="AY1112" s="5" t="s">
        <v>250</v>
      </c>
      <c r="AZ1112" s="5" t="s">
        <v>305</v>
      </c>
      <c r="BA1112" s="5" t="s">
        <v>251</v>
      </c>
      <c r="BB1112" s="5" t="s">
        <v>238</v>
      </c>
      <c r="BC1112" s="5" t="s">
        <v>253</v>
      </c>
      <c r="BD1112" s="5" t="s">
        <v>238</v>
      </c>
      <c r="BF1112" s="5" t="s">
        <v>238</v>
      </c>
      <c r="BH1112" s="5" t="s">
        <v>283</v>
      </c>
      <c r="BI1112" s="6" t="s">
        <v>293</v>
      </c>
      <c r="BJ1112" s="5" t="s">
        <v>294</v>
      </c>
      <c r="BK1112" s="5" t="s">
        <v>294</v>
      </c>
      <c r="BL1112" s="5" t="s">
        <v>238</v>
      </c>
      <c r="BM1112" s="7">
        <f>0</f>
        <v>0</v>
      </c>
      <c r="BN1112" s="8">
        <f>-168601</f>
        <v>-168601</v>
      </c>
      <c r="BO1112" s="5" t="s">
        <v>257</v>
      </c>
      <c r="BP1112" s="5" t="s">
        <v>258</v>
      </c>
      <c r="BQ1112" s="5" t="s">
        <v>238</v>
      </c>
      <c r="BR1112" s="5" t="s">
        <v>238</v>
      </c>
      <c r="BS1112" s="5" t="s">
        <v>238</v>
      </c>
      <c r="BT1112" s="5" t="s">
        <v>238</v>
      </c>
      <c r="CC1112" s="5" t="s">
        <v>258</v>
      </c>
      <c r="CD1112" s="5" t="s">
        <v>238</v>
      </c>
      <c r="CE1112" s="5" t="s">
        <v>238</v>
      </c>
      <c r="CI1112" s="5" t="s">
        <v>259</v>
      </c>
      <c r="CJ1112" s="5" t="s">
        <v>260</v>
      </c>
      <c r="CK1112" s="5" t="s">
        <v>238</v>
      </c>
      <c r="CM1112" s="5" t="s">
        <v>291</v>
      </c>
      <c r="CN1112" s="6" t="s">
        <v>262</v>
      </c>
      <c r="CO1112" s="5" t="s">
        <v>263</v>
      </c>
      <c r="CP1112" s="5" t="s">
        <v>264</v>
      </c>
      <c r="CQ1112" s="5" t="s">
        <v>285</v>
      </c>
      <c r="CR1112" s="5" t="s">
        <v>238</v>
      </c>
      <c r="CS1112" s="5">
        <v>2.1999999999999999E-2</v>
      </c>
      <c r="CT1112" s="5" t="s">
        <v>265</v>
      </c>
      <c r="CU1112" s="5" t="s">
        <v>1330</v>
      </c>
      <c r="CV1112" s="5" t="s">
        <v>308</v>
      </c>
      <c r="CW1112" s="7">
        <f>0</f>
        <v>0</v>
      </c>
      <c r="CX1112" s="8">
        <f>7663700</f>
        <v>7663700</v>
      </c>
      <c r="CY1112" s="8">
        <f>7326498</f>
        <v>7326498</v>
      </c>
      <c r="DA1112" s="5" t="s">
        <v>238</v>
      </c>
      <c r="DB1112" s="5" t="s">
        <v>238</v>
      </c>
      <c r="DD1112" s="5" t="s">
        <v>238</v>
      </c>
      <c r="DE1112" s="8">
        <f>0</f>
        <v>0</v>
      </c>
      <c r="DG1112" s="5" t="s">
        <v>238</v>
      </c>
      <c r="DH1112" s="5" t="s">
        <v>238</v>
      </c>
      <c r="DI1112" s="5" t="s">
        <v>238</v>
      </c>
      <c r="DJ1112" s="5" t="s">
        <v>238</v>
      </c>
      <c r="DK1112" s="5" t="s">
        <v>272</v>
      </c>
      <c r="DL1112" s="5" t="s">
        <v>272</v>
      </c>
      <c r="DM1112" s="8" t="s">
        <v>238</v>
      </c>
      <c r="DN1112" s="5" t="s">
        <v>238</v>
      </c>
      <c r="DO1112" s="5" t="s">
        <v>238</v>
      </c>
      <c r="DP1112" s="5" t="s">
        <v>238</v>
      </c>
      <c r="DQ1112" s="5" t="s">
        <v>238</v>
      </c>
      <c r="DT1112" s="5" t="s">
        <v>1676</v>
      </c>
      <c r="DU1112" s="5" t="s">
        <v>356</v>
      </c>
      <c r="GL1112" s="5" t="s">
        <v>1698</v>
      </c>
      <c r="HM1112" s="5" t="s">
        <v>356</v>
      </c>
      <c r="HP1112" s="5" t="s">
        <v>272</v>
      </c>
      <c r="HQ1112" s="5" t="s">
        <v>272</v>
      </c>
      <c r="HR1112" s="5" t="s">
        <v>238</v>
      </c>
      <c r="HS1112" s="5" t="s">
        <v>238</v>
      </c>
      <c r="HT1112" s="5" t="s">
        <v>238</v>
      </c>
      <c r="HU1112" s="5" t="s">
        <v>238</v>
      </c>
      <c r="HV1112" s="5" t="s">
        <v>238</v>
      </c>
      <c r="HW1112" s="5" t="s">
        <v>238</v>
      </c>
      <c r="HX1112" s="5" t="s">
        <v>238</v>
      </c>
      <c r="HY1112" s="5" t="s">
        <v>238</v>
      </c>
      <c r="HZ1112" s="5" t="s">
        <v>238</v>
      </c>
      <c r="IA1112" s="5" t="s">
        <v>238</v>
      </c>
      <c r="IB1112" s="5" t="s">
        <v>238</v>
      </c>
      <c r="IC1112" s="5" t="s">
        <v>238</v>
      </c>
      <c r="ID1112" s="5" t="s">
        <v>238</v>
      </c>
    </row>
    <row r="1113" spans="1:238" x14ac:dyDescent="0.4">
      <c r="A1113" s="5">
        <v>1443</v>
      </c>
      <c r="B1113" s="5">
        <v>1</v>
      </c>
      <c r="C1113" s="5">
        <v>4</v>
      </c>
      <c r="D1113" s="5" t="s">
        <v>1673</v>
      </c>
      <c r="E1113" s="5" t="s">
        <v>338</v>
      </c>
      <c r="F1113" s="5" t="s">
        <v>282</v>
      </c>
      <c r="G1113" s="5" t="s">
        <v>349</v>
      </c>
      <c r="H1113" s="6" t="s">
        <v>1675</v>
      </c>
      <c r="I1113" s="5" t="s">
        <v>1695</v>
      </c>
      <c r="J1113" s="7">
        <f>0</f>
        <v>0</v>
      </c>
      <c r="K1113" s="5" t="s">
        <v>270</v>
      </c>
      <c r="L1113" s="8">
        <f>2298295</f>
        <v>2298295</v>
      </c>
      <c r="M1113" s="8">
        <f>2460700</f>
        <v>2460700</v>
      </c>
      <c r="N1113" s="6" t="s">
        <v>348</v>
      </c>
      <c r="O1113" s="5" t="s">
        <v>898</v>
      </c>
      <c r="P1113" s="5" t="s">
        <v>271</v>
      </c>
      <c r="Q1113" s="8">
        <f>54135</f>
        <v>54135</v>
      </c>
      <c r="R1113" s="8">
        <f>162405</f>
        <v>162405</v>
      </c>
      <c r="S1113" s="5" t="s">
        <v>240</v>
      </c>
      <c r="T1113" s="5" t="s">
        <v>287</v>
      </c>
      <c r="U1113" s="5" t="s">
        <v>238</v>
      </c>
      <c r="V1113" s="5" t="s">
        <v>238</v>
      </c>
      <c r="W1113" s="5" t="s">
        <v>241</v>
      </c>
      <c r="X1113" s="5" t="s">
        <v>238</v>
      </c>
      <c r="Y1113" s="5" t="s">
        <v>238</v>
      </c>
      <c r="AB1113" s="5" t="s">
        <v>238</v>
      </c>
      <c r="AC1113" s="6" t="s">
        <v>238</v>
      </c>
      <c r="AD1113" s="6" t="s">
        <v>238</v>
      </c>
      <c r="AF1113" s="6" t="s">
        <v>238</v>
      </c>
      <c r="AG1113" s="6" t="s">
        <v>246</v>
      </c>
      <c r="AH1113" s="5" t="s">
        <v>247</v>
      </c>
      <c r="AI1113" s="5" t="s">
        <v>248</v>
      </c>
      <c r="AO1113" s="5" t="s">
        <v>238</v>
      </c>
      <c r="AP1113" s="5" t="s">
        <v>238</v>
      </c>
      <c r="AQ1113" s="5" t="s">
        <v>238</v>
      </c>
      <c r="AR1113" s="6" t="s">
        <v>238</v>
      </c>
      <c r="AS1113" s="6" t="s">
        <v>238</v>
      </c>
      <c r="AT1113" s="6" t="s">
        <v>238</v>
      </c>
      <c r="AW1113" s="5" t="s">
        <v>304</v>
      </c>
      <c r="AX1113" s="5" t="s">
        <v>304</v>
      </c>
      <c r="AY1113" s="5" t="s">
        <v>250</v>
      </c>
      <c r="AZ1113" s="5" t="s">
        <v>305</v>
      </c>
      <c r="BA1113" s="5" t="s">
        <v>251</v>
      </c>
      <c r="BB1113" s="5" t="s">
        <v>238</v>
      </c>
      <c r="BC1113" s="5" t="s">
        <v>253</v>
      </c>
      <c r="BD1113" s="5" t="s">
        <v>238</v>
      </c>
      <c r="BF1113" s="5" t="s">
        <v>238</v>
      </c>
      <c r="BH1113" s="5" t="s">
        <v>283</v>
      </c>
      <c r="BI1113" s="6" t="s">
        <v>293</v>
      </c>
      <c r="BJ1113" s="5" t="s">
        <v>294</v>
      </c>
      <c r="BK1113" s="5" t="s">
        <v>294</v>
      </c>
      <c r="BL1113" s="5" t="s">
        <v>238</v>
      </c>
      <c r="BM1113" s="7">
        <f>0</f>
        <v>0</v>
      </c>
      <c r="BN1113" s="8">
        <f>-54135</f>
        <v>-54135</v>
      </c>
      <c r="BO1113" s="5" t="s">
        <v>257</v>
      </c>
      <c r="BP1113" s="5" t="s">
        <v>258</v>
      </c>
      <c r="BQ1113" s="5" t="s">
        <v>238</v>
      </c>
      <c r="BR1113" s="5" t="s">
        <v>238</v>
      </c>
      <c r="BS1113" s="5" t="s">
        <v>238</v>
      </c>
      <c r="BT1113" s="5" t="s">
        <v>238</v>
      </c>
      <c r="CC1113" s="5" t="s">
        <v>258</v>
      </c>
      <c r="CD1113" s="5" t="s">
        <v>238</v>
      </c>
      <c r="CE1113" s="5" t="s">
        <v>238</v>
      </c>
      <c r="CI1113" s="5" t="s">
        <v>259</v>
      </c>
      <c r="CJ1113" s="5" t="s">
        <v>260</v>
      </c>
      <c r="CK1113" s="5" t="s">
        <v>238</v>
      </c>
      <c r="CM1113" s="5" t="s">
        <v>291</v>
      </c>
      <c r="CN1113" s="6" t="s">
        <v>262</v>
      </c>
      <c r="CO1113" s="5" t="s">
        <v>263</v>
      </c>
      <c r="CP1113" s="5" t="s">
        <v>264</v>
      </c>
      <c r="CQ1113" s="5" t="s">
        <v>285</v>
      </c>
      <c r="CR1113" s="5" t="s">
        <v>238</v>
      </c>
      <c r="CS1113" s="5">
        <v>2.1999999999999999E-2</v>
      </c>
      <c r="CT1113" s="5" t="s">
        <v>265</v>
      </c>
      <c r="CU1113" s="5" t="s">
        <v>1330</v>
      </c>
      <c r="CV1113" s="5" t="s">
        <v>308</v>
      </c>
      <c r="CW1113" s="7">
        <f>0</f>
        <v>0</v>
      </c>
      <c r="CX1113" s="8">
        <f>2460700</f>
        <v>2460700</v>
      </c>
      <c r="CY1113" s="8">
        <f>2352430</f>
        <v>2352430</v>
      </c>
      <c r="DA1113" s="5" t="s">
        <v>238</v>
      </c>
      <c r="DB1113" s="5" t="s">
        <v>238</v>
      </c>
      <c r="DD1113" s="5" t="s">
        <v>238</v>
      </c>
      <c r="DE1113" s="8">
        <f>0</f>
        <v>0</v>
      </c>
      <c r="DG1113" s="5" t="s">
        <v>238</v>
      </c>
      <c r="DH1113" s="5" t="s">
        <v>238</v>
      </c>
      <c r="DI1113" s="5" t="s">
        <v>238</v>
      </c>
      <c r="DJ1113" s="5" t="s">
        <v>238</v>
      </c>
      <c r="DK1113" s="5" t="s">
        <v>272</v>
      </c>
      <c r="DL1113" s="5" t="s">
        <v>272</v>
      </c>
      <c r="DM1113" s="8" t="s">
        <v>238</v>
      </c>
      <c r="DN1113" s="5" t="s">
        <v>238</v>
      </c>
      <c r="DO1113" s="5" t="s">
        <v>238</v>
      </c>
      <c r="DP1113" s="5" t="s">
        <v>238</v>
      </c>
      <c r="DQ1113" s="5" t="s">
        <v>238</v>
      </c>
      <c r="DT1113" s="5" t="s">
        <v>1676</v>
      </c>
      <c r="DU1113" s="5" t="s">
        <v>310</v>
      </c>
      <c r="GL1113" s="5" t="s">
        <v>1696</v>
      </c>
      <c r="HM1113" s="5" t="s">
        <v>356</v>
      </c>
      <c r="HP1113" s="5" t="s">
        <v>272</v>
      </c>
      <c r="HQ1113" s="5" t="s">
        <v>272</v>
      </c>
      <c r="HR1113" s="5" t="s">
        <v>238</v>
      </c>
      <c r="HS1113" s="5" t="s">
        <v>238</v>
      </c>
      <c r="HT1113" s="5" t="s">
        <v>238</v>
      </c>
      <c r="HU1113" s="5" t="s">
        <v>238</v>
      </c>
      <c r="HV1113" s="5" t="s">
        <v>238</v>
      </c>
      <c r="HW1113" s="5" t="s">
        <v>238</v>
      </c>
      <c r="HX1113" s="5" t="s">
        <v>238</v>
      </c>
      <c r="HY1113" s="5" t="s">
        <v>238</v>
      </c>
      <c r="HZ1113" s="5" t="s">
        <v>238</v>
      </c>
      <c r="IA1113" s="5" t="s">
        <v>238</v>
      </c>
      <c r="IB1113" s="5" t="s">
        <v>238</v>
      </c>
      <c r="IC1113" s="5" t="s">
        <v>238</v>
      </c>
      <c r="ID1113" s="5" t="s">
        <v>238</v>
      </c>
    </row>
    <row r="1114" spans="1:238" x14ac:dyDescent="0.4">
      <c r="A1114" s="5">
        <v>1444</v>
      </c>
      <c r="B1114" s="5">
        <v>1</v>
      </c>
      <c r="C1114" s="5">
        <v>1</v>
      </c>
      <c r="D1114" s="5" t="s">
        <v>1784</v>
      </c>
      <c r="E1114" s="5" t="s">
        <v>338</v>
      </c>
      <c r="F1114" s="5" t="s">
        <v>282</v>
      </c>
      <c r="G1114" s="5" t="s">
        <v>1670</v>
      </c>
      <c r="H1114" s="6" t="s">
        <v>1786</v>
      </c>
      <c r="I1114" s="5" t="s">
        <v>1670</v>
      </c>
      <c r="J1114" s="7">
        <f>1062.27</f>
        <v>1062.27</v>
      </c>
      <c r="K1114" s="5" t="s">
        <v>270</v>
      </c>
      <c r="L1114" s="8">
        <f>1</f>
        <v>1</v>
      </c>
      <c r="M1114" s="8">
        <f>169963200</f>
        <v>169963200</v>
      </c>
      <c r="N1114" s="6" t="s">
        <v>1785</v>
      </c>
      <c r="O1114" s="5" t="s">
        <v>755</v>
      </c>
      <c r="P1114" s="5" t="s">
        <v>755</v>
      </c>
      <c r="R1114" s="8">
        <f>169963199</f>
        <v>169963199</v>
      </c>
      <c r="S1114" s="5" t="s">
        <v>240</v>
      </c>
      <c r="T1114" s="5" t="s">
        <v>237</v>
      </c>
      <c r="U1114" s="5" t="s">
        <v>238</v>
      </c>
      <c r="V1114" s="5" t="s">
        <v>238</v>
      </c>
      <c r="W1114" s="5" t="s">
        <v>241</v>
      </c>
      <c r="X1114" s="5" t="s">
        <v>337</v>
      </c>
      <c r="Y1114" s="5" t="s">
        <v>238</v>
      </c>
      <c r="AB1114" s="5" t="s">
        <v>238</v>
      </c>
      <c r="AD1114" s="6" t="s">
        <v>238</v>
      </c>
      <c r="AG1114" s="6" t="s">
        <v>246</v>
      </c>
      <c r="AH1114" s="5" t="s">
        <v>247</v>
      </c>
      <c r="AI1114" s="5" t="s">
        <v>248</v>
      </c>
      <c r="AY1114" s="5" t="s">
        <v>250</v>
      </c>
      <c r="AZ1114" s="5" t="s">
        <v>238</v>
      </c>
      <c r="BA1114" s="5" t="s">
        <v>251</v>
      </c>
      <c r="BB1114" s="5" t="s">
        <v>238</v>
      </c>
      <c r="BC1114" s="5" t="s">
        <v>253</v>
      </c>
      <c r="BD1114" s="5" t="s">
        <v>238</v>
      </c>
      <c r="BF1114" s="5" t="s">
        <v>238</v>
      </c>
      <c r="BH1114" s="5" t="s">
        <v>798</v>
      </c>
      <c r="BI1114" s="6" t="s">
        <v>1464</v>
      </c>
      <c r="BJ1114" s="5" t="s">
        <v>255</v>
      </c>
      <c r="BK1114" s="5" t="s">
        <v>294</v>
      </c>
      <c r="BL1114" s="5" t="s">
        <v>238</v>
      </c>
      <c r="BM1114" s="7">
        <f>0</f>
        <v>0</v>
      </c>
      <c r="BN1114" s="8">
        <f>0</f>
        <v>0</v>
      </c>
      <c r="BO1114" s="5" t="s">
        <v>257</v>
      </c>
      <c r="BP1114" s="5" t="s">
        <v>258</v>
      </c>
      <c r="CD1114" s="5" t="s">
        <v>238</v>
      </c>
      <c r="CE1114" s="5" t="s">
        <v>238</v>
      </c>
      <c r="CI1114" s="5" t="s">
        <v>259</v>
      </c>
      <c r="CJ1114" s="5" t="s">
        <v>260</v>
      </c>
      <c r="CK1114" s="5" t="s">
        <v>238</v>
      </c>
      <c r="CM1114" s="5" t="s">
        <v>882</v>
      </c>
      <c r="CN1114" s="6" t="s">
        <v>262</v>
      </c>
      <c r="CO1114" s="5" t="s">
        <v>263</v>
      </c>
      <c r="CP1114" s="5" t="s">
        <v>264</v>
      </c>
      <c r="CQ1114" s="5" t="s">
        <v>238</v>
      </c>
      <c r="CR1114" s="5" t="s">
        <v>238</v>
      </c>
      <c r="CS1114" s="5">
        <v>0</v>
      </c>
      <c r="CT1114" s="5" t="s">
        <v>265</v>
      </c>
      <c r="CU1114" s="5" t="s">
        <v>1330</v>
      </c>
      <c r="CV1114" s="5" t="s">
        <v>649</v>
      </c>
      <c r="CX1114" s="8">
        <f>169963200</f>
        <v>169963200</v>
      </c>
      <c r="CY1114" s="8">
        <f>0</f>
        <v>0</v>
      </c>
      <c r="DA1114" s="5" t="s">
        <v>238</v>
      </c>
      <c r="DB1114" s="5" t="s">
        <v>238</v>
      </c>
      <c r="DD1114" s="5" t="s">
        <v>238</v>
      </c>
      <c r="DG1114" s="5" t="s">
        <v>238</v>
      </c>
      <c r="DH1114" s="5" t="s">
        <v>238</v>
      </c>
      <c r="DI1114" s="5" t="s">
        <v>238</v>
      </c>
      <c r="DJ1114" s="5" t="s">
        <v>238</v>
      </c>
      <c r="DK1114" s="5" t="s">
        <v>271</v>
      </c>
      <c r="DL1114" s="5" t="s">
        <v>272</v>
      </c>
      <c r="DM1114" s="7">
        <f>1062.27</f>
        <v>1062.27</v>
      </c>
      <c r="DN1114" s="5" t="s">
        <v>238</v>
      </c>
      <c r="DO1114" s="5" t="s">
        <v>238</v>
      </c>
      <c r="DP1114" s="5" t="s">
        <v>238</v>
      </c>
      <c r="DQ1114" s="5" t="s">
        <v>238</v>
      </c>
      <c r="DT1114" s="5" t="s">
        <v>1787</v>
      </c>
      <c r="DU1114" s="5" t="s">
        <v>271</v>
      </c>
      <c r="HM1114" s="5" t="s">
        <v>379</v>
      </c>
      <c r="HP1114" s="5" t="s">
        <v>272</v>
      </c>
      <c r="HQ1114" s="5" t="s">
        <v>272</v>
      </c>
    </row>
    <row r="1115" spans="1:238" x14ac:dyDescent="0.4">
      <c r="A1115" s="5">
        <v>1445</v>
      </c>
      <c r="B1115" s="5">
        <v>1</v>
      </c>
      <c r="C1115" s="5">
        <v>1</v>
      </c>
      <c r="D1115" s="5" t="s">
        <v>1781</v>
      </c>
      <c r="E1115" s="5" t="s">
        <v>338</v>
      </c>
      <c r="F1115" s="5" t="s">
        <v>282</v>
      </c>
      <c r="G1115" s="5" t="s">
        <v>1670</v>
      </c>
      <c r="H1115" s="6" t="s">
        <v>526</v>
      </c>
      <c r="I1115" s="5" t="s">
        <v>1670</v>
      </c>
      <c r="J1115" s="7">
        <f>563.8</f>
        <v>563.79999999999995</v>
      </c>
      <c r="K1115" s="5" t="s">
        <v>270</v>
      </c>
      <c r="L1115" s="8">
        <f>1</f>
        <v>1</v>
      </c>
      <c r="M1115" s="8">
        <f>82772760</f>
        <v>82772760</v>
      </c>
      <c r="N1115" s="6" t="s">
        <v>1782</v>
      </c>
      <c r="O1115" s="5" t="s">
        <v>286</v>
      </c>
      <c r="P1115" s="5" t="s">
        <v>286</v>
      </c>
      <c r="R1115" s="8">
        <f>82772759</f>
        <v>82772759</v>
      </c>
      <c r="S1115" s="5" t="s">
        <v>240</v>
      </c>
      <c r="T1115" s="5" t="s">
        <v>237</v>
      </c>
      <c r="U1115" s="5" t="s">
        <v>238</v>
      </c>
      <c r="V1115" s="5" t="s">
        <v>238</v>
      </c>
      <c r="W1115" s="5" t="s">
        <v>241</v>
      </c>
      <c r="X1115" s="5" t="s">
        <v>337</v>
      </c>
      <c r="Y1115" s="5" t="s">
        <v>238</v>
      </c>
      <c r="AB1115" s="5" t="s">
        <v>238</v>
      </c>
      <c r="AD1115" s="6" t="s">
        <v>238</v>
      </c>
      <c r="AG1115" s="6" t="s">
        <v>246</v>
      </c>
      <c r="AH1115" s="5" t="s">
        <v>247</v>
      </c>
      <c r="AI1115" s="5" t="s">
        <v>248</v>
      </c>
      <c r="AY1115" s="5" t="s">
        <v>250</v>
      </c>
      <c r="AZ1115" s="5" t="s">
        <v>238</v>
      </c>
      <c r="BA1115" s="5" t="s">
        <v>251</v>
      </c>
      <c r="BB1115" s="5" t="s">
        <v>238</v>
      </c>
      <c r="BC1115" s="5" t="s">
        <v>253</v>
      </c>
      <c r="BD1115" s="5" t="s">
        <v>238</v>
      </c>
      <c r="BF1115" s="5" t="s">
        <v>710</v>
      </c>
      <c r="BH1115" s="5" t="s">
        <v>254</v>
      </c>
      <c r="BI1115" s="6" t="s">
        <v>246</v>
      </c>
      <c r="BJ1115" s="5" t="s">
        <v>255</v>
      </c>
      <c r="BK1115" s="5" t="s">
        <v>294</v>
      </c>
      <c r="BL1115" s="5" t="s">
        <v>238</v>
      </c>
      <c r="BM1115" s="7">
        <f>0</f>
        <v>0</v>
      </c>
      <c r="BN1115" s="8">
        <f>0</f>
        <v>0</v>
      </c>
      <c r="BO1115" s="5" t="s">
        <v>257</v>
      </c>
      <c r="BP1115" s="5" t="s">
        <v>258</v>
      </c>
      <c r="CD1115" s="5" t="s">
        <v>238</v>
      </c>
      <c r="CE1115" s="5" t="s">
        <v>238</v>
      </c>
      <c r="CI1115" s="5" t="s">
        <v>259</v>
      </c>
      <c r="CJ1115" s="5" t="s">
        <v>260</v>
      </c>
      <c r="CK1115" s="5" t="s">
        <v>238</v>
      </c>
      <c r="CM1115" s="5" t="s">
        <v>638</v>
      </c>
      <c r="CN1115" s="6" t="s">
        <v>262</v>
      </c>
      <c r="CO1115" s="5" t="s">
        <v>263</v>
      </c>
      <c r="CP1115" s="5" t="s">
        <v>264</v>
      </c>
      <c r="CQ1115" s="5" t="s">
        <v>238</v>
      </c>
      <c r="CR1115" s="5" t="s">
        <v>238</v>
      </c>
      <c r="CS1115" s="5">
        <v>0</v>
      </c>
      <c r="CT1115" s="5" t="s">
        <v>265</v>
      </c>
      <c r="CU1115" s="5" t="s">
        <v>1330</v>
      </c>
      <c r="CV1115" s="5" t="s">
        <v>267</v>
      </c>
      <c r="CX1115" s="8">
        <f>82772760</f>
        <v>82772760</v>
      </c>
      <c r="CY1115" s="8">
        <f>0</f>
        <v>0</v>
      </c>
      <c r="DA1115" s="5" t="s">
        <v>238</v>
      </c>
      <c r="DB1115" s="5" t="s">
        <v>238</v>
      </c>
      <c r="DD1115" s="5" t="s">
        <v>238</v>
      </c>
      <c r="DG1115" s="5" t="s">
        <v>238</v>
      </c>
      <c r="DH1115" s="5" t="s">
        <v>238</v>
      </c>
      <c r="DI1115" s="5" t="s">
        <v>238</v>
      </c>
      <c r="DJ1115" s="5" t="s">
        <v>238</v>
      </c>
      <c r="DK1115" s="5" t="s">
        <v>271</v>
      </c>
      <c r="DL1115" s="5" t="s">
        <v>272</v>
      </c>
      <c r="DM1115" s="7">
        <f>563.8</f>
        <v>563.79999999999995</v>
      </c>
      <c r="DN1115" s="5" t="s">
        <v>238</v>
      </c>
      <c r="DO1115" s="5" t="s">
        <v>238</v>
      </c>
      <c r="DP1115" s="5" t="s">
        <v>238</v>
      </c>
      <c r="DQ1115" s="5" t="s">
        <v>238</v>
      </c>
      <c r="DT1115" s="5" t="s">
        <v>1783</v>
      </c>
      <c r="DU1115" s="5" t="s">
        <v>271</v>
      </c>
      <c r="HM1115" s="5" t="s">
        <v>356</v>
      </c>
      <c r="HP1115" s="5" t="s">
        <v>272</v>
      </c>
      <c r="HQ1115" s="5" t="s">
        <v>272</v>
      </c>
    </row>
    <row r="1116" spans="1:238" x14ac:dyDescent="0.4">
      <c r="A1116" s="5">
        <v>1446</v>
      </c>
      <c r="B1116" s="5">
        <v>1</v>
      </c>
      <c r="C1116" s="5">
        <v>4</v>
      </c>
      <c r="D1116" s="5" t="s">
        <v>1690</v>
      </c>
      <c r="E1116" s="5" t="s">
        <v>338</v>
      </c>
      <c r="F1116" s="5" t="s">
        <v>282</v>
      </c>
      <c r="G1116" s="5" t="s">
        <v>1691</v>
      </c>
      <c r="H1116" s="6" t="s">
        <v>1692</v>
      </c>
      <c r="I1116" s="5" t="s">
        <v>1670</v>
      </c>
      <c r="J1116" s="7">
        <f>1699.09</f>
        <v>1699.09</v>
      </c>
      <c r="K1116" s="5" t="s">
        <v>270</v>
      </c>
      <c r="L1116" s="8">
        <f>112513758</f>
        <v>112513758</v>
      </c>
      <c r="M1116" s="8">
        <f>511426090</f>
        <v>511426090</v>
      </c>
      <c r="N1116" s="6" t="s">
        <v>645</v>
      </c>
      <c r="O1116" s="5" t="s">
        <v>755</v>
      </c>
      <c r="P1116" s="5" t="s">
        <v>651</v>
      </c>
      <c r="Q1116" s="8">
        <f>15342782</f>
        <v>15342782</v>
      </c>
      <c r="R1116" s="8">
        <f>398912332</f>
        <v>398912332</v>
      </c>
      <c r="S1116" s="5" t="s">
        <v>240</v>
      </c>
      <c r="T1116" s="5" t="s">
        <v>237</v>
      </c>
      <c r="U1116" s="5" t="s">
        <v>238</v>
      </c>
      <c r="V1116" s="5" t="s">
        <v>238</v>
      </c>
      <c r="W1116" s="5" t="s">
        <v>241</v>
      </c>
      <c r="X1116" s="5" t="s">
        <v>337</v>
      </c>
      <c r="Y1116" s="5" t="s">
        <v>238</v>
      </c>
      <c r="AB1116" s="5" t="s">
        <v>238</v>
      </c>
      <c r="AC1116" s="6" t="s">
        <v>238</v>
      </c>
      <c r="AD1116" s="6" t="s">
        <v>238</v>
      </c>
      <c r="AF1116" s="6" t="s">
        <v>238</v>
      </c>
      <c r="AG1116" s="6" t="s">
        <v>246</v>
      </c>
      <c r="AH1116" s="5" t="s">
        <v>247</v>
      </c>
      <c r="AI1116" s="5" t="s">
        <v>248</v>
      </c>
      <c r="AO1116" s="5" t="s">
        <v>238</v>
      </c>
      <c r="AP1116" s="5" t="s">
        <v>238</v>
      </c>
      <c r="AQ1116" s="5" t="s">
        <v>238</v>
      </c>
      <c r="AR1116" s="6" t="s">
        <v>238</v>
      </c>
      <c r="AS1116" s="6" t="s">
        <v>238</v>
      </c>
      <c r="AT1116" s="6" t="s">
        <v>238</v>
      </c>
      <c r="AW1116" s="5" t="s">
        <v>304</v>
      </c>
      <c r="AX1116" s="5" t="s">
        <v>304</v>
      </c>
      <c r="AY1116" s="5" t="s">
        <v>250</v>
      </c>
      <c r="AZ1116" s="5" t="s">
        <v>305</v>
      </c>
      <c r="BA1116" s="5" t="s">
        <v>251</v>
      </c>
      <c r="BB1116" s="5" t="s">
        <v>238</v>
      </c>
      <c r="BC1116" s="5" t="s">
        <v>253</v>
      </c>
      <c r="BD1116" s="5" t="s">
        <v>238</v>
      </c>
      <c r="BF1116" s="5" t="s">
        <v>710</v>
      </c>
      <c r="BH1116" s="5" t="s">
        <v>283</v>
      </c>
      <c r="BI1116" s="6" t="s">
        <v>293</v>
      </c>
      <c r="BJ1116" s="5" t="s">
        <v>294</v>
      </c>
      <c r="BK1116" s="5" t="s">
        <v>294</v>
      </c>
      <c r="BL1116" s="5" t="s">
        <v>238</v>
      </c>
      <c r="BM1116" s="7">
        <f>0</f>
        <v>0</v>
      </c>
      <c r="BN1116" s="8">
        <f>-15342782</f>
        <v>-15342782</v>
      </c>
      <c r="BO1116" s="5" t="s">
        <v>257</v>
      </c>
      <c r="BP1116" s="5" t="s">
        <v>258</v>
      </c>
      <c r="BQ1116" s="5" t="s">
        <v>238</v>
      </c>
      <c r="BR1116" s="5" t="s">
        <v>238</v>
      </c>
      <c r="BS1116" s="5" t="s">
        <v>238</v>
      </c>
      <c r="BT1116" s="5" t="s">
        <v>238</v>
      </c>
      <c r="CC1116" s="5" t="s">
        <v>258</v>
      </c>
      <c r="CD1116" s="5" t="s">
        <v>238</v>
      </c>
      <c r="CE1116" s="5" t="s">
        <v>238</v>
      </c>
      <c r="CI1116" s="5" t="s">
        <v>259</v>
      </c>
      <c r="CJ1116" s="5" t="s">
        <v>260</v>
      </c>
      <c r="CK1116" s="5" t="s">
        <v>238</v>
      </c>
      <c r="CM1116" s="5" t="s">
        <v>648</v>
      </c>
      <c r="CN1116" s="6" t="s">
        <v>262</v>
      </c>
      <c r="CO1116" s="5" t="s">
        <v>263</v>
      </c>
      <c r="CP1116" s="5" t="s">
        <v>264</v>
      </c>
      <c r="CQ1116" s="5" t="s">
        <v>285</v>
      </c>
      <c r="CR1116" s="5" t="s">
        <v>238</v>
      </c>
      <c r="CS1116" s="5">
        <v>0.03</v>
      </c>
      <c r="CT1116" s="5" t="s">
        <v>265</v>
      </c>
      <c r="CU1116" s="5" t="s">
        <v>1330</v>
      </c>
      <c r="CV1116" s="5" t="s">
        <v>649</v>
      </c>
      <c r="CW1116" s="7">
        <f>0</f>
        <v>0</v>
      </c>
      <c r="CX1116" s="8">
        <f>511426090</f>
        <v>511426090</v>
      </c>
      <c r="CY1116" s="8">
        <f>127856540</f>
        <v>127856540</v>
      </c>
      <c r="DA1116" s="5" t="s">
        <v>238</v>
      </c>
      <c r="DB1116" s="5" t="s">
        <v>238</v>
      </c>
      <c r="DD1116" s="5" t="s">
        <v>238</v>
      </c>
      <c r="DE1116" s="8">
        <f>0</f>
        <v>0</v>
      </c>
      <c r="DG1116" s="5" t="s">
        <v>238</v>
      </c>
      <c r="DH1116" s="5" t="s">
        <v>238</v>
      </c>
      <c r="DI1116" s="5" t="s">
        <v>238</v>
      </c>
      <c r="DJ1116" s="5" t="s">
        <v>238</v>
      </c>
      <c r="DK1116" s="5" t="s">
        <v>271</v>
      </c>
      <c r="DL1116" s="5" t="s">
        <v>272</v>
      </c>
      <c r="DM1116" s="7">
        <f>1699.09</f>
        <v>1699.09</v>
      </c>
      <c r="DN1116" s="5" t="s">
        <v>238</v>
      </c>
      <c r="DO1116" s="5" t="s">
        <v>238</v>
      </c>
      <c r="DP1116" s="5" t="s">
        <v>238</v>
      </c>
      <c r="DQ1116" s="5" t="s">
        <v>238</v>
      </c>
      <c r="DT1116" s="5" t="s">
        <v>1693</v>
      </c>
      <c r="DU1116" s="5" t="s">
        <v>271</v>
      </c>
      <c r="GL1116" s="5" t="s">
        <v>1694</v>
      </c>
      <c r="HM1116" s="5" t="s">
        <v>313</v>
      </c>
      <c r="HP1116" s="5" t="s">
        <v>272</v>
      </c>
      <c r="HQ1116" s="5" t="s">
        <v>272</v>
      </c>
      <c r="HR1116" s="5" t="s">
        <v>238</v>
      </c>
      <c r="HS1116" s="5" t="s">
        <v>238</v>
      </c>
      <c r="HT1116" s="5" t="s">
        <v>238</v>
      </c>
      <c r="HU1116" s="5" t="s">
        <v>238</v>
      </c>
      <c r="HV1116" s="5" t="s">
        <v>238</v>
      </c>
      <c r="HW1116" s="5" t="s">
        <v>238</v>
      </c>
      <c r="HX1116" s="5" t="s">
        <v>238</v>
      </c>
      <c r="HY1116" s="5" t="s">
        <v>238</v>
      </c>
      <c r="HZ1116" s="5" t="s">
        <v>238</v>
      </c>
      <c r="IA1116" s="5" t="s">
        <v>238</v>
      </c>
      <c r="IB1116" s="5" t="s">
        <v>238</v>
      </c>
      <c r="IC1116" s="5" t="s">
        <v>238</v>
      </c>
      <c r="ID1116" s="5" t="s">
        <v>238</v>
      </c>
    </row>
    <row r="1117" spans="1:238" x14ac:dyDescent="0.4">
      <c r="A1117" s="5">
        <v>1447</v>
      </c>
      <c r="B1117" s="5">
        <v>1</v>
      </c>
      <c r="C1117" s="5">
        <v>4</v>
      </c>
      <c r="D1117" s="5" t="s">
        <v>1690</v>
      </c>
      <c r="E1117" s="5" t="s">
        <v>338</v>
      </c>
      <c r="F1117" s="5" t="s">
        <v>282</v>
      </c>
      <c r="G1117" s="5" t="s">
        <v>349</v>
      </c>
      <c r="H1117" s="6" t="s">
        <v>1692</v>
      </c>
      <c r="I1117" s="5" t="s">
        <v>1361</v>
      </c>
      <c r="J1117" s="7">
        <f>0</f>
        <v>0</v>
      </c>
      <c r="K1117" s="5" t="s">
        <v>270</v>
      </c>
      <c r="L1117" s="8">
        <f>537727</f>
        <v>537727</v>
      </c>
      <c r="M1117" s="8">
        <f>673000</f>
        <v>673000</v>
      </c>
      <c r="N1117" s="6" t="s">
        <v>2915</v>
      </c>
      <c r="O1117" s="5" t="s">
        <v>268</v>
      </c>
      <c r="P1117" s="5" t="s">
        <v>271</v>
      </c>
      <c r="Q1117" s="8">
        <f>45091</f>
        <v>45091</v>
      </c>
      <c r="R1117" s="8">
        <f>135273</f>
        <v>135273</v>
      </c>
      <c r="S1117" s="5" t="s">
        <v>240</v>
      </c>
      <c r="T1117" s="5" t="s">
        <v>287</v>
      </c>
      <c r="U1117" s="5" t="s">
        <v>238</v>
      </c>
      <c r="V1117" s="5" t="s">
        <v>238</v>
      </c>
      <c r="W1117" s="5" t="s">
        <v>241</v>
      </c>
      <c r="X1117" s="5" t="s">
        <v>238</v>
      </c>
      <c r="Y1117" s="5" t="s">
        <v>238</v>
      </c>
      <c r="AB1117" s="5" t="s">
        <v>238</v>
      </c>
      <c r="AC1117" s="6" t="s">
        <v>238</v>
      </c>
      <c r="AD1117" s="6" t="s">
        <v>238</v>
      </c>
      <c r="AF1117" s="6" t="s">
        <v>238</v>
      </c>
      <c r="AG1117" s="6" t="s">
        <v>246</v>
      </c>
      <c r="AH1117" s="5" t="s">
        <v>247</v>
      </c>
      <c r="AI1117" s="5" t="s">
        <v>248</v>
      </c>
      <c r="AO1117" s="5" t="s">
        <v>238</v>
      </c>
      <c r="AP1117" s="5" t="s">
        <v>238</v>
      </c>
      <c r="AQ1117" s="5" t="s">
        <v>238</v>
      </c>
      <c r="AR1117" s="6" t="s">
        <v>238</v>
      </c>
      <c r="AS1117" s="6" t="s">
        <v>238</v>
      </c>
      <c r="AT1117" s="6" t="s">
        <v>238</v>
      </c>
      <c r="AW1117" s="5" t="s">
        <v>304</v>
      </c>
      <c r="AX1117" s="5" t="s">
        <v>304</v>
      </c>
      <c r="AY1117" s="5" t="s">
        <v>250</v>
      </c>
      <c r="AZ1117" s="5" t="s">
        <v>305</v>
      </c>
      <c r="BA1117" s="5" t="s">
        <v>251</v>
      </c>
      <c r="BB1117" s="5" t="s">
        <v>238</v>
      </c>
      <c r="BC1117" s="5" t="s">
        <v>253</v>
      </c>
      <c r="BD1117" s="5" t="s">
        <v>238</v>
      </c>
      <c r="BF1117" s="5" t="s">
        <v>238</v>
      </c>
      <c r="BH1117" s="5" t="s">
        <v>283</v>
      </c>
      <c r="BI1117" s="6" t="s">
        <v>293</v>
      </c>
      <c r="BJ1117" s="5" t="s">
        <v>294</v>
      </c>
      <c r="BK1117" s="5" t="s">
        <v>294</v>
      </c>
      <c r="BL1117" s="5" t="s">
        <v>238</v>
      </c>
      <c r="BM1117" s="7">
        <f>0</f>
        <v>0</v>
      </c>
      <c r="BN1117" s="8">
        <f>-45091</f>
        <v>-45091</v>
      </c>
      <c r="BO1117" s="5" t="s">
        <v>257</v>
      </c>
      <c r="BP1117" s="5" t="s">
        <v>258</v>
      </c>
      <c r="BQ1117" s="5" t="s">
        <v>238</v>
      </c>
      <c r="BR1117" s="5" t="s">
        <v>238</v>
      </c>
      <c r="BS1117" s="5" t="s">
        <v>238</v>
      </c>
      <c r="BT1117" s="5" t="s">
        <v>238</v>
      </c>
      <c r="CC1117" s="5" t="s">
        <v>258</v>
      </c>
      <c r="CD1117" s="5" t="s">
        <v>238</v>
      </c>
      <c r="CE1117" s="5" t="s">
        <v>238</v>
      </c>
      <c r="CI1117" s="5" t="s">
        <v>259</v>
      </c>
      <c r="CJ1117" s="5" t="s">
        <v>260</v>
      </c>
      <c r="CK1117" s="5" t="s">
        <v>238</v>
      </c>
      <c r="CM1117" s="5" t="s">
        <v>291</v>
      </c>
      <c r="CN1117" s="6" t="s">
        <v>262</v>
      </c>
      <c r="CO1117" s="5" t="s">
        <v>263</v>
      </c>
      <c r="CP1117" s="5" t="s">
        <v>264</v>
      </c>
      <c r="CQ1117" s="5" t="s">
        <v>285</v>
      </c>
      <c r="CR1117" s="5" t="s">
        <v>238</v>
      </c>
      <c r="CS1117" s="5">
        <v>6.7000000000000004E-2</v>
      </c>
      <c r="CT1117" s="5" t="s">
        <v>265</v>
      </c>
      <c r="CU1117" s="5" t="s">
        <v>351</v>
      </c>
      <c r="CV1117" s="5" t="s">
        <v>365</v>
      </c>
      <c r="CW1117" s="7">
        <f>0</f>
        <v>0</v>
      </c>
      <c r="CX1117" s="8">
        <f>673000</f>
        <v>673000</v>
      </c>
      <c r="CY1117" s="8">
        <f>582818</f>
        <v>582818</v>
      </c>
      <c r="DA1117" s="5" t="s">
        <v>238</v>
      </c>
      <c r="DB1117" s="5" t="s">
        <v>238</v>
      </c>
      <c r="DD1117" s="5" t="s">
        <v>238</v>
      </c>
      <c r="DE1117" s="8">
        <f>0</f>
        <v>0</v>
      </c>
      <c r="DG1117" s="5" t="s">
        <v>238</v>
      </c>
      <c r="DH1117" s="5" t="s">
        <v>238</v>
      </c>
      <c r="DI1117" s="5" t="s">
        <v>238</v>
      </c>
      <c r="DJ1117" s="5" t="s">
        <v>238</v>
      </c>
      <c r="DK1117" s="5" t="s">
        <v>272</v>
      </c>
      <c r="DL1117" s="5" t="s">
        <v>272</v>
      </c>
      <c r="DM1117" s="8" t="s">
        <v>238</v>
      </c>
      <c r="DN1117" s="5" t="s">
        <v>238</v>
      </c>
      <c r="DO1117" s="5" t="s">
        <v>238</v>
      </c>
      <c r="DP1117" s="5" t="s">
        <v>238</v>
      </c>
      <c r="DQ1117" s="5" t="s">
        <v>238</v>
      </c>
      <c r="DT1117" s="5" t="s">
        <v>1693</v>
      </c>
      <c r="DU1117" s="5" t="s">
        <v>274</v>
      </c>
      <c r="GL1117" s="5" t="s">
        <v>2916</v>
      </c>
      <c r="HM1117" s="5" t="s">
        <v>356</v>
      </c>
      <c r="HP1117" s="5" t="s">
        <v>272</v>
      </c>
      <c r="HQ1117" s="5" t="s">
        <v>272</v>
      </c>
      <c r="HR1117" s="5" t="s">
        <v>238</v>
      </c>
      <c r="HS1117" s="5" t="s">
        <v>238</v>
      </c>
      <c r="HT1117" s="5" t="s">
        <v>238</v>
      </c>
      <c r="HU1117" s="5" t="s">
        <v>238</v>
      </c>
      <c r="HV1117" s="5" t="s">
        <v>238</v>
      </c>
      <c r="HW1117" s="5" t="s">
        <v>238</v>
      </c>
      <c r="HX1117" s="5" t="s">
        <v>238</v>
      </c>
      <c r="HY1117" s="5" t="s">
        <v>238</v>
      </c>
      <c r="HZ1117" s="5" t="s">
        <v>238</v>
      </c>
      <c r="IA1117" s="5" t="s">
        <v>238</v>
      </c>
      <c r="IB1117" s="5" t="s">
        <v>238</v>
      </c>
      <c r="IC1117" s="5" t="s">
        <v>238</v>
      </c>
      <c r="ID1117" s="5" t="s">
        <v>238</v>
      </c>
    </row>
    <row r="1118" spans="1:238" x14ac:dyDescent="0.4">
      <c r="A1118" s="5">
        <v>1448</v>
      </c>
      <c r="B1118" s="5">
        <v>1</v>
      </c>
      <c r="C1118" s="5">
        <v>4</v>
      </c>
      <c r="D1118" s="5" t="s">
        <v>2050</v>
      </c>
      <c r="E1118" s="5" t="s">
        <v>338</v>
      </c>
      <c r="F1118" s="5" t="s">
        <v>282</v>
      </c>
      <c r="G1118" s="5" t="s">
        <v>1331</v>
      </c>
      <c r="H1118" s="6" t="s">
        <v>2051</v>
      </c>
      <c r="I1118" s="5" t="s">
        <v>1334</v>
      </c>
      <c r="J1118" s="7">
        <f>56</f>
        <v>56</v>
      </c>
      <c r="K1118" s="5" t="s">
        <v>270</v>
      </c>
      <c r="L1118" s="8">
        <f>628320</f>
        <v>628320</v>
      </c>
      <c r="M1118" s="8">
        <f>11424000</f>
        <v>11424000</v>
      </c>
      <c r="N1118" s="6" t="s">
        <v>1532</v>
      </c>
      <c r="O1118" s="5" t="s">
        <v>639</v>
      </c>
      <c r="P1118" s="5" t="s">
        <v>309</v>
      </c>
      <c r="Q1118" s="8">
        <f>308448</f>
        <v>308448</v>
      </c>
      <c r="R1118" s="8">
        <f>10795680</f>
        <v>10795680</v>
      </c>
      <c r="S1118" s="5" t="s">
        <v>240</v>
      </c>
      <c r="T1118" s="5" t="s">
        <v>237</v>
      </c>
      <c r="U1118" s="5" t="s">
        <v>238</v>
      </c>
      <c r="V1118" s="5" t="s">
        <v>238</v>
      </c>
      <c r="W1118" s="5" t="s">
        <v>241</v>
      </c>
      <c r="X1118" s="5" t="s">
        <v>337</v>
      </c>
      <c r="Y1118" s="5" t="s">
        <v>238</v>
      </c>
      <c r="AB1118" s="5" t="s">
        <v>238</v>
      </c>
      <c r="AC1118" s="6" t="s">
        <v>238</v>
      </c>
      <c r="AD1118" s="6" t="s">
        <v>238</v>
      </c>
      <c r="AF1118" s="6" t="s">
        <v>238</v>
      </c>
      <c r="AG1118" s="6" t="s">
        <v>246</v>
      </c>
      <c r="AH1118" s="5" t="s">
        <v>247</v>
      </c>
      <c r="AI1118" s="5" t="s">
        <v>248</v>
      </c>
      <c r="AO1118" s="5" t="s">
        <v>238</v>
      </c>
      <c r="AP1118" s="5" t="s">
        <v>238</v>
      </c>
      <c r="AQ1118" s="5" t="s">
        <v>238</v>
      </c>
      <c r="AR1118" s="6" t="s">
        <v>238</v>
      </c>
      <c r="AS1118" s="6" t="s">
        <v>238</v>
      </c>
      <c r="AT1118" s="6" t="s">
        <v>238</v>
      </c>
      <c r="AW1118" s="5" t="s">
        <v>304</v>
      </c>
      <c r="AX1118" s="5" t="s">
        <v>304</v>
      </c>
      <c r="AY1118" s="5" t="s">
        <v>250</v>
      </c>
      <c r="AZ1118" s="5" t="s">
        <v>305</v>
      </c>
      <c r="BA1118" s="5" t="s">
        <v>251</v>
      </c>
      <c r="BB1118" s="5" t="s">
        <v>238</v>
      </c>
      <c r="BC1118" s="5" t="s">
        <v>253</v>
      </c>
      <c r="BD1118" s="5" t="s">
        <v>238</v>
      </c>
      <c r="BF1118" s="5" t="s">
        <v>710</v>
      </c>
      <c r="BH1118" s="5" t="s">
        <v>283</v>
      </c>
      <c r="BI1118" s="6" t="s">
        <v>293</v>
      </c>
      <c r="BJ1118" s="5" t="s">
        <v>294</v>
      </c>
      <c r="BK1118" s="5" t="s">
        <v>294</v>
      </c>
      <c r="BL1118" s="5" t="s">
        <v>238</v>
      </c>
      <c r="BM1118" s="7">
        <f>0</f>
        <v>0</v>
      </c>
      <c r="BN1118" s="8">
        <f>-308448</f>
        <v>-308448</v>
      </c>
      <c r="BO1118" s="5" t="s">
        <v>257</v>
      </c>
      <c r="BP1118" s="5" t="s">
        <v>258</v>
      </c>
      <c r="BQ1118" s="5" t="s">
        <v>238</v>
      </c>
      <c r="BR1118" s="5" t="s">
        <v>238</v>
      </c>
      <c r="BS1118" s="5" t="s">
        <v>238</v>
      </c>
      <c r="BT1118" s="5" t="s">
        <v>238</v>
      </c>
      <c r="CC1118" s="5" t="s">
        <v>258</v>
      </c>
      <c r="CD1118" s="5" t="s">
        <v>238</v>
      </c>
      <c r="CE1118" s="5" t="s">
        <v>238</v>
      </c>
      <c r="CI1118" s="5" t="s">
        <v>259</v>
      </c>
      <c r="CJ1118" s="5" t="s">
        <v>260</v>
      </c>
      <c r="CK1118" s="5" t="s">
        <v>238</v>
      </c>
      <c r="CM1118" s="5" t="s">
        <v>306</v>
      </c>
      <c r="CN1118" s="6" t="s">
        <v>262</v>
      </c>
      <c r="CO1118" s="5" t="s">
        <v>263</v>
      </c>
      <c r="CP1118" s="5" t="s">
        <v>264</v>
      </c>
      <c r="CQ1118" s="5" t="s">
        <v>285</v>
      </c>
      <c r="CR1118" s="5" t="s">
        <v>238</v>
      </c>
      <c r="CS1118" s="5">
        <v>2.7E-2</v>
      </c>
      <c r="CT1118" s="5" t="s">
        <v>265</v>
      </c>
      <c r="CU1118" s="5" t="s">
        <v>1333</v>
      </c>
      <c r="CV1118" s="5" t="s">
        <v>649</v>
      </c>
      <c r="CW1118" s="7">
        <f>0</f>
        <v>0</v>
      </c>
      <c r="CX1118" s="8">
        <f>11424000</f>
        <v>11424000</v>
      </c>
      <c r="CY1118" s="8">
        <f>936768</f>
        <v>936768</v>
      </c>
      <c r="DA1118" s="5" t="s">
        <v>238</v>
      </c>
      <c r="DB1118" s="5" t="s">
        <v>238</v>
      </c>
      <c r="DD1118" s="5" t="s">
        <v>238</v>
      </c>
      <c r="DE1118" s="8">
        <f>0</f>
        <v>0</v>
      </c>
      <c r="DG1118" s="5" t="s">
        <v>238</v>
      </c>
      <c r="DH1118" s="5" t="s">
        <v>238</v>
      </c>
      <c r="DI1118" s="5" t="s">
        <v>238</v>
      </c>
      <c r="DJ1118" s="5" t="s">
        <v>238</v>
      </c>
      <c r="DK1118" s="5" t="s">
        <v>271</v>
      </c>
      <c r="DL1118" s="5" t="s">
        <v>272</v>
      </c>
      <c r="DM1118" s="7">
        <f>56</f>
        <v>56</v>
      </c>
      <c r="DN1118" s="5" t="s">
        <v>238</v>
      </c>
      <c r="DO1118" s="5" t="s">
        <v>238</v>
      </c>
      <c r="DP1118" s="5" t="s">
        <v>238</v>
      </c>
      <c r="DQ1118" s="5" t="s">
        <v>238</v>
      </c>
      <c r="DT1118" s="5" t="s">
        <v>2052</v>
      </c>
      <c r="DU1118" s="5" t="s">
        <v>271</v>
      </c>
      <c r="GL1118" s="5" t="s">
        <v>2053</v>
      </c>
      <c r="HM1118" s="5" t="s">
        <v>313</v>
      </c>
      <c r="HP1118" s="5" t="s">
        <v>272</v>
      </c>
      <c r="HQ1118" s="5" t="s">
        <v>272</v>
      </c>
      <c r="HR1118" s="5" t="s">
        <v>238</v>
      </c>
      <c r="HS1118" s="5" t="s">
        <v>238</v>
      </c>
      <c r="HT1118" s="5" t="s">
        <v>238</v>
      </c>
      <c r="HU1118" s="5" t="s">
        <v>238</v>
      </c>
      <c r="HV1118" s="5" t="s">
        <v>238</v>
      </c>
      <c r="HW1118" s="5" t="s">
        <v>238</v>
      </c>
      <c r="HX1118" s="5" t="s">
        <v>238</v>
      </c>
      <c r="HY1118" s="5" t="s">
        <v>238</v>
      </c>
      <c r="HZ1118" s="5" t="s">
        <v>238</v>
      </c>
      <c r="IA1118" s="5" t="s">
        <v>238</v>
      </c>
      <c r="IB1118" s="5" t="s">
        <v>238</v>
      </c>
      <c r="IC1118" s="5" t="s">
        <v>238</v>
      </c>
      <c r="ID1118" s="5" t="s">
        <v>238</v>
      </c>
    </row>
    <row r="1119" spans="1:238" x14ac:dyDescent="0.4">
      <c r="A1119" s="5">
        <v>1449</v>
      </c>
      <c r="B1119" s="5">
        <v>1</v>
      </c>
      <c r="C1119" s="5">
        <v>1</v>
      </c>
      <c r="D1119" s="5" t="s">
        <v>2050</v>
      </c>
      <c r="E1119" s="5" t="s">
        <v>338</v>
      </c>
      <c r="F1119" s="5" t="s">
        <v>282</v>
      </c>
      <c r="G1119" s="5" t="s">
        <v>1309</v>
      </c>
      <c r="H1119" s="6" t="s">
        <v>2051</v>
      </c>
      <c r="I1119" s="5" t="s">
        <v>1309</v>
      </c>
      <c r="J1119" s="7">
        <f>10</f>
        <v>10</v>
      </c>
      <c r="K1119" s="5" t="s">
        <v>270</v>
      </c>
      <c r="L1119" s="8">
        <f>1</f>
        <v>1</v>
      </c>
      <c r="M1119" s="8">
        <f>3210000</f>
        <v>3210000</v>
      </c>
      <c r="N1119" s="6" t="s">
        <v>1532</v>
      </c>
      <c r="O1119" s="5" t="s">
        <v>268</v>
      </c>
      <c r="P1119" s="5" t="s">
        <v>1091</v>
      </c>
      <c r="R1119" s="8">
        <f>3209999</f>
        <v>3209999</v>
      </c>
      <c r="S1119" s="5" t="s">
        <v>240</v>
      </c>
      <c r="T1119" s="5" t="s">
        <v>237</v>
      </c>
      <c r="U1119" s="5" t="s">
        <v>238</v>
      </c>
      <c r="V1119" s="5" t="s">
        <v>238</v>
      </c>
      <c r="W1119" s="5" t="s">
        <v>241</v>
      </c>
      <c r="X1119" s="5" t="s">
        <v>337</v>
      </c>
      <c r="Y1119" s="5" t="s">
        <v>238</v>
      </c>
      <c r="AB1119" s="5" t="s">
        <v>238</v>
      </c>
      <c r="AD1119" s="6" t="s">
        <v>238</v>
      </c>
      <c r="AG1119" s="6" t="s">
        <v>246</v>
      </c>
      <c r="AH1119" s="5" t="s">
        <v>247</v>
      </c>
      <c r="AI1119" s="5" t="s">
        <v>248</v>
      </c>
      <c r="AY1119" s="5" t="s">
        <v>250</v>
      </c>
      <c r="AZ1119" s="5" t="s">
        <v>238</v>
      </c>
      <c r="BA1119" s="5" t="s">
        <v>251</v>
      </c>
      <c r="BB1119" s="5" t="s">
        <v>238</v>
      </c>
      <c r="BC1119" s="5" t="s">
        <v>253</v>
      </c>
      <c r="BD1119" s="5" t="s">
        <v>238</v>
      </c>
      <c r="BF1119" s="5" t="s">
        <v>238</v>
      </c>
      <c r="BH1119" s="5" t="s">
        <v>798</v>
      </c>
      <c r="BI1119" s="6" t="s">
        <v>1464</v>
      </c>
      <c r="BJ1119" s="5" t="s">
        <v>255</v>
      </c>
      <c r="BK1119" s="5" t="s">
        <v>256</v>
      </c>
      <c r="BL1119" s="5" t="s">
        <v>238</v>
      </c>
      <c r="BM1119" s="7">
        <f>0</f>
        <v>0</v>
      </c>
      <c r="BN1119" s="8">
        <f>0</f>
        <v>0</v>
      </c>
      <c r="BO1119" s="5" t="s">
        <v>257</v>
      </c>
      <c r="BP1119" s="5" t="s">
        <v>258</v>
      </c>
      <c r="CD1119" s="5" t="s">
        <v>238</v>
      </c>
      <c r="CE1119" s="5" t="s">
        <v>238</v>
      </c>
      <c r="CI1119" s="5" t="s">
        <v>259</v>
      </c>
      <c r="CJ1119" s="5" t="s">
        <v>260</v>
      </c>
      <c r="CK1119" s="5" t="s">
        <v>238</v>
      </c>
      <c r="CM1119" s="5" t="s">
        <v>306</v>
      </c>
      <c r="CN1119" s="6" t="s">
        <v>262</v>
      </c>
      <c r="CO1119" s="5" t="s">
        <v>263</v>
      </c>
      <c r="CP1119" s="5" t="s">
        <v>264</v>
      </c>
      <c r="CQ1119" s="5" t="s">
        <v>238</v>
      </c>
      <c r="CR1119" s="5" t="s">
        <v>238</v>
      </c>
      <c r="CS1119" s="5">
        <v>0</v>
      </c>
      <c r="CT1119" s="5" t="s">
        <v>265</v>
      </c>
      <c r="CU1119" s="5" t="s">
        <v>1342</v>
      </c>
      <c r="CV1119" s="5" t="s">
        <v>267</v>
      </c>
      <c r="CX1119" s="8">
        <f>3210000</f>
        <v>3210000</v>
      </c>
      <c r="CY1119" s="8">
        <f>0</f>
        <v>0</v>
      </c>
      <c r="DA1119" s="5" t="s">
        <v>238</v>
      </c>
      <c r="DB1119" s="5" t="s">
        <v>238</v>
      </c>
      <c r="DD1119" s="5" t="s">
        <v>238</v>
      </c>
      <c r="DG1119" s="5" t="s">
        <v>238</v>
      </c>
      <c r="DH1119" s="5" t="s">
        <v>238</v>
      </c>
      <c r="DI1119" s="5" t="s">
        <v>238</v>
      </c>
      <c r="DJ1119" s="5" t="s">
        <v>238</v>
      </c>
      <c r="DK1119" s="5" t="s">
        <v>271</v>
      </c>
      <c r="DL1119" s="5" t="s">
        <v>272</v>
      </c>
      <c r="DM1119" s="7">
        <f>10</f>
        <v>10</v>
      </c>
      <c r="DN1119" s="5" t="s">
        <v>238</v>
      </c>
      <c r="DO1119" s="5" t="s">
        <v>238</v>
      </c>
      <c r="DP1119" s="5" t="s">
        <v>238</v>
      </c>
      <c r="DQ1119" s="5" t="s">
        <v>238</v>
      </c>
      <c r="DT1119" s="5" t="s">
        <v>2052</v>
      </c>
      <c r="DU1119" s="5" t="s">
        <v>274</v>
      </c>
      <c r="HM1119" s="5" t="s">
        <v>271</v>
      </c>
      <c r="HP1119" s="5" t="s">
        <v>272</v>
      </c>
      <c r="HQ1119" s="5" t="s">
        <v>272</v>
      </c>
    </row>
    <row r="1120" spans="1:238" x14ac:dyDescent="0.4">
      <c r="A1120" s="5">
        <v>1450</v>
      </c>
      <c r="B1120" s="5">
        <v>1</v>
      </c>
      <c r="C1120" s="5">
        <v>4</v>
      </c>
      <c r="D1120" s="5" t="s">
        <v>2050</v>
      </c>
      <c r="E1120" s="5" t="s">
        <v>338</v>
      </c>
      <c r="F1120" s="5" t="s">
        <v>282</v>
      </c>
      <c r="G1120" s="5" t="s">
        <v>1341</v>
      </c>
      <c r="H1120" s="6" t="s">
        <v>2051</v>
      </c>
      <c r="I1120" s="5" t="s">
        <v>2237</v>
      </c>
      <c r="J1120" s="7">
        <f>0</f>
        <v>0</v>
      </c>
      <c r="K1120" s="5" t="s">
        <v>270</v>
      </c>
      <c r="L1120" s="8">
        <f>9580010</f>
        <v>9580010</v>
      </c>
      <c r="M1120" s="8">
        <f>11990000</f>
        <v>11990000</v>
      </c>
      <c r="N1120" s="6" t="s">
        <v>2238</v>
      </c>
      <c r="O1120" s="5" t="s">
        <v>268</v>
      </c>
      <c r="P1120" s="5" t="s">
        <v>271</v>
      </c>
      <c r="Q1120" s="8">
        <f>803330</f>
        <v>803330</v>
      </c>
      <c r="R1120" s="8">
        <f>2409990</f>
        <v>2409990</v>
      </c>
      <c r="S1120" s="5" t="s">
        <v>240</v>
      </c>
      <c r="T1120" s="5" t="s">
        <v>287</v>
      </c>
      <c r="U1120" s="5" t="s">
        <v>238</v>
      </c>
      <c r="V1120" s="5" t="s">
        <v>238</v>
      </c>
      <c r="W1120" s="5" t="s">
        <v>241</v>
      </c>
      <c r="X1120" s="5" t="s">
        <v>337</v>
      </c>
      <c r="Y1120" s="5" t="s">
        <v>238</v>
      </c>
      <c r="AB1120" s="5" t="s">
        <v>238</v>
      </c>
      <c r="AC1120" s="6" t="s">
        <v>238</v>
      </c>
      <c r="AD1120" s="6" t="s">
        <v>238</v>
      </c>
      <c r="AF1120" s="6" t="s">
        <v>238</v>
      </c>
      <c r="AG1120" s="6" t="s">
        <v>246</v>
      </c>
      <c r="AH1120" s="5" t="s">
        <v>247</v>
      </c>
      <c r="AI1120" s="5" t="s">
        <v>248</v>
      </c>
      <c r="AO1120" s="5" t="s">
        <v>238</v>
      </c>
      <c r="AP1120" s="5" t="s">
        <v>238</v>
      </c>
      <c r="AQ1120" s="5" t="s">
        <v>238</v>
      </c>
      <c r="AR1120" s="6" t="s">
        <v>238</v>
      </c>
      <c r="AS1120" s="6" t="s">
        <v>238</v>
      </c>
      <c r="AT1120" s="6" t="s">
        <v>238</v>
      </c>
      <c r="AW1120" s="5" t="s">
        <v>304</v>
      </c>
      <c r="AX1120" s="5" t="s">
        <v>304</v>
      </c>
      <c r="AY1120" s="5" t="s">
        <v>250</v>
      </c>
      <c r="AZ1120" s="5" t="s">
        <v>305</v>
      </c>
      <c r="BA1120" s="5" t="s">
        <v>251</v>
      </c>
      <c r="BB1120" s="5" t="s">
        <v>238</v>
      </c>
      <c r="BC1120" s="5" t="s">
        <v>253</v>
      </c>
      <c r="BD1120" s="5" t="s">
        <v>238</v>
      </c>
      <c r="BF1120" s="5" t="s">
        <v>238</v>
      </c>
      <c r="BH1120" s="5" t="s">
        <v>283</v>
      </c>
      <c r="BI1120" s="6" t="s">
        <v>293</v>
      </c>
      <c r="BJ1120" s="5" t="s">
        <v>294</v>
      </c>
      <c r="BK1120" s="5" t="s">
        <v>294</v>
      </c>
      <c r="BL1120" s="5" t="s">
        <v>238</v>
      </c>
      <c r="BM1120" s="7">
        <f>0</f>
        <v>0</v>
      </c>
      <c r="BN1120" s="8">
        <f>-803330</f>
        <v>-803330</v>
      </c>
      <c r="BO1120" s="5" t="s">
        <v>257</v>
      </c>
      <c r="BP1120" s="5" t="s">
        <v>258</v>
      </c>
      <c r="BQ1120" s="5" t="s">
        <v>238</v>
      </c>
      <c r="BR1120" s="5" t="s">
        <v>238</v>
      </c>
      <c r="BS1120" s="5" t="s">
        <v>238</v>
      </c>
      <c r="BT1120" s="5" t="s">
        <v>238</v>
      </c>
      <c r="CC1120" s="5" t="s">
        <v>258</v>
      </c>
      <c r="CD1120" s="5" t="s">
        <v>238</v>
      </c>
      <c r="CE1120" s="5" t="s">
        <v>238</v>
      </c>
      <c r="CI1120" s="5" t="s">
        <v>259</v>
      </c>
      <c r="CJ1120" s="5" t="s">
        <v>260</v>
      </c>
      <c r="CK1120" s="5" t="s">
        <v>238</v>
      </c>
      <c r="CM1120" s="5" t="s">
        <v>291</v>
      </c>
      <c r="CN1120" s="6" t="s">
        <v>262</v>
      </c>
      <c r="CO1120" s="5" t="s">
        <v>263</v>
      </c>
      <c r="CP1120" s="5" t="s">
        <v>264</v>
      </c>
      <c r="CQ1120" s="5" t="s">
        <v>285</v>
      </c>
      <c r="CR1120" s="5" t="s">
        <v>238</v>
      </c>
      <c r="CS1120" s="5">
        <v>6.7000000000000004E-2</v>
      </c>
      <c r="CT1120" s="5" t="s">
        <v>265</v>
      </c>
      <c r="CU1120" s="5" t="s">
        <v>1342</v>
      </c>
      <c r="CV1120" s="5" t="s">
        <v>267</v>
      </c>
      <c r="CW1120" s="7">
        <f>0</f>
        <v>0</v>
      </c>
      <c r="CX1120" s="8">
        <f>11990000</f>
        <v>11990000</v>
      </c>
      <c r="CY1120" s="8">
        <f>10383340</f>
        <v>10383340</v>
      </c>
      <c r="DA1120" s="5" t="s">
        <v>238</v>
      </c>
      <c r="DB1120" s="5" t="s">
        <v>238</v>
      </c>
      <c r="DD1120" s="5" t="s">
        <v>238</v>
      </c>
      <c r="DE1120" s="8">
        <f>0</f>
        <v>0</v>
      </c>
      <c r="DG1120" s="5" t="s">
        <v>238</v>
      </c>
      <c r="DH1120" s="5" t="s">
        <v>238</v>
      </c>
      <c r="DI1120" s="5" t="s">
        <v>238</v>
      </c>
      <c r="DJ1120" s="5" t="s">
        <v>238</v>
      </c>
      <c r="DK1120" s="5" t="s">
        <v>272</v>
      </c>
      <c r="DL1120" s="5" t="s">
        <v>272</v>
      </c>
      <c r="DM1120" s="8" t="s">
        <v>238</v>
      </c>
      <c r="DN1120" s="5" t="s">
        <v>238</v>
      </c>
      <c r="DO1120" s="5" t="s">
        <v>238</v>
      </c>
      <c r="DP1120" s="5" t="s">
        <v>238</v>
      </c>
      <c r="DQ1120" s="5" t="s">
        <v>238</v>
      </c>
      <c r="DT1120" s="5" t="s">
        <v>2052</v>
      </c>
      <c r="DU1120" s="5" t="s">
        <v>356</v>
      </c>
      <c r="GL1120" s="5" t="s">
        <v>2239</v>
      </c>
      <c r="HM1120" s="5" t="s">
        <v>356</v>
      </c>
      <c r="HP1120" s="5" t="s">
        <v>272</v>
      </c>
      <c r="HQ1120" s="5" t="s">
        <v>272</v>
      </c>
      <c r="HR1120" s="5" t="s">
        <v>238</v>
      </c>
      <c r="HS1120" s="5" t="s">
        <v>238</v>
      </c>
      <c r="HT1120" s="5" t="s">
        <v>238</v>
      </c>
      <c r="HU1120" s="5" t="s">
        <v>238</v>
      </c>
      <c r="HV1120" s="5" t="s">
        <v>238</v>
      </c>
      <c r="HW1120" s="5" t="s">
        <v>238</v>
      </c>
      <c r="HX1120" s="5" t="s">
        <v>238</v>
      </c>
      <c r="HY1120" s="5" t="s">
        <v>238</v>
      </c>
      <c r="HZ1120" s="5" t="s">
        <v>238</v>
      </c>
      <c r="IA1120" s="5" t="s">
        <v>238</v>
      </c>
      <c r="IB1120" s="5" t="s">
        <v>238</v>
      </c>
      <c r="IC1120" s="5" t="s">
        <v>238</v>
      </c>
      <c r="ID1120" s="5" t="s">
        <v>238</v>
      </c>
    </row>
    <row r="1121" spans="1:238" x14ac:dyDescent="0.4">
      <c r="A1121" s="5">
        <v>1451</v>
      </c>
      <c r="B1121" s="5">
        <v>1</v>
      </c>
      <c r="C1121" s="5">
        <v>4</v>
      </c>
      <c r="D1121" s="5" t="s">
        <v>707</v>
      </c>
      <c r="E1121" s="5" t="s">
        <v>338</v>
      </c>
      <c r="F1121" s="5" t="s">
        <v>282</v>
      </c>
      <c r="G1121" s="5" t="s">
        <v>646</v>
      </c>
      <c r="H1121" s="6" t="s">
        <v>709</v>
      </c>
      <c r="I1121" s="5" t="s">
        <v>239</v>
      </c>
      <c r="J1121" s="7">
        <f>20.01</f>
        <v>20.010000000000002</v>
      </c>
      <c r="K1121" s="5" t="s">
        <v>270</v>
      </c>
      <c r="L1121" s="8">
        <f>144492</f>
        <v>144492</v>
      </c>
      <c r="M1121" s="8">
        <f>1900950</f>
        <v>1900950</v>
      </c>
      <c r="N1121" s="6" t="s">
        <v>708</v>
      </c>
      <c r="O1121" s="5" t="s">
        <v>651</v>
      </c>
      <c r="P1121" s="5" t="s">
        <v>712</v>
      </c>
      <c r="Q1121" s="8">
        <f>79839</f>
        <v>79839</v>
      </c>
      <c r="R1121" s="8">
        <f>1756458</f>
        <v>1756458</v>
      </c>
      <c r="S1121" s="5" t="s">
        <v>240</v>
      </c>
      <c r="T1121" s="5" t="s">
        <v>237</v>
      </c>
      <c r="U1121" s="5" t="s">
        <v>238</v>
      </c>
      <c r="V1121" s="5" t="s">
        <v>238</v>
      </c>
      <c r="W1121" s="5" t="s">
        <v>241</v>
      </c>
      <c r="X1121" s="5" t="s">
        <v>337</v>
      </c>
      <c r="Y1121" s="5" t="s">
        <v>238</v>
      </c>
      <c r="AB1121" s="5" t="s">
        <v>238</v>
      </c>
      <c r="AC1121" s="6" t="s">
        <v>238</v>
      </c>
      <c r="AD1121" s="6" t="s">
        <v>238</v>
      </c>
      <c r="AF1121" s="6" t="s">
        <v>238</v>
      </c>
      <c r="AG1121" s="6" t="s">
        <v>246</v>
      </c>
      <c r="AH1121" s="5" t="s">
        <v>247</v>
      </c>
      <c r="AI1121" s="5" t="s">
        <v>248</v>
      </c>
      <c r="AO1121" s="5" t="s">
        <v>238</v>
      </c>
      <c r="AP1121" s="5" t="s">
        <v>238</v>
      </c>
      <c r="AQ1121" s="5" t="s">
        <v>238</v>
      </c>
      <c r="AR1121" s="6" t="s">
        <v>238</v>
      </c>
      <c r="AS1121" s="6" t="s">
        <v>238</v>
      </c>
      <c r="AT1121" s="6" t="s">
        <v>238</v>
      </c>
      <c r="AW1121" s="5" t="s">
        <v>304</v>
      </c>
      <c r="AX1121" s="5" t="s">
        <v>304</v>
      </c>
      <c r="AY1121" s="5" t="s">
        <v>250</v>
      </c>
      <c r="AZ1121" s="5" t="s">
        <v>305</v>
      </c>
      <c r="BA1121" s="5" t="s">
        <v>251</v>
      </c>
      <c r="BB1121" s="5" t="s">
        <v>238</v>
      </c>
      <c r="BC1121" s="5" t="s">
        <v>253</v>
      </c>
      <c r="BD1121" s="5" t="s">
        <v>238</v>
      </c>
      <c r="BF1121" s="5" t="s">
        <v>710</v>
      </c>
      <c r="BH1121" s="5" t="s">
        <v>283</v>
      </c>
      <c r="BI1121" s="6" t="s">
        <v>293</v>
      </c>
      <c r="BJ1121" s="5" t="s">
        <v>294</v>
      </c>
      <c r="BK1121" s="5" t="s">
        <v>294</v>
      </c>
      <c r="BL1121" s="5" t="s">
        <v>238</v>
      </c>
      <c r="BM1121" s="7">
        <f>0</f>
        <v>0</v>
      </c>
      <c r="BN1121" s="8">
        <f>-79839</f>
        <v>-79839</v>
      </c>
      <c r="BO1121" s="5" t="s">
        <v>257</v>
      </c>
      <c r="BP1121" s="5" t="s">
        <v>258</v>
      </c>
      <c r="BQ1121" s="5" t="s">
        <v>238</v>
      </c>
      <c r="BR1121" s="5" t="s">
        <v>238</v>
      </c>
      <c r="BS1121" s="5" t="s">
        <v>238</v>
      </c>
      <c r="BT1121" s="5" t="s">
        <v>238</v>
      </c>
      <c r="CC1121" s="5" t="s">
        <v>258</v>
      </c>
      <c r="CD1121" s="5" t="s">
        <v>238</v>
      </c>
      <c r="CE1121" s="5" t="s">
        <v>238</v>
      </c>
      <c r="CI1121" s="5" t="s">
        <v>259</v>
      </c>
      <c r="CJ1121" s="5" t="s">
        <v>260</v>
      </c>
      <c r="CK1121" s="5" t="s">
        <v>238</v>
      </c>
      <c r="CM1121" s="5" t="s">
        <v>711</v>
      </c>
      <c r="CN1121" s="6" t="s">
        <v>262</v>
      </c>
      <c r="CO1121" s="5" t="s">
        <v>263</v>
      </c>
      <c r="CP1121" s="5" t="s">
        <v>264</v>
      </c>
      <c r="CQ1121" s="5" t="s">
        <v>285</v>
      </c>
      <c r="CR1121" s="5" t="s">
        <v>238</v>
      </c>
      <c r="CS1121" s="5">
        <v>4.2000000000000003E-2</v>
      </c>
      <c r="CT1121" s="5" t="s">
        <v>265</v>
      </c>
      <c r="CU1121" s="5" t="s">
        <v>266</v>
      </c>
      <c r="CV1121" s="5" t="s">
        <v>331</v>
      </c>
      <c r="CW1121" s="7">
        <f>0</f>
        <v>0</v>
      </c>
      <c r="CX1121" s="8">
        <f>1900950</f>
        <v>1900950</v>
      </c>
      <c r="CY1121" s="8">
        <f>224331</f>
        <v>224331</v>
      </c>
      <c r="DA1121" s="5" t="s">
        <v>238</v>
      </c>
      <c r="DB1121" s="5" t="s">
        <v>238</v>
      </c>
      <c r="DD1121" s="5" t="s">
        <v>238</v>
      </c>
      <c r="DE1121" s="8">
        <f>0</f>
        <v>0</v>
      </c>
      <c r="DG1121" s="5" t="s">
        <v>238</v>
      </c>
      <c r="DH1121" s="5" t="s">
        <v>238</v>
      </c>
      <c r="DI1121" s="5" t="s">
        <v>238</v>
      </c>
      <c r="DJ1121" s="5" t="s">
        <v>238</v>
      </c>
      <c r="DK1121" s="5" t="s">
        <v>271</v>
      </c>
      <c r="DL1121" s="5" t="s">
        <v>272</v>
      </c>
      <c r="DM1121" s="7">
        <f>20.01</f>
        <v>20.010000000000002</v>
      </c>
      <c r="DN1121" s="5" t="s">
        <v>238</v>
      </c>
      <c r="DO1121" s="5" t="s">
        <v>238</v>
      </c>
      <c r="DP1121" s="5" t="s">
        <v>238</v>
      </c>
      <c r="DQ1121" s="5" t="s">
        <v>238</v>
      </c>
      <c r="DT1121" s="5" t="s">
        <v>713</v>
      </c>
      <c r="DU1121" s="5" t="s">
        <v>271</v>
      </c>
      <c r="GL1121" s="5" t="s">
        <v>714</v>
      </c>
      <c r="HM1121" s="5" t="s">
        <v>313</v>
      </c>
      <c r="HP1121" s="5" t="s">
        <v>272</v>
      </c>
      <c r="HQ1121" s="5" t="s">
        <v>272</v>
      </c>
      <c r="HR1121" s="5" t="s">
        <v>238</v>
      </c>
      <c r="HS1121" s="5" t="s">
        <v>238</v>
      </c>
      <c r="HT1121" s="5" t="s">
        <v>238</v>
      </c>
      <c r="HU1121" s="5" t="s">
        <v>238</v>
      </c>
      <c r="HV1121" s="5" t="s">
        <v>238</v>
      </c>
      <c r="HW1121" s="5" t="s">
        <v>238</v>
      </c>
      <c r="HX1121" s="5" t="s">
        <v>238</v>
      </c>
      <c r="HY1121" s="5" t="s">
        <v>238</v>
      </c>
      <c r="HZ1121" s="5" t="s">
        <v>238</v>
      </c>
      <c r="IA1121" s="5" t="s">
        <v>238</v>
      </c>
      <c r="IB1121" s="5" t="s">
        <v>238</v>
      </c>
      <c r="IC1121" s="5" t="s">
        <v>238</v>
      </c>
      <c r="ID1121" s="5" t="s">
        <v>238</v>
      </c>
    </row>
    <row r="1122" spans="1:238" x14ac:dyDescent="0.4">
      <c r="A1122" s="5">
        <v>1452</v>
      </c>
      <c r="B1122" s="5">
        <v>1</v>
      </c>
      <c r="C1122" s="5">
        <v>4</v>
      </c>
      <c r="D1122" s="5" t="s">
        <v>707</v>
      </c>
      <c r="E1122" s="5" t="s">
        <v>338</v>
      </c>
      <c r="F1122" s="5" t="s">
        <v>282</v>
      </c>
      <c r="G1122" s="5" t="s">
        <v>1341</v>
      </c>
      <c r="H1122" s="6" t="s">
        <v>709</v>
      </c>
      <c r="I1122" s="5" t="s">
        <v>1309</v>
      </c>
      <c r="J1122" s="7">
        <f>11.52</f>
        <v>11.52</v>
      </c>
      <c r="K1122" s="5" t="s">
        <v>270</v>
      </c>
      <c r="L1122" s="8">
        <f>444344</f>
        <v>444344</v>
      </c>
      <c r="M1122" s="8">
        <f>1094400</f>
        <v>1094400</v>
      </c>
      <c r="N1122" s="6" t="s">
        <v>708</v>
      </c>
      <c r="O1122" s="5" t="s">
        <v>639</v>
      </c>
      <c r="P1122" s="5" t="s">
        <v>712</v>
      </c>
      <c r="Q1122" s="8">
        <f>29548</f>
        <v>29548</v>
      </c>
      <c r="R1122" s="8">
        <f>650056</f>
        <v>650056</v>
      </c>
      <c r="S1122" s="5" t="s">
        <v>240</v>
      </c>
      <c r="T1122" s="5" t="s">
        <v>237</v>
      </c>
      <c r="U1122" s="5" t="s">
        <v>238</v>
      </c>
      <c r="V1122" s="5" t="s">
        <v>238</v>
      </c>
      <c r="W1122" s="5" t="s">
        <v>241</v>
      </c>
      <c r="X1122" s="5" t="s">
        <v>337</v>
      </c>
      <c r="Y1122" s="5" t="s">
        <v>238</v>
      </c>
      <c r="AB1122" s="5" t="s">
        <v>238</v>
      </c>
      <c r="AC1122" s="6" t="s">
        <v>238</v>
      </c>
      <c r="AD1122" s="6" t="s">
        <v>238</v>
      </c>
      <c r="AF1122" s="6" t="s">
        <v>238</v>
      </c>
      <c r="AG1122" s="6" t="s">
        <v>246</v>
      </c>
      <c r="AH1122" s="5" t="s">
        <v>247</v>
      </c>
      <c r="AI1122" s="5" t="s">
        <v>248</v>
      </c>
      <c r="AO1122" s="5" t="s">
        <v>238</v>
      </c>
      <c r="AP1122" s="5" t="s">
        <v>238</v>
      </c>
      <c r="AQ1122" s="5" t="s">
        <v>238</v>
      </c>
      <c r="AR1122" s="6" t="s">
        <v>238</v>
      </c>
      <c r="AS1122" s="6" t="s">
        <v>238</v>
      </c>
      <c r="AT1122" s="6" t="s">
        <v>238</v>
      </c>
      <c r="AW1122" s="5" t="s">
        <v>304</v>
      </c>
      <c r="AX1122" s="5" t="s">
        <v>304</v>
      </c>
      <c r="AY1122" s="5" t="s">
        <v>250</v>
      </c>
      <c r="AZ1122" s="5" t="s">
        <v>305</v>
      </c>
      <c r="BA1122" s="5" t="s">
        <v>251</v>
      </c>
      <c r="BB1122" s="5" t="s">
        <v>238</v>
      </c>
      <c r="BC1122" s="5" t="s">
        <v>253</v>
      </c>
      <c r="BD1122" s="5" t="s">
        <v>238</v>
      </c>
      <c r="BF1122" s="5" t="s">
        <v>238</v>
      </c>
      <c r="BH1122" s="5" t="s">
        <v>283</v>
      </c>
      <c r="BI1122" s="6" t="s">
        <v>293</v>
      </c>
      <c r="BJ1122" s="5" t="s">
        <v>294</v>
      </c>
      <c r="BK1122" s="5" t="s">
        <v>294</v>
      </c>
      <c r="BL1122" s="5" t="s">
        <v>238</v>
      </c>
      <c r="BM1122" s="7">
        <f>0</f>
        <v>0</v>
      </c>
      <c r="BN1122" s="8">
        <f>-29548</f>
        <v>-29548</v>
      </c>
      <c r="BO1122" s="5" t="s">
        <v>257</v>
      </c>
      <c r="BP1122" s="5" t="s">
        <v>258</v>
      </c>
      <c r="BQ1122" s="5" t="s">
        <v>238</v>
      </c>
      <c r="BR1122" s="5" t="s">
        <v>238</v>
      </c>
      <c r="BS1122" s="5" t="s">
        <v>238</v>
      </c>
      <c r="BT1122" s="5" t="s">
        <v>238</v>
      </c>
      <c r="CC1122" s="5" t="s">
        <v>258</v>
      </c>
      <c r="CD1122" s="5" t="s">
        <v>238</v>
      </c>
      <c r="CE1122" s="5" t="s">
        <v>238</v>
      </c>
      <c r="CI1122" s="5" t="s">
        <v>259</v>
      </c>
      <c r="CJ1122" s="5" t="s">
        <v>260</v>
      </c>
      <c r="CK1122" s="5" t="s">
        <v>238</v>
      </c>
      <c r="CM1122" s="5" t="s">
        <v>711</v>
      </c>
      <c r="CN1122" s="6" t="s">
        <v>262</v>
      </c>
      <c r="CO1122" s="5" t="s">
        <v>263</v>
      </c>
      <c r="CP1122" s="5" t="s">
        <v>264</v>
      </c>
      <c r="CQ1122" s="5" t="s">
        <v>285</v>
      </c>
      <c r="CR1122" s="5" t="s">
        <v>238</v>
      </c>
      <c r="CS1122" s="5">
        <v>2.7E-2</v>
      </c>
      <c r="CT1122" s="5" t="s">
        <v>265</v>
      </c>
      <c r="CU1122" s="5" t="s">
        <v>1342</v>
      </c>
      <c r="CV1122" s="5" t="s">
        <v>308</v>
      </c>
      <c r="CW1122" s="7">
        <f>0</f>
        <v>0</v>
      </c>
      <c r="CX1122" s="8">
        <f>1094400</f>
        <v>1094400</v>
      </c>
      <c r="CY1122" s="8">
        <f>473892</f>
        <v>473892</v>
      </c>
      <c r="DA1122" s="5" t="s">
        <v>238</v>
      </c>
      <c r="DB1122" s="5" t="s">
        <v>238</v>
      </c>
      <c r="DD1122" s="5" t="s">
        <v>238</v>
      </c>
      <c r="DE1122" s="8">
        <f>0</f>
        <v>0</v>
      </c>
      <c r="DG1122" s="5" t="s">
        <v>238</v>
      </c>
      <c r="DH1122" s="5" t="s">
        <v>238</v>
      </c>
      <c r="DI1122" s="5" t="s">
        <v>238</v>
      </c>
      <c r="DJ1122" s="5" t="s">
        <v>238</v>
      </c>
      <c r="DK1122" s="5" t="s">
        <v>271</v>
      </c>
      <c r="DL1122" s="5" t="s">
        <v>272</v>
      </c>
      <c r="DM1122" s="7">
        <f>11.52</f>
        <v>11.52</v>
      </c>
      <c r="DN1122" s="5" t="s">
        <v>238</v>
      </c>
      <c r="DO1122" s="5" t="s">
        <v>238</v>
      </c>
      <c r="DP1122" s="5" t="s">
        <v>238</v>
      </c>
      <c r="DQ1122" s="5" t="s">
        <v>238</v>
      </c>
      <c r="DT1122" s="5" t="s">
        <v>713</v>
      </c>
      <c r="DU1122" s="5" t="s">
        <v>274</v>
      </c>
      <c r="GL1122" s="5" t="s">
        <v>2236</v>
      </c>
      <c r="HM1122" s="5" t="s">
        <v>313</v>
      </c>
      <c r="HP1122" s="5" t="s">
        <v>272</v>
      </c>
      <c r="HQ1122" s="5" t="s">
        <v>272</v>
      </c>
      <c r="HR1122" s="5" t="s">
        <v>238</v>
      </c>
      <c r="HS1122" s="5" t="s">
        <v>238</v>
      </c>
      <c r="HT1122" s="5" t="s">
        <v>238</v>
      </c>
      <c r="HU1122" s="5" t="s">
        <v>238</v>
      </c>
      <c r="HV1122" s="5" t="s">
        <v>238</v>
      </c>
      <c r="HW1122" s="5" t="s">
        <v>238</v>
      </c>
      <c r="HX1122" s="5" t="s">
        <v>238</v>
      </c>
      <c r="HY1122" s="5" t="s">
        <v>238</v>
      </c>
      <c r="HZ1122" s="5" t="s">
        <v>238</v>
      </c>
      <c r="IA1122" s="5" t="s">
        <v>238</v>
      </c>
      <c r="IB1122" s="5" t="s">
        <v>238</v>
      </c>
      <c r="IC1122" s="5" t="s">
        <v>238</v>
      </c>
      <c r="ID1122" s="5" t="s">
        <v>238</v>
      </c>
    </row>
    <row r="1123" spans="1:238" x14ac:dyDescent="0.4">
      <c r="A1123" s="5">
        <v>1453</v>
      </c>
      <c r="B1123" s="5">
        <v>1</v>
      </c>
      <c r="C1123" s="5">
        <v>4</v>
      </c>
      <c r="D1123" s="5" t="s">
        <v>661</v>
      </c>
      <c r="E1123" s="5" t="s">
        <v>338</v>
      </c>
      <c r="F1123" s="5" t="s">
        <v>282</v>
      </c>
      <c r="G1123" s="5" t="s">
        <v>349</v>
      </c>
      <c r="H1123" s="6" t="s">
        <v>663</v>
      </c>
      <c r="I1123" s="5" t="s">
        <v>1361</v>
      </c>
      <c r="J1123" s="7">
        <f>0</f>
        <v>0</v>
      </c>
      <c r="K1123" s="5" t="s">
        <v>270</v>
      </c>
      <c r="L1123" s="8">
        <f>2446140</f>
        <v>2446140</v>
      </c>
      <c r="M1123" s="8">
        <f>3061500</f>
        <v>3061500</v>
      </c>
      <c r="N1123" s="6" t="s">
        <v>2915</v>
      </c>
      <c r="O1123" s="5" t="s">
        <v>268</v>
      </c>
      <c r="P1123" s="5" t="s">
        <v>271</v>
      </c>
      <c r="Q1123" s="8">
        <f>205120</f>
        <v>205120</v>
      </c>
      <c r="R1123" s="8">
        <f>615360</f>
        <v>615360</v>
      </c>
      <c r="S1123" s="5" t="s">
        <v>240</v>
      </c>
      <c r="T1123" s="5" t="s">
        <v>287</v>
      </c>
      <c r="U1123" s="5" t="s">
        <v>238</v>
      </c>
      <c r="V1123" s="5" t="s">
        <v>238</v>
      </c>
      <c r="W1123" s="5" t="s">
        <v>241</v>
      </c>
      <c r="X1123" s="5" t="s">
        <v>238</v>
      </c>
      <c r="Y1123" s="5" t="s">
        <v>238</v>
      </c>
      <c r="AB1123" s="5" t="s">
        <v>238</v>
      </c>
      <c r="AC1123" s="6" t="s">
        <v>238</v>
      </c>
      <c r="AD1123" s="6" t="s">
        <v>238</v>
      </c>
      <c r="AF1123" s="6" t="s">
        <v>238</v>
      </c>
      <c r="AG1123" s="6" t="s">
        <v>246</v>
      </c>
      <c r="AH1123" s="5" t="s">
        <v>247</v>
      </c>
      <c r="AI1123" s="5" t="s">
        <v>248</v>
      </c>
      <c r="AO1123" s="5" t="s">
        <v>238</v>
      </c>
      <c r="AP1123" s="5" t="s">
        <v>238</v>
      </c>
      <c r="AQ1123" s="5" t="s">
        <v>238</v>
      </c>
      <c r="AR1123" s="6" t="s">
        <v>238</v>
      </c>
      <c r="AS1123" s="6" t="s">
        <v>238</v>
      </c>
      <c r="AT1123" s="6" t="s">
        <v>238</v>
      </c>
      <c r="AW1123" s="5" t="s">
        <v>304</v>
      </c>
      <c r="AX1123" s="5" t="s">
        <v>304</v>
      </c>
      <c r="AY1123" s="5" t="s">
        <v>250</v>
      </c>
      <c r="AZ1123" s="5" t="s">
        <v>305</v>
      </c>
      <c r="BA1123" s="5" t="s">
        <v>251</v>
      </c>
      <c r="BB1123" s="5" t="s">
        <v>238</v>
      </c>
      <c r="BC1123" s="5" t="s">
        <v>253</v>
      </c>
      <c r="BD1123" s="5" t="s">
        <v>238</v>
      </c>
      <c r="BF1123" s="5" t="s">
        <v>238</v>
      </c>
      <c r="BH1123" s="5" t="s">
        <v>283</v>
      </c>
      <c r="BI1123" s="6" t="s">
        <v>293</v>
      </c>
      <c r="BJ1123" s="5" t="s">
        <v>294</v>
      </c>
      <c r="BK1123" s="5" t="s">
        <v>294</v>
      </c>
      <c r="BL1123" s="5" t="s">
        <v>238</v>
      </c>
      <c r="BM1123" s="7">
        <f>0</f>
        <v>0</v>
      </c>
      <c r="BN1123" s="8">
        <f>-205120</f>
        <v>-205120</v>
      </c>
      <c r="BO1123" s="5" t="s">
        <v>257</v>
      </c>
      <c r="BP1123" s="5" t="s">
        <v>258</v>
      </c>
      <c r="BQ1123" s="5" t="s">
        <v>238</v>
      </c>
      <c r="BR1123" s="5" t="s">
        <v>238</v>
      </c>
      <c r="BS1123" s="5" t="s">
        <v>238</v>
      </c>
      <c r="BT1123" s="5" t="s">
        <v>238</v>
      </c>
      <c r="CC1123" s="5" t="s">
        <v>258</v>
      </c>
      <c r="CD1123" s="5" t="s">
        <v>238</v>
      </c>
      <c r="CE1123" s="5" t="s">
        <v>238</v>
      </c>
      <c r="CI1123" s="5" t="s">
        <v>259</v>
      </c>
      <c r="CJ1123" s="5" t="s">
        <v>260</v>
      </c>
      <c r="CK1123" s="5" t="s">
        <v>238</v>
      </c>
      <c r="CM1123" s="5" t="s">
        <v>291</v>
      </c>
      <c r="CN1123" s="6" t="s">
        <v>262</v>
      </c>
      <c r="CO1123" s="5" t="s">
        <v>263</v>
      </c>
      <c r="CP1123" s="5" t="s">
        <v>264</v>
      </c>
      <c r="CQ1123" s="5" t="s">
        <v>285</v>
      </c>
      <c r="CR1123" s="5" t="s">
        <v>238</v>
      </c>
      <c r="CS1123" s="5">
        <v>6.7000000000000004E-2</v>
      </c>
      <c r="CT1123" s="5" t="s">
        <v>265</v>
      </c>
      <c r="CU1123" s="5" t="s">
        <v>351</v>
      </c>
      <c r="CV1123" s="5" t="s">
        <v>365</v>
      </c>
      <c r="CW1123" s="7">
        <f>0</f>
        <v>0</v>
      </c>
      <c r="CX1123" s="8">
        <f>3061500</f>
        <v>3061500</v>
      </c>
      <c r="CY1123" s="8">
        <f>2651260</f>
        <v>2651260</v>
      </c>
      <c r="DA1123" s="5" t="s">
        <v>238</v>
      </c>
      <c r="DB1123" s="5" t="s">
        <v>238</v>
      </c>
      <c r="DD1123" s="5" t="s">
        <v>238</v>
      </c>
      <c r="DE1123" s="8">
        <f>0</f>
        <v>0</v>
      </c>
      <c r="DG1123" s="5" t="s">
        <v>238</v>
      </c>
      <c r="DH1123" s="5" t="s">
        <v>238</v>
      </c>
      <c r="DI1123" s="5" t="s">
        <v>238</v>
      </c>
      <c r="DJ1123" s="5" t="s">
        <v>238</v>
      </c>
      <c r="DK1123" s="5" t="s">
        <v>272</v>
      </c>
      <c r="DL1123" s="5" t="s">
        <v>272</v>
      </c>
      <c r="DM1123" s="8" t="s">
        <v>238</v>
      </c>
      <c r="DN1123" s="5" t="s">
        <v>238</v>
      </c>
      <c r="DO1123" s="5" t="s">
        <v>238</v>
      </c>
      <c r="DP1123" s="5" t="s">
        <v>238</v>
      </c>
      <c r="DQ1123" s="5" t="s">
        <v>238</v>
      </c>
      <c r="DT1123" s="5" t="s">
        <v>2923</v>
      </c>
      <c r="DU1123" s="5" t="s">
        <v>271</v>
      </c>
      <c r="GL1123" s="5" t="s">
        <v>2924</v>
      </c>
      <c r="HM1123" s="5" t="s">
        <v>356</v>
      </c>
      <c r="HP1123" s="5" t="s">
        <v>272</v>
      </c>
      <c r="HQ1123" s="5" t="s">
        <v>272</v>
      </c>
      <c r="HR1123" s="5" t="s">
        <v>238</v>
      </c>
      <c r="HS1123" s="5" t="s">
        <v>238</v>
      </c>
      <c r="HT1123" s="5" t="s">
        <v>238</v>
      </c>
      <c r="HU1123" s="5" t="s">
        <v>238</v>
      </c>
      <c r="HV1123" s="5" t="s">
        <v>238</v>
      </c>
      <c r="HW1123" s="5" t="s">
        <v>238</v>
      </c>
      <c r="HX1123" s="5" t="s">
        <v>238</v>
      </c>
      <c r="HY1123" s="5" t="s">
        <v>238</v>
      </c>
      <c r="HZ1123" s="5" t="s">
        <v>238</v>
      </c>
      <c r="IA1123" s="5" t="s">
        <v>238</v>
      </c>
      <c r="IB1123" s="5" t="s">
        <v>238</v>
      </c>
      <c r="IC1123" s="5" t="s">
        <v>238</v>
      </c>
      <c r="ID1123" s="5" t="s">
        <v>238</v>
      </c>
    </row>
    <row r="1124" spans="1:238" x14ac:dyDescent="0.4">
      <c r="A1124" s="5">
        <v>1454</v>
      </c>
      <c r="B1124" s="5">
        <v>1</v>
      </c>
      <c r="C1124" s="5">
        <v>1</v>
      </c>
      <c r="D1124" s="5" t="s">
        <v>661</v>
      </c>
      <c r="E1124" s="5" t="s">
        <v>338</v>
      </c>
      <c r="F1124" s="5" t="s">
        <v>282</v>
      </c>
      <c r="G1124" s="5" t="s">
        <v>239</v>
      </c>
      <c r="H1124" s="6" t="s">
        <v>663</v>
      </c>
      <c r="I1124" s="5" t="s">
        <v>239</v>
      </c>
      <c r="J1124" s="7">
        <f>24.75</f>
        <v>24.75</v>
      </c>
      <c r="K1124" s="5" t="s">
        <v>270</v>
      </c>
      <c r="L1124" s="8">
        <f>1</f>
        <v>1</v>
      </c>
      <c r="M1124" s="8">
        <f>1485000</f>
        <v>1485000</v>
      </c>
      <c r="N1124" s="6" t="s">
        <v>1117</v>
      </c>
      <c r="O1124" s="5" t="s">
        <v>268</v>
      </c>
      <c r="P1124" s="5" t="s">
        <v>971</v>
      </c>
      <c r="R1124" s="8">
        <f>1484999</f>
        <v>1484999</v>
      </c>
      <c r="S1124" s="5" t="s">
        <v>240</v>
      </c>
      <c r="T1124" s="5" t="s">
        <v>237</v>
      </c>
      <c r="U1124" s="5" t="s">
        <v>238</v>
      </c>
      <c r="V1124" s="5" t="s">
        <v>238</v>
      </c>
      <c r="W1124" s="5" t="s">
        <v>241</v>
      </c>
      <c r="X1124" s="5" t="s">
        <v>337</v>
      </c>
      <c r="Y1124" s="5" t="s">
        <v>238</v>
      </c>
      <c r="AB1124" s="5" t="s">
        <v>238</v>
      </c>
      <c r="AD1124" s="6" t="s">
        <v>238</v>
      </c>
      <c r="AG1124" s="6" t="s">
        <v>246</v>
      </c>
      <c r="AH1124" s="5" t="s">
        <v>247</v>
      </c>
      <c r="AI1124" s="5" t="s">
        <v>248</v>
      </c>
      <c r="AY1124" s="5" t="s">
        <v>250</v>
      </c>
      <c r="AZ1124" s="5" t="s">
        <v>238</v>
      </c>
      <c r="BA1124" s="5" t="s">
        <v>251</v>
      </c>
      <c r="BB1124" s="5" t="s">
        <v>238</v>
      </c>
      <c r="BC1124" s="5" t="s">
        <v>253</v>
      </c>
      <c r="BD1124" s="5" t="s">
        <v>238</v>
      </c>
      <c r="BF1124" s="5" t="s">
        <v>710</v>
      </c>
      <c r="BH1124" s="5" t="s">
        <v>254</v>
      </c>
      <c r="BI1124" s="6" t="s">
        <v>246</v>
      </c>
      <c r="BJ1124" s="5" t="s">
        <v>255</v>
      </c>
      <c r="BK1124" s="5" t="s">
        <v>256</v>
      </c>
      <c r="BL1124" s="5" t="s">
        <v>238</v>
      </c>
      <c r="BM1124" s="7">
        <f>0</f>
        <v>0</v>
      </c>
      <c r="BN1124" s="8">
        <f>0</f>
        <v>0</v>
      </c>
      <c r="BO1124" s="5" t="s">
        <v>257</v>
      </c>
      <c r="BP1124" s="5" t="s">
        <v>258</v>
      </c>
      <c r="CD1124" s="5" t="s">
        <v>238</v>
      </c>
      <c r="CE1124" s="5" t="s">
        <v>238</v>
      </c>
      <c r="CI1124" s="5" t="s">
        <v>527</v>
      </c>
      <c r="CJ1124" s="5" t="s">
        <v>260</v>
      </c>
      <c r="CK1124" s="5" t="s">
        <v>238</v>
      </c>
      <c r="CM1124" s="5" t="s">
        <v>970</v>
      </c>
      <c r="CN1124" s="6" t="s">
        <v>262</v>
      </c>
      <c r="CO1124" s="5" t="s">
        <v>263</v>
      </c>
      <c r="CP1124" s="5" t="s">
        <v>264</v>
      </c>
      <c r="CQ1124" s="5" t="s">
        <v>238</v>
      </c>
      <c r="CR1124" s="5" t="s">
        <v>238</v>
      </c>
      <c r="CS1124" s="5">
        <v>0</v>
      </c>
      <c r="CT1124" s="5" t="s">
        <v>265</v>
      </c>
      <c r="CU1124" s="5" t="s">
        <v>266</v>
      </c>
      <c r="CV1124" s="5" t="s">
        <v>267</v>
      </c>
      <c r="CX1124" s="8">
        <f>1485000</f>
        <v>1485000</v>
      </c>
      <c r="CY1124" s="8">
        <f>0</f>
        <v>0</v>
      </c>
      <c r="DA1124" s="5" t="s">
        <v>238</v>
      </c>
      <c r="DB1124" s="5" t="s">
        <v>238</v>
      </c>
      <c r="DD1124" s="5" t="s">
        <v>238</v>
      </c>
      <c r="DG1124" s="5" t="s">
        <v>238</v>
      </c>
      <c r="DH1124" s="5" t="s">
        <v>238</v>
      </c>
      <c r="DI1124" s="5" t="s">
        <v>238</v>
      </c>
      <c r="DJ1124" s="5" t="s">
        <v>238</v>
      </c>
      <c r="DK1124" s="5" t="s">
        <v>271</v>
      </c>
      <c r="DL1124" s="5" t="s">
        <v>272</v>
      </c>
      <c r="DM1124" s="7">
        <f>24.75</f>
        <v>24.75</v>
      </c>
      <c r="DN1124" s="5" t="s">
        <v>238</v>
      </c>
      <c r="DO1124" s="5" t="s">
        <v>238</v>
      </c>
      <c r="DP1124" s="5" t="s">
        <v>238</v>
      </c>
      <c r="DQ1124" s="5" t="s">
        <v>238</v>
      </c>
      <c r="DT1124" s="5" t="s">
        <v>1118</v>
      </c>
      <c r="DU1124" s="5" t="s">
        <v>271</v>
      </c>
      <c r="HM1124" s="5" t="s">
        <v>271</v>
      </c>
      <c r="HP1124" s="5" t="s">
        <v>272</v>
      </c>
      <c r="HQ1124" s="5" t="s">
        <v>272</v>
      </c>
    </row>
    <row r="1125" spans="1:238" x14ac:dyDescent="0.4">
      <c r="A1125" s="5">
        <v>1455</v>
      </c>
      <c r="B1125" s="5">
        <v>1</v>
      </c>
      <c r="C1125" s="5">
        <v>1</v>
      </c>
      <c r="D1125" s="5" t="s">
        <v>661</v>
      </c>
      <c r="E1125" s="5" t="s">
        <v>338</v>
      </c>
      <c r="F1125" s="5" t="s">
        <v>282</v>
      </c>
      <c r="G1125" s="5" t="s">
        <v>1309</v>
      </c>
      <c r="H1125" s="6" t="s">
        <v>663</v>
      </c>
      <c r="I1125" s="5" t="s">
        <v>1309</v>
      </c>
      <c r="J1125" s="7">
        <f>8</f>
        <v>8</v>
      </c>
      <c r="K1125" s="5" t="s">
        <v>270</v>
      </c>
      <c r="L1125" s="8">
        <f>1</f>
        <v>1</v>
      </c>
      <c r="M1125" s="8">
        <f>760000</f>
        <v>760000</v>
      </c>
      <c r="N1125" s="6" t="s">
        <v>953</v>
      </c>
      <c r="O1125" s="5" t="s">
        <v>268</v>
      </c>
      <c r="P1125" s="5" t="s">
        <v>866</v>
      </c>
      <c r="R1125" s="8">
        <f>759999</f>
        <v>759999</v>
      </c>
      <c r="S1125" s="5" t="s">
        <v>240</v>
      </c>
      <c r="T1125" s="5" t="s">
        <v>237</v>
      </c>
      <c r="U1125" s="5" t="s">
        <v>238</v>
      </c>
      <c r="V1125" s="5" t="s">
        <v>238</v>
      </c>
      <c r="W1125" s="5" t="s">
        <v>241</v>
      </c>
      <c r="X1125" s="5" t="s">
        <v>337</v>
      </c>
      <c r="Y1125" s="5" t="s">
        <v>238</v>
      </c>
      <c r="AB1125" s="5" t="s">
        <v>238</v>
      </c>
      <c r="AD1125" s="6" t="s">
        <v>238</v>
      </c>
      <c r="AG1125" s="6" t="s">
        <v>246</v>
      </c>
      <c r="AH1125" s="5" t="s">
        <v>247</v>
      </c>
      <c r="AI1125" s="5" t="s">
        <v>248</v>
      </c>
      <c r="AY1125" s="5" t="s">
        <v>250</v>
      </c>
      <c r="AZ1125" s="5" t="s">
        <v>238</v>
      </c>
      <c r="BA1125" s="5" t="s">
        <v>251</v>
      </c>
      <c r="BB1125" s="5" t="s">
        <v>238</v>
      </c>
      <c r="BC1125" s="5" t="s">
        <v>253</v>
      </c>
      <c r="BD1125" s="5" t="s">
        <v>238</v>
      </c>
      <c r="BF1125" s="5" t="s">
        <v>238</v>
      </c>
      <c r="BH1125" s="5" t="s">
        <v>859</v>
      </c>
      <c r="BI1125" s="6" t="s">
        <v>368</v>
      </c>
      <c r="BJ1125" s="5" t="s">
        <v>255</v>
      </c>
      <c r="BK1125" s="5" t="s">
        <v>256</v>
      </c>
      <c r="BL1125" s="5" t="s">
        <v>238</v>
      </c>
      <c r="BM1125" s="7">
        <f>0</f>
        <v>0</v>
      </c>
      <c r="BN1125" s="8">
        <f>0</f>
        <v>0</v>
      </c>
      <c r="BO1125" s="5" t="s">
        <v>257</v>
      </c>
      <c r="BP1125" s="5" t="s">
        <v>258</v>
      </c>
      <c r="CD1125" s="5" t="s">
        <v>238</v>
      </c>
      <c r="CE1125" s="5" t="s">
        <v>238</v>
      </c>
      <c r="CI1125" s="5" t="s">
        <v>527</v>
      </c>
      <c r="CJ1125" s="5" t="s">
        <v>260</v>
      </c>
      <c r="CK1125" s="5" t="s">
        <v>238</v>
      </c>
      <c r="CM1125" s="5" t="s">
        <v>865</v>
      </c>
      <c r="CN1125" s="6" t="s">
        <v>262</v>
      </c>
      <c r="CO1125" s="5" t="s">
        <v>263</v>
      </c>
      <c r="CP1125" s="5" t="s">
        <v>264</v>
      </c>
      <c r="CQ1125" s="5" t="s">
        <v>238</v>
      </c>
      <c r="CR1125" s="5" t="s">
        <v>238</v>
      </c>
      <c r="CS1125" s="5">
        <v>0</v>
      </c>
      <c r="CT1125" s="5" t="s">
        <v>265</v>
      </c>
      <c r="CU1125" s="5" t="s">
        <v>1342</v>
      </c>
      <c r="CV1125" s="5" t="s">
        <v>267</v>
      </c>
      <c r="CX1125" s="8">
        <f>760000</f>
        <v>760000</v>
      </c>
      <c r="CY1125" s="8">
        <f>0</f>
        <v>0</v>
      </c>
      <c r="DA1125" s="5" t="s">
        <v>238</v>
      </c>
      <c r="DB1125" s="5" t="s">
        <v>238</v>
      </c>
      <c r="DD1125" s="5" t="s">
        <v>238</v>
      </c>
      <c r="DG1125" s="5" t="s">
        <v>238</v>
      </c>
      <c r="DH1125" s="5" t="s">
        <v>238</v>
      </c>
      <c r="DI1125" s="5" t="s">
        <v>238</v>
      </c>
      <c r="DJ1125" s="5" t="s">
        <v>238</v>
      </c>
      <c r="DK1125" s="5" t="s">
        <v>271</v>
      </c>
      <c r="DL1125" s="5" t="s">
        <v>272</v>
      </c>
      <c r="DM1125" s="7">
        <f>8</f>
        <v>8</v>
      </c>
      <c r="DN1125" s="5" t="s">
        <v>238</v>
      </c>
      <c r="DO1125" s="5" t="s">
        <v>238</v>
      </c>
      <c r="DP1125" s="5" t="s">
        <v>238</v>
      </c>
      <c r="DQ1125" s="5" t="s">
        <v>238</v>
      </c>
      <c r="DT1125" s="5" t="s">
        <v>1118</v>
      </c>
      <c r="DU1125" s="5" t="s">
        <v>274</v>
      </c>
      <c r="HM1125" s="5" t="s">
        <v>271</v>
      </c>
      <c r="HP1125" s="5" t="s">
        <v>272</v>
      </c>
      <c r="HQ1125" s="5" t="s">
        <v>272</v>
      </c>
    </row>
    <row r="1126" spans="1:238" x14ac:dyDescent="0.4">
      <c r="A1126" s="5">
        <v>1456</v>
      </c>
      <c r="B1126" s="5">
        <v>1</v>
      </c>
      <c r="C1126" s="5">
        <v>1</v>
      </c>
      <c r="D1126" s="5" t="s">
        <v>1130</v>
      </c>
      <c r="E1126" s="5" t="s">
        <v>338</v>
      </c>
      <c r="F1126" s="5" t="s">
        <v>282</v>
      </c>
      <c r="G1126" s="5" t="s">
        <v>239</v>
      </c>
      <c r="H1126" s="6" t="s">
        <v>1132</v>
      </c>
      <c r="I1126" s="5" t="s">
        <v>239</v>
      </c>
      <c r="J1126" s="7">
        <f>16.56</f>
        <v>16.559999999999999</v>
      </c>
      <c r="K1126" s="5" t="s">
        <v>270</v>
      </c>
      <c r="L1126" s="8">
        <f>1</f>
        <v>1</v>
      </c>
      <c r="M1126" s="8">
        <f>993600</f>
        <v>993600</v>
      </c>
      <c r="N1126" s="6" t="s">
        <v>1131</v>
      </c>
      <c r="O1126" s="5" t="s">
        <v>268</v>
      </c>
      <c r="P1126" s="5" t="s">
        <v>991</v>
      </c>
      <c r="R1126" s="8">
        <f>993599</f>
        <v>993599</v>
      </c>
      <c r="S1126" s="5" t="s">
        <v>240</v>
      </c>
      <c r="T1126" s="5" t="s">
        <v>237</v>
      </c>
      <c r="U1126" s="5" t="s">
        <v>238</v>
      </c>
      <c r="V1126" s="5" t="s">
        <v>238</v>
      </c>
      <c r="W1126" s="5" t="s">
        <v>241</v>
      </c>
      <c r="X1126" s="5" t="s">
        <v>337</v>
      </c>
      <c r="Y1126" s="5" t="s">
        <v>238</v>
      </c>
      <c r="AB1126" s="5" t="s">
        <v>238</v>
      </c>
      <c r="AD1126" s="6" t="s">
        <v>238</v>
      </c>
      <c r="AG1126" s="6" t="s">
        <v>246</v>
      </c>
      <c r="AH1126" s="5" t="s">
        <v>247</v>
      </c>
      <c r="AI1126" s="5" t="s">
        <v>248</v>
      </c>
      <c r="AY1126" s="5" t="s">
        <v>250</v>
      </c>
      <c r="AZ1126" s="5" t="s">
        <v>238</v>
      </c>
      <c r="BA1126" s="5" t="s">
        <v>251</v>
      </c>
      <c r="BB1126" s="5" t="s">
        <v>238</v>
      </c>
      <c r="BC1126" s="5" t="s">
        <v>253</v>
      </c>
      <c r="BD1126" s="5" t="s">
        <v>238</v>
      </c>
      <c r="BF1126" s="5" t="s">
        <v>710</v>
      </c>
      <c r="BH1126" s="5" t="s">
        <v>254</v>
      </c>
      <c r="BI1126" s="6" t="s">
        <v>246</v>
      </c>
      <c r="BJ1126" s="5" t="s">
        <v>255</v>
      </c>
      <c r="BK1126" s="5" t="s">
        <v>256</v>
      </c>
      <c r="BL1126" s="5" t="s">
        <v>238</v>
      </c>
      <c r="BM1126" s="7">
        <f>0</f>
        <v>0</v>
      </c>
      <c r="BN1126" s="8">
        <f>0</f>
        <v>0</v>
      </c>
      <c r="BO1126" s="5" t="s">
        <v>257</v>
      </c>
      <c r="BP1126" s="5" t="s">
        <v>258</v>
      </c>
      <c r="CD1126" s="5" t="s">
        <v>238</v>
      </c>
      <c r="CE1126" s="5" t="s">
        <v>238</v>
      </c>
      <c r="CI1126" s="5" t="s">
        <v>527</v>
      </c>
      <c r="CJ1126" s="5" t="s">
        <v>260</v>
      </c>
      <c r="CK1126" s="5" t="s">
        <v>238</v>
      </c>
      <c r="CM1126" s="5" t="s">
        <v>990</v>
      </c>
      <c r="CN1126" s="6" t="s">
        <v>262</v>
      </c>
      <c r="CO1126" s="5" t="s">
        <v>263</v>
      </c>
      <c r="CP1126" s="5" t="s">
        <v>264</v>
      </c>
      <c r="CQ1126" s="5" t="s">
        <v>238</v>
      </c>
      <c r="CR1126" s="5" t="s">
        <v>238</v>
      </c>
      <c r="CS1126" s="5">
        <v>0</v>
      </c>
      <c r="CT1126" s="5" t="s">
        <v>265</v>
      </c>
      <c r="CU1126" s="5" t="s">
        <v>266</v>
      </c>
      <c r="CV1126" s="5" t="s">
        <v>267</v>
      </c>
      <c r="CX1126" s="8">
        <f>993600</f>
        <v>993600</v>
      </c>
      <c r="CY1126" s="8">
        <f>0</f>
        <v>0</v>
      </c>
      <c r="DA1126" s="5" t="s">
        <v>238</v>
      </c>
      <c r="DB1126" s="5" t="s">
        <v>238</v>
      </c>
      <c r="DD1126" s="5" t="s">
        <v>238</v>
      </c>
      <c r="DG1126" s="5" t="s">
        <v>238</v>
      </c>
      <c r="DH1126" s="5" t="s">
        <v>238</v>
      </c>
      <c r="DI1126" s="5" t="s">
        <v>238</v>
      </c>
      <c r="DJ1126" s="5" t="s">
        <v>238</v>
      </c>
      <c r="DK1126" s="5" t="s">
        <v>271</v>
      </c>
      <c r="DL1126" s="5" t="s">
        <v>272</v>
      </c>
      <c r="DM1126" s="7">
        <f>16.56</f>
        <v>16.559999999999999</v>
      </c>
      <c r="DN1126" s="5" t="s">
        <v>238</v>
      </c>
      <c r="DO1126" s="5" t="s">
        <v>238</v>
      </c>
      <c r="DP1126" s="5" t="s">
        <v>238</v>
      </c>
      <c r="DQ1126" s="5" t="s">
        <v>238</v>
      </c>
      <c r="DT1126" s="5" t="s">
        <v>1133</v>
      </c>
      <c r="DU1126" s="5" t="s">
        <v>271</v>
      </c>
      <c r="HM1126" s="5" t="s">
        <v>271</v>
      </c>
      <c r="HP1126" s="5" t="s">
        <v>272</v>
      </c>
      <c r="HQ1126" s="5" t="s">
        <v>272</v>
      </c>
    </row>
    <row r="1127" spans="1:238" x14ac:dyDescent="0.4">
      <c r="A1127" s="5">
        <v>1457</v>
      </c>
      <c r="B1127" s="5">
        <v>1</v>
      </c>
      <c r="C1127" s="5">
        <v>1</v>
      </c>
      <c r="D1127" s="5" t="s">
        <v>1130</v>
      </c>
      <c r="E1127" s="5" t="s">
        <v>338</v>
      </c>
      <c r="F1127" s="5" t="s">
        <v>282</v>
      </c>
      <c r="G1127" s="5" t="s">
        <v>1309</v>
      </c>
      <c r="H1127" s="6" t="s">
        <v>1132</v>
      </c>
      <c r="I1127" s="5" t="s">
        <v>1309</v>
      </c>
      <c r="J1127" s="7">
        <f>8.4</f>
        <v>8.4</v>
      </c>
      <c r="K1127" s="5" t="s">
        <v>270</v>
      </c>
      <c r="L1127" s="8">
        <f>1</f>
        <v>1</v>
      </c>
      <c r="M1127" s="8">
        <f>840000</f>
        <v>840000</v>
      </c>
      <c r="N1127" s="6" t="s">
        <v>1131</v>
      </c>
      <c r="O1127" s="5" t="s">
        <v>755</v>
      </c>
      <c r="P1127" s="5" t="s">
        <v>755</v>
      </c>
      <c r="R1127" s="8">
        <f>839999</f>
        <v>839999</v>
      </c>
      <c r="S1127" s="5" t="s">
        <v>240</v>
      </c>
      <c r="T1127" s="5" t="s">
        <v>237</v>
      </c>
      <c r="U1127" s="5" t="s">
        <v>238</v>
      </c>
      <c r="V1127" s="5" t="s">
        <v>238</v>
      </c>
      <c r="W1127" s="5" t="s">
        <v>241</v>
      </c>
      <c r="X1127" s="5" t="s">
        <v>337</v>
      </c>
      <c r="Y1127" s="5" t="s">
        <v>238</v>
      </c>
      <c r="AB1127" s="5" t="s">
        <v>238</v>
      </c>
      <c r="AD1127" s="6" t="s">
        <v>238</v>
      </c>
      <c r="AG1127" s="6" t="s">
        <v>246</v>
      </c>
      <c r="AH1127" s="5" t="s">
        <v>247</v>
      </c>
      <c r="AI1127" s="5" t="s">
        <v>248</v>
      </c>
      <c r="AY1127" s="5" t="s">
        <v>250</v>
      </c>
      <c r="AZ1127" s="5" t="s">
        <v>238</v>
      </c>
      <c r="BA1127" s="5" t="s">
        <v>251</v>
      </c>
      <c r="BB1127" s="5" t="s">
        <v>238</v>
      </c>
      <c r="BC1127" s="5" t="s">
        <v>253</v>
      </c>
      <c r="BD1127" s="5" t="s">
        <v>238</v>
      </c>
      <c r="BF1127" s="5" t="s">
        <v>238</v>
      </c>
      <c r="BH1127" s="5" t="s">
        <v>859</v>
      </c>
      <c r="BI1127" s="6" t="s">
        <v>368</v>
      </c>
      <c r="BJ1127" s="5" t="s">
        <v>255</v>
      </c>
      <c r="BK1127" s="5" t="s">
        <v>294</v>
      </c>
      <c r="BL1127" s="5" t="s">
        <v>238</v>
      </c>
      <c r="BM1127" s="7">
        <f>0</f>
        <v>0</v>
      </c>
      <c r="BN1127" s="8">
        <f>0</f>
        <v>0</v>
      </c>
      <c r="BO1127" s="5" t="s">
        <v>257</v>
      </c>
      <c r="BP1127" s="5" t="s">
        <v>258</v>
      </c>
      <c r="CD1127" s="5" t="s">
        <v>238</v>
      </c>
      <c r="CE1127" s="5" t="s">
        <v>238</v>
      </c>
      <c r="CI1127" s="5" t="s">
        <v>527</v>
      </c>
      <c r="CJ1127" s="5" t="s">
        <v>260</v>
      </c>
      <c r="CK1127" s="5" t="s">
        <v>238</v>
      </c>
      <c r="CM1127" s="5" t="s">
        <v>990</v>
      </c>
      <c r="CN1127" s="6" t="s">
        <v>262</v>
      </c>
      <c r="CO1127" s="5" t="s">
        <v>263</v>
      </c>
      <c r="CP1127" s="5" t="s">
        <v>264</v>
      </c>
      <c r="CQ1127" s="5" t="s">
        <v>238</v>
      </c>
      <c r="CR1127" s="5" t="s">
        <v>238</v>
      </c>
      <c r="CS1127" s="5">
        <v>0</v>
      </c>
      <c r="CT1127" s="5" t="s">
        <v>265</v>
      </c>
      <c r="CU1127" s="5" t="s">
        <v>1342</v>
      </c>
      <c r="CV1127" s="5" t="s">
        <v>754</v>
      </c>
      <c r="CX1127" s="8">
        <f>840000</f>
        <v>840000</v>
      </c>
      <c r="CY1127" s="8">
        <f>0</f>
        <v>0</v>
      </c>
      <c r="DA1127" s="5" t="s">
        <v>238</v>
      </c>
      <c r="DB1127" s="5" t="s">
        <v>238</v>
      </c>
      <c r="DD1127" s="5" t="s">
        <v>238</v>
      </c>
      <c r="DG1127" s="5" t="s">
        <v>238</v>
      </c>
      <c r="DH1127" s="5" t="s">
        <v>238</v>
      </c>
      <c r="DI1127" s="5" t="s">
        <v>238</v>
      </c>
      <c r="DJ1127" s="5" t="s">
        <v>238</v>
      </c>
      <c r="DK1127" s="5" t="s">
        <v>271</v>
      </c>
      <c r="DL1127" s="5" t="s">
        <v>272</v>
      </c>
      <c r="DM1127" s="7">
        <f>8.4</f>
        <v>8.4</v>
      </c>
      <c r="DN1127" s="5" t="s">
        <v>238</v>
      </c>
      <c r="DO1127" s="5" t="s">
        <v>238</v>
      </c>
      <c r="DP1127" s="5" t="s">
        <v>238</v>
      </c>
      <c r="DQ1127" s="5" t="s">
        <v>238</v>
      </c>
      <c r="DT1127" s="5" t="s">
        <v>1133</v>
      </c>
      <c r="DU1127" s="5" t="s">
        <v>274</v>
      </c>
      <c r="HM1127" s="5" t="s">
        <v>356</v>
      </c>
      <c r="HP1127" s="5" t="s">
        <v>272</v>
      </c>
      <c r="HQ1127" s="5" t="s">
        <v>272</v>
      </c>
    </row>
    <row r="1128" spans="1:238" x14ac:dyDescent="0.4">
      <c r="A1128" s="5">
        <v>1458</v>
      </c>
      <c r="B1128" s="5">
        <v>1</v>
      </c>
      <c r="C1128" s="5">
        <v>4</v>
      </c>
      <c r="D1128" s="5" t="s">
        <v>2054</v>
      </c>
      <c r="E1128" s="5" t="s">
        <v>338</v>
      </c>
      <c r="F1128" s="5" t="s">
        <v>282</v>
      </c>
      <c r="G1128" s="5" t="s">
        <v>1331</v>
      </c>
      <c r="H1128" s="6" t="s">
        <v>1178</v>
      </c>
      <c r="I1128" s="5" t="s">
        <v>1327</v>
      </c>
      <c r="J1128" s="7">
        <f>145.74</f>
        <v>145.74</v>
      </c>
      <c r="K1128" s="5" t="s">
        <v>270</v>
      </c>
      <c r="L1128" s="8">
        <f>8986912</f>
        <v>8986912</v>
      </c>
      <c r="M1128" s="8">
        <f>27399120</f>
        <v>27399120</v>
      </c>
      <c r="N1128" s="6" t="s">
        <v>2055</v>
      </c>
      <c r="O1128" s="5" t="s">
        <v>651</v>
      </c>
      <c r="P1128" s="5" t="s">
        <v>1114</v>
      </c>
      <c r="Q1128" s="8">
        <f>1150763</f>
        <v>1150763</v>
      </c>
      <c r="R1128" s="8">
        <f>18412208</f>
        <v>18412208</v>
      </c>
      <c r="S1128" s="5" t="s">
        <v>240</v>
      </c>
      <c r="T1128" s="5" t="s">
        <v>237</v>
      </c>
      <c r="U1128" s="5" t="s">
        <v>238</v>
      </c>
      <c r="V1128" s="5" t="s">
        <v>238</v>
      </c>
      <c r="W1128" s="5" t="s">
        <v>241</v>
      </c>
      <c r="X1128" s="5" t="s">
        <v>337</v>
      </c>
      <c r="Y1128" s="5" t="s">
        <v>238</v>
      </c>
      <c r="AB1128" s="5" t="s">
        <v>238</v>
      </c>
      <c r="AC1128" s="6" t="s">
        <v>238</v>
      </c>
      <c r="AD1128" s="6" t="s">
        <v>238</v>
      </c>
      <c r="AF1128" s="6" t="s">
        <v>238</v>
      </c>
      <c r="AG1128" s="6" t="s">
        <v>246</v>
      </c>
      <c r="AH1128" s="5" t="s">
        <v>247</v>
      </c>
      <c r="AI1128" s="5" t="s">
        <v>248</v>
      </c>
      <c r="AO1128" s="5" t="s">
        <v>238</v>
      </c>
      <c r="AP1128" s="5" t="s">
        <v>238</v>
      </c>
      <c r="AQ1128" s="5" t="s">
        <v>238</v>
      </c>
      <c r="AR1128" s="6" t="s">
        <v>238</v>
      </c>
      <c r="AS1128" s="6" t="s">
        <v>238</v>
      </c>
      <c r="AT1128" s="6" t="s">
        <v>238</v>
      </c>
      <c r="AW1128" s="5" t="s">
        <v>304</v>
      </c>
      <c r="AX1128" s="5" t="s">
        <v>304</v>
      </c>
      <c r="AY1128" s="5" t="s">
        <v>250</v>
      </c>
      <c r="AZ1128" s="5" t="s">
        <v>305</v>
      </c>
      <c r="BA1128" s="5" t="s">
        <v>251</v>
      </c>
      <c r="BB1128" s="5" t="s">
        <v>238</v>
      </c>
      <c r="BC1128" s="5" t="s">
        <v>253</v>
      </c>
      <c r="BD1128" s="5" t="s">
        <v>238</v>
      </c>
      <c r="BF1128" s="5" t="s">
        <v>710</v>
      </c>
      <c r="BH1128" s="5" t="s">
        <v>283</v>
      </c>
      <c r="BI1128" s="6" t="s">
        <v>293</v>
      </c>
      <c r="BJ1128" s="5" t="s">
        <v>294</v>
      </c>
      <c r="BK1128" s="5" t="s">
        <v>294</v>
      </c>
      <c r="BL1128" s="5" t="s">
        <v>238</v>
      </c>
      <c r="BM1128" s="7">
        <f>0</f>
        <v>0</v>
      </c>
      <c r="BN1128" s="8">
        <f>-1150763</f>
        <v>-1150763</v>
      </c>
      <c r="BO1128" s="5" t="s">
        <v>257</v>
      </c>
      <c r="BP1128" s="5" t="s">
        <v>258</v>
      </c>
      <c r="BQ1128" s="5" t="s">
        <v>238</v>
      </c>
      <c r="BR1128" s="5" t="s">
        <v>238</v>
      </c>
      <c r="BS1128" s="5" t="s">
        <v>238</v>
      </c>
      <c r="BT1128" s="5" t="s">
        <v>238</v>
      </c>
      <c r="CC1128" s="5" t="s">
        <v>258</v>
      </c>
      <c r="CD1128" s="5" t="s">
        <v>238</v>
      </c>
      <c r="CE1128" s="5" t="s">
        <v>238</v>
      </c>
      <c r="CI1128" s="5" t="s">
        <v>259</v>
      </c>
      <c r="CJ1128" s="5" t="s">
        <v>260</v>
      </c>
      <c r="CK1128" s="5" t="s">
        <v>238</v>
      </c>
      <c r="CM1128" s="5" t="s">
        <v>1113</v>
      </c>
      <c r="CN1128" s="6" t="s">
        <v>262</v>
      </c>
      <c r="CO1128" s="5" t="s">
        <v>263</v>
      </c>
      <c r="CP1128" s="5" t="s">
        <v>264</v>
      </c>
      <c r="CQ1128" s="5" t="s">
        <v>285</v>
      </c>
      <c r="CR1128" s="5" t="s">
        <v>238</v>
      </c>
      <c r="CS1128" s="5">
        <v>4.2000000000000003E-2</v>
      </c>
      <c r="CT1128" s="5" t="s">
        <v>265</v>
      </c>
      <c r="CU1128" s="5" t="s">
        <v>1333</v>
      </c>
      <c r="CV1128" s="5" t="s">
        <v>267</v>
      </c>
      <c r="CW1128" s="7">
        <f>0</f>
        <v>0</v>
      </c>
      <c r="CX1128" s="8">
        <f>27399120</f>
        <v>27399120</v>
      </c>
      <c r="CY1128" s="8">
        <f>10137675</f>
        <v>10137675</v>
      </c>
      <c r="DA1128" s="5" t="s">
        <v>238</v>
      </c>
      <c r="DB1128" s="5" t="s">
        <v>238</v>
      </c>
      <c r="DD1128" s="5" t="s">
        <v>238</v>
      </c>
      <c r="DE1128" s="8">
        <f>0</f>
        <v>0</v>
      </c>
      <c r="DG1128" s="5" t="s">
        <v>238</v>
      </c>
      <c r="DH1128" s="5" t="s">
        <v>238</v>
      </c>
      <c r="DI1128" s="5" t="s">
        <v>238</v>
      </c>
      <c r="DJ1128" s="5" t="s">
        <v>238</v>
      </c>
      <c r="DK1128" s="5" t="s">
        <v>271</v>
      </c>
      <c r="DL1128" s="5" t="s">
        <v>272</v>
      </c>
      <c r="DM1128" s="7">
        <f>145.74</f>
        <v>145.74</v>
      </c>
      <c r="DN1128" s="5" t="s">
        <v>238</v>
      </c>
      <c r="DO1128" s="5" t="s">
        <v>238</v>
      </c>
      <c r="DP1128" s="5" t="s">
        <v>238</v>
      </c>
      <c r="DQ1128" s="5" t="s">
        <v>238</v>
      </c>
      <c r="DT1128" s="5" t="s">
        <v>2056</v>
      </c>
      <c r="DU1128" s="5" t="s">
        <v>271</v>
      </c>
      <c r="GL1128" s="5" t="s">
        <v>2057</v>
      </c>
      <c r="HM1128" s="5" t="s">
        <v>313</v>
      </c>
      <c r="HP1128" s="5" t="s">
        <v>272</v>
      </c>
      <c r="HQ1128" s="5" t="s">
        <v>272</v>
      </c>
      <c r="HR1128" s="5" t="s">
        <v>238</v>
      </c>
      <c r="HS1128" s="5" t="s">
        <v>238</v>
      </c>
      <c r="HT1128" s="5" t="s">
        <v>238</v>
      </c>
      <c r="HU1128" s="5" t="s">
        <v>238</v>
      </c>
      <c r="HV1128" s="5" t="s">
        <v>238</v>
      </c>
      <c r="HW1128" s="5" t="s">
        <v>238</v>
      </c>
      <c r="HX1128" s="5" t="s">
        <v>238</v>
      </c>
      <c r="HY1128" s="5" t="s">
        <v>238</v>
      </c>
      <c r="HZ1128" s="5" t="s">
        <v>238</v>
      </c>
      <c r="IA1128" s="5" t="s">
        <v>238</v>
      </c>
      <c r="IB1128" s="5" t="s">
        <v>238</v>
      </c>
      <c r="IC1128" s="5" t="s">
        <v>238</v>
      </c>
      <c r="ID1128" s="5" t="s">
        <v>238</v>
      </c>
    </row>
    <row r="1129" spans="1:238" x14ac:dyDescent="0.4">
      <c r="A1129" s="5">
        <v>1459</v>
      </c>
      <c r="B1129" s="5">
        <v>1</v>
      </c>
      <c r="C1129" s="5">
        <v>4</v>
      </c>
      <c r="D1129" s="5" t="s">
        <v>934</v>
      </c>
      <c r="E1129" s="5" t="s">
        <v>338</v>
      </c>
      <c r="F1129" s="5" t="s">
        <v>282</v>
      </c>
      <c r="G1129" s="5" t="s">
        <v>1251</v>
      </c>
      <c r="H1129" s="6" t="s">
        <v>936</v>
      </c>
      <c r="I1129" s="5" t="s">
        <v>1213</v>
      </c>
      <c r="J1129" s="7">
        <f>382</f>
        <v>382</v>
      </c>
      <c r="K1129" s="5" t="s">
        <v>270</v>
      </c>
      <c r="L1129" s="8">
        <f>2787072</f>
        <v>2787072</v>
      </c>
      <c r="M1129" s="8">
        <f>36672000</f>
        <v>36672000</v>
      </c>
      <c r="N1129" s="6" t="s">
        <v>935</v>
      </c>
      <c r="O1129" s="5" t="s">
        <v>650</v>
      </c>
      <c r="P1129" s="5" t="s">
        <v>1035</v>
      </c>
      <c r="Q1129" s="8">
        <f>1210176</f>
        <v>1210176</v>
      </c>
      <c r="R1129" s="8">
        <f>33884928</f>
        <v>33884928</v>
      </c>
      <c r="S1129" s="5" t="s">
        <v>240</v>
      </c>
      <c r="T1129" s="5" t="s">
        <v>237</v>
      </c>
      <c r="U1129" s="5" t="s">
        <v>238</v>
      </c>
      <c r="V1129" s="5" t="s">
        <v>238</v>
      </c>
      <c r="W1129" s="5" t="s">
        <v>241</v>
      </c>
      <c r="X1129" s="5" t="s">
        <v>337</v>
      </c>
      <c r="Y1129" s="5" t="s">
        <v>238</v>
      </c>
      <c r="AB1129" s="5" t="s">
        <v>238</v>
      </c>
      <c r="AC1129" s="6" t="s">
        <v>238</v>
      </c>
      <c r="AD1129" s="6" t="s">
        <v>238</v>
      </c>
      <c r="AF1129" s="6" t="s">
        <v>238</v>
      </c>
      <c r="AG1129" s="6" t="s">
        <v>246</v>
      </c>
      <c r="AH1129" s="5" t="s">
        <v>247</v>
      </c>
      <c r="AI1129" s="5" t="s">
        <v>248</v>
      </c>
      <c r="AO1129" s="5" t="s">
        <v>238</v>
      </c>
      <c r="AP1129" s="5" t="s">
        <v>238</v>
      </c>
      <c r="AQ1129" s="5" t="s">
        <v>238</v>
      </c>
      <c r="AR1129" s="6" t="s">
        <v>238</v>
      </c>
      <c r="AS1129" s="6" t="s">
        <v>238</v>
      </c>
      <c r="AT1129" s="6" t="s">
        <v>238</v>
      </c>
      <c r="AW1129" s="5" t="s">
        <v>304</v>
      </c>
      <c r="AX1129" s="5" t="s">
        <v>304</v>
      </c>
      <c r="AY1129" s="5" t="s">
        <v>250</v>
      </c>
      <c r="AZ1129" s="5" t="s">
        <v>305</v>
      </c>
      <c r="BA1129" s="5" t="s">
        <v>251</v>
      </c>
      <c r="BB1129" s="5" t="s">
        <v>238</v>
      </c>
      <c r="BC1129" s="5" t="s">
        <v>253</v>
      </c>
      <c r="BD1129" s="5" t="s">
        <v>238</v>
      </c>
      <c r="BF1129" s="5" t="s">
        <v>238</v>
      </c>
      <c r="BH1129" s="5" t="s">
        <v>283</v>
      </c>
      <c r="BI1129" s="6" t="s">
        <v>293</v>
      </c>
      <c r="BJ1129" s="5" t="s">
        <v>294</v>
      </c>
      <c r="BK1129" s="5" t="s">
        <v>294</v>
      </c>
      <c r="BL1129" s="5" t="s">
        <v>238</v>
      </c>
      <c r="BM1129" s="7">
        <f>0</f>
        <v>0</v>
      </c>
      <c r="BN1129" s="8">
        <f>-1210176</f>
        <v>-1210176</v>
      </c>
      <c r="BO1129" s="5" t="s">
        <v>257</v>
      </c>
      <c r="BP1129" s="5" t="s">
        <v>258</v>
      </c>
      <c r="BQ1129" s="5" t="s">
        <v>238</v>
      </c>
      <c r="BR1129" s="5" t="s">
        <v>238</v>
      </c>
      <c r="BS1129" s="5" t="s">
        <v>238</v>
      </c>
      <c r="BT1129" s="5" t="s">
        <v>238</v>
      </c>
      <c r="CC1129" s="5" t="s">
        <v>258</v>
      </c>
      <c r="CD1129" s="5" t="s">
        <v>238</v>
      </c>
      <c r="CE1129" s="5" t="s">
        <v>238</v>
      </c>
      <c r="CI1129" s="5" t="s">
        <v>259</v>
      </c>
      <c r="CJ1129" s="5" t="s">
        <v>260</v>
      </c>
      <c r="CK1129" s="5" t="s">
        <v>238</v>
      </c>
      <c r="CM1129" s="5" t="s">
        <v>937</v>
      </c>
      <c r="CN1129" s="6" t="s">
        <v>262</v>
      </c>
      <c r="CO1129" s="5" t="s">
        <v>263</v>
      </c>
      <c r="CP1129" s="5" t="s">
        <v>264</v>
      </c>
      <c r="CQ1129" s="5" t="s">
        <v>285</v>
      </c>
      <c r="CR1129" s="5" t="s">
        <v>238</v>
      </c>
      <c r="CS1129" s="5">
        <v>3.3000000000000002E-2</v>
      </c>
      <c r="CT1129" s="5" t="s">
        <v>265</v>
      </c>
      <c r="CU1129" s="5" t="s">
        <v>1187</v>
      </c>
      <c r="CV1129" s="5" t="s">
        <v>649</v>
      </c>
      <c r="CW1129" s="7">
        <f>0</f>
        <v>0</v>
      </c>
      <c r="CX1129" s="8">
        <f>36672000</f>
        <v>36672000</v>
      </c>
      <c r="CY1129" s="8">
        <f>3997248</f>
        <v>3997248</v>
      </c>
      <c r="DA1129" s="5" t="s">
        <v>238</v>
      </c>
      <c r="DB1129" s="5" t="s">
        <v>238</v>
      </c>
      <c r="DD1129" s="5" t="s">
        <v>238</v>
      </c>
      <c r="DE1129" s="8">
        <f>0</f>
        <v>0</v>
      </c>
      <c r="DG1129" s="5" t="s">
        <v>238</v>
      </c>
      <c r="DH1129" s="5" t="s">
        <v>238</v>
      </c>
      <c r="DI1129" s="5" t="s">
        <v>238</v>
      </c>
      <c r="DJ1129" s="5" t="s">
        <v>238</v>
      </c>
      <c r="DK1129" s="5" t="s">
        <v>271</v>
      </c>
      <c r="DL1129" s="5" t="s">
        <v>272</v>
      </c>
      <c r="DM1129" s="7">
        <f>382</f>
        <v>382</v>
      </c>
      <c r="DN1129" s="5" t="s">
        <v>238</v>
      </c>
      <c r="DO1129" s="5" t="s">
        <v>238</v>
      </c>
      <c r="DP1129" s="5" t="s">
        <v>238</v>
      </c>
      <c r="DQ1129" s="5" t="s">
        <v>238</v>
      </c>
      <c r="DT1129" s="5" t="s">
        <v>938</v>
      </c>
      <c r="DU1129" s="5" t="s">
        <v>271</v>
      </c>
      <c r="GL1129" s="5" t="s">
        <v>1252</v>
      </c>
      <c r="HM1129" s="5" t="s">
        <v>313</v>
      </c>
      <c r="HP1129" s="5" t="s">
        <v>272</v>
      </c>
      <c r="HQ1129" s="5" t="s">
        <v>272</v>
      </c>
      <c r="HR1129" s="5" t="s">
        <v>238</v>
      </c>
      <c r="HS1129" s="5" t="s">
        <v>238</v>
      </c>
      <c r="HT1129" s="5" t="s">
        <v>238</v>
      </c>
      <c r="HU1129" s="5" t="s">
        <v>238</v>
      </c>
      <c r="HV1129" s="5" t="s">
        <v>238</v>
      </c>
      <c r="HW1129" s="5" t="s">
        <v>238</v>
      </c>
      <c r="HX1129" s="5" t="s">
        <v>238</v>
      </c>
      <c r="HY1129" s="5" t="s">
        <v>238</v>
      </c>
      <c r="HZ1129" s="5" t="s">
        <v>238</v>
      </c>
      <c r="IA1129" s="5" t="s">
        <v>238</v>
      </c>
      <c r="IB1129" s="5" t="s">
        <v>238</v>
      </c>
      <c r="IC1129" s="5" t="s">
        <v>238</v>
      </c>
      <c r="ID1129" s="5" t="s">
        <v>238</v>
      </c>
    </row>
    <row r="1130" spans="1:238" x14ac:dyDescent="0.4">
      <c r="A1130" s="5">
        <v>1460</v>
      </c>
      <c r="B1130" s="5">
        <v>1</v>
      </c>
      <c r="C1130" s="5">
        <v>1</v>
      </c>
      <c r="D1130" s="5" t="s">
        <v>934</v>
      </c>
      <c r="E1130" s="5" t="s">
        <v>338</v>
      </c>
      <c r="F1130" s="5" t="s">
        <v>282</v>
      </c>
      <c r="G1130" s="5" t="s">
        <v>239</v>
      </c>
      <c r="H1130" s="6" t="s">
        <v>936</v>
      </c>
      <c r="I1130" s="5" t="s">
        <v>239</v>
      </c>
      <c r="J1130" s="7">
        <f>32</f>
        <v>32</v>
      </c>
      <c r="K1130" s="5" t="s">
        <v>270</v>
      </c>
      <c r="L1130" s="8">
        <f>1</f>
        <v>1</v>
      </c>
      <c r="M1130" s="8">
        <f>3072000</f>
        <v>3072000</v>
      </c>
      <c r="N1130" s="6" t="s">
        <v>935</v>
      </c>
      <c r="O1130" s="5" t="s">
        <v>651</v>
      </c>
      <c r="P1130" s="5" t="s">
        <v>651</v>
      </c>
      <c r="R1130" s="8">
        <f>3071999</f>
        <v>3071999</v>
      </c>
      <c r="S1130" s="5" t="s">
        <v>240</v>
      </c>
      <c r="T1130" s="5" t="s">
        <v>237</v>
      </c>
      <c r="U1130" s="5" t="s">
        <v>238</v>
      </c>
      <c r="V1130" s="5" t="s">
        <v>238</v>
      </c>
      <c r="W1130" s="5" t="s">
        <v>241</v>
      </c>
      <c r="X1130" s="5" t="s">
        <v>337</v>
      </c>
      <c r="Y1130" s="5" t="s">
        <v>238</v>
      </c>
      <c r="AB1130" s="5" t="s">
        <v>238</v>
      </c>
      <c r="AD1130" s="6" t="s">
        <v>238</v>
      </c>
      <c r="AG1130" s="6" t="s">
        <v>246</v>
      </c>
      <c r="AH1130" s="5" t="s">
        <v>247</v>
      </c>
      <c r="AI1130" s="5" t="s">
        <v>248</v>
      </c>
      <c r="AY1130" s="5" t="s">
        <v>250</v>
      </c>
      <c r="AZ1130" s="5" t="s">
        <v>238</v>
      </c>
      <c r="BA1130" s="5" t="s">
        <v>251</v>
      </c>
      <c r="BB1130" s="5" t="s">
        <v>238</v>
      </c>
      <c r="BC1130" s="5" t="s">
        <v>253</v>
      </c>
      <c r="BD1130" s="5" t="s">
        <v>238</v>
      </c>
      <c r="BF1130" s="5" t="s">
        <v>710</v>
      </c>
      <c r="BH1130" s="5" t="s">
        <v>254</v>
      </c>
      <c r="BI1130" s="6" t="s">
        <v>246</v>
      </c>
      <c r="BJ1130" s="5" t="s">
        <v>255</v>
      </c>
      <c r="BK1130" s="5" t="s">
        <v>294</v>
      </c>
      <c r="BL1130" s="5" t="s">
        <v>238</v>
      </c>
      <c r="BM1130" s="7">
        <f>0</f>
        <v>0</v>
      </c>
      <c r="BN1130" s="8">
        <f>0</f>
        <v>0</v>
      </c>
      <c r="BO1130" s="5" t="s">
        <v>257</v>
      </c>
      <c r="BP1130" s="5" t="s">
        <v>258</v>
      </c>
      <c r="CD1130" s="5" t="s">
        <v>238</v>
      </c>
      <c r="CE1130" s="5" t="s">
        <v>238</v>
      </c>
      <c r="CI1130" s="5" t="s">
        <v>259</v>
      </c>
      <c r="CJ1130" s="5" t="s">
        <v>260</v>
      </c>
      <c r="CK1130" s="5" t="s">
        <v>238</v>
      </c>
      <c r="CM1130" s="5" t="s">
        <v>937</v>
      </c>
      <c r="CN1130" s="6" t="s">
        <v>262</v>
      </c>
      <c r="CO1130" s="5" t="s">
        <v>263</v>
      </c>
      <c r="CP1130" s="5" t="s">
        <v>264</v>
      </c>
      <c r="CQ1130" s="5" t="s">
        <v>238</v>
      </c>
      <c r="CR1130" s="5" t="s">
        <v>238</v>
      </c>
      <c r="CS1130" s="5">
        <v>0</v>
      </c>
      <c r="CT1130" s="5" t="s">
        <v>265</v>
      </c>
      <c r="CU1130" s="5" t="s">
        <v>266</v>
      </c>
      <c r="CV1130" s="5" t="s">
        <v>331</v>
      </c>
      <c r="CX1130" s="8">
        <f>3072000</f>
        <v>3072000</v>
      </c>
      <c r="CY1130" s="8">
        <f>0</f>
        <v>0</v>
      </c>
      <c r="DA1130" s="5" t="s">
        <v>238</v>
      </c>
      <c r="DB1130" s="5" t="s">
        <v>238</v>
      </c>
      <c r="DD1130" s="5" t="s">
        <v>238</v>
      </c>
      <c r="DG1130" s="5" t="s">
        <v>238</v>
      </c>
      <c r="DH1130" s="5" t="s">
        <v>238</v>
      </c>
      <c r="DI1130" s="5" t="s">
        <v>238</v>
      </c>
      <c r="DJ1130" s="5" t="s">
        <v>238</v>
      </c>
      <c r="DK1130" s="5" t="s">
        <v>271</v>
      </c>
      <c r="DL1130" s="5" t="s">
        <v>272</v>
      </c>
      <c r="DM1130" s="7">
        <f>32</f>
        <v>32</v>
      </c>
      <c r="DN1130" s="5" t="s">
        <v>238</v>
      </c>
      <c r="DO1130" s="5" t="s">
        <v>238</v>
      </c>
      <c r="DP1130" s="5" t="s">
        <v>238</v>
      </c>
      <c r="DQ1130" s="5" t="s">
        <v>238</v>
      </c>
      <c r="DT1130" s="5" t="s">
        <v>938</v>
      </c>
      <c r="DU1130" s="5" t="s">
        <v>274</v>
      </c>
      <c r="HM1130" s="5" t="s">
        <v>310</v>
      </c>
      <c r="HP1130" s="5" t="s">
        <v>272</v>
      </c>
      <c r="HQ1130" s="5" t="s">
        <v>272</v>
      </c>
    </row>
    <row r="1131" spans="1:238" x14ac:dyDescent="0.4">
      <c r="A1131" s="5">
        <v>1461</v>
      </c>
      <c r="B1131" s="5">
        <v>1</v>
      </c>
      <c r="C1131" s="5">
        <v>4</v>
      </c>
      <c r="D1131" s="5" t="s">
        <v>1664</v>
      </c>
      <c r="E1131" s="5" t="s">
        <v>338</v>
      </c>
      <c r="F1131" s="5" t="s">
        <v>282</v>
      </c>
      <c r="G1131" s="5" t="s">
        <v>1666</v>
      </c>
      <c r="H1131" s="6" t="s">
        <v>1667</v>
      </c>
      <c r="I1131" s="5" t="s">
        <v>1308</v>
      </c>
      <c r="J1131" s="7">
        <f>1627.8</f>
        <v>1627.8</v>
      </c>
      <c r="K1131" s="5" t="s">
        <v>270</v>
      </c>
      <c r="L1131" s="8">
        <f>9376128</f>
        <v>9376128</v>
      </c>
      <c r="M1131" s="8">
        <f>293004000</f>
        <v>293004000</v>
      </c>
      <c r="N1131" s="6" t="s">
        <v>1665</v>
      </c>
      <c r="O1131" s="5" t="s">
        <v>898</v>
      </c>
      <c r="P1131" s="5" t="s">
        <v>861</v>
      </c>
      <c r="Q1131" s="8">
        <f>6446088</f>
        <v>6446088</v>
      </c>
      <c r="R1131" s="8">
        <f>283627872</f>
        <v>283627872</v>
      </c>
      <c r="S1131" s="5" t="s">
        <v>240</v>
      </c>
      <c r="T1131" s="5" t="s">
        <v>237</v>
      </c>
      <c r="U1131" s="5" t="s">
        <v>238</v>
      </c>
      <c r="V1131" s="5" t="s">
        <v>238</v>
      </c>
      <c r="W1131" s="5" t="s">
        <v>241</v>
      </c>
      <c r="X1131" s="5" t="s">
        <v>337</v>
      </c>
      <c r="Y1131" s="5" t="s">
        <v>238</v>
      </c>
      <c r="AB1131" s="5" t="s">
        <v>238</v>
      </c>
      <c r="AC1131" s="6" t="s">
        <v>238</v>
      </c>
      <c r="AD1131" s="6" t="s">
        <v>238</v>
      </c>
      <c r="AF1131" s="6" t="s">
        <v>238</v>
      </c>
      <c r="AG1131" s="6" t="s">
        <v>246</v>
      </c>
      <c r="AH1131" s="5" t="s">
        <v>247</v>
      </c>
      <c r="AI1131" s="5" t="s">
        <v>248</v>
      </c>
      <c r="AO1131" s="5" t="s">
        <v>238</v>
      </c>
      <c r="AP1131" s="5" t="s">
        <v>238</v>
      </c>
      <c r="AQ1131" s="5" t="s">
        <v>238</v>
      </c>
      <c r="AR1131" s="6" t="s">
        <v>238</v>
      </c>
      <c r="AS1131" s="6" t="s">
        <v>238</v>
      </c>
      <c r="AT1131" s="6" t="s">
        <v>238</v>
      </c>
      <c r="AW1131" s="5" t="s">
        <v>304</v>
      </c>
      <c r="AX1131" s="5" t="s">
        <v>304</v>
      </c>
      <c r="AY1131" s="5" t="s">
        <v>250</v>
      </c>
      <c r="AZ1131" s="5" t="s">
        <v>305</v>
      </c>
      <c r="BA1131" s="5" t="s">
        <v>251</v>
      </c>
      <c r="BB1131" s="5" t="s">
        <v>238</v>
      </c>
      <c r="BC1131" s="5" t="s">
        <v>253</v>
      </c>
      <c r="BD1131" s="5" t="s">
        <v>238</v>
      </c>
      <c r="BF1131" s="5" t="s">
        <v>238</v>
      </c>
      <c r="BH1131" s="5" t="s">
        <v>283</v>
      </c>
      <c r="BI1131" s="6" t="s">
        <v>293</v>
      </c>
      <c r="BJ1131" s="5" t="s">
        <v>294</v>
      </c>
      <c r="BK1131" s="5" t="s">
        <v>294</v>
      </c>
      <c r="BL1131" s="5" t="s">
        <v>238</v>
      </c>
      <c r="BM1131" s="7">
        <f>0</f>
        <v>0</v>
      </c>
      <c r="BN1131" s="8">
        <f>-6446088</f>
        <v>-6446088</v>
      </c>
      <c r="BO1131" s="5" t="s">
        <v>257</v>
      </c>
      <c r="BP1131" s="5" t="s">
        <v>258</v>
      </c>
      <c r="BQ1131" s="5" t="s">
        <v>238</v>
      </c>
      <c r="BR1131" s="5" t="s">
        <v>238</v>
      </c>
      <c r="BS1131" s="5" t="s">
        <v>238</v>
      </c>
      <c r="BT1131" s="5" t="s">
        <v>238</v>
      </c>
      <c r="CC1131" s="5" t="s">
        <v>258</v>
      </c>
      <c r="CD1131" s="5" t="s">
        <v>238</v>
      </c>
      <c r="CE1131" s="5" t="s">
        <v>238</v>
      </c>
      <c r="CI1131" s="5" t="s">
        <v>527</v>
      </c>
      <c r="CJ1131" s="5" t="s">
        <v>260</v>
      </c>
      <c r="CK1131" s="5" t="s">
        <v>238</v>
      </c>
      <c r="CM1131" s="5" t="s">
        <v>970</v>
      </c>
      <c r="CN1131" s="6" t="s">
        <v>262</v>
      </c>
      <c r="CO1131" s="5" t="s">
        <v>263</v>
      </c>
      <c r="CP1131" s="5" t="s">
        <v>264</v>
      </c>
      <c r="CQ1131" s="5" t="s">
        <v>285</v>
      </c>
      <c r="CR1131" s="5" t="s">
        <v>238</v>
      </c>
      <c r="CS1131" s="5">
        <v>2.1999999999999999E-2</v>
      </c>
      <c r="CT1131" s="5" t="s">
        <v>265</v>
      </c>
      <c r="CU1131" s="5" t="s">
        <v>1330</v>
      </c>
      <c r="CV1131" s="5" t="s">
        <v>308</v>
      </c>
      <c r="CW1131" s="7">
        <f>0</f>
        <v>0</v>
      </c>
      <c r="CX1131" s="8">
        <f>293004000</f>
        <v>293004000</v>
      </c>
      <c r="CY1131" s="8">
        <f>15822216</f>
        <v>15822216</v>
      </c>
      <c r="DA1131" s="5" t="s">
        <v>238</v>
      </c>
      <c r="DB1131" s="5" t="s">
        <v>238</v>
      </c>
      <c r="DD1131" s="5" t="s">
        <v>238</v>
      </c>
      <c r="DE1131" s="8">
        <f>0</f>
        <v>0</v>
      </c>
      <c r="DG1131" s="5" t="s">
        <v>238</v>
      </c>
      <c r="DH1131" s="5" t="s">
        <v>238</v>
      </c>
      <c r="DI1131" s="5" t="s">
        <v>238</v>
      </c>
      <c r="DJ1131" s="5" t="s">
        <v>238</v>
      </c>
      <c r="DK1131" s="5" t="s">
        <v>271</v>
      </c>
      <c r="DL1131" s="5" t="s">
        <v>272</v>
      </c>
      <c r="DM1131" s="7">
        <f>1627.8</f>
        <v>1627.8</v>
      </c>
      <c r="DN1131" s="5" t="s">
        <v>238</v>
      </c>
      <c r="DO1131" s="5" t="s">
        <v>238</v>
      </c>
      <c r="DP1131" s="5" t="s">
        <v>238</v>
      </c>
      <c r="DQ1131" s="5" t="s">
        <v>238</v>
      </c>
      <c r="DT1131" s="5" t="s">
        <v>1668</v>
      </c>
      <c r="DU1131" s="5" t="s">
        <v>271</v>
      </c>
      <c r="GL1131" s="5" t="s">
        <v>1669</v>
      </c>
      <c r="HM1131" s="5" t="s">
        <v>313</v>
      </c>
      <c r="HP1131" s="5" t="s">
        <v>272</v>
      </c>
      <c r="HQ1131" s="5" t="s">
        <v>272</v>
      </c>
      <c r="HR1131" s="5" t="s">
        <v>238</v>
      </c>
      <c r="HS1131" s="5" t="s">
        <v>238</v>
      </c>
      <c r="HT1131" s="5" t="s">
        <v>238</v>
      </c>
      <c r="HU1131" s="5" t="s">
        <v>238</v>
      </c>
      <c r="HV1131" s="5" t="s">
        <v>238</v>
      </c>
      <c r="HW1131" s="5" t="s">
        <v>238</v>
      </c>
      <c r="HX1131" s="5" t="s">
        <v>238</v>
      </c>
      <c r="HY1131" s="5" t="s">
        <v>238</v>
      </c>
      <c r="HZ1131" s="5" t="s">
        <v>238</v>
      </c>
      <c r="IA1131" s="5" t="s">
        <v>238</v>
      </c>
      <c r="IB1131" s="5" t="s">
        <v>238</v>
      </c>
      <c r="IC1131" s="5" t="s">
        <v>238</v>
      </c>
      <c r="ID1131" s="5" t="s">
        <v>238</v>
      </c>
    </row>
    <row r="1132" spans="1:238" x14ac:dyDescent="0.4">
      <c r="A1132" s="5">
        <v>1462</v>
      </c>
      <c r="B1132" s="5">
        <v>1</v>
      </c>
      <c r="C1132" s="5">
        <v>4</v>
      </c>
      <c r="D1132" s="5" t="s">
        <v>1664</v>
      </c>
      <c r="E1132" s="5" t="s">
        <v>338</v>
      </c>
      <c r="F1132" s="5" t="s">
        <v>282</v>
      </c>
      <c r="G1132" s="5" t="s">
        <v>1251</v>
      </c>
      <c r="H1132" s="6" t="s">
        <v>1667</v>
      </c>
      <c r="I1132" s="5" t="s">
        <v>1213</v>
      </c>
      <c r="J1132" s="7">
        <f>450</f>
        <v>450</v>
      </c>
      <c r="K1132" s="5" t="s">
        <v>270</v>
      </c>
      <c r="L1132" s="8">
        <f>7020000</f>
        <v>7020000</v>
      </c>
      <c r="M1132" s="8">
        <f>58500000</f>
        <v>58500000</v>
      </c>
      <c r="N1132" s="6" t="s">
        <v>1117</v>
      </c>
      <c r="O1132" s="5" t="s">
        <v>279</v>
      </c>
      <c r="P1132" s="5" t="s">
        <v>861</v>
      </c>
      <c r="Q1132" s="8">
        <f>1170000</f>
        <v>1170000</v>
      </c>
      <c r="R1132" s="8">
        <f>51480000</f>
        <v>51480000</v>
      </c>
      <c r="S1132" s="5" t="s">
        <v>240</v>
      </c>
      <c r="T1132" s="5" t="s">
        <v>237</v>
      </c>
      <c r="U1132" s="5" t="s">
        <v>238</v>
      </c>
      <c r="V1132" s="5" t="s">
        <v>238</v>
      </c>
      <c r="W1132" s="5" t="s">
        <v>241</v>
      </c>
      <c r="X1132" s="5" t="s">
        <v>337</v>
      </c>
      <c r="Y1132" s="5" t="s">
        <v>238</v>
      </c>
      <c r="AB1132" s="5" t="s">
        <v>238</v>
      </c>
      <c r="AC1132" s="6" t="s">
        <v>238</v>
      </c>
      <c r="AD1132" s="6" t="s">
        <v>238</v>
      </c>
      <c r="AF1132" s="6" t="s">
        <v>238</v>
      </c>
      <c r="AG1132" s="6" t="s">
        <v>246</v>
      </c>
      <c r="AH1132" s="5" t="s">
        <v>247</v>
      </c>
      <c r="AI1132" s="5" t="s">
        <v>248</v>
      </c>
      <c r="AO1132" s="5" t="s">
        <v>238</v>
      </c>
      <c r="AP1132" s="5" t="s">
        <v>238</v>
      </c>
      <c r="AQ1132" s="5" t="s">
        <v>238</v>
      </c>
      <c r="AR1132" s="6" t="s">
        <v>238</v>
      </c>
      <c r="AS1132" s="6" t="s">
        <v>238</v>
      </c>
      <c r="AT1132" s="6" t="s">
        <v>238</v>
      </c>
      <c r="AW1132" s="5" t="s">
        <v>304</v>
      </c>
      <c r="AX1132" s="5" t="s">
        <v>304</v>
      </c>
      <c r="AY1132" s="5" t="s">
        <v>250</v>
      </c>
      <c r="AZ1132" s="5" t="s">
        <v>305</v>
      </c>
      <c r="BA1132" s="5" t="s">
        <v>251</v>
      </c>
      <c r="BB1132" s="5" t="s">
        <v>238</v>
      </c>
      <c r="BC1132" s="5" t="s">
        <v>253</v>
      </c>
      <c r="BD1132" s="5" t="s">
        <v>238</v>
      </c>
      <c r="BF1132" s="5" t="s">
        <v>238</v>
      </c>
      <c r="BH1132" s="5" t="s">
        <v>283</v>
      </c>
      <c r="BI1132" s="6" t="s">
        <v>293</v>
      </c>
      <c r="BJ1132" s="5" t="s">
        <v>294</v>
      </c>
      <c r="BK1132" s="5" t="s">
        <v>294</v>
      </c>
      <c r="BL1132" s="5" t="s">
        <v>238</v>
      </c>
      <c r="BM1132" s="7">
        <f>0</f>
        <v>0</v>
      </c>
      <c r="BN1132" s="8">
        <f>-1170000</f>
        <v>-1170000</v>
      </c>
      <c r="BO1132" s="5" t="s">
        <v>257</v>
      </c>
      <c r="BP1132" s="5" t="s">
        <v>258</v>
      </c>
      <c r="BQ1132" s="5" t="s">
        <v>238</v>
      </c>
      <c r="BR1132" s="5" t="s">
        <v>238</v>
      </c>
      <c r="BS1132" s="5" t="s">
        <v>238</v>
      </c>
      <c r="BT1132" s="5" t="s">
        <v>238</v>
      </c>
      <c r="CC1132" s="5" t="s">
        <v>258</v>
      </c>
      <c r="CD1132" s="5" t="s">
        <v>238</v>
      </c>
      <c r="CE1132" s="5" t="s">
        <v>238</v>
      </c>
      <c r="CI1132" s="5" t="s">
        <v>527</v>
      </c>
      <c r="CJ1132" s="5" t="s">
        <v>260</v>
      </c>
      <c r="CK1132" s="5" t="s">
        <v>238</v>
      </c>
      <c r="CM1132" s="5" t="s">
        <v>970</v>
      </c>
      <c r="CN1132" s="6" t="s">
        <v>262</v>
      </c>
      <c r="CO1132" s="5" t="s">
        <v>263</v>
      </c>
      <c r="CP1132" s="5" t="s">
        <v>264</v>
      </c>
      <c r="CQ1132" s="5" t="s">
        <v>285</v>
      </c>
      <c r="CR1132" s="5" t="s">
        <v>238</v>
      </c>
      <c r="CS1132" s="5">
        <v>0.02</v>
      </c>
      <c r="CT1132" s="5" t="s">
        <v>265</v>
      </c>
      <c r="CU1132" s="5" t="s">
        <v>1333</v>
      </c>
      <c r="CV1132" s="5" t="s">
        <v>308</v>
      </c>
      <c r="CW1132" s="7">
        <f>0</f>
        <v>0</v>
      </c>
      <c r="CX1132" s="8">
        <f>58500000</f>
        <v>58500000</v>
      </c>
      <c r="CY1132" s="8">
        <f>8190000</f>
        <v>8190000</v>
      </c>
      <c r="DA1132" s="5" t="s">
        <v>238</v>
      </c>
      <c r="DB1132" s="5" t="s">
        <v>238</v>
      </c>
      <c r="DD1132" s="5" t="s">
        <v>238</v>
      </c>
      <c r="DE1132" s="8">
        <f>0</f>
        <v>0</v>
      </c>
      <c r="DG1132" s="5" t="s">
        <v>238</v>
      </c>
      <c r="DH1132" s="5" t="s">
        <v>238</v>
      </c>
      <c r="DI1132" s="5" t="s">
        <v>238</v>
      </c>
      <c r="DJ1132" s="5" t="s">
        <v>238</v>
      </c>
      <c r="DK1132" s="5" t="s">
        <v>271</v>
      </c>
      <c r="DL1132" s="5" t="s">
        <v>272</v>
      </c>
      <c r="DM1132" s="7">
        <f>450</f>
        <v>450</v>
      </c>
      <c r="DN1132" s="5" t="s">
        <v>238</v>
      </c>
      <c r="DO1132" s="5" t="s">
        <v>238</v>
      </c>
      <c r="DP1132" s="5" t="s">
        <v>238</v>
      </c>
      <c r="DQ1132" s="5" t="s">
        <v>238</v>
      </c>
      <c r="DT1132" s="5" t="s">
        <v>1668</v>
      </c>
      <c r="DU1132" s="5" t="s">
        <v>274</v>
      </c>
      <c r="GL1132" s="5" t="s">
        <v>2058</v>
      </c>
      <c r="HM1132" s="5" t="s">
        <v>313</v>
      </c>
      <c r="HP1132" s="5" t="s">
        <v>272</v>
      </c>
      <c r="HQ1132" s="5" t="s">
        <v>272</v>
      </c>
      <c r="HR1132" s="5" t="s">
        <v>238</v>
      </c>
      <c r="HS1132" s="5" t="s">
        <v>238</v>
      </c>
      <c r="HT1132" s="5" t="s">
        <v>238</v>
      </c>
      <c r="HU1132" s="5" t="s">
        <v>238</v>
      </c>
      <c r="HV1132" s="5" t="s">
        <v>238</v>
      </c>
      <c r="HW1132" s="5" t="s">
        <v>238</v>
      </c>
      <c r="HX1132" s="5" t="s">
        <v>238</v>
      </c>
      <c r="HY1132" s="5" t="s">
        <v>238</v>
      </c>
      <c r="HZ1132" s="5" t="s">
        <v>238</v>
      </c>
      <c r="IA1132" s="5" t="s">
        <v>238</v>
      </c>
      <c r="IB1132" s="5" t="s">
        <v>238</v>
      </c>
      <c r="IC1132" s="5" t="s">
        <v>238</v>
      </c>
      <c r="ID1132" s="5" t="s">
        <v>238</v>
      </c>
    </row>
    <row r="1133" spans="1:238" x14ac:dyDescent="0.4">
      <c r="A1133" s="5">
        <v>1463</v>
      </c>
      <c r="B1133" s="5">
        <v>1</v>
      </c>
      <c r="C1133" s="5">
        <v>4</v>
      </c>
      <c r="D1133" s="5" t="s">
        <v>1214</v>
      </c>
      <c r="E1133" s="5" t="s">
        <v>338</v>
      </c>
      <c r="F1133" s="5" t="s">
        <v>282</v>
      </c>
      <c r="G1133" s="5" t="s">
        <v>1666</v>
      </c>
      <c r="H1133" s="6" t="s">
        <v>573</v>
      </c>
      <c r="I1133" s="5" t="s">
        <v>1308</v>
      </c>
      <c r="J1133" s="7">
        <f>1102.27</f>
        <v>1102.27</v>
      </c>
      <c r="K1133" s="5" t="s">
        <v>270</v>
      </c>
      <c r="L1133" s="8">
        <f>19444051</f>
        <v>19444051</v>
      </c>
      <c r="M1133" s="8">
        <f>198408600</f>
        <v>198408600</v>
      </c>
      <c r="N1133" s="6" t="s">
        <v>1084</v>
      </c>
      <c r="O1133" s="5" t="s">
        <v>898</v>
      </c>
      <c r="P1133" s="5" t="s">
        <v>975</v>
      </c>
      <c r="Q1133" s="8">
        <f>4364989</f>
        <v>4364989</v>
      </c>
      <c r="R1133" s="8">
        <f>178964549</f>
        <v>178964549</v>
      </c>
      <c r="S1133" s="5" t="s">
        <v>240</v>
      </c>
      <c r="T1133" s="5" t="s">
        <v>237</v>
      </c>
      <c r="U1133" s="5" t="s">
        <v>238</v>
      </c>
      <c r="V1133" s="5" t="s">
        <v>238</v>
      </c>
      <c r="W1133" s="5" t="s">
        <v>241</v>
      </c>
      <c r="X1133" s="5" t="s">
        <v>337</v>
      </c>
      <c r="Y1133" s="5" t="s">
        <v>238</v>
      </c>
      <c r="AB1133" s="5" t="s">
        <v>238</v>
      </c>
      <c r="AC1133" s="6" t="s">
        <v>238</v>
      </c>
      <c r="AD1133" s="6" t="s">
        <v>238</v>
      </c>
      <c r="AF1133" s="6" t="s">
        <v>238</v>
      </c>
      <c r="AG1133" s="6" t="s">
        <v>246</v>
      </c>
      <c r="AH1133" s="5" t="s">
        <v>247</v>
      </c>
      <c r="AI1133" s="5" t="s">
        <v>248</v>
      </c>
      <c r="AO1133" s="5" t="s">
        <v>238</v>
      </c>
      <c r="AP1133" s="5" t="s">
        <v>238</v>
      </c>
      <c r="AQ1133" s="5" t="s">
        <v>238</v>
      </c>
      <c r="AR1133" s="6" t="s">
        <v>238</v>
      </c>
      <c r="AS1133" s="6" t="s">
        <v>238</v>
      </c>
      <c r="AT1133" s="6" t="s">
        <v>238</v>
      </c>
      <c r="AW1133" s="5" t="s">
        <v>304</v>
      </c>
      <c r="AX1133" s="5" t="s">
        <v>304</v>
      </c>
      <c r="AY1133" s="5" t="s">
        <v>250</v>
      </c>
      <c r="AZ1133" s="5" t="s">
        <v>305</v>
      </c>
      <c r="BA1133" s="5" t="s">
        <v>251</v>
      </c>
      <c r="BB1133" s="5" t="s">
        <v>238</v>
      </c>
      <c r="BC1133" s="5" t="s">
        <v>253</v>
      </c>
      <c r="BD1133" s="5" t="s">
        <v>238</v>
      </c>
      <c r="BF1133" s="5" t="s">
        <v>238</v>
      </c>
      <c r="BH1133" s="5" t="s">
        <v>283</v>
      </c>
      <c r="BI1133" s="6" t="s">
        <v>293</v>
      </c>
      <c r="BJ1133" s="5" t="s">
        <v>294</v>
      </c>
      <c r="BK1133" s="5" t="s">
        <v>294</v>
      </c>
      <c r="BL1133" s="5" t="s">
        <v>238</v>
      </c>
      <c r="BM1133" s="7">
        <f>0</f>
        <v>0</v>
      </c>
      <c r="BN1133" s="8">
        <f>-4364989</f>
        <v>-4364989</v>
      </c>
      <c r="BO1133" s="5" t="s">
        <v>257</v>
      </c>
      <c r="BP1133" s="5" t="s">
        <v>258</v>
      </c>
      <c r="BQ1133" s="5" t="s">
        <v>238</v>
      </c>
      <c r="BR1133" s="5" t="s">
        <v>238</v>
      </c>
      <c r="BS1133" s="5" t="s">
        <v>238</v>
      </c>
      <c r="BT1133" s="5" t="s">
        <v>238</v>
      </c>
      <c r="CC1133" s="5" t="s">
        <v>258</v>
      </c>
      <c r="CD1133" s="5" t="s">
        <v>238</v>
      </c>
      <c r="CE1133" s="5" t="s">
        <v>238</v>
      </c>
      <c r="CI1133" s="5" t="s">
        <v>527</v>
      </c>
      <c r="CJ1133" s="5" t="s">
        <v>260</v>
      </c>
      <c r="CK1133" s="5" t="s">
        <v>238</v>
      </c>
      <c r="CM1133" s="5" t="s">
        <v>1020</v>
      </c>
      <c r="CN1133" s="6" t="s">
        <v>262</v>
      </c>
      <c r="CO1133" s="5" t="s">
        <v>263</v>
      </c>
      <c r="CP1133" s="5" t="s">
        <v>264</v>
      </c>
      <c r="CQ1133" s="5" t="s">
        <v>285</v>
      </c>
      <c r="CR1133" s="5" t="s">
        <v>238</v>
      </c>
      <c r="CS1133" s="5">
        <v>2.1999999999999999E-2</v>
      </c>
      <c r="CT1133" s="5" t="s">
        <v>265</v>
      </c>
      <c r="CU1133" s="5" t="s">
        <v>1330</v>
      </c>
      <c r="CV1133" s="5" t="s">
        <v>308</v>
      </c>
      <c r="CW1133" s="7">
        <f>0</f>
        <v>0</v>
      </c>
      <c r="CX1133" s="8">
        <f>198408600</f>
        <v>198408600</v>
      </c>
      <c r="CY1133" s="8">
        <f>23809040</f>
        <v>23809040</v>
      </c>
      <c r="DA1133" s="5" t="s">
        <v>238</v>
      </c>
      <c r="DB1133" s="5" t="s">
        <v>238</v>
      </c>
      <c r="DD1133" s="5" t="s">
        <v>238</v>
      </c>
      <c r="DE1133" s="8">
        <f>0</f>
        <v>0</v>
      </c>
      <c r="DG1133" s="5" t="s">
        <v>238</v>
      </c>
      <c r="DH1133" s="5" t="s">
        <v>238</v>
      </c>
      <c r="DI1133" s="5" t="s">
        <v>238</v>
      </c>
      <c r="DJ1133" s="5" t="s">
        <v>238</v>
      </c>
      <c r="DK1133" s="5" t="s">
        <v>271</v>
      </c>
      <c r="DL1133" s="5" t="s">
        <v>272</v>
      </c>
      <c r="DM1133" s="7">
        <f>1102.27</f>
        <v>1102.27</v>
      </c>
      <c r="DN1133" s="5" t="s">
        <v>238</v>
      </c>
      <c r="DO1133" s="5" t="s">
        <v>238</v>
      </c>
      <c r="DP1133" s="5" t="s">
        <v>238</v>
      </c>
      <c r="DQ1133" s="5" t="s">
        <v>238</v>
      </c>
      <c r="DT1133" s="5" t="s">
        <v>1216</v>
      </c>
      <c r="DU1133" s="5" t="s">
        <v>271</v>
      </c>
      <c r="GL1133" s="5" t="s">
        <v>1799</v>
      </c>
      <c r="HM1133" s="5" t="s">
        <v>313</v>
      </c>
      <c r="HP1133" s="5" t="s">
        <v>272</v>
      </c>
      <c r="HQ1133" s="5" t="s">
        <v>272</v>
      </c>
      <c r="HR1133" s="5" t="s">
        <v>238</v>
      </c>
      <c r="HS1133" s="5" t="s">
        <v>238</v>
      </c>
      <c r="HT1133" s="5" t="s">
        <v>238</v>
      </c>
      <c r="HU1133" s="5" t="s">
        <v>238</v>
      </c>
      <c r="HV1133" s="5" t="s">
        <v>238</v>
      </c>
      <c r="HW1133" s="5" t="s">
        <v>238</v>
      </c>
      <c r="HX1133" s="5" t="s">
        <v>238</v>
      </c>
      <c r="HY1133" s="5" t="s">
        <v>238</v>
      </c>
      <c r="HZ1133" s="5" t="s">
        <v>238</v>
      </c>
      <c r="IA1133" s="5" t="s">
        <v>238</v>
      </c>
      <c r="IB1133" s="5" t="s">
        <v>238</v>
      </c>
      <c r="IC1133" s="5" t="s">
        <v>238</v>
      </c>
      <c r="ID1133" s="5" t="s">
        <v>238</v>
      </c>
    </row>
    <row r="1134" spans="1:238" x14ac:dyDescent="0.4">
      <c r="A1134" s="5">
        <v>1464</v>
      </c>
      <c r="B1134" s="5">
        <v>1</v>
      </c>
      <c r="C1134" s="5">
        <v>1</v>
      </c>
      <c r="D1134" s="5" t="s">
        <v>1214</v>
      </c>
      <c r="E1134" s="5" t="s">
        <v>338</v>
      </c>
      <c r="F1134" s="5" t="s">
        <v>282</v>
      </c>
      <c r="G1134" s="5" t="s">
        <v>1215</v>
      </c>
      <c r="H1134" s="6" t="s">
        <v>573</v>
      </c>
      <c r="I1134" s="5" t="s">
        <v>1213</v>
      </c>
      <c r="J1134" s="7">
        <f>199.98</f>
        <v>199.98</v>
      </c>
      <c r="K1134" s="5" t="s">
        <v>270</v>
      </c>
      <c r="L1134" s="8">
        <f>1</f>
        <v>1</v>
      </c>
      <c r="M1134" s="8">
        <f>11998800</f>
        <v>11998800</v>
      </c>
      <c r="N1134" s="6" t="s">
        <v>1066</v>
      </c>
      <c r="O1134" s="5" t="s">
        <v>650</v>
      </c>
      <c r="P1134" s="5" t="s">
        <v>309</v>
      </c>
      <c r="R1134" s="8">
        <f>11998799</f>
        <v>11998799</v>
      </c>
      <c r="S1134" s="5" t="s">
        <v>240</v>
      </c>
      <c r="T1134" s="5" t="s">
        <v>237</v>
      </c>
      <c r="U1134" s="5" t="s">
        <v>238</v>
      </c>
      <c r="V1134" s="5" t="s">
        <v>238</v>
      </c>
      <c r="W1134" s="5" t="s">
        <v>241</v>
      </c>
      <c r="X1134" s="5" t="s">
        <v>337</v>
      </c>
      <c r="Y1134" s="5" t="s">
        <v>238</v>
      </c>
      <c r="AB1134" s="5" t="s">
        <v>238</v>
      </c>
      <c r="AD1134" s="6" t="s">
        <v>238</v>
      </c>
      <c r="AG1134" s="6" t="s">
        <v>246</v>
      </c>
      <c r="AH1134" s="5" t="s">
        <v>247</v>
      </c>
      <c r="AI1134" s="5" t="s">
        <v>248</v>
      </c>
      <c r="AY1134" s="5" t="s">
        <v>250</v>
      </c>
      <c r="AZ1134" s="5" t="s">
        <v>238</v>
      </c>
      <c r="BA1134" s="5" t="s">
        <v>251</v>
      </c>
      <c r="BB1134" s="5" t="s">
        <v>238</v>
      </c>
      <c r="BC1134" s="5" t="s">
        <v>253</v>
      </c>
      <c r="BD1134" s="5" t="s">
        <v>238</v>
      </c>
      <c r="BF1134" s="5" t="s">
        <v>238</v>
      </c>
      <c r="BH1134" s="5" t="s">
        <v>697</v>
      </c>
      <c r="BI1134" s="6" t="s">
        <v>698</v>
      </c>
      <c r="BJ1134" s="5" t="s">
        <v>255</v>
      </c>
      <c r="BK1134" s="5" t="s">
        <v>256</v>
      </c>
      <c r="BL1134" s="5" t="s">
        <v>238</v>
      </c>
      <c r="BM1134" s="7">
        <f>0</f>
        <v>0</v>
      </c>
      <c r="BN1134" s="8">
        <f>0</f>
        <v>0</v>
      </c>
      <c r="BO1134" s="5" t="s">
        <v>257</v>
      </c>
      <c r="BP1134" s="5" t="s">
        <v>258</v>
      </c>
      <c r="CD1134" s="5" t="s">
        <v>238</v>
      </c>
      <c r="CE1134" s="5" t="s">
        <v>238</v>
      </c>
      <c r="CI1134" s="5" t="s">
        <v>527</v>
      </c>
      <c r="CJ1134" s="5" t="s">
        <v>260</v>
      </c>
      <c r="CK1134" s="5" t="s">
        <v>238</v>
      </c>
      <c r="CM1134" s="5" t="s">
        <v>822</v>
      </c>
      <c r="CN1134" s="6" t="s">
        <v>262</v>
      </c>
      <c r="CO1134" s="5" t="s">
        <v>263</v>
      </c>
      <c r="CP1134" s="5" t="s">
        <v>264</v>
      </c>
      <c r="CQ1134" s="5" t="s">
        <v>238</v>
      </c>
      <c r="CR1134" s="5" t="s">
        <v>238</v>
      </c>
      <c r="CS1134" s="5">
        <v>0</v>
      </c>
      <c r="CT1134" s="5" t="s">
        <v>265</v>
      </c>
      <c r="CU1134" s="5" t="s">
        <v>1187</v>
      </c>
      <c r="CV1134" s="5" t="s">
        <v>649</v>
      </c>
      <c r="CX1134" s="8">
        <f>11998800</f>
        <v>11998800</v>
      </c>
      <c r="CY1134" s="8">
        <f>0</f>
        <v>0</v>
      </c>
      <c r="DA1134" s="5" t="s">
        <v>238</v>
      </c>
      <c r="DB1134" s="5" t="s">
        <v>238</v>
      </c>
      <c r="DD1134" s="5" t="s">
        <v>238</v>
      </c>
      <c r="DG1134" s="5" t="s">
        <v>238</v>
      </c>
      <c r="DH1134" s="5" t="s">
        <v>238</v>
      </c>
      <c r="DI1134" s="5" t="s">
        <v>238</v>
      </c>
      <c r="DJ1134" s="5" t="s">
        <v>238</v>
      </c>
      <c r="DK1134" s="5" t="s">
        <v>271</v>
      </c>
      <c r="DL1134" s="5" t="s">
        <v>272</v>
      </c>
      <c r="DM1134" s="7">
        <f>199.98</f>
        <v>199.98</v>
      </c>
      <c r="DN1134" s="5" t="s">
        <v>238</v>
      </c>
      <c r="DO1134" s="5" t="s">
        <v>238</v>
      </c>
      <c r="DP1134" s="5" t="s">
        <v>238</v>
      </c>
      <c r="DQ1134" s="5" t="s">
        <v>238</v>
      </c>
      <c r="DT1134" s="5" t="s">
        <v>1216</v>
      </c>
      <c r="DU1134" s="5" t="s">
        <v>274</v>
      </c>
      <c r="HM1134" s="5" t="s">
        <v>271</v>
      </c>
      <c r="HP1134" s="5" t="s">
        <v>272</v>
      </c>
      <c r="HQ1134" s="5" t="s">
        <v>272</v>
      </c>
    </row>
    <row r="1135" spans="1:238" x14ac:dyDescent="0.4">
      <c r="A1135" s="5">
        <v>1465</v>
      </c>
      <c r="B1135" s="5">
        <v>1</v>
      </c>
      <c r="C1135" s="5">
        <v>1</v>
      </c>
      <c r="D1135" s="5" t="s">
        <v>1214</v>
      </c>
      <c r="E1135" s="5" t="s">
        <v>338</v>
      </c>
      <c r="F1135" s="5" t="s">
        <v>282</v>
      </c>
      <c r="G1135" s="5" t="s">
        <v>1309</v>
      </c>
      <c r="H1135" s="6" t="s">
        <v>573</v>
      </c>
      <c r="I1135" s="5" t="s">
        <v>1309</v>
      </c>
      <c r="J1135" s="7">
        <f>9.94</f>
        <v>9.94</v>
      </c>
      <c r="K1135" s="5" t="s">
        <v>270</v>
      </c>
      <c r="L1135" s="8">
        <f>1</f>
        <v>1</v>
      </c>
      <c r="M1135" s="8">
        <f>944300</f>
        <v>944300</v>
      </c>
      <c r="N1135" s="6" t="s">
        <v>1066</v>
      </c>
      <c r="O1135" s="5" t="s">
        <v>268</v>
      </c>
      <c r="P1135" s="5" t="s">
        <v>309</v>
      </c>
      <c r="R1135" s="8">
        <f>944299</f>
        <v>944299</v>
      </c>
      <c r="S1135" s="5" t="s">
        <v>240</v>
      </c>
      <c r="T1135" s="5" t="s">
        <v>237</v>
      </c>
      <c r="U1135" s="5" t="s">
        <v>238</v>
      </c>
      <c r="V1135" s="5" t="s">
        <v>238</v>
      </c>
      <c r="W1135" s="5" t="s">
        <v>241</v>
      </c>
      <c r="X1135" s="5" t="s">
        <v>337</v>
      </c>
      <c r="Y1135" s="5" t="s">
        <v>238</v>
      </c>
      <c r="AB1135" s="5" t="s">
        <v>238</v>
      </c>
      <c r="AD1135" s="6" t="s">
        <v>238</v>
      </c>
      <c r="AG1135" s="6" t="s">
        <v>246</v>
      </c>
      <c r="AH1135" s="5" t="s">
        <v>247</v>
      </c>
      <c r="AI1135" s="5" t="s">
        <v>248</v>
      </c>
      <c r="AY1135" s="5" t="s">
        <v>250</v>
      </c>
      <c r="AZ1135" s="5" t="s">
        <v>238</v>
      </c>
      <c r="BA1135" s="5" t="s">
        <v>251</v>
      </c>
      <c r="BB1135" s="5" t="s">
        <v>238</v>
      </c>
      <c r="BC1135" s="5" t="s">
        <v>253</v>
      </c>
      <c r="BD1135" s="5" t="s">
        <v>238</v>
      </c>
      <c r="BF1135" s="5" t="s">
        <v>238</v>
      </c>
      <c r="BH1135" s="5" t="s">
        <v>798</v>
      </c>
      <c r="BI1135" s="6" t="s">
        <v>799</v>
      </c>
      <c r="BJ1135" s="5" t="s">
        <v>255</v>
      </c>
      <c r="BK1135" s="5" t="s">
        <v>256</v>
      </c>
      <c r="BL1135" s="5" t="s">
        <v>238</v>
      </c>
      <c r="BM1135" s="7">
        <f>0</f>
        <v>0</v>
      </c>
      <c r="BN1135" s="8">
        <f>0</f>
        <v>0</v>
      </c>
      <c r="BO1135" s="5" t="s">
        <v>257</v>
      </c>
      <c r="BP1135" s="5" t="s">
        <v>258</v>
      </c>
      <c r="CD1135" s="5" t="s">
        <v>238</v>
      </c>
      <c r="CE1135" s="5" t="s">
        <v>238</v>
      </c>
      <c r="CI1135" s="5" t="s">
        <v>527</v>
      </c>
      <c r="CJ1135" s="5" t="s">
        <v>260</v>
      </c>
      <c r="CK1135" s="5" t="s">
        <v>238</v>
      </c>
      <c r="CM1135" s="5" t="s">
        <v>822</v>
      </c>
      <c r="CN1135" s="6" t="s">
        <v>262</v>
      </c>
      <c r="CO1135" s="5" t="s">
        <v>263</v>
      </c>
      <c r="CP1135" s="5" t="s">
        <v>264</v>
      </c>
      <c r="CQ1135" s="5" t="s">
        <v>238</v>
      </c>
      <c r="CR1135" s="5" t="s">
        <v>238</v>
      </c>
      <c r="CS1135" s="5">
        <v>0</v>
      </c>
      <c r="CT1135" s="5" t="s">
        <v>265</v>
      </c>
      <c r="CU1135" s="5" t="s">
        <v>1342</v>
      </c>
      <c r="CV1135" s="5" t="s">
        <v>267</v>
      </c>
      <c r="CX1135" s="8">
        <f>944300</f>
        <v>944300</v>
      </c>
      <c r="CY1135" s="8">
        <f>0</f>
        <v>0</v>
      </c>
      <c r="DA1135" s="5" t="s">
        <v>238</v>
      </c>
      <c r="DB1135" s="5" t="s">
        <v>238</v>
      </c>
      <c r="DD1135" s="5" t="s">
        <v>238</v>
      </c>
      <c r="DG1135" s="5" t="s">
        <v>238</v>
      </c>
      <c r="DH1135" s="5" t="s">
        <v>238</v>
      </c>
      <c r="DI1135" s="5" t="s">
        <v>238</v>
      </c>
      <c r="DJ1135" s="5" t="s">
        <v>238</v>
      </c>
      <c r="DK1135" s="5" t="s">
        <v>271</v>
      </c>
      <c r="DL1135" s="5" t="s">
        <v>272</v>
      </c>
      <c r="DM1135" s="7">
        <f>9.94</f>
        <v>9.94</v>
      </c>
      <c r="DN1135" s="5" t="s">
        <v>238</v>
      </c>
      <c r="DO1135" s="5" t="s">
        <v>238</v>
      </c>
      <c r="DP1135" s="5" t="s">
        <v>238</v>
      </c>
      <c r="DQ1135" s="5" t="s">
        <v>238</v>
      </c>
      <c r="DT1135" s="5" t="s">
        <v>1216</v>
      </c>
      <c r="DU1135" s="5" t="s">
        <v>356</v>
      </c>
      <c r="HM1135" s="5" t="s">
        <v>271</v>
      </c>
      <c r="HP1135" s="5" t="s">
        <v>272</v>
      </c>
      <c r="HQ1135" s="5" t="s">
        <v>272</v>
      </c>
    </row>
    <row r="1136" spans="1:238" x14ac:dyDescent="0.4">
      <c r="A1136" s="5">
        <v>1466</v>
      </c>
      <c r="B1136" s="5">
        <v>1</v>
      </c>
      <c r="C1136" s="5">
        <v>3</v>
      </c>
      <c r="D1136" s="5" t="s">
        <v>1923</v>
      </c>
      <c r="E1136" s="5" t="s">
        <v>338</v>
      </c>
      <c r="F1136" s="5" t="s">
        <v>282</v>
      </c>
      <c r="G1136" s="5" t="s">
        <v>1334</v>
      </c>
      <c r="H1136" s="6" t="s">
        <v>512</v>
      </c>
      <c r="I1136" s="5" t="s">
        <v>1334</v>
      </c>
      <c r="J1136" s="7">
        <f>786</f>
        <v>786</v>
      </c>
      <c r="K1136" s="5" t="s">
        <v>270</v>
      </c>
      <c r="L1136" s="8">
        <f>1</f>
        <v>1</v>
      </c>
      <c r="M1136" s="8">
        <f>70740000</f>
        <v>70740000</v>
      </c>
      <c r="N1136" s="6" t="s">
        <v>1131</v>
      </c>
      <c r="O1136" s="5" t="s">
        <v>639</v>
      </c>
      <c r="P1136" s="5" t="s">
        <v>971</v>
      </c>
      <c r="Q1136" s="8">
        <f>70739</f>
        <v>70739</v>
      </c>
      <c r="R1136" s="8">
        <f>70739999</f>
        <v>70739999</v>
      </c>
      <c r="S1136" s="5" t="s">
        <v>240</v>
      </c>
      <c r="T1136" s="5" t="s">
        <v>237</v>
      </c>
      <c r="U1136" s="5" t="s">
        <v>238</v>
      </c>
      <c r="V1136" s="5" t="s">
        <v>238</v>
      </c>
      <c r="W1136" s="5" t="s">
        <v>241</v>
      </c>
      <c r="X1136" s="5" t="s">
        <v>337</v>
      </c>
      <c r="Y1136" s="5" t="s">
        <v>238</v>
      </c>
      <c r="AB1136" s="5" t="s">
        <v>238</v>
      </c>
      <c r="AC1136" s="6" t="s">
        <v>238</v>
      </c>
      <c r="AD1136" s="6" t="s">
        <v>238</v>
      </c>
      <c r="AF1136" s="6" t="s">
        <v>238</v>
      </c>
      <c r="AG1136" s="6" t="s">
        <v>246</v>
      </c>
      <c r="AH1136" s="5" t="s">
        <v>247</v>
      </c>
      <c r="AI1136" s="5" t="s">
        <v>248</v>
      </c>
      <c r="AO1136" s="5" t="s">
        <v>238</v>
      </c>
      <c r="AP1136" s="5" t="s">
        <v>238</v>
      </c>
      <c r="AQ1136" s="5" t="s">
        <v>238</v>
      </c>
      <c r="AR1136" s="6" t="s">
        <v>238</v>
      </c>
      <c r="AS1136" s="6" t="s">
        <v>238</v>
      </c>
      <c r="AT1136" s="6" t="s">
        <v>238</v>
      </c>
      <c r="AW1136" s="5" t="s">
        <v>304</v>
      </c>
      <c r="AX1136" s="5" t="s">
        <v>304</v>
      </c>
      <c r="AY1136" s="5" t="s">
        <v>250</v>
      </c>
      <c r="AZ1136" s="5" t="s">
        <v>305</v>
      </c>
      <c r="BA1136" s="5" t="s">
        <v>251</v>
      </c>
      <c r="BB1136" s="5" t="s">
        <v>238</v>
      </c>
      <c r="BC1136" s="5" t="s">
        <v>253</v>
      </c>
      <c r="BD1136" s="5" t="s">
        <v>238</v>
      </c>
      <c r="BF1136" s="5" t="s">
        <v>238</v>
      </c>
      <c r="BH1136" s="5" t="s">
        <v>1076</v>
      </c>
      <c r="BI1136" s="6" t="s">
        <v>1077</v>
      </c>
      <c r="BJ1136" s="5" t="s">
        <v>294</v>
      </c>
      <c r="BK1136" s="5" t="s">
        <v>294</v>
      </c>
      <c r="BL1136" s="5" t="s">
        <v>238</v>
      </c>
      <c r="BM1136" s="7">
        <f>0</f>
        <v>0</v>
      </c>
      <c r="BN1136" s="8">
        <f>-70739</f>
        <v>-70739</v>
      </c>
      <c r="BO1136" s="5" t="s">
        <v>257</v>
      </c>
      <c r="BP1136" s="5" t="s">
        <v>258</v>
      </c>
      <c r="BQ1136" s="5" t="s">
        <v>238</v>
      </c>
      <c r="BR1136" s="5" t="s">
        <v>238</v>
      </c>
      <c r="BS1136" s="5" t="s">
        <v>238</v>
      </c>
      <c r="BT1136" s="5" t="s">
        <v>238</v>
      </c>
      <c r="CC1136" s="5" t="s">
        <v>258</v>
      </c>
      <c r="CD1136" s="5" t="s">
        <v>238</v>
      </c>
      <c r="CE1136" s="5" t="s">
        <v>238</v>
      </c>
      <c r="CI1136" s="5" t="s">
        <v>527</v>
      </c>
      <c r="CJ1136" s="5" t="s">
        <v>260</v>
      </c>
      <c r="CK1136" s="5" t="s">
        <v>238</v>
      </c>
      <c r="CM1136" s="5" t="s">
        <v>990</v>
      </c>
      <c r="CN1136" s="6" t="s">
        <v>262</v>
      </c>
      <c r="CO1136" s="5" t="s">
        <v>263</v>
      </c>
      <c r="CP1136" s="5" t="s">
        <v>264</v>
      </c>
      <c r="CQ1136" s="5" t="s">
        <v>285</v>
      </c>
      <c r="CR1136" s="5" t="s">
        <v>238</v>
      </c>
      <c r="CS1136" s="5">
        <v>2.7E-2</v>
      </c>
      <c r="CT1136" s="5" t="s">
        <v>265</v>
      </c>
      <c r="CU1136" s="5" t="s">
        <v>1333</v>
      </c>
      <c r="CV1136" s="5" t="s">
        <v>649</v>
      </c>
      <c r="CW1136" s="7">
        <f>0</f>
        <v>0</v>
      </c>
      <c r="CX1136" s="8">
        <f>70740000</f>
        <v>70740000</v>
      </c>
      <c r="CY1136" s="8">
        <f>1</f>
        <v>1</v>
      </c>
      <c r="DA1136" s="5" t="s">
        <v>238</v>
      </c>
      <c r="DB1136" s="5" t="s">
        <v>238</v>
      </c>
      <c r="DD1136" s="5" t="s">
        <v>238</v>
      </c>
      <c r="DE1136" s="8">
        <f>0</f>
        <v>0</v>
      </c>
      <c r="DG1136" s="5" t="s">
        <v>238</v>
      </c>
      <c r="DH1136" s="5" t="s">
        <v>238</v>
      </c>
      <c r="DI1136" s="5" t="s">
        <v>238</v>
      </c>
      <c r="DJ1136" s="5" t="s">
        <v>238</v>
      </c>
      <c r="DK1136" s="5" t="s">
        <v>271</v>
      </c>
      <c r="DL1136" s="5" t="s">
        <v>272</v>
      </c>
      <c r="DM1136" s="7">
        <f>786</f>
        <v>786</v>
      </c>
      <c r="DN1136" s="5" t="s">
        <v>238</v>
      </c>
      <c r="DO1136" s="5" t="s">
        <v>238</v>
      </c>
      <c r="DP1136" s="5" t="s">
        <v>238</v>
      </c>
      <c r="DQ1136" s="5" t="s">
        <v>238</v>
      </c>
      <c r="DT1136" s="5" t="s">
        <v>1924</v>
      </c>
      <c r="DU1136" s="5" t="s">
        <v>271</v>
      </c>
      <c r="GL1136" s="5" t="s">
        <v>1925</v>
      </c>
      <c r="HM1136" s="5" t="s">
        <v>313</v>
      </c>
      <c r="HP1136" s="5" t="s">
        <v>272</v>
      </c>
      <c r="HQ1136" s="5" t="s">
        <v>272</v>
      </c>
      <c r="HR1136" s="5" t="s">
        <v>238</v>
      </c>
      <c r="HS1136" s="5" t="s">
        <v>238</v>
      </c>
      <c r="HT1136" s="5" t="s">
        <v>238</v>
      </c>
      <c r="HU1136" s="5" t="s">
        <v>238</v>
      </c>
      <c r="HV1136" s="5" t="s">
        <v>238</v>
      </c>
      <c r="HW1136" s="5" t="s">
        <v>238</v>
      </c>
      <c r="HX1136" s="5" t="s">
        <v>238</v>
      </c>
      <c r="HY1136" s="5" t="s">
        <v>238</v>
      </c>
      <c r="HZ1136" s="5" t="s">
        <v>238</v>
      </c>
      <c r="IA1136" s="5" t="s">
        <v>238</v>
      </c>
      <c r="IB1136" s="5" t="s">
        <v>238</v>
      </c>
      <c r="IC1136" s="5" t="s">
        <v>238</v>
      </c>
      <c r="ID1136" s="5" t="s">
        <v>238</v>
      </c>
    </row>
    <row r="1137" spans="1:238" x14ac:dyDescent="0.4">
      <c r="A1137" s="5">
        <v>1467</v>
      </c>
      <c r="B1137" s="5">
        <v>1</v>
      </c>
      <c r="C1137" s="5">
        <v>4</v>
      </c>
      <c r="D1137" s="5" t="s">
        <v>1923</v>
      </c>
      <c r="E1137" s="5" t="s">
        <v>338</v>
      </c>
      <c r="F1137" s="5" t="s">
        <v>282</v>
      </c>
      <c r="G1137" s="5" t="s">
        <v>544</v>
      </c>
      <c r="H1137" s="6" t="s">
        <v>512</v>
      </c>
      <c r="I1137" s="5" t="s">
        <v>542</v>
      </c>
      <c r="J1137" s="7">
        <f>0</f>
        <v>0</v>
      </c>
      <c r="K1137" s="5" t="s">
        <v>270</v>
      </c>
      <c r="L1137" s="8">
        <f>337808</f>
        <v>337808</v>
      </c>
      <c r="M1137" s="8">
        <f>399300</f>
        <v>399300</v>
      </c>
      <c r="N1137" s="6" t="s">
        <v>511</v>
      </c>
      <c r="O1137" s="5" t="s">
        <v>319</v>
      </c>
      <c r="P1137" s="5" t="s">
        <v>272</v>
      </c>
      <c r="Q1137" s="8">
        <f>399299</f>
        <v>399299</v>
      </c>
      <c r="R1137" s="8">
        <f>61492</f>
        <v>61492</v>
      </c>
      <c r="S1137" s="5" t="s">
        <v>240</v>
      </c>
      <c r="T1137" s="5" t="s">
        <v>287</v>
      </c>
      <c r="U1137" s="5" t="s">
        <v>238</v>
      </c>
      <c r="V1137" s="5" t="s">
        <v>238</v>
      </c>
      <c r="W1137" s="5" t="s">
        <v>241</v>
      </c>
      <c r="X1137" s="5" t="s">
        <v>238</v>
      </c>
      <c r="Y1137" s="5" t="s">
        <v>238</v>
      </c>
      <c r="AB1137" s="5" t="s">
        <v>238</v>
      </c>
      <c r="AC1137" s="6" t="s">
        <v>238</v>
      </c>
      <c r="AD1137" s="6" t="s">
        <v>238</v>
      </c>
      <c r="AF1137" s="6" t="s">
        <v>238</v>
      </c>
      <c r="AG1137" s="6" t="s">
        <v>246</v>
      </c>
      <c r="AH1137" s="5" t="s">
        <v>247</v>
      </c>
      <c r="AI1137" s="5" t="s">
        <v>248</v>
      </c>
      <c r="AO1137" s="5" t="s">
        <v>238</v>
      </c>
      <c r="AP1137" s="5" t="s">
        <v>238</v>
      </c>
      <c r="AQ1137" s="5" t="s">
        <v>238</v>
      </c>
      <c r="AR1137" s="6" t="s">
        <v>238</v>
      </c>
      <c r="AS1137" s="6" t="s">
        <v>238</v>
      </c>
      <c r="AT1137" s="6" t="s">
        <v>238</v>
      </c>
      <c r="AW1137" s="5" t="s">
        <v>304</v>
      </c>
      <c r="AX1137" s="5" t="s">
        <v>304</v>
      </c>
      <c r="AY1137" s="5" t="s">
        <v>250</v>
      </c>
      <c r="AZ1137" s="5" t="s">
        <v>305</v>
      </c>
      <c r="BA1137" s="5" t="s">
        <v>251</v>
      </c>
      <c r="BB1137" s="5" t="s">
        <v>238</v>
      </c>
      <c r="BC1137" s="5" t="s">
        <v>253</v>
      </c>
      <c r="BD1137" s="5" t="s">
        <v>238</v>
      </c>
      <c r="BF1137" s="5" t="s">
        <v>238</v>
      </c>
      <c r="BH1137" s="5" t="s">
        <v>283</v>
      </c>
      <c r="BI1137" s="6" t="s">
        <v>293</v>
      </c>
      <c r="BJ1137" s="5" t="s">
        <v>294</v>
      </c>
      <c r="BK1137" s="5" t="s">
        <v>294</v>
      </c>
      <c r="BL1137" s="5" t="s">
        <v>238</v>
      </c>
      <c r="BM1137" s="7">
        <f>0</f>
        <v>0</v>
      </c>
      <c r="BN1137" s="8">
        <f>-30746</f>
        <v>-30746</v>
      </c>
      <c r="BO1137" s="5" t="s">
        <v>257</v>
      </c>
      <c r="BP1137" s="5" t="s">
        <v>258</v>
      </c>
      <c r="BQ1137" s="5" t="s">
        <v>238</v>
      </c>
      <c r="BR1137" s="5" t="s">
        <v>238</v>
      </c>
      <c r="BS1137" s="5" t="s">
        <v>238</v>
      </c>
      <c r="BT1137" s="5" t="s">
        <v>238</v>
      </c>
      <c r="CC1137" s="5" t="s">
        <v>258</v>
      </c>
      <c r="CD1137" s="5" t="s">
        <v>238</v>
      </c>
      <c r="CE1137" s="5" t="s">
        <v>238</v>
      </c>
      <c r="CI1137" s="5" t="s">
        <v>259</v>
      </c>
      <c r="CJ1137" s="5" t="s">
        <v>260</v>
      </c>
      <c r="CK1137" s="5" t="s">
        <v>238</v>
      </c>
      <c r="CM1137" s="5" t="s">
        <v>408</v>
      </c>
      <c r="CN1137" s="6" t="s">
        <v>262</v>
      </c>
      <c r="CO1137" s="5" t="s">
        <v>263</v>
      </c>
      <c r="CP1137" s="5" t="s">
        <v>264</v>
      </c>
      <c r="CQ1137" s="5" t="s">
        <v>285</v>
      </c>
      <c r="CR1137" s="5" t="s">
        <v>238</v>
      </c>
      <c r="CS1137" s="5">
        <v>7.6999999999999999E-2</v>
      </c>
      <c r="CT1137" s="5" t="s">
        <v>265</v>
      </c>
      <c r="CU1137" s="5" t="s">
        <v>351</v>
      </c>
      <c r="CV1137" s="5" t="s">
        <v>352</v>
      </c>
      <c r="CW1137" s="7">
        <f>0</f>
        <v>0</v>
      </c>
      <c r="CX1137" s="8">
        <f>399300</f>
        <v>399300</v>
      </c>
      <c r="CY1137" s="8">
        <f>368554</f>
        <v>368554</v>
      </c>
      <c r="DA1137" s="5" t="s">
        <v>238</v>
      </c>
      <c r="DB1137" s="5" t="s">
        <v>238</v>
      </c>
      <c r="DD1137" s="5" t="s">
        <v>238</v>
      </c>
      <c r="DE1137" s="8">
        <f>0</f>
        <v>0</v>
      </c>
      <c r="DG1137" s="5" t="s">
        <v>238</v>
      </c>
      <c r="DH1137" s="5" t="s">
        <v>238</v>
      </c>
      <c r="DI1137" s="5" t="s">
        <v>238</v>
      </c>
      <c r="DJ1137" s="5" t="s">
        <v>238</v>
      </c>
      <c r="DK1137" s="5" t="s">
        <v>272</v>
      </c>
      <c r="DL1137" s="5" t="s">
        <v>272</v>
      </c>
      <c r="DM1137" s="8" t="s">
        <v>238</v>
      </c>
      <c r="DN1137" s="5" t="s">
        <v>238</v>
      </c>
      <c r="DO1137" s="5" t="s">
        <v>238</v>
      </c>
      <c r="DP1137" s="5" t="s">
        <v>238</v>
      </c>
      <c r="DQ1137" s="5" t="s">
        <v>238</v>
      </c>
      <c r="DT1137" s="5" t="s">
        <v>1924</v>
      </c>
      <c r="DU1137" s="5" t="s">
        <v>274</v>
      </c>
      <c r="GL1137" s="5" t="s">
        <v>2925</v>
      </c>
      <c r="HM1137" s="5" t="s">
        <v>274</v>
      </c>
      <c r="HP1137" s="5" t="s">
        <v>272</v>
      </c>
      <c r="HQ1137" s="5" t="s">
        <v>272</v>
      </c>
      <c r="HR1137" s="5" t="s">
        <v>238</v>
      </c>
      <c r="HS1137" s="5" t="s">
        <v>238</v>
      </c>
      <c r="HT1137" s="5" t="s">
        <v>238</v>
      </c>
      <c r="HU1137" s="5" t="s">
        <v>238</v>
      </c>
      <c r="HV1137" s="5" t="s">
        <v>238</v>
      </c>
      <c r="HW1137" s="5" t="s">
        <v>238</v>
      </c>
      <c r="HX1137" s="5" t="s">
        <v>238</v>
      </c>
      <c r="HY1137" s="5" t="s">
        <v>238</v>
      </c>
      <c r="HZ1137" s="5" t="s">
        <v>238</v>
      </c>
      <c r="IA1137" s="5" t="s">
        <v>238</v>
      </c>
      <c r="IB1137" s="5" t="s">
        <v>238</v>
      </c>
      <c r="IC1137" s="5" t="s">
        <v>238</v>
      </c>
      <c r="ID1137" s="5" t="s">
        <v>238</v>
      </c>
    </row>
    <row r="1138" spans="1:238" x14ac:dyDescent="0.4">
      <c r="A1138" s="5">
        <v>1468</v>
      </c>
      <c r="B1138" s="5">
        <v>1</v>
      </c>
      <c r="C1138" s="5">
        <v>1</v>
      </c>
      <c r="D1138" s="5" t="s">
        <v>1893</v>
      </c>
      <c r="E1138" s="5" t="s">
        <v>338</v>
      </c>
      <c r="F1138" s="5" t="s">
        <v>282</v>
      </c>
      <c r="G1138" s="5" t="s">
        <v>2271</v>
      </c>
      <c r="H1138" s="6" t="s">
        <v>1895</v>
      </c>
      <c r="I1138" s="5" t="s">
        <v>2270</v>
      </c>
      <c r="J1138" s="7">
        <f>66.25</f>
        <v>66.25</v>
      </c>
      <c r="K1138" s="5" t="s">
        <v>270</v>
      </c>
      <c r="L1138" s="8">
        <f>1</f>
        <v>1</v>
      </c>
      <c r="M1138" s="8">
        <f>6293750</f>
        <v>6293750</v>
      </c>
      <c r="N1138" s="6" t="s">
        <v>1894</v>
      </c>
      <c r="O1138" s="5" t="s">
        <v>268</v>
      </c>
      <c r="P1138" s="5" t="s">
        <v>639</v>
      </c>
      <c r="R1138" s="8">
        <f>6293749</f>
        <v>6293749</v>
      </c>
      <c r="S1138" s="5" t="s">
        <v>240</v>
      </c>
      <c r="T1138" s="5" t="s">
        <v>237</v>
      </c>
      <c r="U1138" s="5" t="s">
        <v>238</v>
      </c>
      <c r="V1138" s="5" t="s">
        <v>238</v>
      </c>
      <c r="W1138" s="5" t="s">
        <v>241</v>
      </c>
      <c r="X1138" s="5" t="s">
        <v>337</v>
      </c>
      <c r="Y1138" s="5" t="s">
        <v>238</v>
      </c>
      <c r="AB1138" s="5" t="s">
        <v>238</v>
      </c>
      <c r="AD1138" s="6" t="s">
        <v>238</v>
      </c>
      <c r="AG1138" s="6" t="s">
        <v>246</v>
      </c>
      <c r="AH1138" s="5" t="s">
        <v>247</v>
      </c>
      <c r="AI1138" s="5" t="s">
        <v>248</v>
      </c>
      <c r="AY1138" s="5" t="s">
        <v>250</v>
      </c>
      <c r="AZ1138" s="5" t="s">
        <v>238</v>
      </c>
      <c r="BA1138" s="5" t="s">
        <v>251</v>
      </c>
      <c r="BB1138" s="5" t="s">
        <v>238</v>
      </c>
      <c r="BC1138" s="5" t="s">
        <v>253</v>
      </c>
      <c r="BD1138" s="5" t="s">
        <v>238</v>
      </c>
      <c r="BF1138" s="5" t="s">
        <v>238</v>
      </c>
      <c r="BH1138" s="5" t="s">
        <v>697</v>
      </c>
      <c r="BI1138" s="6" t="s">
        <v>698</v>
      </c>
      <c r="BJ1138" s="5" t="s">
        <v>255</v>
      </c>
      <c r="BK1138" s="5" t="s">
        <v>256</v>
      </c>
      <c r="BL1138" s="5" t="s">
        <v>238</v>
      </c>
      <c r="BM1138" s="7">
        <f>0</f>
        <v>0</v>
      </c>
      <c r="BN1138" s="8">
        <f>0</f>
        <v>0</v>
      </c>
      <c r="BO1138" s="5" t="s">
        <v>257</v>
      </c>
      <c r="BP1138" s="5" t="s">
        <v>258</v>
      </c>
      <c r="CD1138" s="5" t="s">
        <v>238</v>
      </c>
      <c r="CE1138" s="5" t="s">
        <v>238</v>
      </c>
      <c r="CI1138" s="5" t="s">
        <v>527</v>
      </c>
      <c r="CJ1138" s="5" t="s">
        <v>260</v>
      </c>
      <c r="CK1138" s="5" t="s">
        <v>238</v>
      </c>
      <c r="CM1138" s="5" t="s">
        <v>1095</v>
      </c>
      <c r="CN1138" s="6" t="s">
        <v>262</v>
      </c>
      <c r="CO1138" s="5" t="s">
        <v>263</v>
      </c>
      <c r="CP1138" s="5" t="s">
        <v>264</v>
      </c>
      <c r="CQ1138" s="5" t="s">
        <v>238</v>
      </c>
      <c r="CR1138" s="5" t="s">
        <v>238</v>
      </c>
      <c r="CS1138" s="5">
        <v>0</v>
      </c>
      <c r="CT1138" s="5" t="s">
        <v>265</v>
      </c>
      <c r="CU1138" s="5" t="s">
        <v>2254</v>
      </c>
      <c r="CV1138" s="5" t="s">
        <v>267</v>
      </c>
      <c r="CX1138" s="8">
        <f>6293750</f>
        <v>6293750</v>
      </c>
      <c r="CY1138" s="8">
        <f>0</f>
        <v>0</v>
      </c>
      <c r="DA1138" s="5" t="s">
        <v>238</v>
      </c>
      <c r="DB1138" s="5" t="s">
        <v>238</v>
      </c>
      <c r="DD1138" s="5" t="s">
        <v>238</v>
      </c>
      <c r="DG1138" s="5" t="s">
        <v>238</v>
      </c>
      <c r="DH1138" s="5" t="s">
        <v>238</v>
      </c>
      <c r="DI1138" s="5" t="s">
        <v>238</v>
      </c>
      <c r="DJ1138" s="5" t="s">
        <v>238</v>
      </c>
      <c r="DK1138" s="5" t="s">
        <v>271</v>
      </c>
      <c r="DL1138" s="5" t="s">
        <v>272</v>
      </c>
      <c r="DM1138" s="7">
        <f>66.25</f>
        <v>66.25</v>
      </c>
      <c r="DN1138" s="5" t="s">
        <v>238</v>
      </c>
      <c r="DO1138" s="5" t="s">
        <v>238</v>
      </c>
      <c r="DP1138" s="5" t="s">
        <v>238</v>
      </c>
      <c r="DQ1138" s="5" t="s">
        <v>238</v>
      </c>
      <c r="DT1138" s="5" t="s">
        <v>2272</v>
      </c>
      <c r="DU1138" s="5" t="s">
        <v>271</v>
      </c>
      <c r="HM1138" s="5" t="s">
        <v>271</v>
      </c>
      <c r="HP1138" s="5" t="s">
        <v>272</v>
      </c>
      <c r="HQ1138" s="5" t="s">
        <v>272</v>
      </c>
    </row>
    <row r="1139" spans="1:238" x14ac:dyDescent="0.4">
      <c r="A1139" s="5">
        <v>1469</v>
      </c>
      <c r="B1139" s="5">
        <v>1</v>
      </c>
      <c r="C1139" s="5">
        <v>4</v>
      </c>
      <c r="D1139" s="5" t="s">
        <v>735</v>
      </c>
      <c r="E1139" s="5" t="s">
        <v>338</v>
      </c>
      <c r="F1139" s="5" t="s">
        <v>282</v>
      </c>
      <c r="G1139" s="5" t="s">
        <v>349</v>
      </c>
      <c r="H1139" s="6" t="s">
        <v>737</v>
      </c>
      <c r="I1139" s="5" t="s">
        <v>2228</v>
      </c>
      <c r="J1139" s="7">
        <f>15.08</f>
        <v>15.08</v>
      </c>
      <c r="K1139" s="5" t="s">
        <v>270</v>
      </c>
      <c r="L1139" s="8">
        <f>2960917</f>
        <v>2960917</v>
      </c>
      <c r="M1139" s="8">
        <f>3319413</f>
        <v>3319413</v>
      </c>
      <c r="N1139" s="6" t="s">
        <v>1354</v>
      </c>
      <c r="O1139" s="5" t="s">
        <v>639</v>
      </c>
      <c r="P1139" s="5" t="s">
        <v>274</v>
      </c>
      <c r="Q1139" s="8">
        <f>89624</f>
        <v>89624</v>
      </c>
      <c r="R1139" s="8">
        <f>358496</f>
        <v>358496</v>
      </c>
      <c r="S1139" s="5" t="s">
        <v>240</v>
      </c>
      <c r="T1139" s="5" t="s">
        <v>287</v>
      </c>
      <c r="U1139" s="5" t="s">
        <v>238</v>
      </c>
      <c r="V1139" s="5" t="s">
        <v>238</v>
      </c>
      <c r="W1139" s="5" t="s">
        <v>241</v>
      </c>
      <c r="X1139" s="5" t="s">
        <v>238</v>
      </c>
      <c r="Y1139" s="5" t="s">
        <v>238</v>
      </c>
      <c r="AB1139" s="5" t="s">
        <v>238</v>
      </c>
      <c r="AC1139" s="6" t="s">
        <v>238</v>
      </c>
      <c r="AD1139" s="6" t="s">
        <v>238</v>
      </c>
      <c r="AF1139" s="6" t="s">
        <v>238</v>
      </c>
      <c r="AG1139" s="6" t="s">
        <v>246</v>
      </c>
      <c r="AH1139" s="5" t="s">
        <v>247</v>
      </c>
      <c r="AI1139" s="5" t="s">
        <v>248</v>
      </c>
      <c r="AO1139" s="5" t="s">
        <v>238</v>
      </c>
      <c r="AP1139" s="5" t="s">
        <v>238</v>
      </c>
      <c r="AQ1139" s="5" t="s">
        <v>238</v>
      </c>
      <c r="AR1139" s="6" t="s">
        <v>238</v>
      </c>
      <c r="AS1139" s="6" t="s">
        <v>238</v>
      </c>
      <c r="AT1139" s="6" t="s">
        <v>238</v>
      </c>
      <c r="AW1139" s="5" t="s">
        <v>304</v>
      </c>
      <c r="AX1139" s="5" t="s">
        <v>304</v>
      </c>
      <c r="AY1139" s="5" t="s">
        <v>250</v>
      </c>
      <c r="AZ1139" s="5" t="s">
        <v>305</v>
      </c>
      <c r="BA1139" s="5" t="s">
        <v>251</v>
      </c>
      <c r="BB1139" s="5" t="s">
        <v>238</v>
      </c>
      <c r="BC1139" s="5" t="s">
        <v>253</v>
      </c>
      <c r="BD1139" s="5" t="s">
        <v>238</v>
      </c>
      <c r="BF1139" s="5" t="s">
        <v>238</v>
      </c>
      <c r="BH1139" s="5" t="s">
        <v>283</v>
      </c>
      <c r="BI1139" s="6" t="s">
        <v>293</v>
      </c>
      <c r="BJ1139" s="5" t="s">
        <v>294</v>
      </c>
      <c r="BK1139" s="5" t="s">
        <v>294</v>
      </c>
      <c r="BL1139" s="5" t="s">
        <v>238</v>
      </c>
      <c r="BM1139" s="7">
        <f>0</f>
        <v>0</v>
      </c>
      <c r="BN1139" s="8">
        <f>-89624</f>
        <v>-89624</v>
      </c>
      <c r="BO1139" s="5" t="s">
        <v>257</v>
      </c>
      <c r="BP1139" s="5" t="s">
        <v>258</v>
      </c>
      <c r="BQ1139" s="5" t="s">
        <v>238</v>
      </c>
      <c r="BR1139" s="5" t="s">
        <v>238</v>
      </c>
      <c r="BS1139" s="5" t="s">
        <v>238</v>
      </c>
      <c r="BT1139" s="5" t="s">
        <v>238</v>
      </c>
      <c r="CC1139" s="5" t="s">
        <v>258</v>
      </c>
      <c r="CD1139" s="5" t="s">
        <v>238</v>
      </c>
      <c r="CE1139" s="5" t="s">
        <v>238</v>
      </c>
      <c r="CI1139" s="5" t="s">
        <v>259</v>
      </c>
      <c r="CJ1139" s="5" t="s">
        <v>260</v>
      </c>
      <c r="CK1139" s="5" t="s">
        <v>238</v>
      </c>
      <c r="CM1139" s="5" t="s">
        <v>402</v>
      </c>
      <c r="CN1139" s="6" t="s">
        <v>262</v>
      </c>
      <c r="CO1139" s="5" t="s">
        <v>263</v>
      </c>
      <c r="CP1139" s="5" t="s">
        <v>264</v>
      </c>
      <c r="CQ1139" s="5" t="s">
        <v>285</v>
      </c>
      <c r="CR1139" s="5" t="s">
        <v>238</v>
      </c>
      <c r="CS1139" s="5">
        <v>2.7E-2</v>
      </c>
      <c r="CT1139" s="5" t="s">
        <v>265</v>
      </c>
      <c r="CU1139" s="5" t="s">
        <v>1342</v>
      </c>
      <c r="CV1139" s="5" t="s">
        <v>308</v>
      </c>
      <c r="CW1139" s="7">
        <f>0</f>
        <v>0</v>
      </c>
      <c r="CX1139" s="8">
        <f>3319413</f>
        <v>3319413</v>
      </c>
      <c r="CY1139" s="8">
        <f>3050541</f>
        <v>3050541</v>
      </c>
      <c r="DA1139" s="5" t="s">
        <v>238</v>
      </c>
      <c r="DB1139" s="5" t="s">
        <v>238</v>
      </c>
      <c r="DD1139" s="5" t="s">
        <v>238</v>
      </c>
      <c r="DE1139" s="8">
        <f>0</f>
        <v>0</v>
      </c>
      <c r="DG1139" s="5" t="s">
        <v>238</v>
      </c>
      <c r="DH1139" s="5" t="s">
        <v>238</v>
      </c>
      <c r="DI1139" s="5" t="s">
        <v>238</v>
      </c>
      <c r="DJ1139" s="5" t="s">
        <v>238</v>
      </c>
      <c r="DK1139" s="5" t="s">
        <v>271</v>
      </c>
      <c r="DL1139" s="5" t="s">
        <v>272</v>
      </c>
      <c r="DM1139" s="7">
        <f>15.08</f>
        <v>15.08</v>
      </c>
      <c r="DN1139" s="5" t="s">
        <v>238</v>
      </c>
      <c r="DO1139" s="5" t="s">
        <v>238</v>
      </c>
      <c r="DP1139" s="5" t="s">
        <v>238</v>
      </c>
      <c r="DQ1139" s="5" t="s">
        <v>238</v>
      </c>
      <c r="DT1139" s="5" t="s">
        <v>738</v>
      </c>
      <c r="DU1139" s="5" t="s">
        <v>271</v>
      </c>
      <c r="GL1139" s="5" t="s">
        <v>2229</v>
      </c>
      <c r="HM1139" s="5" t="s">
        <v>310</v>
      </c>
      <c r="HP1139" s="5" t="s">
        <v>272</v>
      </c>
      <c r="HQ1139" s="5" t="s">
        <v>272</v>
      </c>
      <c r="HR1139" s="5" t="s">
        <v>238</v>
      </c>
      <c r="HS1139" s="5" t="s">
        <v>238</v>
      </c>
      <c r="HT1139" s="5" t="s">
        <v>238</v>
      </c>
      <c r="HU1139" s="5" t="s">
        <v>238</v>
      </c>
      <c r="HV1139" s="5" t="s">
        <v>238</v>
      </c>
      <c r="HW1139" s="5" t="s">
        <v>238</v>
      </c>
      <c r="HX1139" s="5" t="s">
        <v>238</v>
      </c>
      <c r="HY1139" s="5" t="s">
        <v>238</v>
      </c>
      <c r="HZ1139" s="5" t="s">
        <v>238</v>
      </c>
      <c r="IA1139" s="5" t="s">
        <v>238</v>
      </c>
      <c r="IB1139" s="5" t="s">
        <v>238</v>
      </c>
      <c r="IC1139" s="5" t="s">
        <v>238</v>
      </c>
      <c r="ID1139" s="5" t="s">
        <v>238</v>
      </c>
    </row>
    <row r="1140" spans="1:238" x14ac:dyDescent="0.4">
      <c r="A1140" s="5">
        <v>1470</v>
      </c>
      <c r="B1140" s="5">
        <v>1</v>
      </c>
      <c r="C1140" s="5">
        <v>4</v>
      </c>
      <c r="D1140" s="5" t="s">
        <v>735</v>
      </c>
      <c r="E1140" s="5" t="s">
        <v>338</v>
      </c>
      <c r="F1140" s="5" t="s">
        <v>282</v>
      </c>
      <c r="G1140" s="5" t="s">
        <v>349</v>
      </c>
      <c r="H1140" s="6" t="s">
        <v>737</v>
      </c>
      <c r="I1140" s="5" t="s">
        <v>2226</v>
      </c>
      <c r="J1140" s="7">
        <f>26.09</f>
        <v>26.09</v>
      </c>
      <c r="K1140" s="5" t="s">
        <v>270</v>
      </c>
      <c r="L1140" s="8">
        <f>21958090</f>
        <v>21958090</v>
      </c>
      <c r="M1140" s="8">
        <f>26391934</f>
        <v>26391934</v>
      </c>
      <c r="N1140" s="6" t="s">
        <v>1354</v>
      </c>
      <c r="O1140" s="5" t="s">
        <v>651</v>
      </c>
      <c r="P1140" s="5" t="s">
        <v>274</v>
      </c>
      <c r="Q1140" s="8">
        <f>1108461</f>
        <v>1108461</v>
      </c>
      <c r="R1140" s="8">
        <f>4433844</f>
        <v>4433844</v>
      </c>
      <c r="S1140" s="5" t="s">
        <v>240</v>
      </c>
      <c r="T1140" s="5" t="s">
        <v>287</v>
      </c>
      <c r="U1140" s="5" t="s">
        <v>238</v>
      </c>
      <c r="V1140" s="5" t="s">
        <v>238</v>
      </c>
      <c r="W1140" s="5" t="s">
        <v>241</v>
      </c>
      <c r="X1140" s="5" t="s">
        <v>238</v>
      </c>
      <c r="Y1140" s="5" t="s">
        <v>238</v>
      </c>
      <c r="AB1140" s="5" t="s">
        <v>238</v>
      </c>
      <c r="AC1140" s="6" t="s">
        <v>238</v>
      </c>
      <c r="AD1140" s="6" t="s">
        <v>238</v>
      </c>
      <c r="AF1140" s="6" t="s">
        <v>238</v>
      </c>
      <c r="AG1140" s="6" t="s">
        <v>246</v>
      </c>
      <c r="AH1140" s="5" t="s">
        <v>247</v>
      </c>
      <c r="AI1140" s="5" t="s">
        <v>248</v>
      </c>
      <c r="AO1140" s="5" t="s">
        <v>238</v>
      </c>
      <c r="AP1140" s="5" t="s">
        <v>238</v>
      </c>
      <c r="AQ1140" s="5" t="s">
        <v>238</v>
      </c>
      <c r="AR1140" s="6" t="s">
        <v>238</v>
      </c>
      <c r="AS1140" s="6" t="s">
        <v>238</v>
      </c>
      <c r="AT1140" s="6" t="s">
        <v>238</v>
      </c>
      <c r="AW1140" s="5" t="s">
        <v>304</v>
      </c>
      <c r="AX1140" s="5" t="s">
        <v>304</v>
      </c>
      <c r="AY1140" s="5" t="s">
        <v>250</v>
      </c>
      <c r="AZ1140" s="5" t="s">
        <v>305</v>
      </c>
      <c r="BA1140" s="5" t="s">
        <v>251</v>
      </c>
      <c r="BB1140" s="5" t="s">
        <v>238</v>
      </c>
      <c r="BC1140" s="5" t="s">
        <v>253</v>
      </c>
      <c r="BD1140" s="5" t="s">
        <v>238</v>
      </c>
      <c r="BF1140" s="5" t="s">
        <v>238</v>
      </c>
      <c r="BH1140" s="5" t="s">
        <v>283</v>
      </c>
      <c r="BI1140" s="6" t="s">
        <v>293</v>
      </c>
      <c r="BJ1140" s="5" t="s">
        <v>294</v>
      </c>
      <c r="BK1140" s="5" t="s">
        <v>294</v>
      </c>
      <c r="BL1140" s="5" t="s">
        <v>238</v>
      </c>
      <c r="BM1140" s="7">
        <f>0</f>
        <v>0</v>
      </c>
      <c r="BN1140" s="8">
        <f>-1108461</f>
        <v>-1108461</v>
      </c>
      <c r="BO1140" s="5" t="s">
        <v>257</v>
      </c>
      <c r="BP1140" s="5" t="s">
        <v>258</v>
      </c>
      <c r="BQ1140" s="5" t="s">
        <v>238</v>
      </c>
      <c r="BR1140" s="5" t="s">
        <v>238</v>
      </c>
      <c r="BS1140" s="5" t="s">
        <v>238</v>
      </c>
      <c r="BT1140" s="5" t="s">
        <v>238</v>
      </c>
      <c r="CC1140" s="5" t="s">
        <v>258</v>
      </c>
      <c r="CD1140" s="5" t="s">
        <v>238</v>
      </c>
      <c r="CE1140" s="5" t="s">
        <v>238</v>
      </c>
      <c r="CI1140" s="5" t="s">
        <v>259</v>
      </c>
      <c r="CJ1140" s="5" t="s">
        <v>260</v>
      </c>
      <c r="CK1140" s="5" t="s">
        <v>238</v>
      </c>
      <c r="CM1140" s="5" t="s">
        <v>402</v>
      </c>
      <c r="CN1140" s="6" t="s">
        <v>262</v>
      </c>
      <c r="CO1140" s="5" t="s">
        <v>263</v>
      </c>
      <c r="CP1140" s="5" t="s">
        <v>264</v>
      </c>
      <c r="CQ1140" s="5" t="s">
        <v>285</v>
      </c>
      <c r="CR1140" s="5" t="s">
        <v>238</v>
      </c>
      <c r="CS1140" s="5">
        <v>4.2000000000000003E-2</v>
      </c>
      <c r="CT1140" s="5" t="s">
        <v>265</v>
      </c>
      <c r="CU1140" s="5" t="s">
        <v>1342</v>
      </c>
      <c r="CV1140" s="5" t="s">
        <v>331</v>
      </c>
      <c r="CW1140" s="7">
        <f>0</f>
        <v>0</v>
      </c>
      <c r="CX1140" s="8">
        <f>26391934</f>
        <v>26391934</v>
      </c>
      <c r="CY1140" s="8">
        <f>23066551</f>
        <v>23066551</v>
      </c>
      <c r="DA1140" s="5" t="s">
        <v>238</v>
      </c>
      <c r="DB1140" s="5" t="s">
        <v>238</v>
      </c>
      <c r="DD1140" s="5" t="s">
        <v>238</v>
      </c>
      <c r="DE1140" s="8">
        <f>0</f>
        <v>0</v>
      </c>
      <c r="DG1140" s="5" t="s">
        <v>238</v>
      </c>
      <c r="DH1140" s="5" t="s">
        <v>238</v>
      </c>
      <c r="DI1140" s="5" t="s">
        <v>238</v>
      </c>
      <c r="DJ1140" s="5" t="s">
        <v>238</v>
      </c>
      <c r="DK1140" s="5" t="s">
        <v>271</v>
      </c>
      <c r="DL1140" s="5" t="s">
        <v>272</v>
      </c>
      <c r="DM1140" s="7">
        <f>26.09</f>
        <v>26.09</v>
      </c>
      <c r="DN1140" s="5" t="s">
        <v>238</v>
      </c>
      <c r="DO1140" s="5" t="s">
        <v>238</v>
      </c>
      <c r="DP1140" s="5" t="s">
        <v>238</v>
      </c>
      <c r="DQ1140" s="5" t="s">
        <v>238</v>
      </c>
      <c r="DT1140" s="5" t="s">
        <v>738</v>
      </c>
      <c r="DU1140" s="5" t="s">
        <v>274</v>
      </c>
      <c r="GL1140" s="5" t="s">
        <v>2227</v>
      </c>
      <c r="HM1140" s="5" t="s">
        <v>310</v>
      </c>
      <c r="HP1140" s="5" t="s">
        <v>272</v>
      </c>
      <c r="HQ1140" s="5" t="s">
        <v>272</v>
      </c>
      <c r="HR1140" s="5" t="s">
        <v>238</v>
      </c>
      <c r="HS1140" s="5" t="s">
        <v>238</v>
      </c>
      <c r="HT1140" s="5" t="s">
        <v>238</v>
      </c>
      <c r="HU1140" s="5" t="s">
        <v>238</v>
      </c>
      <c r="HV1140" s="5" t="s">
        <v>238</v>
      </c>
      <c r="HW1140" s="5" t="s">
        <v>238</v>
      </c>
      <c r="HX1140" s="5" t="s">
        <v>238</v>
      </c>
      <c r="HY1140" s="5" t="s">
        <v>238</v>
      </c>
      <c r="HZ1140" s="5" t="s">
        <v>238</v>
      </c>
      <c r="IA1140" s="5" t="s">
        <v>238</v>
      </c>
      <c r="IB1140" s="5" t="s">
        <v>238</v>
      </c>
      <c r="IC1140" s="5" t="s">
        <v>238</v>
      </c>
      <c r="ID1140" s="5" t="s">
        <v>238</v>
      </c>
    </row>
    <row r="1141" spans="1:238" x14ac:dyDescent="0.4">
      <c r="A1141" s="5">
        <v>1471</v>
      </c>
      <c r="B1141" s="5">
        <v>1</v>
      </c>
      <c r="C1141" s="5">
        <v>4</v>
      </c>
      <c r="D1141" s="5" t="s">
        <v>735</v>
      </c>
      <c r="E1141" s="5" t="s">
        <v>338</v>
      </c>
      <c r="F1141" s="5" t="s">
        <v>282</v>
      </c>
      <c r="G1141" s="5" t="s">
        <v>349</v>
      </c>
      <c r="H1141" s="6" t="s">
        <v>737</v>
      </c>
      <c r="I1141" s="5" t="s">
        <v>1345</v>
      </c>
      <c r="J1141" s="7">
        <f>9.3</f>
        <v>9.3000000000000007</v>
      </c>
      <c r="K1141" s="5" t="s">
        <v>270</v>
      </c>
      <c r="L1141" s="8">
        <f>6693972</f>
        <v>6693972</v>
      </c>
      <c r="M1141" s="8">
        <f>8045636</f>
        <v>8045636</v>
      </c>
      <c r="N1141" s="6" t="s">
        <v>1354</v>
      </c>
      <c r="O1141" s="5" t="s">
        <v>651</v>
      </c>
      <c r="P1141" s="5" t="s">
        <v>274</v>
      </c>
      <c r="Q1141" s="8">
        <f>337916</f>
        <v>337916</v>
      </c>
      <c r="R1141" s="8">
        <f>1351664</f>
        <v>1351664</v>
      </c>
      <c r="S1141" s="5" t="s">
        <v>240</v>
      </c>
      <c r="T1141" s="5" t="s">
        <v>287</v>
      </c>
      <c r="U1141" s="5" t="s">
        <v>238</v>
      </c>
      <c r="V1141" s="5" t="s">
        <v>238</v>
      </c>
      <c r="W1141" s="5" t="s">
        <v>241</v>
      </c>
      <c r="X1141" s="5" t="s">
        <v>238</v>
      </c>
      <c r="Y1141" s="5" t="s">
        <v>238</v>
      </c>
      <c r="AB1141" s="5" t="s">
        <v>238</v>
      </c>
      <c r="AC1141" s="6" t="s">
        <v>238</v>
      </c>
      <c r="AD1141" s="6" t="s">
        <v>238</v>
      </c>
      <c r="AF1141" s="6" t="s">
        <v>238</v>
      </c>
      <c r="AG1141" s="6" t="s">
        <v>246</v>
      </c>
      <c r="AH1141" s="5" t="s">
        <v>247</v>
      </c>
      <c r="AI1141" s="5" t="s">
        <v>248</v>
      </c>
      <c r="AO1141" s="5" t="s">
        <v>238</v>
      </c>
      <c r="AP1141" s="5" t="s">
        <v>238</v>
      </c>
      <c r="AQ1141" s="5" t="s">
        <v>238</v>
      </c>
      <c r="AR1141" s="6" t="s">
        <v>238</v>
      </c>
      <c r="AS1141" s="6" t="s">
        <v>238</v>
      </c>
      <c r="AT1141" s="6" t="s">
        <v>238</v>
      </c>
      <c r="AW1141" s="5" t="s">
        <v>304</v>
      </c>
      <c r="AX1141" s="5" t="s">
        <v>304</v>
      </c>
      <c r="AY1141" s="5" t="s">
        <v>250</v>
      </c>
      <c r="AZ1141" s="5" t="s">
        <v>305</v>
      </c>
      <c r="BA1141" s="5" t="s">
        <v>251</v>
      </c>
      <c r="BB1141" s="5" t="s">
        <v>238</v>
      </c>
      <c r="BC1141" s="5" t="s">
        <v>253</v>
      </c>
      <c r="BD1141" s="5" t="s">
        <v>238</v>
      </c>
      <c r="BF1141" s="5" t="s">
        <v>238</v>
      </c>
      <c r="BH1141" s="5" t="s">
        <v>283</v>
      </c>
      <c r="BI1141" s="6" t="s">
        <v>293</v>
      </c>
      <c r="BJ1141" s="5" t="s">
        <v>294</v>
      </c>
      <c r="BK1141" s="5" t="s">
        <v>294</v>
      </c>
      <c r="BL1141" s="5" t="s">
        <v>238</v>
      </c>
      <c r="BM1141" s="7">
        <f>0</f>
        <v>0</v>
      </c>
      <c r="BN1141" s="8">
        <f>-337916</f>
        <v>-337916</v>
      </c>
      <c r="BO1141" s="5" t="s">
        <v>257</v>
      </c>
      <c r="BP1141" s="5" t="s">
        <v>258</v>
      </c>
      <c r="BQ1141" s="5" t="s">
        <v>238</v>
      </c>
      <c r="BR1141" s="5" t="s">
        <v>238</v>
      </c>
      <c r="BS1141" s="5" t="s">
        <v>238</v>
      </c>
      <c r="BT1141" s="5" t="s">
        <v>238</v>
      </c>
      <c r="CC1141" s="5" t="s">
        <v>258</v>
      </c>
      <c r="CD1141" s="5" t="s">
        <v>238</v>
      </c>
      <c r="CE1141" s="5" t="s">
        <v>238</v>
      </c>
      <c r="CI1141" s="5" t="s">
        <v>259</v>
      </c>
      <c r="CJ1141" s="5" t="s">
        <v>260</v>
      </c>
      <c r="CK1141" s="5" t="s">
        <v>238</v>
      </c>
      <c r="CM1141" s="5" t="s">
        <v>402</v>
      </c>
      <c r="CN1141" s="6" t="s">
        <v>262</v>
      </c>
      <c r="CO1141" s="5" t="s">
        <v>263</v>
      </c>
      <c r="CP1141" s="5" t="s">
        <v>264</v>
      </c>
      <c r="CQ1141" s="5" t="s">
        <v>285</v>
      </c>
      <c r="CR1141" s="5" t="s">
        <v>238</v>
      </c>
      <c r="CS1141" s="5">
        <v>4.2000000000000003E-2</v>
      </c>
      <c r="CT1141" s="5" t="s">
        <v>265</v>
      </c>
      <c r="CU1141" s="5" t="s">
        <v>1342</v>
      </c>
      <c r="CV1141" s="5" t="s">
        <v>331</v>
      </c>
      <c r="CW1141" s="7">
        <f>0</f>
        <v>0</v>
      </c>
      <c r="CX1141" s="8">
        <f>8045636</f>
        <v>8045636</v>
      </c>
      <c r="CY1141" s="8">
        <f>7031888</f>
        <v>7031888</v>
      </c>
      <c r="DA1141" s="5" t="s">
        <v>238</v>
      </c>
      <c r="DB1141" s="5" t="s">
        <v>238</v>
      </c>
      <c r="DD1141" s="5" t="s">
        <v>238</v>
      </c>
      <c r="DE1141" s="8">
        <f>0</f>
        <v>0</v>
      </c>
      <c r="DG1141" s="5" t="s">
        <v>238</v>
      </c>
      <c r="DH1141" s="5" t="s">
        <v>238</v>
      </c>
      <c r="DI1141" s="5" t="s">
        <v>238</v>
      </c>
      <c r="DJ1141" s="5" t="s">
        <v>238</v>
      </c>
      <c r="DK1141" s="5" t="s">
        <v>271</v>
      </c>
      <c r="DL1141" s="5" t="s">
        <v>272</v>
      </c>
      <c r="DM1141" s="7">
        <f>9.3</f>
        <v>9.3000000000000007</v>
      </c>
      <c r="DN1141" s="5" t="s">
        <v>238</v>
      </c>
      <c r="DO1141" s="5" t="s">
        <v>238</v>
      </c>
      <c r="DP1141" s="5" t="s">
        <v>238</v>
      </c>
      <c r="DQ1141" s="5" t="s">
        <v>238</v>
      </c>
      <c r="DT1141" s="5" t="s">
        <v>738</v>
      </c>
      <c r="DU1141" s="5" t="s">
        <v>356</v>
      </c>
      <c r="GL1141" s="5" t="s">
        <v>2225</v>
      </c>
      <c r="HM1141" s="5" t="s">
        <v>310</v>
      </c>
      <c r="HP1141" s="5" t="s">
        <v>272</v>
      </c>
      <c r="HQ1141" s="5" t="s">
        <v>272</v>
      </c>
      <c r="HR1141" s="5" t="s">
        <v>238</v>
      </c>
      <c r="HS1141" s="5" t="s">
        <v>238</v>
      </c>
      <c r="HT1141" s="5" t="s">
        <v>238</v>
      </c>
      <c r="HU1141" s="5" t="s">
        <v>238</v>
      </c>
      <c r="HV1141" s="5" t="s">
        <v>238</v>
      </c>
      <c r="HW1141" s="5" t="s">
        <v>238</v>
      </c>
      <c r="HX1141" s="5" t="s">
        <v>238</v>
      </c>
      <c r="HY1141" s="5" t="s">
        <v>238</v>
      </c>
      <c r="HZ1141" s="5" t="s">
        <v>238</v>
      </c>
      <c r="IA1141" s="5" t="s">
        <v>238</v>
      </c>
      <c r="IB1141" s="5" t="s">
        <v>238</v>
      </c>
      <c r="IC1141" s="5" t="s">
        <v>238</v>
      </c>
      <c r="ID1141" s="5" t="s">
        <v>238</v>
      </c>
    </row>
    <row r="1142" spans="1:238" x14ac:dyDescent="0.4">
      <c r="A1142" s="5">
        <v>1472</v>
      </c>
      <c r="B1142" s="5">
        <v>1</v>
      </c>
      <c r="C1142" s="5">
        <v>4</v>
      </c>
      <c r="D1142" s="5" t="s">
        <v>735</v>
      </c>
      <c r="E1142" s="5" t="s">
        <v>338</v>
      </c>
      <c r="F1142" s="5" t="s">
        <v>282</v>
      </c>
      <c r="G1142" s="5" t="s">
        <v>349</v>
      </c>
      <c r="H1142" s="6" t="s">
        <v>737</v>
      </c>
      <c r="I1142" s="5" t="s">
        <v>2223</v>
      </c>
      <c r="J1142" s="7">
        <f>6.2</f>
        <v>6.2</v>
      </c>
      <c r="K1142" s="5" t="s">
        <v>270</v>
      </c>
      <c r="L1142" s="8">
        <f>5353469</f>
        <v>5353469</v>
      </c>
      <c r="M1142" s="8">
        <f>6434457</f>
        <v>6434457</v>
      </c>
      <c r="N1142" s="6" t="s">
        <v>1354</v>
      </c>
      <c r="O1142" s="5" t="s">
        <v>651</v>
      </c>
      <c r="P1142" s="5" t="s">
        <v>274</v>
      </c>
      <c r="Q1142" s="8">
        <f>270247</f>
        <v>270247</v>
      </c>
      <c r="R1142" s="8">
        <f>1080988</f>
        <v>1080988</v>
      </c>
      <c r="S1142" s="5" t="s">
        <v>240</v>
      </c>
      <c r="T1142" s="5" t="s">
        <v>287</v>
      </c>
      <c r="U1142" s="5" t="s">
        <v>238</v>
      </c>
      <c r="V1142" s="5" t="s">
        <v>238</v>
      </c>
      <c r="W1142" s="5" t="s">
        <v>241</v>
      </c>
      <c r="X1142" s="5" t="s">
        <v>238</v>
      </c>
      <c r="Y1142" s="5" t="s">
        <v>238</v>
      </c>
      <c r="AB1142" s="5" t="s">
        <v>238</v>
      </c>
      <c r="AC1142" s="6" t="s">
        <v>238</v>
      </c>
      <c r="AD1142" s="6" t="s">
        <v>238</v>
      </c>
      <c r="AF1142" s="6" t="s">
        <v>238</v>
      </c>
      <c r="AG1142" s="6" t="s">
        <v>246</v>
      </c>
      <c r="AH1142" s="5" t="s">
        <v>247</v>
      </c>
      <c r="AI1142" s="5" t="s">
        <v>248</v>
      </c>
      <c r="AO1142" s="5" t="s">
        <v>238</v>
      </c>
      <c r="AP1142" s="5" t="s">
        <v>238</v>
      </c>
      <c r="AQ1142" s="5" t="s">
        <v>238</v>
      </c>
      <c r="AR1142" s="6" t="s">
        <v>238</v>
      </c>
      <c r="AS1142" s="6" t="s">
        <v>238</v>
      </c>
      <c r="AT1142" s="6" t="s">
        <v>238</v>
      </c>
      <c r="AW1142" s="5" t="s">
        <v>304</v>
      </c>
      <c r="AX1142" s="5" t="s">
        <v>304</v>
      </c>
      <c r="AY1142" s="5" t="s">
        <v>250</v>
      </c>
      <c r="AZ1142" s="5" t="s">
        <v>305</v>
      </c>
      <c r="BA1142" s="5" t="s">
        <v>251</v>
      </c>
      <c r="BB1142" s="5" t="s">
        <v>238</v>
      </c>
      <c r="BC1142" s="5" t="s">
        <v>253</v>
      </c>
      <c r="BD1142" s="5" t="s">
        <v>238</v>
      </c>
      <c r="BF1142" s="5" t="s">
        <v>238</v>
      </c>
      <c r="BH1142" s="5" t="s">
        <v>283</v>
      </c>
      <c r="BI1142" s="6" t="s">
        <v>293</v>
      </c>
      <c r="BJ1142" s="5" t="s">
        <v>294</v>
      </c>
      <c r="BK1142" s="5" t="s">
        <v>294</v>
      </c>
      <c r="BL1142" s="5" t="s">
        <v>238</v>
      </c>
      <c r="BM1142" s="7">
        <f>0</f>
        <v>0</v>
      </c>
      <c r="BN1142" s="8">
        <f>-270247</f>
        <v>-270247</v>
      </c>
      <c r="BO1142" s="5" t="s">
        <v>257</v>
      </c>
      <c r="BP1142" s="5" t="s">
        <v>258</v>
      </c>
      <c r="BQ1142" s="5" t="s">
        <v>238</v>
      </c>
      <c r="BR1142" s="5" t="s">
        <v>238</v>
      </c>
      <c r="BS1142" s="5" t="s">
        <v>238</v>
      </c>
      <c r="BT1142" s="5" t="s">
        <v>238</v>
      </c>
      <c r="CC1142" s="5" t="s">
        <v>258</v>
      </c>
      <c r="CD1142" s="5" t="s">
        <v>238</v>
      </c>
      <c r="CE1142" s="5" t="s">
        <v>238</v>
      </c>
      <c r="CI1142" s="5" t="s">
        <v>259</v>
      </c>
      <c r="CJ1142" s="5" t="s">
        <v>260</v>
      </c>
      <c r="CK1142" s="5" t="s">
        <v>238</v>
      </c>
      <c r="CM1142" s="5" t="s">
        <v>402</v>
      </c>
      <c r="CN1142" s="6" t="s">
        <v>262</v>
      </c>
      <c r="CO1142" s="5" t="s">
        <v>263</v>
      </c>
      <c r="CP1142" s="5" t="s">
        <v>264</v>
      </c>
      <c r="CQ1142" s="5" t="s">
        <v>285</v>
      </c>
      <c r="CR1142" s="5" t="s">
        <v>238</v>
      </c>
      <c r="CS1142" s="5">
        <v>4.2000000000000003E-2</v>
      </c>
      <c r="CT1142" s="5" t="s">
        <v>265</v>
      </c>
      <c r="CU1142" s="5" t="s">
        <v>1342</v>
      </c>
      <c r="CV1142" s="5" t="s">
        <v>331</v>
      </c>
      <c r="CW1142" s="7">
        <f>0</f>
        <v>0</v>
      </c>
      <c r="CX1142" s="8">
        <f>6434457</f>
        <v>6434457</v>
      </c>
      <c r="CY1142" s="8">
        <f>5623716</f>
        <v>5623716</v>
      </c>
      <c r="DA1142" s="5" t="s">
        <v>238</v>
      </c>
      <c r="DB1142" s="5" t="s">
        <v>238</v>
      </c>
      <c r="DD1142" s="5" t="s">
        <v>238</v>
      </c>
      <c r="DE1142" s="8">
        <f>0</f>
        <v>0</v>
      </c>
      <c r="DG1142" s="5" t="s">
        <v>238</v>
      </c>
      <c r="DH1142" s="5" t="s">
        <v>238</v>
      </c>
      <c r="DI1142" s="5" t="s">
        <v>238</v>
      </c>
      <c r="DJ1142" s="5" t="s">
        <v>238</v>
      </c>
      <c r="DK1142" s="5" t="s">
        <v>271</v>
      </c>
      <c r="DL1142" s="5" t="s">
        <v>272</v>
      </c>
      <c r="DM1142" s="7">
        <f>6.2</f>
        <v>6.2</v>
      </c>
      <c r="DN1142" s="5" t="s">
        <v>238</v>
      </c>
      <c r="DO1142" s="5" t="s">
        <v>238</v>
      </c>
      <c r="DP1142" s="5" t="s">
        <v>238</v>
      </c>
      <c r="DQ1142" s="5" t="s">
        <v>238</v>
      </c>
      <c r="DT1142" s="5" t="s">
        <v>738</v>
      </c>
      <c r="DU1142" s="5" t="s">
        <v>310</v>
      </c>
      <c r="GL1142" s="5" t="s">
        <v>2224</v>
      </c>
      <c r="HM1142" s="5" t="s">
        <v>310</v>
      </c>
      <c r="HP1142" s="5" t="s">
        <v>272</v>
      </c>
      <c r="HQ1142" s="5" t="s">
        <v>272</v>
      </c>
      <c r="HR1142" s="5" t="s">
        <v>238</v>
      </c>
      <c r="HS1142" s="5" t="s">
        <v>238</v>
      </c>
      <c r="HT1142" s="5" t="s">
        <v>238</v>
      </c>
      <c r="HU1142" s="5" t="s">
        <v>238</v>
      </c>
      <c r="HV1142" s="5" t="s">
        <v>238</v>
      </c>
      <c r="HW1142" s="5" t="s">
        <v>238</v>
      </c>
      <c r="HX1142" s="5" t="s">
        <v>238</v>
      </c>
      <c r="HY1142" s="5" t="s">
        <v>238</v>
      </c>
      <c r="HZ1142" s="5" t="s">
        <v>238</v>
      </c>
      <c r="IA1142" s="5" t="s">
        <v>238</v>
      </c>
      <c r="IB1142" s="5" t="s">
        <v>238</v>
      </c>
      <c r="IC1142" s="5" t="s">
        <v>238</v>
      </c>
      <c r="ID1142" s="5" t="s">
        <v>238</v>
      </c>
    </row>
    <row r="1143" spans="1:238" x14ac:dyDescent="0.4">
      <c r="A1143" s="5">
        <v>1473</v>
      </c>
      <c r="B1143" s="5">
        <v>1</v>
      </c>
      <c r="C1143" s="5">
        <v>4</v>
      </c>
      <c r="D1143" s="5" t="s">
        <v>735</v>
      </c>
      <c r="E1143" s="5" t="s">
        <v>338</v>
      </c>
      <c r="F1143" s="5" t="s">
        <v>282</v>
      </c>
      <c r="G1143" s="5" t="s">
        <v>349</v>
      </c>
      <c r="H1143" s="6" t="s">
        <v>737</v>
      </c>
      <c r="I1143" s="5" t="s">
        <v>1265</v>
      </c>
      <c r="J1143" s="7">
        <f>87.04</f>
        <v>87.04</v>
      </c>
      <c r="K1143" s="5" t="s">
        <v>270</v>
      </c>
      <c r="L1143" s="8">
        <f>39792206</f>
        <v>39792206</v>
      </c>
      <c r="M1143" s="8">
        <f>44213558</f>
        <v>44213558</v>
      </c>
      <c r="N1143" s="6" t="s">
        <v>736</v>
      </c>
      <c r="O1143" s="5" t="s">
        <v>965</v>
      </c>
      <c r="P1143" s="5" t="s">
        <v>274</v>
      </c>
      <c r="Q1143" s="8">
        <f>1105338</f>
        <v>1105338</v>
      </c>
      <c r="R1143" s="8">
        <f>4421352</f>
        <v>4421352</v>
      </c>
      <c r="S1143" s="5" t="s">
        <v>240</v>
      </c>
      <c r="T1143" s="5" t="s">
        <v>287</v>
      </c>
      <c r="U1143" s="5" t="s">
        <v>238</v>
      </c>
      <c r="V1143" s="5" t="s">
        <v>238</v>
      </c>
      <c r="W1143" s="5" t="s">
        <v>241</v>
      </c>
      <c r="X1143" s="5" t="s">
        <v>238</v>
      </c>
      <c r="Y1143" s="5" t="s">
        <v>238</v>
      </c>
      <c r="AB1143" s="5" t="s">
        <v>238</v>
      </c>
      <c r="AC1143" s="6" t="s">
        <v>238</v>
      </c>
      <c r="AD1143" s="6" t="s">
        <v>238</v>
      </c>
      <c r="AF1143" s="6" t="s">
        <v>238</v>
      </c>
      <c r="AG1143" s="6" t="s">
        <v>246</v>
      </c>
      <c r="AH1143" s="5" t="s">
        <v>247</v>
      </c>
      <c r="AI1143" s="5" t="s">
        <v>248</v>
      </c>
      <c r="AO1143" s="5" t="s">
        <v>238</v>
      </c>
      <c r="AP1143" s="5" t="s">
        <v>238</v>
      </c>
      <c r="AQ1143" s="5" t="s">
        <v>238</v>
      </c>
      <c r="AR1143" s="6" t="s">
        <v>238</v>
      </c>
      <c r="AS1143" s="6" t="s">
        <v>238</v>
      </c>
      <c r="AT1143" s="6" t="s">
        <v>238</v>
      </c>
      <c r="AW1143" s="5" t="s">
        <v>304</v>
      </c>
      <c r="AX1143" s="5" t="s">
        <v>304</v>
      </c>
      <c r="AY1143" s="5" t="s">
        <v>250</v>
      </c>
      <c r="AZ1143" s="5" t="s">
        <v>305</v>
      </c>
      <c r="BA1143" s="5" t="s">
        <v>251</v>
      </c>
      <c r="BB1143" s="5" t="s">
        <v>238</v>
      </c>
      <c r="BC1143" s="5" t="s">
        <v>253</v>
      </c>
      <c r="BD1143" s="5" t="s">
        <v>238</v>
      </c>
      <c r="BF1143" s="5" t="s">
        <v>238</v>
      </c>
      <c r="BH1143" s="5" t="s">
        <v>283</v>
      </c>
      <c r="BI1143" s="6" t="s">
        <v>293</v>
      </c>
      <c r="BJ1143" s="5" t="s">
        <v>294</v>
      </c>
      <c r="BK1143" s="5" t="s">
        <v>294</v>
      </c>
      <c r="BL1143" s="5" t="s">
        <v>238</v>
      </c>
      <c r="BM1143" s="7">
        <f>0</f>
        <v>0</v>
      </c>
      <c r="BN1143" s="8">
        <f>-1105338</f>
        <v>-1105338</v>
      </c>
      <c r="BO1143" s="5" t="s">
        <v>257</v>
      </c>
      <c r="BP1143" s="5" t="s">
        <v>258</v>
      </c>
      <c r="BQ1143" s="5" t="s">
        <v>238</v>
      </c>
      <c r="BR1143" s="5" t="s">
        <v>238</v>
      </c>
      <c r="BS1143" s="5" t="s">
        <v>238</v>
      </c>
      <c r="BT1143" s="5" t="s">
        <v>238</v>
      </c>
      <c r="CC1143" s="5" t="s">
        <v>258</v>
      </c>
      <c r="CD1143" s="5" t="s">
        <v>238</v>
      </c>
      <c r="CE1143" s="5" t="s">
        <v>238</v>
      </c>
      <c r="CI1143" s="5" t="s">
        <v>259</v>
      </c>
      <c r="CJ1143" s="5" t="s">
        <v>260</v>
      </c>
      <c r="CK1143" s="5" t="s">
        <v>238</v>
      </c>
      <c r="CM1143" s="5" t="s">
        <v>402</v>
      </c>
      <c r="CN1143" s="6" t="s">
        <v>262</v>
      </c>
      <c r="CO1143" s="5" t="s">
        <v>263</v>
      </c>
      <c r="CP1143" s="5" t="s">
        <v>264</v>
      </c>
      <c r="CQ1143" s="5" t="s">
        <v>285</v>
      </c>
      <c r="CR1143" s="5" t="s">
        <v>238</v>
      </c>
      <c r="CS1143" s="5">
        <v>2.5000000000000001E-2</v>
      </c>
      <c r="CT1143" s="5" t="s">
        <v>265</v>
      </c>
      <c r="CU1143" s="5" t="s">
        <v>1266</v>
      </c>
      <c r="CV1143" s="5" t="s">
        <v>308</v>
      </c>
      <c r="CW1143" s="7">
        <f>0</f>
        <v>0</v>
      </c>
      <c r="CX1143" s="8">
        <f>44213558</f>
        <v>44213558</v>
      </c>
      <c r="CY1143" s="8">
        <f>40897544</f>
        <v>40897544</v>
      </c>
      <c r="DA1143" s="5" t="s">
        <v>238</v>
      </c>
      <c r="DB1143" s="5" t="s">
        <v>238</v>
      </c>
      <c r="DD1143" s="5" t="s">
        <v>238</v>
      </c>
      <c r="DE1143" s="8">
        <f>0</f>
        <v>0</v>
      </c>
      <c r="DG1143" s="5" t="s">
        <v>238</v>
      </c>
      <c r="DH1143" s="5" t="s">
        <v>238</v>
      </c>
      <c r="DI1143" s="5" t="s">
        <v>238</v>
      </c>
      <c r="DJ1143" s="5" t="s">
        <v>238</v>
      </c>
      <c r="DK1143" s="5" t="s">
        <v>271</v>
      </c>
      <c r="DL1143" s="5" t="s">
        <v>272</v>
      </c>
      <c r="DM1143" s="7">
        <f>87.04</f>
        <v>87.04</v>
      </c>
      <c r="DN1143" s="5" t="s">
        <v>238</v>
      </c>
      <c r="DO1143" s="5" t="s">
        <v>238</v>
      </c>
      <c r="DP1143" s="5" t="s">
        <v>238</v>
      </c>
      <c r="DQ1143" s="5" t="s">
        <v>238</v>
      </c>
      <c r="DT1143" s="5" t="s">
        <v>738</v>
      </c>
      <c r="DU1143" s="5" t="s">
        <v>379</v>
      </c>
      <c r="GL1143" s="5" t="s">
        <v>1267</v>
      </c>
      <c r="HM1143" s="5" t="s">
        <v>310</v>
      </c>
      <c r="HP1143" s="5" t="s">
        <v>272</v>
      </c>
      <c r="HQ1143" s="5" t="s">
        <v>272</v>
      </c>
      <c r="HR1143" s="5" t="s">
        <v>238</v>
      </c>
      <c r="HS1143" s="5" t="s">
        <v>238</v>
      </c>
      <c r="HT1143" s="5" t="s">
        <v>238</v>
      </c>
      <c r="HU1143" s="5" t="s">
        <v>238</v>
      </c>
      <c r="HV1143" s="5" t="s">
        <v>238</v>
      </c>
      <c r="HW1143" s="5" t="s">
        <v>238</v>
      </c>
      <c r="HX1143" s="5" t="s">
        <v>238</v>
      </c>
      <c r="HY1143" s="5" t="s">
        <v>238</v>
      </c>
      <c r="HZ1143" s="5" t="s">
        <v>238</v>
      </c>
      <c r="IA1143" s="5" t="s">
        <v>238</v>
      </c>
      <c r="IB1143" s="5" t="s">
        <v>238</v>
      </c>
      <c r="IC1143" s="5" t="s">
        <v>238</v>
      </c>
      <c r="ID1143" s="5" t="s">
        <v>238</v>
      </c>
    </row>
    <row r="1144" spans="1:238" x14ac:dyDescent="0.4">
      <c r="A1144" s="5">
        <v>1474</v>
      </c>
      <c r="B1144" s="5">
        <v>1</v>
      </c>
      <c r="C1144" s="5">
        <v>4</v>
      </c>
      <c r="D1144" s="5" t="s">
        <v>735</v>
      </c>
      <c r="E1144" s="5" t="s">
        <v>338</v>
      </c>
      <c r="F1144" s="5" t="s">
        <v>282</v>
      </c>
      <c r="G1144" s="5" t="s">
        <v>349</v>
      </c>
      <c r="H1144" s="6" t="s">
        <v>737</v>
      </c>
      <c r="I1144" s="5" t="s">
        <v>734</v>
      </c>
      <c r="J1144" s="7">
        <f>64.75</f>
        <v>64.75</v>
      </c>
      <c r="K1144" s="5" t="s">
        <v>270</v>
      </c>
      <c r="L1144" s="8">
        <f>5732322</f>
        <v>5732322</v>
      </c>
      <c r="M1144" s="8">
        <f>6889810</f>
        <v>6889810</v>
      </c>
      <c r="N1144" s="6" t="s">
        <v>736</v>
      </c>
      <c r="O1144" s="5" t="s">
        <v>651</v>
      </c>
      <c r="P1144" s="5" t="s">
        <v>274</v>
      </c>
      <c r="Q1144" s="8">
        <f>289372</f>
        <v>289372</v>
      </c>
      <c r="R1144" s="8">
        <f>1157488</f>
        <v>1157488</v>
      </c>
      <c r="S1144" s="5" t="s">
        <v>240</v>
      </c>
      <c r="T1144" s="5" t="s">
        <v>287</v>
      </c>
      <c r="U1144" s="5" t="s">
        <v>238</v>
      </c>
      <c r="V1144" s="5" t="s">
        <v>238</v>
      </c>
      <c r="W1144" s="5" t="s">
        <v>241</v>
      </c>
      <c r="X1144" s="5" t="s">
        <v>238</v>
      </c>
      <c r="Y1144" s="5" t="s">
        <v>238</v>
      </c>
      <c r="AB1144" s="5" t="s">
        <v>238</v>
      </c>
      <c r="AC1144" s="6" t="s">
        <v>238</v>
      </c>
      <c r="AD1144" s="6" t="s">
        <v>238</v>
      </c>
      <c r="AF1144" s="6" t="s">
        <v>238</v>
      </c>
      <c r="AG1144" s="6" t="s">
        <v>246</v>
      </c>
      <c r="AH1144" s="5" t="s">
        <v>247</v>
      </c>
      <c r="AI1144" s="5" t="s">
        <v>248</v>
      </c>
      <c r="AO1144" s="5" t="s">
        <v>238</v>
      </c>
      <c r="AP1144" s="5" t="s">
        <v>238</v>
      </c>
      <c r="AQ1144" s="5" t="s">
        <v>238</v>
      </c>
      <c r="AR1144" s="6" t="s">
        <v>238</v>
      </c>
      <c r="AS1144" s="6" t="s">
        <v>238</v>
      </c>
      <c r="AT1144" s="6" t="s">
        <v>238</v>
      </c>
      <c r="AW1144" s="5" t="s">
        <v>304</v>
      </c>
      <c r="AX1144" s="5" t="s">
        <v>304</v>
      </c>
      <c r="AY1144" s="5" t="s">
        <v>250</v>
      </c>
      <c r="AZ1144" s="5" t="s">
        <v>305</v>
      </c>
      <c r="BA1144" s="5" t="s">
        <v>251</v>
      </c>
      <c r="BB1144" s="5" t="s">
        <v>238</v>
      </c>
      <c r="BC1144" s="5" t="s">
        <v>253</v>
      </c>
      <c r="BD1144" s="5" t="s">
        <v>238</v>
      </c>
      <c r="BF1144" s="5" t="s">
        <v>238</v>
      </c>
      <c r="BH1144" s="5" t="s">
        <v>283</v>
      </c>
      <c r="BI1144" s="6" t="s">
        <v>293</v>
      </c>
      <c r="BJ1144" s="5" t="s">
        <v>294</v>
      </c>
      <c r="BK1144" s="5" t="s">
        <v>294</v>
      </c>
      <c r="BL1144" s="5" t="s">
        <v>238</v>
      </c>
      <c r="BM1144" s="7">
        <f>0</f>
        <v>0</v>
      </c>
      <c r="BN1144" s="8">
        <f>-289372</f>
        <v>-289372</v>
      </c>
      <c r="BO1144" s="5" t="s">
        <v>257</v>
      </c>
      <c r="BP1144" s="5" t="s">
        <v>258</v>
      </c>
      <c r="BQ1144" s="5" t="s">
        <v>238</v>
      </c>
      <c r="BR1144" s="5" t="s">
        <v>238</v>
      </c>
      <c r="BS1144" s="5" t="s">
        <v>238</v>
      </c>
      <c r="BT1144" s="5" t="s">
        <v>238</v>
      </c>
      <c r="CC1144" s="5" t="s">
        <v>258</v>
      </c>
      <c r="CD1144" s="5" t="s">
        <v>238</v>
      </c>
      <c r="CE1144" s="5" t="s">
        <v>238</v>
      </c>
      <c r="CI1144" s="5" t="s">
        <v>259</v>
      </c>
      <c r="CJ1144" s="5" t="s">
        <v>260</v>
      </c>
      <c r="CK1144" s="5" t="s">
        <v>238</v>
      </c>
      <c r="CM1144" s="5" t="s">
        <v>402</v>
      </c>
      <c r="CN1144" s="6" t="s">
        <v>262</v>
      </c>
      <c r="CO1144" s="5" t="s">
        <v>263</v>
      </c>
      <c r="CP1144" s="5" t="s">
        <v>264</v>
      </c>
      <c r="CQ1144" s="5" t="s">
        <v>285</v>
      </c>
      <c r="CR1144" s="5" t="s">
        <v>238</v>
      </c>
      <c r="CS1144" s="5">
        <v>4.2000000000000003E-2</v>
      </c>
      <c r="CT1144" s="5" t="s">
        <v>265</v>
      </c>
      <c r="CU1144" s="5" t="s">
        <v>266</v>
      </c>
      <c r="CV1144" s="5" t="s">
        <v>331</v>
      </c>
      <c r="CW1144" s="7">
        <f>0</f>
        <v>0</v>
      </c>
      <c r="CX1144" s="8">
        <f>6889810</f>
        <v>6889810</v>
      </c>
      <c r="CY1144" s="8">
        <f>6021694</f>
        <v>6021694</v>
      </c>
      <c r="DA1144" s="5" t="s">
        <v>238</v>
      </c>
      <c r="DB1144" s="5" t="s">
        <v>238</v>
      </c>
      <c r="DD1144" s="5" t="s">
        <v>238</v>
      </c>
      <c r="DE1144" s="8">
        <f>0</f>
        <v>0</v>
      </c>
      <c r="DG1144" s="5" t="s">
        <v>238</v>
      </c>
      <c r="DH1144" s="5" t="s">
        <v>238</v>
      </c>
      <c r="DI1144" s="5" t="s">
        <v>238</v>
      </c>
      <c r="DJ1144" s="5" t="s">
        <v>238</v>
      </c>
      <c r="DK1144" s="5" t="s">
        <v>271</v>
      </c>
      <c r="DL1144" s="5" t="s">
        <v>272</v>
      </c>
      <c r="DM1144" s="7">
        <f>64.75</f>
        <v>64.75</v>
      </c>
      <c r="DN1144" s="5" t="s">
        <v>238</v>
      </c>
      <c r="DO1144" s="5" t="s">
        <v>238</v>
      </c>
      <c r="DP1144" s="5" t="s">
        <v>238</v>
      </c>
      <c r="DQ1144" s="5" t="s">
        <v>238</v>
      </c>
      <c r="DT1144" s="5" t="s">
        <v>738</v>
      </c>
      <c r="DU1144" s="5" t="s">
        <v>313</v>
      </c>
      <c r="GL1144" s="5" t="s">
        <v>739</v>
      </c>
      <c r="HM1144" s="5" t="s">
        <v>310</v>
      </c>
      <c r="HP1144" s="5" t="s">
        <v>272</v>
      </c>
      <c r="HQ1144" s="5" t="s">
        <v>272</v>
      </c>
      <c r="HR1144" s="5" t="s">
        <v>238</v>
      </c>
      <c r="HS1144" s="5" t="s">
        <v>238</v>
      </c>
      <c r="HT1144" s="5" t="s">
        <v>238</v>
      </c>
      <c r="HU1144" s="5" t="s">
        <v>238</v>
      </c>
      <c r="HV1144" s="5" t="s">
        <v>238</v>
      </c>
      <c r="HW1144" s="5" t="s">
        <v>238</v>
      </c>
      <c r="HX1144" s="5" t="s">
        <v>238</v>
      </c>
      <c r="HY1144" s="5" t="s">
        <v>238</v>
      </c>
      <c r="HZ1144" s="5" t="s">
        <v>238</v>
      </c>
      <c r="IA1144" s="5" t="s">
        <v>238</v>
      </c>
      <c r="IB1144" s="5" t="s">
        <v>238</v>
      </c>
      <c r="IC1144" s="5" t="s">
        <v>238</v>
      </c>
      <c r="ID1144" s="5" t="s">
        <v>238</v>
      </c>
    </row>
    <row r="1145" spans="1:238" x14ac:dyDescent="0.4">
      <c r="A1145" s="5">
        <v>1475</v>
      </c>
      <c r="B1145" s="5">
        <v>1</v>
      </c>
      <c r="C1145" s="5">
        <v>4</v>
      </c>
      <c r="D1145" s="5" t="s">
        <v>735</v>
      </c>
      <c r="E1145" s="5" t="s">
        <v>338</v>
      </c>
      <c r="F1145" s="5" t="s">
        <v>282</v>
      </c>
      <c r="G1145" s="5" t="s">
        <v>349</v>
      </c>
      <c r="H1145" s="6" t="s">
        <v>737</v>
      </c>
      <c r="I1145" s="5" t="s">
        <v>1447</v>
      </c>
      <c r="J1145" s="7">
        <f>86.9</f>
        <v>86.9</v>
      </c>
      <c r="K1145" s="5" t="s">
        <v>270</v>
      </c>
      <c r="L1145" s="8">
        <f>11973645</f>
        <v>11973645</v>
      </c>
      <c r="M1145" s="8">
        <f>13858385</f>
        <v>13858385</v>
      </c>
      <c r="N1145" s="6" t="s">
        <v>736</v>
      </c>
      <c r="O1145" s="5" t="s">
        <v>332</v>
      </c>
      <c r="P1145" s="5" t="s">
        <v>274</v>
      </c>
      <c r="Q1145" s="8">
        <f>471185</f>
        <v>471185</v>
      </c>
      <c r="R1145" s="8">
        <f>1884740</f>
        <v>1884740</v>
      </c>
      <c r="S1145" s="5" t="s">
        <v>240</v>
      </c>
      <c r="T1145" s="5" t="s">
        <v>287</v>
      </c>
      <c r="U1145" s="5" t="s">
        <v>238</v>
      </c>
      <c r="V1145" s="5" t="s">
        <v>238</v>
      </c>
      <c r="W1145" s="5" t="s">
        <v>241</v>
      </c>
      <c r="X1145" s="5" t="s">
        <v>238</v>
      </c>
      <c r="Y1145" s="5" t="s">
        <v>238</v>
      </c>
      <c r="AB1145" s="5" t="s">
        <v>238</v>
      </c>
      <c r="AC1145" s="6" t="s">
        <v>238</v>
      </c>
      <c r="AD1145" s="6" t="s">
        <v>238</v>
      </c>
      <c r="AF1145" s="6" t="s">
        <v>238</v>
      </c>
      <c r="AG1145" s="6" t="s">
        <v>246</v>
      </c>
      <c r="AH1145" s="5" t="s">
        <v>247</v>
      </c>
      <c r="AI1145" s="5" t="s">
        <v>248</v>
      </c>
      <c r="AO1145" s="5" t="s">
        <v>238</v>
      </c>
      <c r="AP1145" s="5" t="s">
        <v>238</v>
      </c>
      <c r="AQ1145" s="5" t="s">
        <v>238</v>
      </c>
      <c r="AR1145" s="6" t="s">
        <v>238</v>
      </c>
      <c r="AS1145" s="6" t="s">
        <v>238</v>
      </c>
      <c r="AT1145" s="6" t="s">
        <v>238</v>
      </c>
      <c r="AW1145" s="5" t="s">
        <v>304</v>
      </c>
      <c r="AX1145" s="5" t="s">
        <v>304</v>
      </c>
      <c r="AY1145" s="5" t="s">
        <v>250</v>
      </c>
      <c r="AZ1145" s="5" t="s">
        <v>305</v>
      </c>
      <c r="BA1145" s="5" t="s">
        <v>251</v>
      </c>
      <c r="BB1145" s="5" t="s">
        <v>238</v>
      </c>
      <c r="BC1145" s="5" t="s">
        <v>253</v>
      </c>
      <c r="BD1145" s="5" t="s">
        <v>238</v>
      </c>
      <c r="BF1145" s="5" t="s">
        <v>238</v>
      </c>
      <c r="BH1145" s="5" t="s">
        <v>283</v>
      </c>
      <c r="BI1145" s="6" t="s">
        <v>293</v>
      </c>
      <c r="BJ1145" s="5" t="s">
        <v>294</v>
      </c>
      <c r="BK1145" s="5" t="s">
        <v>294</v>
      </c>
      <c r="BL1145" s="5" t="s">
        <v>238</v>
      </c>
      <c r="BM1145" s="7">
        <f>0</f>
        <v>0</v>
      </c>
      <c r="BN1145" s="8">
        <f>-471185</f>
        <v>-471185</v>
      </c>
      <c r="BO1145" s="5" t="s">
        <v>257</v>
      </c>
      <c r="BP1145" s="5" t="s">
        <v>258</v>
      </c>
      <c r="BQ1145" s="5" t="s">
        <v>238</v>
      </c>
      <c r="BR1145" s="5" t="s">
        <v>238</v>
      </c>
      <c r="BS1145" s="5" t="s">
        <v>238</v>
      </c>
      <c r="BT1145" s="5" t="s">
        <v>238</v>
      </c>
      <c r="CC1145" s="5" t="s">
        <v>258</v>
      </c>
      <c r="CD1145" s="5" t="s">
        <v>238</v>
      </c>
      <c r="CE1145" s="5" t="s">
        <v>238</v>
      </c>
      <c r="CI1145" s="5" t="s">
        <v>259</v>
      </c>
      <c r="CJ1145" s="5" t="s">
        <v>260</v>
      </c>
      <c r="CK1145" s="5" t="s">
        <v>238</v>
      </c>
      <c r="CM1145" s="5" t="s">
        <v>402</v>
      </c>
      <c r="CN1145" s="6" t="s">
        <v>262</v>
      </c>
      <c r="CO1145" s="5" t="s">
        <v>263</v>
      </c>
      <c r="CP1145" s="5" t="s">
        <v>264</v>
      </c>
      <c r="CQ1145" s="5" t="s">
        <v>285</v>
      </c>
      <c r="CR1145" s="5" t="s">
        <v>238</v>
      </c>
      <c r="CS1145" s="5">
        <v>3.4000000000000002E-2</v>
      </c>
      <c r="CT1145" s="5" t="s">
        <v>265</v>
      </c>
      <c r="CU1145" s="5" t="s">
        <v>1325</v>
      </c>
      <c r="CV1145" s="5" t="s">
        <v>331</v>
      </c>
      <c r="CW1145" s="7">
        <f>0</f>
        <v>0</v>
      </c>
      <c r="CX1145" s="8">
        <f>13858385</f>
        <v>13858385</v>
      </c>
      <c r="CY1145" s="8">
        <f>12444830</f>
        <v>12444830</v>
      </c>
      <c r="DA1145" s="5" t="s">
        <v>238</v>
      </c>
      <c r="DB1145" s="5" t="s">
        <v>238</v>
      </c>
      <c r="DD1145" s="5" t="s">
        <v>238</v>
      </c>
      <c r="DE1145" s="8">
        <f>0</f>
        <v>0</v>
      </c>
      <c r="DG1145" s="5" t="s">
        <v>238</v>
      </c>
      <c r="DH1145" s="5" t="s">
        <v>238</v>
      </c>
      <c r="DI1145" s="5" t="s">
        <v>238</v>
      </c>
      <c r="DJ1145" s="5" t="s">
        <v>238</v>
      </c>
      <c r="DK1145" s="5" t="s">
        <v>271</v>
      </c>
      <c r="DL1145" s="5" t="s">
        <v>272</v>
      </c>
      <c r="DM1145" s="7">
        <f>86.9</f>
        <v>86.9</v>
      </c>
      <c r="DN1145" s="5" t="s">
        <v>238</v>
      </c>
      <c r="DO1145" s="5" t="s">
        <v>238</v>
      </c>
      <c r="DP1145" s="5" t="s">
        <v>238</v>
      </c>
      <c r="DQ1145" s="5" t="s">
        <v>238</v>
      </c>
      <c r="DT1145" s="5" t="s">
        <v>738</v>
      </c>
      <c r="DU1145" s="5" t="s">
        <v>389</v>
      </c>
      <c r="GL1145" s="5" t="s">
        <v>1448</v>
      </c>
      <c r="HM1145" s="5" t="s">
        <v>310</v>
      </c>
      <c r="HP1145" s="5" t="s">
        <v>272</v>
      </c>
      <c r="HQ1145" s="5" t="s">
        <v>272</v>
      </c>
      <c r="HR1145" s="5" t="s">
        <v>238</v>
      </c>
      <c r="HS1145" s="5" t="s">
        <v>238</v>
      </c>
      <c r="HT1145" s="5" t="s">
        <v>238</v>
      </c>
      <c r="HU1145" s="5" t="s">
        <v>238</v>
      </c>
      <c r="HV1145" s="5" t="s">
        <v>238</v>
      </c>
      <c r="HW1145" s="5" t="s">
        <v>238</v>
      </c>
      <c r="HX1145" s="5" t="s">
        <v>238</v>
      </c>
      <c r="HY1145" s="5" t="s">
        <v>238</v>
      </c>
      <c r="HZ1145" s="5" t="s">
        <v>238</v>
      </c>
      <c r="IA1145" s="5" t="s">
        <v>238</v>
      </c>
      <c r="IB1145" s="5" t="s">
        <v>238</v>
      </c>
      <c r="IC1145" s="5" t="s">
        <v>238</v>
      </c>
      <c r="ID1145" s="5" t="s">
        <v>238</v>
      </c>
    </row>
    <row r="1146" spans="1:238" x14ac:dyDescent="0.4">
      <c r="A1146" s="5">
        <v>1476</v>
      </c>
      <c r="B1146" s="5">
        <v>1</v>
      </c>
      <c r="C1146" s="5">
        <v>4</v>
      </c>
      <c r="D1146" s="5" t="s">
        <v>735</v>
      </c>
      <c r="E1146" s="5" t="s">
        <v>338</v>
      </c>
      <c r="F1146" s="5" t="s">
        <v>282</v>
      </c>
      <c r="G1146" s="5" t="s">
        <v>349</v>
      </c>
      <c r="H1146" s="6" t="s">
        <v>737</v>
      </c>
      <c r="I1146" s="5" t="s">
        <v>740</v>
      </c>
      <c r="J1146" s="7">
        <f>64</f>
        <v>64</v>
      </c>
      <c r="K1146" s="5" t="s">
        <v>270</v>
      </c>
      <c r="L1146" s="8">
        <f>6628549</f>
        <v>6628549</v>
      </c>
      <c r="M1146" s="8">
        <f>7636573</f>
        <v>7636573</v>
      </c>
      <c r="N1146" s="6" t="s">
        <v>736</v>
      </c>
      <c r="O1146" s="5" t="s">
        <v>650</v>
      </c>
      <c r="P1146" s="5" t="s">
        <v>274</v>
      </c>
      <c r="Q1146" s="8">
        <f>252006</f>
        <v>252006</v>
      </c>
      <c r="R1146" s="8">
        <f>1008024</f>
        <v>1008024</v>
      </c>
      <c r="S1146" s="5" t="s">
        <v>240</v>
      </c>
      <c r="T1146" s="5" t="s">
        <v>287</v>
      </c>
      <c r="U1146" s="5" t="s">
        <v>238</v>
      </c>
      <c r="V1146" s="5" t="s">
        <v>238</v>
      </c>
      <c r="W1146" s="5" t="s">
        <v>241</v>
      </c>
      <c r="X1146" s="5" t="s">
        <v>238</v>
      </c>
      <c r="Y1146" s="5" t="s">
        <v>238</v>
      </c>
      <c r="AB1146" s="5" t="s">
        <v>238</v>
      </c>
      <c r="AC1146" s="6" t="s">
        <v>238</v>
      </c>
      <c r="AD1146" s="6" t="s">
        <v>238</v>
      </c>
      <c r="AF1146" s="6" t="s">
        <v>238</v>
      </c>
      <c r="AG1146" s="6" t="s">
        <v>246</v>
      </c>
      <c r="AH1146" s="5" t="s">
        <v>247</v>
      </c>
      <c r="AI1146" s="5" t="s">
        <v>248</v>
      </c>
      <c r="AO1146" s="5" t="s">
        <v>238</v>
      </c>
      <c r="AP1146" s="5" t="s">
        <v>238</v>
      </c>
      <c r="AQ1146" s="5" t="s">
        <v>238</v>
      </c>
      <c r="AR1146" s="6" t="s">
        <v>238</v>
      </c>
      <c r="AS1146" s="6" t="s">
        <v>238</v>
      </c>
      <c r="AT1146" s="6" t="s">
        <v>238</v>
      </c>
      <c r="AW1146" s="5" t="s">
        <v>304</v>
      </c>
      <c r="AX1146" s="5" t="s">
        <v>304</v>
      </c>
      <c r="AY1146" s="5" t="s">
        <v>250</v>
      </c>
      <c r="AZ1146" s="5" t="s">
        <v>305</v>
      </c>
      <c r="BA1146" s="5" t="s">
        <v>251</v>
      </c>
      <c r="BB1146" s="5" t="s">
        <v>238</v>
      </c>
      <c r="BC1146" s="5" t="s">
        <v>253</v>
      </c>
      <c r="BD1146" s="5" t="s">
        <v>238</v>
      </c>
      <c r="BF1146" s="5" t="s">
        <v>238</v>
      </c>
      <c r="BH1146" s="5" t="s">
        <v>283</v>
      </c>
      <c r="BI1146" s="6" t="s">
        <v>293</v>
      </c>
      <c r="BJ1146" s="5" t="s">
        <v>294</v>
      </c>
      <c r="BK1146" s="5" t="s">
        <v>294</v>
      </c>
      <c r="BL1146" s="5" t="s">
        <v>238</v>
      </c>
      <c r="BM1146" s="7">
        <f>0</f>
        <v>0</v>
      </c>
      <c r="BN1146" s="8">
        <f>-252006</f>
        <v>-252006</v>
      </c>
      <c r="BO1146" s="5" t="s">
        <v>257</v>
      </c>
      <c r="BP1146" s="5" t="s">
        <v>258</v>
      </c>
      <c r="BQ1146" s="5" t="s">
        <v>238</v>
      </c>
      <c r="BR1146" s="5" t="s">
        <v>238</v>
      </c>
      <c r="BS1146" s="5" t="s">
        <v>238</v>
      </c>
      <c r="BT1146" s="5" t="s">
        <v>238</v>
      </c>
      <c r="CC1146" s="5" t="s">
        <v>258</v>
      </c>
      <c r="CD1146" s="5" t="s">
        <v>238</v>
      </c>
      <c r="CE1146" s="5" t="s">
        <v>238</v>
      </c>
      <c r="CI1146" s="5" t="s">
        <v>259</v>
      </c>
      <c r="CJ1146" s="5" t="s">
        <v>260</v>
      </c>
      <c r="CK1146" s="5" t="s">
        <v>238</v>
      </c>
      <c r="CM1146" s="5" t="s">
        <v>402</v>
      </c>
      <c r="CN1146" s="6" t="s">
        <v>262</v>
      </c>
      <c r="CO1146" s="5" t="s">
        <v>263</v>
      </c>
      <c r="CP1146" s="5" t="s">
        <v>264</v>
      </c>
      <c r="CQ1146" s="5" t="s">
        <v>285</v>
      </c>
      <c r="CR1146" s="5" t="s">
        <v>238</v>
      </c>
      <c r="CS1146" s="5">
        <v>3.3000000000000002E-2</v>
      </c>
      <c r="CT1146" s="5" t="s">
        <v>265</v>
      </c>
      <c r="CU1146" s="5" t="s">
        <v>266</v>
      </c>
      <c r="CV1146" s="5" t="s">
        <v>741</v>
      </c>
      <c r="CW1146" s="7">
        <f>0</f>
        <v>0</v>
      </c>
      <c r="CX1146" s="8">
        <f>7636573</f>
        <v>7636573</v>
      </c>
      <c r="CY1146" s="8">
        <f>6880555</f>
        <v>6880555</v>
      </c>
      <c r="DA1146" s="5" t="s">
        <v>238</v>
      </c>
      <c r="DB1146" s="5" t="s">
        <v>238</v>
      </c>
      <c r="DD1146" s="5" t="s">
        <v>238</v>
      </c>
      <c r="DE1146" s="8">
        <f>0</f>
        <v>0</v>
      </c>
      <c r="DG1146" s="5" t="s">
        <v>238</v>
      </c>
      <c r="DH1146" s="5" t="s">
        <v>238</v>
      </c>
      <c r="DI1146" s="5" t="s">
        <v>238</v>
      </c>
      <c r="DJ1146" s="5" t="s">
        <v>238</v>
      </c>
      <c r="DK1146" s="5" t="s">
        <v>271</v>
      </c>
      <c r="DL1146" s="5" t="s">
        <v>272</v>
      </c>
      <c r="DM1146" s="7">
        <f>64</f>
        <v>64</v>
      </c>
      <c r="DN1146" s="5" t="s">
        <v>238</v>
      </c>
      <c r="DO1146" s="5" t="s">
        <v>238</v>
      </c>
      <c r="DP1146" s="5" t="s">
        <v>238</v>
      </c>
      <c r="DQ1146" s="5" t="s">
        <v>238</v>
      </c>
      <c r="DT1146" s="5" t="s">
        <v>738</v>
      </c>
      <c r="DU1146" s="5" t="s">
        <v>354</v>
      </c>
      <c r="GL1146" s="5" t="s">
        <v>742</v>
      </c>
      <c r="HM1146" s="5" t="s">
        <v>310</v>
      </c>
      <c r="HP1146" s="5" t="s">
        <v>272</v>
      </c>
      <c r="HQ1146" s="5" t="s">
        <v>272</v>
      </c>
      <c r="HR1146" s="5" t="s">
        <v>238</v>
      </c>
      <c r="HS1146" s="5" t="s">
        <v>238</v>
      </c>
      <c r="HT1146" s="5" t="s">
        <v>238</v>
      </c>
      <c r="HU1146" s="5" t="s">
        <v>238</v>
      </c>
      <c r="HV1146" s="5" t="s">
        <v>238</v>
      </c>
      <c r="HW1146" s="5" t="s">
        <v>238</v>
      </c>
      <c r="HX1146" s="5" t="s">
        <v>238</v>
      </c>
      <c r="HY1146" s="5" t="s">
        <v>238</v>
      </c>
      <c r="HZ1146" s="5" t="s">
        <v>238</v>
      </c>
      <c r="IA1146" s="5" t="s">
        <v>238</v>
      </c>
      <c r="IB1146" s="5" t="s">
        <v>238</v>
      </c>
      <c r="IC1146" s="5" t="s">
        <v>238</v>
      </c>
      <c r="ID1146" s="5" t="s">
        <v>238</v>
      </c>
    </row>
    <row r="1147" spans="1:238" x14ac:dyDescent="0.4">
      <c r="A1147" s="5">
        <v>1477</v>
      </c>
      <c r="B1147" s="5">
        <v>1</v>
      </c>
      <c r="C1147" s="5">
        <v>4</v>
      </c>
      <c r="D1147" s="5" t="s">
        <v>735</v>
      </c>
      <c r="E1147" s="5" t="s">
        <v>338</v>
      </c>
      <c r="F1147" s="5" t="s">
        <v>282</v>
      </c>
      <c r="G1147" s="5" t="s">
        <v>349</v>
      </c>
      <c r="H1147" s="6" t="s">
        <v>737</v>
      </c>
      <c r="I1147" s="5" t="s">
        <v>743</v>
      </c>
      <c r="J1147" s="7">
        <f>28.56</f>
        <v>28.56</v>
      </c>
      <c r="K1147" s="5" t="s">
        <v>270</v>
      </c>
      <c r="L1147" s="8">
        <f>2655331</f>
        <v>2655331</v>
      </c>
      <c r="M1147" s="8">
        <f>3191499</f>
        <v>3191499</v>
      </c>
      <c r="N1147" s="6" t="s">
        <v>736</v>
      </c>
      <c r="O1147" s="5" t="s">
        <v>651</v>
      </c>
      <c r="P1147" s="5" t="s">
        <v>274</v>
      </c>
      <c r="Q1147" s="8">
        <f>134042</f>
        <v>134042</v>
      </c>
      <c r="R1147" s="8">
        <f>536168</f>
        <v>536168</v>
      </c>
      <c r="S1147" s="5" t="s">
        <v>240</v>
      </c>
      <c r="T1147" s="5" t="s">
        <v>287</v>
      </c>
      <c r="U1147" s="5" t="s">
        <v>238</v>
      </c>
      <c r="V1147" s="5" t="s">
        <v>238</v>
      </c>
      <c r="W1147" s="5" t="s">
        <v>241</v>
      </c>
      <c r="X1147" s="5" t="s">
        <v>238</v>
      </c>
      <c r="Y1147" s="5" t="s">
        <v>238</v>
      </c>
      <c r="AB1147" s="5" t="s">
        <v>238</v>
      </c>
      <c r="AC1147" s="6" t="s">
        <v>238</v>
      </c>
      <c r="AD1147" s="6" t="s">
        <v>238</v>
      </c>
      <c r="AF1147" s="6" t="s">
        <v>238</v>
      </c>
      <c r="AG1147" s="6" t="s">
        <v>246</v>
      </c>
      <c r="AH1147" s="5" t="s">
        <v>247</v>
      </c>
      <c r="AI1147" s="5" t="s">
        <v>248</v>
      </c>
      <c r="AO1147" s="5" t="s">
        <v>238</v>
      </c>
      <c r="AP1147" s="5" t="s">
        <v>238</v>
      </c>
      <c r="AQ1147" s="5" t="s">
        <v>238</v>
      </c>
      <c r="AR1147" s="6" t="s">
        <v>238</v>
      </c>
      <c r="AS1147" s="6" t="s">
        <v>238</v>
      </c>
      <c r="AT1147" s="6" t="s">
        <v>238</v>
      </c>
      <c r="AW1147" s="5" t="s">
        <v>304</v>
      </c>
      <c r="AX1147" s="5" t="s">
        <v>304</v>
      </c>
      <c r="AY1147" s="5" t="s">
        <v>250</v>
      </c>
      <c r="AZ1147" s="5" t="s">
        <v>305</v>
      </c>
      <c r="BA1147" s="5" t="s">
        <v>251</v>
      </c>
      <c r="BB1147" s="5" t="s">
        <v>238</v>
      </c>
      <c r="BC1147" s="5" t="s">
        <v>253</v>
      </c>
      <c r="BD1147" s="5" t="s">
        <v>238</v>
      </c>
      <c r="BF1147" s="5" t="s">
        <v>238</v>
      </c>
      <c r="BH1147" s="5" t="s">
        <v>283</v>
      </c>
      <c r="BI1147" s="6" t="s">
        <v>293</v>
      </c>
      <c r="BJ1147" s="5" t="s">
        <v>294</v>
      </c>
      <c r="BK1147" s="5" t="s">
        <v>294</v>
      </c>
      <c r="BL1147" s="5" t="s">
        <v>238</v>
      </c>
      <c r="BM1147" s="7">
        <f>0</f>
        <v>0</v>
      </c>
      <c r="BN1147" s="8">
        <f>-134042</f>
        <v>-134042</v>
      </c>
      <c r="BO1147" s="5" t="s">
        <v>257</v>
      </c>
      <c r="BP1147" s="5" t="s">
        <v>258</v>
      </c>
      <c r="BQ1147" s="5" t="s">
        <v>238</v>
      </c>
      <c r="BR1147" s="5" t="s">
        <v>238</v>
      </c>
      <c r="BS1147" s="5" t="s">
        <v>238</v>
      </c>
      <c r="BT1147" s="5" t="s">
        <v>238</v>
      </c>
      <c r="CC1147" s="5" t="s">
        <v>258</v>
      </c>
      <c r="CD1147" s="5" t="s">
        <v>238</v>
      </c>
      <c r="CE1147" s="5" t="s">
        <v>238</v>
      </c>
      <c r="CI1147" s="5" t="s">
        <v>259</v>
      </c>
      <c r="CJ1147" s="5" t="s">
        <v>260</v>
      </c>
      <c r="CK1147" s="5" t="s">
        <v>238</v>
      </c>
      <c r="CM1147" s="5" t="s">
        <v>402</v>
      </c>
      <c r="CN1147" s="6" t="s">
        <v>262</v>
      </c>
      <c r="CO1147" s="5" t="s">
        <v>263</v>
      </c>
      <c r="CP1147" s="5" t="s">
        <v>264</v>
      </c>
      <c r="CQ1147" s="5" t="s">
        <v>285</v>
      </c>
      <c r="CR1147" s="5" t="s">
        <v>238</v>
      </c>
      <c r="CS1147" s="5">
        <v>4.2000000000000003E-2</v>
      </c>
      <c r="CT1147" s="5" t="s">
        <v>265</v>
      </c>
      <c r="CU1147" s="5" t="s">
        <v>266</v>
      </c>
      <c r="CV1147" s="5" t="s">
        <v>331</v>
      </c>
      <c r="CW1147" s="7">
        <f>0</f>
        <v>0</v>
      </c>
      <c r="CX1147" s="8">
        <f>3191499</f>
        <v>3191499</v>
      </c>
      <c r="CY1147" s="8">
        <f>2789373</f>
        <v>2789373</v>
      </c>
      <c r="DA1147" s="5" t="s">
        <v>238</v>
      </c>
      <c r="DB1147" s="5" t="s">
        <v>238</v>
      </c>
      <c r="DD1147" s="5" t="s">
        <v>238</v>
      </c>
      <c r="DE1147" s="8">
        <f>0</f>
        <v>0</v>
      </c>
      <c r="DG1147" s="5" t="s">
        <v>238</v>
      </c>
      <c r="DH1147" s="5" t="s">
        <v>238</v>
      </c>
      <c r="DI1147" s="5" t="s">
        <v>238</v>
      </c>
      <c r="DJ1147" s="5" t="s">
        <v>238</v>
      </c>
      <c r="DK1147" s="5" t="s">
        <v>271</v>
      </c>
      <c r="DL1147" s="5" t="s">
        <v>272</v>
      </c>
      <c r="DM1147" s="7">
        <f>28.56</f>
        <v>28.56</v>
      </c>
      <c r="DN1147" s="5" t="s">
        <v>238</v>
      </c>
      <c r="DO1147" s="5" t="s">
        <v>238</v>
      </c>
      <c r="DP1147" s="5" t="s">
        <v>238</v>
      </c>
      <c r="DQ1147" s="5" t="s">
        <v>238</v>
      </c>
      <c r="DT1147" s="5" t="s">
        <v>738</v>
      </c>
      <c r="DU1147" s="5" t="s">
        <v>361</v>
      </c>
      <c r="GL1147" s="5" t="s">
        <v>744</v>
      </c>
      <c r="HM1147" s="5" t="s">
        <v>310</v>
      </c>
      <c r="HP1147" s="5" t="s">
        <v>272</v>
      </c>
      <c r="HQ1147" s="5" t="s">
        <v>272</v>
      </c>
      <c r="HR1147" s="5" t="s">
        <v>238</v>
      </c>
      <c r="HS1147" s="5" t="s">
        <v>238</v>
      </c>
      <c r="HT1147" s="5" t="s">
        <v>238</v>
      </c>
      <c r="HU1147" s="5" t="s">
        <v>238</v>
      </c>
      <c r="HV1147" s="5" t="s">
        <v>238</v>
      </c>
      <c r="HW1147" s="5" t="s">
        <v>238</v>
      </c>
      <c r="HX1147" s="5" t="s">
        <v>238</v>
      </c>
      <c r="HY1147" s="5" t="s">
        <v>238</v>
      </c>
      <c r="HZ1147" s="5" t="s">
        <v>238</v>
      </c>
      <c r="IA1147" s="5" t="s">
        <v>238</v>
      </c>
      <c r="IB1147" s="5" t="s">
        <v>238</v>
      </c>
      <c r="IC1147" s="5" t="s">
        <v>238</v>
      </c>
      <c r="ID1147" s="5" t="s">
        <v>238</v>
      </c>
    </row>
    <row r="1148" spans="1:238" x14ac:dyDescent="0.4">
      <c r="A1148" s="5">
        <v>1478</v>
      </c>
      <c r="B1148" s="5">
        <v>1</v>
      </c>
      <c r="C1148" s="5">
        <v>4</v>
      </c>
      <c r="D1148" s="5" t="s">
        <v>735</v>
      </c>
      <c r="E1148" s="5" t="s">
        <v>338</v>
      </c>
      <c r="F1148" s="5" t="s">
        <v>282</v>
      </c>
      <c r="G1148" s="5" t="s">
        <v>349</v>
      </c>
      <c r="H1148" s="6" t="s">
        <v>737</v>
      </c>
      <c r="I1148" s="5" t="s">
        <v>745</v>
      </c>
      <c r="J1148" s="7">
        <f>79.25</f>
        <v>79.25</v>
      </c>
      <c r="K1148" s="5" t="s">
        <v>270</v>
      </c>
      <c r="L1148" s="8">
        <f>1535855</f>
        <v>1535855</v>
      </c>
      <c r="M1148" s="8">
        <f>1845975</f>
        <v>1845975</v>
      </c>
      <c r="N1148" s="6" t="s">
        <v>736</v>
      </c>
      <c r="O1148" s="5" t="s">
        <v>651</v>
      </c>
      <c r="P1148" s="5" t="s">
        <v>274</v>
      </c>
      <c r="Q1148" s="8">
        <f>77530</f>
        <v>77530</v>
      </c>
      <c r="R1148" s="8">
        <f>310120</f>
        <v>310120</v>
      </c>
      <c r="S1148" s="5" t="s">
        <v>240</v>
      </c>
      <c r="T1148" s="5" t="s">
        <v>287</v>
      </c>
      <c r="U1148" s="5" t="s">
        <v>238</v>
      </c>
      <c r="V1148" s="5" t="s">
        <v>238</v>
      </c>
      <c r="W1148" s="5" t="s">
        <v>241</v>
      </c>
      <c r="X1148" s="5" t="s">
        <v>238</v>
      </c>
      <c r="Y1148" s="5" t="s">
        <v>238</v>
      </c>
      <c r="AB1148" s="5" t="s">
        <v>238</v>
      </c>
      <c r="AC1148" s="6" t="s">
        <v>238</v>
      </c>
      <c r="AD1148" s="6" t="s">
        <v>238</v>
      </c>
      <c r="AF1148" s="6" t="s">
        <v>238</v>
      </c>
      <c r="AG1148" s="6" t="s">
        <v>246</v>
      </c>
      <c r="AH1148" s="5" t="s">
        <v>247</v>
      </c>
      <c r="AI1148" s="5" t="s">
        <v>248</v>
      </c>
      <c r="AO1148" s="5" t="s">
        <v>238</v>
      </c>
      <c r="AP1148" s="5" t="s">
        <v>238</v>
      </c>
      <c r="AQ1148" s="5" t="s">
        <v>238</v>
      </c>
      <c r="AR1148" s="6" t="s">
        <v>238</v>
      </c>
      <c r="AS1148" s="6" t="s">
        <v>238</v>
      </c>
      <c r="AT1148" s="6" t="s">
        <v>238</v>
      </c>
      <c r="AW1148" s="5" t="s">
        <v>304</v>
      </c>
      <c r="AX1148" s="5" t="s">
        <v>304</v>
      </c>
      <c r="AY1148" s="5" t="s">
        <v>250</v>
      </c>
      <c r="AZ1148" s="5" t="s">
        <v>305</v>
      </c>
      <c r="BA1148" s="5" t="s">
        <v>251</v>
      </c>
      <c r="BB1148" s="5" t="s">
        <v>238</v>
      </c>
      <c r="BC1148" s="5" t="s">
        <v>253</v>
      </c>
      <c r="BD1148" s="5" t="s">
        <v>238</v>
      </c>
      <c r="BF1148" s="5" t="s">
        <v>238</v>
      </c>
      <c r="BH1148" s="5" t="s">
        <v>283</v>
      </c>
      <c r="BI1148" s="6" t="s">
        <v>293</v>
      </c>
      <c r="BJ1148" s="5" t="s">
        <v>294</v>
      </c>
      <c r="BK1148" s="5" t="s">
        <v>294</v>
      </c>
      <c r="BL1148" s="5" t="s">
        <v>238</v>
      </c>
      <c r="BM1148" s="7">
        <f>0</f>
        <v>0</v>
      </c>
      <c r="BN1148" s="8">
        <f>-77530</f>
        <v>-77530</v>
      </c>
      <c r="BO1148" s="5" t="s">
        <v>257</v>
      </c>
      <c r="BP1148" s="5" t="s">
        <v>258</v>
      </c>
      <c r="BQ1148" s="5" t="s">
        <v>238</v>
      </c>
      <c r="BR1148" s="5" t="s">
        <v>238</v>
      </c>
      <c r="BS1148" s="5" t="s">
        <v>238</v>
      </c>
      <c r="BT1148" s="5" t="s">
        <v>238</v>
      </c>
      <c r="CC1148" s="5" t="s">
        <v>258</v>
      </c>
      <c r="CD1148" s="5" t="s">
        <v>238</v>
      </c>
      <c r="CE1148" s="5" t="s">
        <v>238</v>
      </c>
      <c r="CI1148" s="5" t="s">
        <v>259</v>
      </c>
      <c r="CJ1148" s="5" t="s">
        <v>260</v>
      </c>
      <c r="CK1148" s="5" t="s">
        <v>238</v>
      </c>
      <c r="CM1148" s="5" t="s">
        <v>402</v>
      </c>
      <c r="CN1148" s="6" t="s">
        <v>262</v>
      </c>
      <c r="CO1148" s="5" t="s">
        <v>263</v>
      </c>
      <c r="CP1148" s="5" t="s">
        <v>264</v>
      </c>
      <c r="CQ1148" s="5" t="s">
        <v>285</v>
      </c>
      <c r="CR1148" s="5" t="s">
        <v>238</v>
      </c>
      <c r="CS1148" s="5">
        <v>4.2000000000000003E-2</v>
      </c>
      <c r="CT1148" s="5" t="s">
        <v>265</v>
      </c>
      <c r="CU1148" s="5" t="s">
        <v>266</v>
      </c>
      <c r="CV1148" s="5" t="s">
        <v>331</v>
      </c>
      <c r="CW1148" s="7">
        <f>0</f>
        <v>0</v>
      </c>
      <c r="CX1148" s="8">
        <f>1845975</f>
        <v>1845975</v>
      </c>
      <c r="CY1148" s="8">
        <f>1613385</f>
        <v>1613385</v>
      </c>
      <c r="DA1148" s="5" t="s">
        <v>238</v>
      </c>
      <c r="DB1148" s="5" t="s">
        <v>238</v>
      </c>
      <c r="DD1148" s="5" t="s">
        <v>238</v>
      </c>
      <c r="DE1148" s="8">
        <f>0</f>
        <v>0</v>
      </c>
      <c r="DG1148" s="5" t="s">
        <v>238</v>
      </c>
      <c r="DH1148" s="5" t="s">
        <v>238</v>
      </c>
      <c r="DI1148" s="5" t="s">
        <v>238</v>
      </c>
      <c r="DJ1148" s="5" t="s">
        <v>238</v>
      </c>
      <c r="DK1148" s="5" t="s">
        <v>271</v>
      </c>
      <c r="DL1148" s="5" t="s">
        <v>272</v>
      </c>
      <c r="DM1148" s="7">
        <f>79.25</f>
        <v>79.25</v>
      </c>
      <c r="DN1148" s="5" t="s">
        <v>238</v>
      </c>
      <c r="DO1148" s="5" t="s">
        <v>238</v>
      </c>
      <c r="DP1148" s="5" t="s">
        <v>238</v>
      </c>
      <c r="DQ1148" s="5" t="s">
        <v>238</v>
      </c>
      <c r="DT1148" s="5" t="s">
        <v>738</v>
      </c>
      <c r="DU1148" s="5" t="s">
        <v>377</v>
      </c>
      <c r="GL1148" s="5" t="s">
        <v>746</v>
      </c>
      <c r="HM1148" s="5" t="s">
        <v>310</v>
      </c>
      <c r="HP1148" s="5" t="s">
        <v>272</v>
      </c>
      <c r="HQ1148" s="5" t="s">
        <v>272</v>
      </c>
      <c r="HR1148" s="5" t="s">
        <v>238</v>
      </c>
      <c r="HS1148" s="5" t="s">
        <v>238</v>
      </c>
      <c r="HT1148" s="5" t="s">
        <v>238</v>
      </c>
      <c r="HU1148" s="5" t="s">
        <v>238</v>
      </c>
      <c r="HV1148" s="5" t="s">
        <v>238</v>
      </c>
      <c r="HW1148" s="5" t="s">
        <v>238</v>
      </c>
      <c r="HX1148" s="5" t="s">
        <v>238</v>
      </c>
      <c r="HY1148" s="5" t="s">
        <v>238</v>
      </c>
      <c r="HZ1148" s="5" t="s">
        <v>238</v>
      </c>
      <c r="IA1148" s="5" t="s">
        <v>238</v>
      </c>
      <c r="IB1148" s="5" t="s">
        <v>238</v>
      </c>
      <c r="IC1148" s="5" t="s">
        <v>238</v>
      </c>
      <c r="ID1148" s="5" t="s">
        <v>238</v>
      </c>
    </row>
    <row r="1149" spans="1:238" x14ac:dyDescent="0.4">
      <c r="A1149" s="5">
        <v>1479</v>
      </c>
      <c r="B1149" s="5">
        <v>1</v>
      </c>
      <c r="C1149" s="5">
        <v>4</v>
      </c>
      <c r="D1149" s="5" t="s">
        <v>2125</v>
      </c>
      <c r="E1149" s="5" t="s">
        <v>1205</v>
      </c>
      <c r="F1149" s="5" t="s">
        <v>282</v>
      </c>
      <c r="G1149" s="5" t="s">
        <v>1905</v>
      </c>
      <c r="H1149" s="6" t="s">
        <v>303</v>
      </c>
      <c r="I1149" s="5" t="s">
        <v>1902</v>
      </c>
      <c r="J1149" s="7">
        <f>801.59</f>
        <v>801.59</v>
      </c>
      <c r="K1149" s="5" t="s">
        <v>270</v>
      </c>
      <c r="L1149" s="8">
        <f>156726896</f>
        <v>156726896</v>
      </c>
      <c r="M1149" s="8">
        <f>301397840</f>
        <v>301397840</v>
      </c>
      <c r="N1149" s="6" t="s">
        <v>2126</v>
      </c>
      <c r="O1149" s="5" t="s">
        <v>279</v>
      </c>
      <c r="P1149" s="5" t="s">
        <v>286</v>
      </c>
      <c r="Q1149" s="8">
        <f>6027956</f>
        <v>6027956</v>
      </c>
      <c r="R1149" s="8">
        <f>144670944</f>
        <v>144670944</v>
      </c>
      <c r="S1149" s="5" t="s">
        <v>240</v>
      </c>
      <c r="T1149" s="5" t="s">
        <v>237</v>
      </c>
      <c r="U1149" s="5" t="s">
        <v>238</v>
      </c>
      <c r="V1149" s="5" t="s">
        <v>238</v>
      </c>
      <c r="W1149" s="5" t="s">
        <v>241</v>
      </c>
      <c r="X1149" s="5" t="s">
        <v>802</v>
      </c>
      <c r="Y1149" s="5" t="s">
        <v>238</v>
      </c>
      <c r="AB1149" s="5" t="s">
        <v>238</v>
      </c>
      <c r="AC1149" s="6" t="s">
        <v>238</v>
      </c>
      <c r="AD1149" s="6" t="s">
        <v>238</v>
      </c>
      <c r="AF1149" s="6" t="s">
        <v>238</v>
      </c>
      <c r="AG1149" s="6" t="s">
        <v>246</v>
      </c>
      <c r="AH1149" s="5" t="s">
        <v>247</v>
      </c>
      <c r="AI1149" s="5" t="s">
        <v>248</v>
      </c>
      <c r="AO1149" s="5" t="s">
        <v>238</v>
      </c>
      <c r="AP1149" s="5" t="s">
        <v>238</v>
      </c>
      <c r="AQ1149" s="5" t="s">
        <v>238</v>
      </c>
      <c r="AR1149" s="6" t="s">
        <v>238</v>
      </c>
      <c r="AS1149" s="6" t="s">
        <v>238</v>
      </c>
      <c r="AT1149" s="6" t="s">
        <v>238</v>
      </c>
      <c r="AW1149" s="5" t="s">
        <v>304</v>
      </c>
      <c r="AX1149" s="5" t="s">
        <v>304</v>
      </c>
      <c r="AY1149" s="5" t="s">
        <v>250</v>
      </c>
      <c r="AZ1149" s="5" t="s">
        <v>305</v>
      </c>
      <c r="BA1149" s="5" t="s">
        <v>251</v>
      </c>
      <c r="BB1149" s="5" t="s">
        <v>238</v>
      </c>
      <c r="BC1149" s="5" t="s">
        <v>253</v>
      </c>
      <c r="BD1149" s="5" t="s">
        <v>238</v>
      </c>
      <c r="BF1149" s="5" t="s">
        <v>238</v>
      </c>
      <c r="BH1149" s="5" t="s">
        <v>283</v>
      </c>
      <c r="BI1149" s="6" t="s">
        <v>293</v>
      </c>
      <c r="BJ1149" s="5" t="s">
        <v>294</v>
      </c>
      <c r="BK1149" s="5" t="s">
        <v>294</v>
      </c>
      <c r="BL1149" s="5" t="s">
        <v>238</v>
      </c>
      <c r="BM1149" s="7">
        <f>0</f>
        <v>0</v>
      </c>
      <c r="BN1149" s="8">
        <f>-6027956</f>
        <v>-6027956</v>
      </c>
      <c r="BO1149" s="5" t="s">
        <v>257</v>
      </c>
      <c r="BP1149" s="5" t="s">
        <v>258</v>
      </c>
      <c r="BQ1149" s="5" t="s">
        <v>238</v>
      </c>
      <c r="BR1149" s="5" t="s">
        <v>238</v>
      </c>
      <c r="BS1149" s="5" t="s">
        <v>238</v>
      </c>
      <c r="BT1149" s="5" t="s">
        <v>238</v>
      </c>
      <c r="CC1149" s="5" t="s">
        <v>258</v>
      </c>
      <c r="CD1149" s="5" t="s">
        <v>238</v>
      </c>
      <c r="CE1149" s="5" t="s">
        <v>238</v>
      </c>
      <c r="CI1149" s="5" t="s">
        <v>259</v>
      </c>
      <c r="CJ1149" s="5" t="s">
        <v>260</v>
      </c>
      <c r="CK1149" s="5" t="s">
        <v>238</v>
      </c>
      <c r="CM1149" s="5" t="s">
        <v>330</v>
      </c>
      <c r="CN1149" s="6" t="s">
        <v>262</v>
      </c>
      <c r="CO1149" s="5" t="s">
        <v>263</v>
      </c>
      <c r="CP1149" s="5" t="s">
        <v>264</v>
      </c>
      <c r="CQ1149" s="5" t="s">
        <v>285</v>
      </c>
      <c r="CR1149" s="5" t="s">
        <v>238</v>
      </c>
      <c r="CS1149" s="5">
        <v>0.02</v>
      </c>
      <c r="CT1149" s="5" t="s">
        <v>265</v>
      </c>
      <c r="CU1149" s="5" t="s">
        <v>2099</v>
      </c>
      <c r="CV1149" s="5" t="s">
        <v>308</v>
      </c>
      <c r="CW1149" s="7">
        <f>0</f>
        <v>0</v>
      </c>
      <c r="CX1149" s="8">
        <f>301397840</f>
        <v>301397840</v>
      </c>
      <c r="CY1149" s="8">
        <f>162754852</f>
        <v>162754852</v>
      </c>
      <c r="DA1149" s="5" t="s">
        <v>238</v>
      </c>
      <c r="DB1149" s="5" t="s">
        <v>238</v>
      </c>
      <c r="DD1149" s="5" t="s">
        <v>238</v>
      </c>
      <c r="DE1149" s="8">
        <f>0</f>
        <v>0</v>
      </c>
      <c r="DG1149" s="5" t="s">
        <v>238</v>
      </c>
      <c r="DH1149" s="5" t="s">
        <v>238</v>
      </c>
      <c r="DI1149" s="5" t="s">
        <v>238</v>
      </c>
      <c r="DJ1149" s="5" t="s">
        <v>238</v>
      </c>
      <c r="DK1149" s="5" t="s">
        <v>271</v>
      </c>
      <c r="DL1149" s="5" t="s">
        <v>272</v>
      </c>
      <c r="DM1149" s="7">
        <f>801.59</f>
        <v>801.59</v>
      </c>
      <c r="DN1149" s="5" t="s">
        <v>238</v>
      </c>
      <c r="DO1149" s="5" t="s">
        <v>238</v>
      </c>
      <c r="DP1149" s="5" t="s">
        <v>238</v>
      </c>
      <c r="DQ1149" s="5" t="s">
        <v>238</v>
      </c>
      <c r="DT1149" s="5" t="s">
        <v>2127</v>
      </c>
      <c r="DU1149" s="5" t="s">
        <v>271</v>
      </c>
      <c r="GL1149" s="5" t="s">
        <v>2128</v>
      </c>
      <c r="HM1149" s="5" t="s">
        <v>313</v>
      </c>
      <c r="HP1149" s="5" t="s">
        <v>272</v>
      </c>
      <c r="HQ1149" s="5" t="s">
        <v>272</v>
      </c>
      <c r="HR1149" s="5" t="s">
        <v>238</v>
      </c>
      <c r="HS1149" s="5" t="s">
        <v>238</v>
      </c>
      <c r="HT1149" s="5" t="s">
        <v>238</v>
      </c>
      <c r="HU1149" s="5" t="s">
        <v>238</v>
      </c>
      <c r="HV1149" s="5" t="s">
        <v>238</v>
      </c>
      <c r="HW1149" s="5" t="s">
        <v>238</v>
      </c>
      <c r="HX1149" s="5" t="s">
        <v>238</v>
      </c>
      <c r="HY1149" s="5" t="s">
        <v>238</v>
      </c>
      <c r="HZ1149" s="5" t="s">
        <v>238</v>
      </c>
      <c r="IA1149" s="5" t="s">
        <v>238</v>
      </c>
      <c r="IB1149" s="5" t="s">
        <v>238</v>
      </c>
      <c r="IC1149" s="5" t="s">
        <v>238</v>
      </c>
      <c r="ID1149" s="5" t="s">
        <v>238</v>
      </c>
    </row>
    <row r="1150" spans="1:238" x14ac:dyDescent="0.4">
      <c r="A1150" s="5">
        <v>1480</v>
      </c>
      <c r="B1150" s="5">
        <v>1</v>
      </c>
      <c r="C1150" s="5">
        <v>4</v>
      </c>
      <c r="D1150" s="5" t="s">
        <v>1903</v>
      </c>
      <c r="E1150" s="5" t="s">
        <v>1205</v>
      </c>
      <c r="F1150" s="5" t="s">
        <v>282</v>
      </c>
      <c r="G1150" s="5" t="s">
        <v>1905</v>
      </c>
      <c r="H1150" s="6" t="s">
        <v>1906</v>
      </c>
      <c r="I1150" s="5" t="s">
        <v>1902</v>
      </c>
      <c r="J1150" s="7">
        <f>1463.36</f>
        <v>1463.36</v>
      </c>
      <c r="K1150" s="5" t="s">
        <v>270</v>
      </c>
      <c r="L1150" s="8">
        <f>213123756</f>
        <v>213123756</v>
      </c>
      <c r="M1150" s="8">
        <f>484372160</f>
        <v>484372160</v>
      </c>
      <c r="N1150" s="6" t="s">
        <v>1904</v>
      </c>
      <c r="O1150" s="5" t="s">
        <v>279</v>
      </c>
      <c r="P1150" s="5" t="s">
        <v>1035</v>
      </c>
      <c r="Q1150" s="8">
        <f>9687443</f>
        <v>9687443</v>
      </c>
      <c r="R1150" s="8">
        <f>271248404</f>
        <v>271248404</v>
      </c>
      <c r="S1150" s="5" t="s">
        <v>240</v>
      </c>
      <c r="T1150" s="5" t="s">
        <v>237</v>
      </c>
      <c r="U1150" s="5" t="s">
        <v>238</v>
      </c>
      <c r="V1150" s="5" t="s">
        <v>238</v>
      </c>
      <c r="W1150" s="5" t="s">
        <v>241</v>
      </c>
      <c r="X1150" s="5" t="s">
        <v>802</v>
      </c>
      <c r="Y1150" s="5" t="s">
        <v>238</v>
      </c>
      <c r="AB1150" s="5" t="s">
        <v>238</v>
      </c>
      <c r="AC1150" s="6" t="s">
        <v>238</v>
      </c>
      <c r="AD1150" s="6" t="s">
        <v>238</v>
      </c>
      <c r="AF1150" s="6" t="s">
        <v>238</v>
      </c>
      <c r="AG1150" s="6" t="s">
        <v>246</v>
      </c>
      <c r="AH1150" s="5" t="s">
        <v>247</v>
      </c>
      <c r="AI1150" s="5" t="s">
        <v>248</v>
      </c>
      <c r="AO1150" s="5" t="s">
        <v>238</v>
      </c>
      <c r="AP1150" s="5" t="s">
        <v>238</v>
      </c>
      <c r="AQ1150" s="5" t="s">
        <v>238</v>
      </c>
      <c r="AR1150" s="6" t="s">
        <v>238</v>
      </c>
      <c r="AS1150" s="6" t="s">
        <v>238</v>
      </c>
      <c r="AT1150" s="6" t="s">
        <v>238</v>
      </c>
      <c r="AW1150" s="5" t="s">
        <v>304</v>
      </c>
      <c r="AX1150" s="5" t="s">
        <v>304</v>
      </c>
      <c r="AY1150" s="5" t="s">
        <v>250</v>
      </c>
      <c r="AZ1150" s="5" t="s">
        <v>305</v>
      </c>
      <c r="BA1150" s="5" t="s">
        <v>251</v>
      </c>
      <c r="BB1150" s="5" t="s">
        <v>238</v>
      </c>
      <c r="BC1150" s="5" t="s">
        <v>253</v>
      </c>
      <c r="BD1150" s="5" t="s">
        <v>238</v>
      </c>
      <c r="BF1150" s="5" t="s">
        <v>238</v>
      </c>
      <c r="BH1150" s="5" t="s">
        <v>283</v>
      </c>
      <c r="BI1150" s="6" t="s">
        <v>293</v>
      </c>
      <c r="BJ1150" s="5" t="s">
        <v>294</v>
      </c>
      <c r="BK1150" s="5" t="s">
        <v>294</v>
      </c>
      <c r="BL1150" s="5" t="s">
        <v>238</v>
      </c>
      <c r="BM1150" s="7">
        <f>0</f>
        <v>0</v>
      </c>
      <c r="BN1150" s="8">
        <f>-9687443</f>
        <v>-9687443</v>
      </c>
      <c r="BO1150" s="5" t="s">
        <v>257</v>
      </c>
      <c r="BP1150" s="5" t="s">
        <v>258</v>
      </c>
      <c r="BQ1150" s="5" t="s">
        <v>238</v>
      </c>
      <c r="BR1150" s="5" t="s">
        <v>238</v>
      </c>
      <c r="BS1150" s="5" t="s">
        <v>238</v>
      </c>
      <c r="BT1150" s="5" t="s">
        <v>238</v>
      </c>
      <c r="CC1150" s="5" t="s">
        <v>258</v>
      </c>
      <c r="CD1150" s="5" t="s">
        <v>238</v>
      </c>
      <c r="CE1150" s="5" t="s">
        <v>238</v>
      </c>
      <c r="CI1150" s="5" t="s">
        <v>259</v>
      </c>
      <c r="CJ1150" s="5" t="s">
        <v>260</v>
      </c>
      <c r="CK1150" s="5" t="s">
        <v>238</v>
      </c>
      <c r="CM1150" s="5" t="s">
        <v>937</v>
      </c>
      <c r="CN1150" s="6" t="s">
        <v>262</v>
      </c>
      <c r="CO1150" s="5" t="s">
        <v>263</v>
      </c>
      <c r="CP1150" s="5" t="s">
        <v>264</v>
      </c>
      <c r="CQ1150" s="5" t="s">
        <v>285</v>
      </c>
      <c r="CR1150" s="5" t="s">
        <v>238</v>
      </c>
      <c r="CS1150" s="5">
        <v>0.02</v>
      </c>
      <c r="CT1150" s="5" t="s">
        <v>265</v>
      </c>
      <c r="CU1150" s="5" t="s">
        <v>1333</v>
      </c>
      <c r="CV1150" s="5" t="s">
        <v>308</v>
      </c>
      <c r="CW1150" s="7">
        <f>0</f>
        <v>0</v>
      </c>
      <c r="CX1150" s="8">
        <f>484372160</f>
        <v>484372160</v>
      </c>
      <c r="CY1150" s="8">
        <f>222811199</f>
        <v>222811199</v>
      </c>
      <c r="DA1150" s="5" t="s">
        <v>238</v>
      </c>
      <c r="DB1150" s="5" t="s">
        <v>238</v>
      </c>
      <c r="DD1150" s="5" t="s">
        <v>238</v>
      </c>
      <c r="DE1150" s="8">
        <f>0</f>
        <v>0</v>
      </c>
      <c r="DG1150" s="5" t="s">
        <v>238</v>
      </c>
      <c r="DH1150" s="5" t="s">
        <v>238</v>
      </c>
      <c r="DI1150" s="5" t="s">
        <v>238</v>
      </c>
      <c r="DJ1150" s="5" t="s">
        <v>238</v>
      </c>
      <c r="DK1150" s="5" t="s">
        <v>271</v>
      </c>
      <c r="DL1150" s="5" t="s">
        <v>272</v>
      </c>
      <c r="DM1150" s="7">
        <f>1463.36</f>
        <v>1463.36</v>
      </c>
      <c r="DN1150" s="5" t="s">
        <v>238</v>
      </c>
      <c r="DO1150" s="5" t="s">
        <v>238</v>
      </c>
      <c r="DP1150" s="5" t="s">
        <v>238</v>
      </c>
      <c r="DQ1150" s="5" t="s">
        <v>238</v>
      </c>
      <c r="DT1150" s="5" t="s">
        <v>1907</v>
      </c>
      <c r="DU1150" s="5" t="s">
        <v>271</v>
      </c>
      <c r="GL1150" s="5" t="s">
        <v>1908</v>
      </c>
      <c r="HM1150" s="5" t="s">
        <v>313</v>
      </c>
      <c r="HP1150" s="5" t="s">
        <v>272</v>
      </c>
      <c r="HQ1150" s="5" t="s">
        <v>272</v>
      </c>
      <c r="HR1150" s="5" t="s">
        <v>238</v>
      </c>
      <c r="HS1150" s="5" t="s">
        <v>238</v>
      </c>
      <c r="HT1150" s="5" t="s">
        <v>238</v>
      </c>
      <c r="HU1150" s="5" t="s">
        <v>238</v>
      </c>
      <c r="HV1150" s="5" t="s">
        <v>238</v>
      </c>
      <c r="HW1150" s="5" t="s">
        <v>238</v>
      </c>
      <c r="HX1150" s="5" t="s">
        <v>238</v>
      </c>
      <c r="HY1150" s="5" t="s">
        <v>238</v>
      </c>
      <c r="HZ1150" s="5" t="s">
        <v>238</v>
      </c>
      <c r="IA1150" s="5" t="s">
        <v>238</v>
      </c>
      <c r="IB1150" s="5" t="s">
        <v>238</v>
      </c>
      <c r="IC1150" s="5" t="s">
        <v>238</v>
      </c>
      <c r="ID1150" s="5" t="s">
        <v>238</v>
      </c>
    </row>
    <row r="1151" spans="1:238" x14ac:dyDescent="0.4">
      <c r="A1151" s="5">
        <v>1481</v>
      </c>
      <c r="B1151" s="5">
        <v>1</v>
      </c>
      <c r="C1151" s="5">
        <v>3</v>
      </c>
      <c r="D1151" s="5" t="s">
        <v>1903</v>
      </c>
      <c r="E1151" s="5" t="s">
        <v>1205</v>
      </c>
      <c r="F1151" s="5" t="s">
        <v>282</v>
      </c>
      <c r="G1151" s="5" t="s">
        <v>1007</v>
      </c>
      <c r="H1151" s="6" t="s">
        <v>1906</v>
      </c>
      <c r="I1151" s="5" t="s">
        <v>2122</v>
      </c>
      <c r="J1151" s="7">
        <f>34.78</f>
        <v>34.78</v>
      </c>
      <c r="K1151" s="5" t="s">
        <v>270</v>
      </c>
      <c r="L1151" s="8">
        <f>1</f>
        <v>1</v>
      </c>
      <c r="M1151" s="8">
        <f>5112660</f>
        <v>5112660</v>
      </c>
      <c r="N1151" s="6" t="s">
        <v>2123</v>
      </c>
      <c r="O1151" s="5" t="s">
        <v>651</v>
      </c>
      <c r="P1151" s="5" t="s">
        <v>1040</v>
      </c>
      <c r="Q1151" s="8">
        <f>173846</f>
        <v>173846</v>
      </c>
      <c r="R1151" s="8">
        <f>5112659</f>
        <v>5112659</v>
      </c>
      <c r="S1151" s="5" t="s">
        <v>240</v>
      </c>
      <c r="T1151" s="5" t="s">
        <v>237</v>
      </c>
      <c r="U1151" s="5" t="s">
        <v>238</v>
      </c>
      <c r="V1151" s="5" t="s">
        <v>238</v>
      </c>
      <c r="W1151" s="5" t="s">
        <v>241</v>
      </c>
      <c r="X1151" s="5" t="s">
        <v>802</v>
      </c>
      <c r="Y1151" s="5" t="s">
        <v>238</v>
      </c>
      <c r="AB1151" s="5" t="s">
        <v>238</v>
      </c>
      <c r="AC1151" s="6" t="s">
        <v>238</v>
      </c>
      <c r="AD1151" s="6" t="s">
        <v>238</v>
      </c>
      <c r="AF1151" s="6" t="s">
        <v>238</v>
      </c>
      <c r="AG1151" s="6" t="s">
        <v>246</v>
      </c>
      <c r="AH1151" s="5" t="s">
        <v>247</v>
      </c>
      <c r="AI1151" s="5" t="s">
        <v>248</v>
      </c>
      <c r="AO1151" s="5" t="s">
        <v>238</v>
      </c>
      <c r="AP1151" s="5" t="s">
        <v>238</v>
      </c>
      <c r="AQ1151" s="5" t="s">
        <v>238</v>
      </c>
      <c r="AR1151" s="6" t="s">
        <v>238</v>
      </c>
      <c r="AS1151" s="6" t="s">
        <v>238</v>
      </c>
      <c r="AT1151" s="6" t="s">
        <v>238</v>
      </c>
      <c r="AW1151" s="5" t="s">
        <v>304</v>
      </c>
      <c r="AX1151" s="5" t="s">
        <v>304</v>
      </c>
      <c r="AY1151" s="5" t="s">
        <v>250</v>
      </c>
      <c r="AZ1151" s="5" t="s">
        <v>305</v>
      </c>
      <c r="BA1151" s="5" t="s">
        <v>251</v>
      </c>
      <c r="BB1151" s="5" t="s">
        <v>238</v>
      </c>
      <c r="BC1151" s="5" t="s">
        <v>253</v>
      </c>
      <c r="BD1151" s="5" t="s">
        <v>238</v>
      </c>
      <c r="BF1151" s="5" t="s">
        <v>238</v>
      </c>
      <c r="BH1151" s="5" t="s">
        <v>1076</v>
      </c>
      <c r="BI1151" s="6" t="s">
        <v>1077</v>
      </c>
      <c r="BJ1151" s="5" t="s">
        <v>294</v>
      </c>
      <c r="BK1151" s="5" t="s">
        <v>294</v>
      </c>
      <c r="BL1151" s="5" t="s">
        <v>238</v>
      </c>
      <c r="BM1151" s="7">
        <f>0</f>
        <v>0</v>
      </c>
      <c r="BN1151" s="8">
        <f>-173846</f>
        <v>-173846</v>
      </c>
      <c r="BO1151" s="5" t="s">
        <v>257</v>
      </c>
      <c r="BP1151" s="5" t="s">
        <v>258</v>
      </c>
      <c r="BQ1151" s="5" t="s">
        <v>238</v>
      </c>
      <c r="BR1151" s="5" t="s">
        <v>238</v>
      </c>
      <c r="BS1151" s="5" t="s">
        <v>238</v>
      </c>
      <c r="BT1151" s="5" t="s">
        <v>238</v>
      </c>
      <c r="CC1151" s="5" t="s">
        <v>258</v>
      </c>
      <c r="CD1151" s="5" t="s">
        <v>238</v>
      </c>
      <c r="CE1151" s="5" t="s">
        <v>238</v>
      </c>
      <c r="CI1151" s="5" t="s">
        <v>259</v>
      </c>
      <c r="CJ1151" s="5" t="s">
        <v>260</v>
      </c>
      <c r="CK1151" s="5" t="s">
        <v>238</v>
      </c>
      <c r="CM1151" s="5" t="s">
        <v>1078</v>
      </c>
      <c r="CN1151" s="6" t="s">
        <v>262</v>
      </c>
      <c r="CO1151" s="5" t="s">
        <v>263</v>
      </c>
      <c r="CP1151" s="5" t="s">
        <v>264</v>
      </c>
      <c r="CQ1151" s="5" t="s">
        <v>285</v>
      </c>
      <c r="CR1151" s="5" t="s">
        <v>238</v>
      </c>
      <c r="CS1151" s="5">
        <v>4.2000000000000003E-2</v>
      </c>
      <c r="CT1151" s="5" t="s">
        <v>265</v>
      </c>
      <c r="CU1151" s="5" t="s">
        <v>2099</v>
      </c>
      <c r="CV1151" s="5" t="s">
        <v>267</v>
      </c>
      <c r="CW1151" s="7">
        <f>0</f>
        <v>0</v>
      </c>
      <c r="CX1151" s="8">
        <f>5112660</f>
        <v>5112660</v>
      </c>
      <c r="CY1151" s="8">
        <f>1</f>
        <v>1</v>
      </c>
      <c r="DA1151" s="5" t="s">
        <v>238</v>
      </c>
      <c r="DB1151" s="5" t="s">
        <v>238</v>
      </c>
      <c r="DD1151" s="5" t="s">
        <v>238</v>
      </c>
      <c r="DE1151" s="8">
        <f>0</f>
        <v>0</v>
      </c>
      <c r="DG1151" s="5" t="s">
        <v>238</v>
      </c>
      <c r="DH1151" s="5" t="s">
        <v>238</v>
      </c>
      <c r="DI1151" s="5" t="s">
        <v>238</v>
      </c>
      <c r="DJ1151" s="5" t="s">
        <v>238</v>
      </c>
      <c r="DK1151" s="5" t="s">
        <v>271</v>
      </c>
      <c r="DL1151" s="5" t="s">
        <v>272</v>
      </c>
      <c r="DM1151" s="7">
        <f>34.78</f>
        <v>34.78</v>
      </c>
      <c r="DN1151" s="5" t="s">
        <v>238</v>
      </c>
      <c r="DO1151" s="5" t="s">
        <v>238</v>
      </c>
      <c r="DP1151" s="5" t="s">
        <v>238</v>
      </c>
      <c r="DQ1151" s="5" t="s">
        <v>238</v>
      </c>
      <c r="DT1151" s="5" t="s">
        <v>1907</v>
      </c>
      <c r="DU1151" s="5" t="s">
        <v>274</v>
      </c>
      <c r="GL1151" s="5" t="s">
        <v>2124</v>
      </c>
      <c r="HM1151" s="5" t="s">
        <v>313</v>
      </c>
      <c r="HP1151" s="5" t="s">
        <v>272</v>
      </c>
      <c r="HQ1151" s="5" t="s">
        <v>272</v>
      </c>
      <c r="HR1151" s="5" t="s">
        <v>238</v>
      </c>
      <c r="HS1151" s="5" t="s">
        <v>238</v>
      </c>
      <c r="HT1151" s="5" t="s">
        <v>238</v>
      </c>
      <c r="HU1151" s="5" t="s">
        <v>238</v>
      </c>
      <c r="HV1151" s="5" t="s">
        <v>238</v>
      </c>
      <c r="HW1151" s="5" t="s">
        <v>238</v>
      </c>
      <c r="HX1151" s="5" t="s">
        <v>238</v>
      </c>
      <c r="HY1151" s="5" t="s">
        <v>238</v>
      </c>
      <c r="HZ1151" s="5" t="s">
        <v>238</v>
      </c>
      <c r="IA1151" s="5" t="s">
        <v>238</v>
      </c>
      <c r="IB1151" s="5" t="s">
        <v>238</v>
      </c>
      <c r="IC1151" s="5" t="s">
        <v>238</v>
      </c>
      <c r="ID1151" s="5" t="s">
        <v>238</v>
      </c>
    </row>
    <row r="1152" spans="1:238" x14ac:dyDescent="0.4">
      <c r="A1152" s="5">
        <v>1482</v>
      </c>
      <c r="B1152" s="5">
        <v>1</v>
      </c>
      <c r="C1152" s="5">
        <v>4</v>
      </c>
      <c r="D1152" s="5" t="s">
        <v>2107</v>
      </c>
      <c r="E1152" s="5" t="s">
        <v>1205</v>
      </c>
      <c r="F1152" s="5" t="s">
        <v>282</v>
      </c>
      <c r="G1152" s="5" t="s">
        <v>1905</v>
      </c>
      <c r="H1152" s="6" t="s">
        <v>545</v>
      </c>
      <c r="I1152" s="5" t="s">
        <v>1902</v>
      </c>
      <c r="J1152" s="7">
        <f>532.54</f>
        <v>532.54</v>
      </c>
      <c r="K1152" s="5" t="s">
        <v>270</v>
      </c>
      <c r="L1152" s="8">
        <f>19171440</f>
        <v>19171440</v>
      </c>
      <c r="M1152" s="8">
        <f>95857200</f>
        <v>95857200</v>
      </c>
      <c r="N1152" s="6" t="s">
        <v>1020</v>
      </c>
      <c r="O1152" s="5" t="s">
        <v>279</v>
      </c>
      <c r="P1152" s="5" t="s">
        <v>639</v>
      </c>
      <c r="Q1152" s="8">
        <f>1917144</f>
        <v>1917144</v>
      </c>
      <c r="R1152" s="8">
        <f>76685760</f>
        <v>76685760</v>
      </c>
      <c r="S1152" s="5" t="s">
        <v>240</v>
      </c>
      <c r="T1152" s="5" t="s">
        <v>237</v>
      </c>
      <c r="U1152" s="5" t="s">
        <v>238</v>
      </c>
      <c r="V1152" s="5" t="s">
        <v>238</v>
      </c>
      <c r="W1152" s="5" t="s">
        <v>241</v>
      </c>
      <c r="X1152" s="5" t="s">
        <v>802</v>
      </c>
      <c r="Y1152" s="5" t="s">
        <v>238</v>
      </c>
      <c r="AB1152" s="5" t="s">
        <v>238</v>
      </c>
      <c r="AC1152" s="6" t="s">
        <v>238</v>
      </c>
      <c r="AD1152" s="6" t="s">
        <v>238</v>
      </c>
      <c r="AF1152" s="6" t="s">
        <v>238</v>
      </c>
      <c r="AG1152" s="6" t="s">
        <v>246</v>
      </c>
      <c r="AH1152" s="5" t="s">
        <v>247</v>
      </c>
      <c r="AI1152" s="5" t="s">
        <v>248</v>
      </c>
      <c r="AO1152" s="5" t="s">
        <v>238</v>
      </c>
      <c r="AP1152" s="5" t="s">
        <v>238</v>
      </c>
      <c r="AQ1152" s="5" t="s">
        <v>238</v>
      </c>
      <c r="AR1152" s="6" t="s">
        <v>238</v>
      </c>
      <c r="AS1152" s="6" t="s">
        <v>238</v>
      </c>
      <c r="AT1152" s="6" t="s">
        <v>238</v>
      </c>
      <c r="AW1152" s="5" t="s">
        <v>304</v>
      </c>
      <c r="AX1152" s="5" t="s">
        <v>304</v>
      </c>
      <c r="AY1152" s="5" t="s">
        <v>250</v>
      </c>
      <c r="AZ1152" s="5" t="s">
        <v>305</v>
      </c>
      <c r="BA1152" s="5" t="s">
        <v>251</v>
      </c>
      <c r="BB1152" s="5" t="s">
        <v>238</v>
      </c>
      <c r="BC1152" s="5" t="s">
        <v>253</v>
      </c>
      <c r="BD1152" s="5" t="s">
        <v>238</v>
      </c>
      <c r="BF1152" s="5" t="s">
        <v>238</v>
      </c>
      <c r="BH1152" s="5" t="s">
        <v>283</v>
      </c>
      <c r="BI1152" s="6" t="s">
        <v>293</v>
      </c>
      <c r="BJ1152" s="5" t="s">
        <v>294</v>
      </c>
      <c r="BK1152" s="5" t="s">
        <v>294</v>
      </c>
      <c r="BL1152" s="5" t="s">
        <v>238</v>
      </c>
      <c r="BM1152" s="7">
        <f>0</f>
        <v>0</v>
      </c>
      <c r="BN1152" s="8">
        <f>-1917144</f>
        <v>-1917144</v>
      </c>
      <c r="BO1152" s="5" t="s">
        <v>257</v>
      </c>
      <c r="BP1152" s="5" t="s">
        <v>258</v>
      </c>
      <c r="BQ1152" s="5" t="s">
        <v>238</v>
      </c>
      <c r="BR1152" s="5" t="s">
        <v>238</v>
      </c>
      <c r="BS1152" s="5" t="s">
        <v>238</v>
      </c>
      <c r="BT1152" s="5" t="s">
        <v>238</v>
      </c>
      <c r="CC1152" s="5" t="s">
        <v>258</v>
      </c>
      <c r="CD1152" s="5" t="s">
        <v>238</v>
      </c>
      <c r="CE1152" s="5" t="s">
        <v>238</v>
      </c>
      <c r="CI1152" s="5" t="s">
        <v>527</v>
      </c>
      <c r="CJ1152" s="5" t="s">
        <v>260</v>
      </c>
      <c r="CK1152" s="5" t="s">
        <v>238</v>
      </c>
      <c r="CM1152" s="5" t="s">
        <v>822</v>
      </c>
      <c r="CN1152" s="6" t="s">
        <v>262</v>
      </c>
      <c r="CO1152" s="5" t="s">
        <v>263</v>
      </c>
      <c r="CP1152" s="5" t="s">
        <v>264</v>
      </c>
      <c r="CQ1152" s="5" t="s">
        <v>285</v>
      </c>
      <c r="CR1152" s="5" t="s">
        <v>238</v>
      </c>
      <c r="CS1152" s="5">
        <v>0.02</v>
      </c>
      <c r="CT1152" s="5" t="s">
        <v>265</v>
      </c>
      <c r="CU1152" s="5" t="s">
        <v>2099</v>
      </c>
      <c r="CV1152" s="5" t="s">
        <v>308</v>
      </c>
      <c r="CW1152" s="7">
        <f>0</f>
        <v>0</v>
      </c>
      <c r="CX1152" s="8">
        <f>95857200</f>
        <v>95857200</v>
      </c>
      <c r="CY1152" s="8">
        <f>21088584</f>
        <v>21088584</v>
      </c>
      <c r="DA1152" s="5" t="s">
        <v>238</v>
      </c>
      <c r="DB1152" s="5" t="s">
        <v>238</v>
      </c>
      <c r="DD1152" s="5" t="s">
        <v>238</v>
      </c>
      <c r="DE1152" s="8">
        <f>0</f>
        <v>0</v>
      </c>
      <c r="DG1152" s="5" t="s">
        <v>238</v>
      </c>
      <c r="DH1152" s="5" t="s">
        <v>238</v>
      </c>
      <c r="DI1152" s="5" t="s">
        <v>238</v>
      </c>
      <c r="DJ1152" s="5" t="s">
        <v>238</v>
      </c>
      <c r="DK1152" s="5" t="s">
        <v>271</v>
      </c>
      <c r="DL1152" s="5" t="s">
        <v>272</v>
      </c>
      <c r="DM1152" s="7">
        <f>532.54</f>
        <v>532.54</v>
      </c>
      <c r="DN1152" s="5" t="s">
        <v>238</v>
      </c>
      <c r="DO1152" s="5" t="s">
        <v>238</v>
      </c>
      <c r="DP1152" s="5" t="s">
        <v>238</v>
      </c>
      <c r="DQ1152" s="5" t="s">
        <v>238</v>
      </c>
      <c r="DT1152" s="5" t="s">
        <v>2108</v>
      </c>
      <c r="DU1152" s="5" t="s">
        <v>271</v>
      </c>
      <c r="GL1152" s="5" t="s">
        <v>2109</v>
      </c>
      <c r="HM1152" s="5" t="s">
        <v>313</v>
      </c>
      <c r="HP1152" s="5" t="s">
        <v>272</v>
      </c>
      <c r="HQ1152" s="5" t="s">
        <v>272</v>
      </c>
      <c r="HR1152" s="5" t="s">
        <v>238</v>
      </c>
      <c r="HS1152" s="5" t="s">
        <v>238</v>
      </c>
      <c r="HT1152" s="5" t="s">
        <v>238</v>
      </c>
      <c r="HU1152" s="5" t="s">
        <v>238</v>
      </c>
      <c r="HV1152" s="5" t="s">
        <v>238</v>
      </c>
      <c r="HW1152" s="5" t="s">
        <v>238</v>
      </c>
      <c r="HX1152" s="5" t="s">
        <v>238</v>
      </c>
      <c r="HY1152" s="5" t="s">
        <v>238</v>
      </c>
      <c r="HZ1152" s="5" t="s">
        <v>238</v>
      </c>
      <c r="IA1152" s="5" t="s">
        <v>238</v>
      </c>
      <c r="IB1152" s="5" t="s">
        <v>238</v>
      </c>
      <c r="IC1152" s="5" t="s">
        <v>238</v>
      </c>
      <c r="ID1152" s="5" t="s">
        <v>238</v>
      </c>
    </row>
    <row r="1153" spans="1:238" x14ac:dyDescent="0.4">
      <c r="A1153" s="5">
        <v>1483</v>
      </c>
      <c r="B1153" s="5">
        <v>1</v>
      </c>
      <c r="C1153" s="5">
        <v>4</v>
      </c>
      <c r="D1153" s="5" t="s">
        <v>2110</v>
      </c>
      <c r="E1153" s="5" t="s">
        <v>1205</v>
      </c>
      <c r="F1153" s="5" t="s">
        <v>282</v>
      </c>
      <c r="G1153" s="5" t="s">
        <v>1905</v>
      </c>
      <c r="H1153" s="6" t="s">
        <v>2112</v>
      </c>
      <c r="I1153" s="5" t="s">
        <v>1902</v>
      </c>
      <c r="J1153" s="7">
        <f>596.7</f>
        <v>596.70000000000005</v>
      </c>
      <c r="K1153" s="5" t="s">
        <v>270</v>
      </c>
      <c r="L1153" s="8">
        <f>12888720</f>
        <v>12888720</v>
      </c>
      <c r="M1153" s="8">
        <f>107406000</f>
        <v>107406000</v>
      </c>
      <c r="N1153" s="6" t="s">
        <v>2111</v>
      </c>
      <c r="O1153" s="5" t="s">
        <v>279</v>
      </c>
      <c r="P1153" s="5" t="s">
        <v>861</v>
      </c>
      <c r="Q1153" s="8">
        <f>2148120</f>
        <v>2148120</v>
      </c>
      <c r="R1153" s="8">
        <f>94517280</f>
        <v>94517280</v>
      </c>
      <c r="S1153" s="5" t="s">
        <v>240</v>
      </c>
      <c r="T1153" s="5" t="s">
        <v>237</v>
      </c>
      <c r="U1153" s="5" t="s">
        <v>238</v>
      </c>
      <c r="V1153" s="5" t="s">
        <v>238</v>
      </c>
      <c r="W1153" s="5" t="s">
        <v>241</v>
      </c>
      <c r="X1153" s="5" t="s">
        <v>802</v>
      </c>
      <c r="Y1153" s="5" t="s">
        <v>238</v>
      </c>
      <c r="AB1153" s="5" t="s">
        <v>238</v>
      </c>
      <c r="AC1153" s="6" t="s">
        <v>238</v>
      </c>
      <c r="AD1153" s="6" t="s">
        <v>238</v>
      </c>
      <c r="AF1153" s="6" t="s">
        <v>238</v>
      </c>
      <c r="AG1153" s="6" t="s">
        <v>246</v>
      </c>
      <c r="AH1153" s="5" t="s">
        <v>247</v>
      </c>
      <c r="AI1153" s="5" t="s">
        <v>248</v>
      </c>
      <c r="AO1153" s="5" t="s">
        <v>238</v>
      </c>
      <c r="AP1153" s="5" t="s">
        <v>238</v>
      </c>
      <c r="AQ1153" s="5" t="s">
        <v>238</v>
      </c>
      <c r="AR1153" s="6" t="s">
        <v>238</v>
      </c>
      <c r="AS1153" s="6" t="s">
        <v>238</v>
      </c>
      <c r="AT1153" s="6" t="s">
        <v>238</v>
      </c>
      <c r="AW1153" s="5" t="s">
        <v>304</v>
      </c>
      <c r="AX1153" s="5" t="s">
        <v>304</v>
      </c>
      <c r="AY1153" s="5" t="s">
        <v>250</v>
      </c>
      <c r="AZ1153" s="5" t="s">
        <v>305</v>
      </c>
      <c r="BA1153" s="5" t="s">
        <v>251</v>
      </c>
      <c r="BB1153" s="5" t="s">
        <v>238</v>
      </c>
      <c r="BC1153" s="5" t="s">
        <v>253</v>
      </c>
      <c r="BD1153" s="5" t="s">
        <v>238</v>
      </c>
      <c r="BF1153" s="5" t="s">
        <v>238</v>
      </c>
      <c r="BH1153" s="5" t="s">
        <v>283</v>
      </c>
      <c r="BI1153" s="6" t="s">
        <v>293</v>
      </c>
      <c r="BJ1153" s="5" t="s">
        <v>294</v>
      </c>
      <c r="BK1153" s="5" t="s">
        <v>294</v>
      </c>
      <c r="BL1153" s="5" t="s">
        <v>238</v>
      </c>
      <c r="BM1153" s="7">
        <f>0</f>
        <v>0</v>
      </c>
      <c r="BN1153" s="8">
        <f>-2148120</f>
        <v>-2148120</v>
      </c>
      <c r="BO1153" s="5" t="s">
        <v>257</v>
      </c>
      <c r="BP1153" s="5" t="s">
        <v>258</v>
      </c>
      <c r="BQ1153" s="5" t="s">
        <v>238</v>
      </c>
      <c r="BR1153" s="5" t="s">
        <v>238</v>
      </c>
      <c r="BS1153" s="5" t="s">
        <v>238</v>
      </c>
      <c r="BT1153" s="5" t="s">
        <v>238</v>
      </c>
      <c r="CC1153" s="5" t="s">
        <v>258</v>
      </c>
      <c r="CD1153" s="5" t="s">
        <v>238</v>
      </c>
      <c r="CE1153" s="5" t="s">
        <v>238</v>
      </c>
      <c r="CI1153" s="5" t="s">
        <v>527</v>
      </c>
      <c r="CJ1153" s="5" t="s">
        <v>260</v>
      </c>
      <c r="CK1153" s="5" t="s">
        <v>238</v>
      </c>
      <c r="CM1153" s="5" t="s">
        <v>970</v>
      </c>
      <c r="CN1153" s="6" t="s">
        <v>262</v>
      </c>
      <c r="CO1153" s="5" t="s">
        <v>263</v>
      </c>
      <c r="CP1153" s="5" t="s">
        <v>264</v>
      </c>
      <c r="CQ1153" s="5" t="s">
        <v>285</v>
      </c>
      <c r="CR1153" s="5" t="s">
        <v>238</v>
      </c>
      <c r="CS1153" s="5">
        <v>0.02</v>
      </c>
      <c r="CT1153" s="5" t="s">
        <v>265</v>
      </c>
      <c r="CU1153" s="5" t="s">
        <v>2099</v>
      </c>
      <c r="CV1153" s="5" t="s">
        <v>308</v>
      </c>
      <c r="CW1153" s="7">
        <f>0</f>
        <v>0</v>
      </c>
      <c r="CX1153" s="8">
        <f>107406000</f>
        <v>107406000</v>
      </c>
      <c r="CY1153" s="8">
        <f>15036840</f>
        <v>15036840</v>
      </c>
      <c r="DA1153" s="5" t="s">
        <v>238</v>
      </c>
      <c r="DB1153" s="5" t="s">
        <v>238</v>
      </c>
      <c r="DD1153" s="5" t="s">
        <v>238</v>
      </c>
      <c r="DE1153" s="8">
        <f>0</f>
        <v>0</v>
      </c>
      <c r="DG1153" s="5" t="s">
        <v>238</v>
      </c>
      <c r="DH1153" s="5" t="s">
        <v>238</v>
      </c>
      <c r="DI1153" s="5" t="s">
        <v>238</v>
      </c>
      <c r="DJ1153" s="5" t="s">
        <v>238</v>
      </c>
      <c r="DK1153" s="5" t="s">
        <v>274</v>
      </c>
      <c r="DL1153" s="5" t="s">
        <v>272</v>
      </c>
      <c r="DM1153" s="7">
        <f>596.7</f>
        <v>596.70000000000005</v>
      </c>
      <c r="DN1153" s="5" t="s">
        <v>238</v>
      </c>
      <c r="DO1153" s="5" t="s">
        <v>238</v>
      </c>
      <c r="DP1153" s="5" t="s">
        <v>238</v>
      </c>
      <c r="DQ1153" s="5" t="s">
        <v>238</v>
      </c>
      <c r="DT1153" s="5" t="s">
        <v>2113</v>
      </c>
      <c r="DU1153" s="5" t="s">
        <v>271</v>
      </c>
      <c r="GL1153" s="5" t="s">
        <v>2114</v>
      </c>
      <c r="HM1153" s="5" t="s">
        <v>313</v>
      </c>
      <c r="HP1153" s="5" t="s">
        <v>272</v>
      </c>
      <c r="HQ1153" s="5" t="s">
        <v>272</v>
      </c>
      <c r="HR1153" s="5" t="s">
        <v>238</v>
      </c>
      <c r="HS1153" s="5" t="s">
        <v>238</v>
      </c>
      <c r="HT1153" s="5" t="s">
        <v>238</v>
      </c>
      <c r="HU1153" s="5" t="s">
        <v>238</v>
      </c>
      <c r="HV1153" s="5" t="s">
        <v>238</v>
      </c>
      <c r="HW1153" s="5" t="s">
        <v>238</v>
      </c>
      <c r="HX1153" s="5" t="s">
        <v>238</v>
      </c>
      <c r="HY1153" s="5" t="s">
        <v>238</v>
      </c>
      <c r="HZ1153" s="5" t="s">
        <v>238</v>
      </c>
      <c r="IA1153" s="5" t="s">
        <v>238</v>
      </c>
      <c r="IB1153" s="5" t="s">
        <v>238</v>
      </c>
      <c r="IC1153" s="5" t="s">
        <v>238</v>
      </c>
      <c r="ID1153" s="5" t="s">
        <v>238</v>
      </c>
    </row>
    <row r="1154" spans="1:238" x14ac:dyDescent="0.4">
      <c r="A1154" s="5">
        <v>1484</v>
      </c>
      <c r="B1154" s="5">
        <v>1</v>
      </c>
      <c r="C1154" s="5">
        <v>4</v>
      </c>
      <c r="D1154" s="5" t="s">
        <v>2129</v>
      </c>
      <c r="E1154" s="5" t="s">
        <v>1205</v>
      </c>
      <c r="F1154" s="5" t="s">
        <v>282</v>
      </c>
      <c r="G1154" s="5" t="s">
        <v>1905</v>
      </c>
      <c r="H1154" s="6" t="s">
        <v>2131</v>
      </c>
      <c r="I1154" s="5" t="s">
        <v>1902</v>
      </c>
      <c r="J1154" s="7">
        <f>650</f>
        <v>650</v>
      </c>
      <c r="K1154" s="5" t="s">
        <v>270</v>
      </c>
      <c r="L1154" s="8">
        <f>54080000</f>
        <v>54080000</v>
      </c>
      <c r="M1154" s="8">
        <f>169000000</f>
        <v>169000000</v>
      </c>
      <c r="N1154" s="6" t="s">
        <v>2130</v>
      </c>
      <c r="O1154" s="5" t="s">
        <v>279</v>
      </c>
      <c r="P1154" s="5" t="s">
        <v>991</v>
      </c>
      <c r="Q1154" s="8">
        <f>3380000</f>
        <v>3380000</v>
      </c>
      <c r="R1154" s="8">
        <f>114920000</f>
        <v>114920000</v>
      </c>
      <c r="S1154" s="5" t="s">
        <v>240</v>
      </c>
      <c r="T1154" s="5" t="s">
        <v>237</v>
      </c>
      <c r="U1154" s="5" t="s">
        <v>238</v>
      </c>
      <c r="V1154" s="5" t="s">
        <v>238</v>
      </c>
      <c r="W1154" s="5" t="s">
        <v>241</v>
      </c>
      <c r="X1154" s="5" t="s">
        <v>802</v>
      </c>
      <c r="Y1154" s="5" t="s">
        <v>238</v>
      </c>
      <c r="AB1154" s="5" t="s">
        <v>238</v>
      </c>
      <c r="AC1154" s="6" t="s">
        <v>238</v>
      </c>
      <c r="AD1154" s="6" t="s">
        <v>238</v>
      </c>
      <c r="AF1154" s="6" t="s">
        <v>238</v>
      </c>
      <c r="AG1154" s="6" t="s">
        <v>246</v>
      </c>
      <c r="AH1154" s="5" t="s">
        <v>247</v>
      </c>
      <c r="AI1154" s="5" t="s">
        <v>248</v>
      </c>
      <c r="AO1154" s="5" t="s">
        <v>238</v>
      </c>
      <c r="AP1154" s="5" t="s">
        <v>238</v>
      </c>
      <c r="AQ1154" s="5" t="s">
        <v>238</v>
      </c>
      <c r="AR1154" s="6" t="s">
        <v>238</v>
      </c>
      <c r="AS1154" s="6" t="s">
        <v>238</v>
      </c>
      <c r="AT1154" s="6" t="s">
        <v>238</v>
      </c>
      <c r="AW1154" s="5" t="s">
        <v>304</v>
      </c>
      <c r="AX1154" s="5" t="s">
        <v>304</v>
      </c>
      <c r="AY1154" s="5" t="s">
        <v>250</v>
      </c>
      <c r="AZ1154" s="5" t="s">
        <v>305</v>
      </c>
      <c r="BA1154" s="5" t="s">
        <v>251</v>
      </c>
      <c r="BB1154" s="5" t="s">
        <v>238</v>
      </c>
      <c r="BC1154" s="5" t="s">
        <v>253</v>
      </c>
      <c r="BD1154" s="5" t="s">
        <v>238</v>
      </c>
      <c r="BF1154" s="5" t="s">
        <v>238</v>
      </c>
      <c r="BH1154" s="5" t="s">
        <v>283</v>
      </c>
      <c r="BI1154" s="6" t="s">
        <v>293</v>
      </c>
      <c r="BJ1154" s="5" t="s">
        <v>294</v>
      </c>
      <c r="BK1154" s="5" t="s">
        <v>294</v>
      </c>
      <c r="BL1154" s="5" t="s">
        <v>238</v>
      </c>
      <c r="BM1154" s="7">
        <f>0</f>
        <v>0</v>
      </c>
      <c r="BN1154" s="8">
        <f>-3380000</f>
        <v>-3380000</v>
      </c>
      <c r="BO1154" s="5" t="s">
        <v>257</v>
      </c>
      <c r="BP1154" s="5" t="s">
        <v>258</v>
      </c>
      <c r="BQ1154" s="5" t="s">
        <v>238</v>
      </c>
      <c r="BR1154" s="5" t="s">
        <v>238</v>
      </c>
      <c r="BS1154" s="5" t="s">
        <v>238</v>
      </c>
      <c r="BT1154" s="5" t="s">
        <v>238</v>
      </c>
      <c r="CC1154" s="5" t="s">
        <v>258</v>
      </c>
      <c r="CD1154" s="5" t="s">
        <v>238</v>
      </c>
      <c r="CE1154" s="5" t="s">
        <v>238</v>
      </c>
      <c r="CI1154" s="5" t="s">
        <v>259</v>
      </c>
      <c r="CJ1154" s="5" t="s">
        <v>260</v>
      </c>
      <c r="CK1154" s="5" t="s">
        <v>238</v>
      </c>
      <c r="CM1154" s="5" t="s">
        <v>1064</v>
      </c>
      <c r="CN1154" s="6" t="s">
        <v>262</v>
      </c>
      <c r="CO1154" s="5" t="s">
        <v>263</v>
      </c>
      <c r="CP1154" s="5" t="s">
        <v>264</v>
      </c>
      <c r="CQ1154" s="5" t="s">
        <v>285</v>
      </c>
      <c r="CR1154" s="5" t="s">
        <v>238</v>
      </c>
      <c r="CS1154" s="5">
        <v>0.02</v>
      </c>
      <c r="CT1154" s="5" t="s">
        <v>265</v>
      </c>
      <c r="CU1154" s="5" t="s">
        <v>2099</v>
      </c>
      <c r="CV1154" s="5" t="s">
        <v>308</v>
      </c>
      <c r="CW1154" s="7">
        <f>0</f>
        <v>0</v>
      </c>
      <c r="CX1154" s="8">
        <f>169000000</f>
        <v>169000000</v>
      </c>
      <c r="CY1154" s="8">
        <f>57460000</f>
        <v>57460000</v>
      </c>
      <c r="DA1154" s="5" t="s">
        <v>238</v>
      </c>
      <c r="DB1154" s="5" t="s">
        <v>238</v>
      </c>
      <c r="DD1154" s="5" t="s">
        <v>238</v>
      </c>
      <c r="DE1154" s="8">
        <f>0</f>
        <v>0</v>
      </c>
      <c r="DG1154" s="5" t="s">
        <v>238</v>
      </c>
      <c r="DH1154" s="5" t="s">
        <v>238</v>
      </c>
      <c r="DI1154" s="5" t="s">
        <v>238</v>
      </c>
      <c r="DJ1154" s="5" t="s">
        <v>238</v>
      </c>
      <c r="DK1154" s="5" t="s">
        <v>271</v>
      </c>
      <c r="DL1154" s="5" t="s">
        <v>272</v>
      </c>
      <c r="DM1154" s="7">
        <f>650</f>
        <v>650</v>
      </c>
      <c r="DN1154" s="5" t="s">
        <v>238</v>
      </c>
      <c r="DO1154" s="5" t="s">
        <v>238</v>
      </c>
      <c r="DP1154" s="5" t="s">
        <v>238</v>
      </c>
      <c r="DQ1154" s="5" t="s">
        <v>238</v>
      </c>
      <c r="DT1154" s="5" t="s">
        <v>2132</v>
      </c>
      <c r="DU1154" s="5" t="s">
        <v>271</v>
      </c>
      <c r="GL1154" s="5" t="s">
        <v>2133</v>
      </c>
      <c r="HM1154" s="5" t="s">
        <v>313</v>
      </c>
      <c r="HP1154" s="5" t="s">
        <v>272</v>
      </c>
      <c r="HQ1154" s="5" t="s">
        <v>272</v>
      </c>
      <c r="HR1154" s="5" t="s">
        <v>238</v>
      </c>
      <c r="HS1154" s="5" t="s">
        <v>238</v>
      </c>
      <c r="HT1154" s="5" t="s">
        <v>238</v>
      </c>
      <c r="HU1154" s="5" t="s">
        <v>238</v>
      </c>
      <c r="HV1154" s="5" t="s">
        <v>238</v>
      </c>
      <c r="HW1154" s="5" t="s">
        <v>238</v>
      </c>
      <c r="HX1154" s="5" t="s">
        <v>238</v>
      </c>
      <c r="HY1154" s="5" t="s">
        <v>238</v>
      </c>
      <c r="HZ1154" s="5" t="s">
        <v>238</v>
      </c>
      <c r="IA1154" s="5" t="s">
        <v>238</v>
      </c>
      <c r="IB1154" s="5" t="s">
        <v>238</v>
      </c>
      <c r="IC1154" s="5" t="s">
        <v>238</v>
      </c>
      <c r="ID1154" s="5" t="s">
        <v>238</v>
      </c>
    </row>
    <row r="1155" spans="1:238" x14ac:dyDescent="0.4">
      <c r="A1155" s="5">
        <v>1485</v>
      </c>
      <c r="B1155" s="5">
        <v>1</v>
      </c>
      <c r="C1155" s="5">
        <v>4</v>
      </c>
      <c r="D1155" s="5" t="s">
        <v>1204</v>
      </c>
      <c r="E1155" s="5" t="s">
        <v>1205</v>
      </c>
      <c r="F1155" s="5" t="s">
        <v>282</v>
      </c>
      <c r="G1155" s="5" t="s">
        <v>1905</v>
      </c>
      <c r="H1155" s="6" t="s">
        <v>1206</v>
      </c>
      <c r="I1155" s="5" t="s">
        <v>1902</v>
      </c>
      <c r="J1155" s="7">
        <f>538.39</f>
        <v>538.39</v>
      </c>
      <c r="K1155" s="5" t="s">
        <v>270</v>
      </c>
      <c r="L1155" s="8">
        <f>21320244</f>
        <v>21320244</v>
      </c>
      <c r="M1155" s="8">
        <f>96910200</f>
        <v>96910200</v>
      </c>
      <c r="N1155" s="6" t="s">
        <v>2134</v>
      </c>
      <c r="O1155" s="5" t="s">
        <v>279</v>
      </c>
      <c r="P1155" s="5" t="s">
        <v>971</v>
      </c>
      <c r="Q1155" s="8">
        <f>1938204</f>
        <v>1938204</v>
      </c>
      <c r="R1155" s="8">
        <f>75589956</f>
        <v>75589956</v>
      </c>
      <c r="S1155" s="5" t="s">
        <v>240</v>
      </c>
      <c r="T1155" s="5" t="s">
        <v>237</v>
      </c>
      <c r="U1155" s="5" t="s">
        <v>238</v>
      </c>
      <c r="V1155" s="5" t="s">
        <v>238</v>
      </c>
      <c r="W1155" s="5" t="s">
        <v>241</v>
      </c>
      <c r="X1155" s="5" t="s">
        <v>802</v>
      </c>
      <c r="Y1155" s="5" t="s">
        <v>238</v>
      </c>
      <c r="AB1155" s="5" t="s">
        <v>238</v>
      </c>
      <c r="AC1155" s="6" t="s">
        <v>238</v>
      </c>
      <c r="AD1155" s="6" t="s">
        <v>238</v>
      </c>
      <c r="AF1155" s="6" t="s">
        <v>238</v>
      </c>
      <c r="AG1155" s="6" t="s">
        <v>246</v>
      </c>
      <c r="AH1155" s="5" t="s">
        <v>247</v>
      </c>
      <c r="AI1155" s="5" t="s">
        <v>248</v>
      </c>
      <c r="AO1155" s="5" t="s">
        <v>238</v>
      </c>
      <c r="AP1155" s="5" t="s">
        <v>238</v>
      </c>
      <c r="AQ1155" s="5" t="s">
        <v>238</v>
      </c>
      <c r="AR1155" s="6" t="s">
        <v>238</v>
      </c>
      <c r="AS1155" s="6" t="s">
        <v>238</v>
      </c>
      <c r="AT1155" s="6" t="s">
        <v>238</v>
      </c>
      <c r="AW1155" s="5" t="s">
        <v>304</v>
      </c>
      <c r="AX1155" s="5" t="s">
        <v>304</v>
      </c>
      <c r="AY1155" s="5" t="s">
        <v>250</v>
      </c>
      <c r="AZ1155" s="5" t="s">
        <v>305</v>
      </c>
      <c r="BA1155" s="5" t="s">
        <v>251</v>
      </c>
      <c r="BB1155" s="5" t="s">
        <v>238</v>
      </c>
      <c r="BC1155" s="5" t="s">
        <v>253</v>
      </c>
      <c r="BD1155" s="5" t="s">
        <v>238</v>
      </c>
      <c r="BF1155" s="5" t="s">
        <v>238</v>
      </c>
      <c r="BH1155" s="5" t="s">
        <v>283</v>
      </c>
      <c r="BI1155" s="6" t="s">
        <v>293</v>
      </c>
      <c r="BJ1155" s="5" t="s">
        <v>294</v>
      </c>
      <c r="BK1155" s="5" t="s">
        <v>294</v>
      </c>
      <c r="BL1155" s="5" t="s">
        <v>238</v>
      </c>
      <c r="BM1155" s="7">
        <f>0</f>
        <v>0</v>
      </c>
      <c r="BN1155" s="8">
        <f>-1938204</f>
        <v>-1938204</v>
      </c>
      <c r="BO1155" s="5" t="s">
        <v>257</v>
      </c>
      <c r="BP1155" s="5" t="s">
        <v>258</v>
      </c>
      <c r="BQ1155" s="5" t="s">
        <v>238</v>
      </c>
      <c r="BR1155" s="5" t="s">
        <v>238</v>
      </c>
      <c r="BS1155" s="5" t="s">
        <v>238</v>
      </c>
      <c r="BT1155" s="5" t="s">
        <v>238</v>
      </c>
      <c r="CC1155" s="5" t="s">
        <v>258</v>
      </c>
      <c r="CD1155" s="5" t="s">
        <v>238</v>
      </c>
      <c r="CE1155" s="5" t="s">
        <v>238</v>
      </c>
      <c r="CI1155" s="5" t="s">
        <v>527</v>
      </c>
      <c r="CJ1155" s="5" t="s">
        <v>260</v>
      </c>
      <c r="CK1155" s="5" t="s">
        <v>238</v>
      </c>
      <c r="CM1155" s="5" t="s">
        <v>990</v>
      </c>
      <c r="CN1155" s="6" t="s">
        <v>262</v>
      </c>
      <c r="CO1155" s="5" t="s">
        <v>263</v>
      </c>
      <c r="CP1155" s="5" t="s">
        <v>264</v>
      </c>
      <c r="CQ1155" s="5" t="s">
        <v>285</v>
      </c>
      <c r="CR1155" s="5" t="s">
        <v>238</v>
      </c>
      <c r="CS1155" s="5">
        <v>0.02</v>
      </c>
      <c r="CT1155" s="5" t="s">
        <v>265</v>
      </c>
      <c r="CU1155" s="5" t="s">
        <v>2099</v>
      </c>
      <c r="CV1155" s="5" t="s">
        <v>308</v>
      </c>
      <c r="CW1155" s="7">
        <f>0</f>
        <v>0</v>
      </c>
      <c r="CX1155" s="8">
        <f>96910200</f>
        <v>96910200</v>
      </c>
      <c r="CY1155" s="8">
        <f>23258448</f>
        <v>23258448</v>
      </c>
      <c r="DA1155" s="5" t="s">
        <v>238</v>
      </c>
      <c r="DB1155" s="5" t="s">
        <v>238</v>
      </c>
      <c r="DD1155" s="5" t="s">
        <v>238</v>
      </c>
      <c r="DE1155" s="8">
        <f>0</f>
        <v>0</v>
      </c>
      <c r="DG1155" s="5" t="s">
        <v>238</v>
      </c>
      <c r="DH1155" s="5" t="s">
        <v>238</v>
      </c>
      <c r="DI1155" s="5" t="s">
        <v>238</v>
      </c>
      <c r="DJ1155" s="5" t="s">
        <v>238</v>
      </c>
      <c r="DK1155" s="5" t="s">
        <v>271</v>
      </c>
      <c r="DL1155" s="5" t="s">
        <v>272</v>
      </c>
      <c r="DM1155" s="7">
        <f>538.39</f>
        <v>538.39</v>
      </c>
      <c r="DN1155" s="5" t="s">
        <v>238</v>
      </c>
      <c r="DO1155" s="5" t="s">
        <v>238</v>
      </c>
      <c r="DP1155" s="5" t="s">
        <v>238</v>
      </c>
      <c r="DQ1155" s="5" t="s">
        <v>238</v>
      </c>
      <c r="DT1155" s="5" t="s">
        <v>1207</v>
      </c>
      <c r="DU1155" s="5" t="s">
        <v>271</v>
      </c>
      <c r="GL1155" s="5" t="s">
        <v>2135</v>
      </c>
      <c r="HM1155" s="5" t="s">
        <v>313</v>
      </c>
      <c r="HP1155" s="5" t="s">
        <v>272</v>
      </c>
      <c r="HQ1155" s="5" t="s">
        <v>272</v>
      </c>
      <c r="HR1155" s="5" t="s">
        <v>238</v>
      </c>
      <c r="HS1155" s="5" t="s">
        <v>238</v>
      </c>
      <c r="HT1155" s="5" t="s">
        <v>238</v>
      </c>
      <c r="HU1155" s="5" t="s">
        <v>238</v>
      </c>
      <c r="HV1155" s="5" t="s">
        <v>238</v>
      </c>
      <c r="HW1155" s="5" t="s">
        <v>238</v>
      </c>
      <c r="HX1155" s="5" t="s">
        <v>238</v>
      </c>
      <c r="HY1155" s="5" t="s">
        <v>238</v>
      </c>
      <c r="HZ1155" s="5" t="s">
        <v>238</v>
      </c>
      <c r="IA1155" s="5" t="s">
        <v>238</v>
      </c>
      <c r="IB1155" s="5" t="s">
        <v>238</v>
      </c>
      <c r="IC1155" s="5" t="s">
        <v>238</v>
      </c>
      <c r="ID1155" s="5" t="s">
        <v>238</v>
      </c>
    </row>
    <row r="1156" spans="1:238" x14ac:dyDescent="0.4">
      <c r="A1156" s="5">
        <v>1486</v>
      </c>
      <c r="B1156" s="5">
        <v>1</v>
      </c>
      <c r="C1156" s="5">
        <v>1</v>
      </c>
      <c r="D1156" s="5" t="s">
        <v>1204</v>
      </c>
      <c r="E1156" s="5" t="s">
        <v>1205</v>
      </c>
      <c r="F1156" s="5" t="s">
        <v>282</v>
      </c>
      <c r="G1156" s="5" t="s">
        <v>1181</v>
      </c>
      <c r="H1156" s="6" t="s">
        <v>1206</v>
      </c>
      <c r="I1156" s="5" t="s">
        <v>1181</v>
      </c>
      <c r="J1156" s="7">
        <f>21.84</f>
        <v>21.84</v>
      </c>
      <c r="K1156" s="5" t="s">
        <v>270</v>
      </c>
      <c r="L1156" s="8">
        <f>1</f>
        <v>1</v>
      </c>
      <c r="M1156" s="8">
        <f>1769040</f>
        <v>1769040</v>
      </c>
      <c r="N1156" s="6" t="s">
        <v>1039</v>
      </c>
      <c r="O1156" s="5" t="s">
        <v>631</v>
      </c>
      <c r="P1156" s="5" t="s">
        <v>1040</v>
      </c>
      <c r="R1156" s="8">
        <f>1769039</f>
        <v>1769039</v>
      </c>
      <c r="S1156" s="5" t="s">
        <v>240</v>
      </c>
      <c r="T1156" s="5" t="s">
        <v>237</v>
      </c>
      <c r="U1156" s="5" t="s">
        <v>238</v>
      </c>
      <c r="V1156" s="5" t="s">
        <v>238</v>
      </c>
      <c r="W1156" s="5" t="s">
        <v>241</v>
      </c>
      <c r="X1156" s="5" t="s">
        <v>802</v>
      </c>
      <c r="Y1156" s="5" t="s">
        <v>238</v>
      </c>
      <c r="AB1156" s="5" t="s">
        <v>238</v>
      </c>
      <c r="AD1156" s="6" t="s">
        <v>238</v>
      </c>
      <c r="AG1156" s="6" t="s">
        <v>246</v>
      </c>
      <c r="AH1156" s="5" t="s">
        <v>247</v>
      </c>
      <c r="AI1156" s="5" t="s">
        <v>248</v>
      </c>
      <c r="AY1156" s="5" t="s">
        <v>250</v>
      </c>
      <c r="AZ1156" s="5" t="s">
        <v>238</v>
      </c>
      <c r="BA1156" s="5" t="s">
        <v>251</v>
      </c>
      <c r="BB1156" s="5" t="s">
        <v>238</v>
      </c>
      <c r="BC1156" s="5" t="s">
        <v>253</v>
      </c>
      <c r="BD1156" s="5" t="s">
        <v>238</v>
      </c>
      <c r="BF1156" s="5" t="s">
        <v>238</v>
      </c>
      <c r="BH1156" s="5" t="s">
        <v>254</v>
      </c>
      <c r="BI1156" s="6" t="s">
        <v>246</v>
      </c>
      <c r="BJ1156" s="5" t="s">
        <v>255</v>
      </c>
      <c r="BK1156" s="5" t="s">
        <v>256</v>
      </c>
      <c r="BL1156" s="5" t="s">
        <v>238</v>
      </c>
      <c r="BM1156" s="7">
        <f>0</f>
        <v>0</v>
      </c>
      <c r="BN1156" s="8">
        <f>0</f>
        <v>0</v>
      </c>
      <c r="BO1156" s="5" t="s">
        <v>257</v>
      </c>
      <c r="BP1156" s="5" t="s">
        <v>258</v>
      </c>
      <c r="CD1156" s="5" t="s">
        <v>238</v>
      </c>
      <c r="CE1156" s="5" t="s">
        <v>238</v>
      </c>
      <c r="CI1156" s="5" t="s">
        <v>259</v>
      </c>
      <c r="CJ1156" s="5" t="s">
        <v>260</v>
      </c>
      <c r="CK1156" s="5" t="s">
        <v>238</v>
      </c>
      <c r="CM1156" s="5" t="s">
        <v>958</v>
      </c>
      <c r="CN1156" s="6" t="s">
        <v>262</v>
      </c>
      <c r="CO1156" s="5" t="s">
        <v>263</v>
      </c>
      <c r="CP1156" s="5" t="s">
        <v>264</v>
      </c>
      <c r="CQ1156" s="5" t="s">
        <v>238</v>
      </c>
      <c r="CR1156" s="5" t="s">
        <v>238</v>
      </c>
      <c r="CS1156" s="5">
        <v>0</v>
      </c>
      <c r="CT1156" s="5" t="s">
        <v>265</v>
      </c>
      <c r="CU1156" s="5" t="s">
        <v>1187</v>
      </c>
      <c r="CV1156" s="5" t="s">
        <v>267</v>
      </c>
      <c r="CX1156" s="8">
        <f>1769040</f>
        <v>1769040</v>
      </c>
      <c r="CY1156" s="8">
        <f>0</f>
        <v>0</v>
      </c>
      <c r="DA1156" s="5" t="s">
        <v>238</v>
      </c>
      <c r="DB1156" s="5" t="s">
        <v>238</v>
      </c>
      <c r="DD1156" s="5" t="s">
        <v>238</v>
      </c>
      <c r="DG1156" s="5" t="s">
        <v>238</v>
      </c>
      <c r="DH1156" s="5" t="s">
        <v>238</v>
      </c>
      <c r="DI1156" s="5" t="s">
        <v>238</v>
      </c>
      <c r="DJ1156" s="5" t="s">
        <v>238</v>
      </c>
      <c r="DK1156" s="5" t="s">
        <v>271</v>
      </c>
      <c r="DL1156" s="5" t="s">
        <v>272</v>
      </c>
      <c r="DM1156" s="7">
        <f>21.84</f>
        <v>21.84</v>
      </c>
      <c r="DN1156" s="5" t="s">
        <v>238</v>
      </c>
      <c r="DO1156" s="5" t="s">
        <v>238</v>
      </c>
      <c r="DP1156" s="5" t="s">
        <v>238</v>
      </c>
      <c r="DQ1156" s="5" t="s">
        <v>238</v>
      </c>
      <c r="DT1156" s="5" t="s">
        <v>1207</v>
      </c>
      <c r="DU1156" s="5" t="s">
        <v>274</v>
      </c>
      <c r="HM1156" s="5" t="s">
        <v>271</v>
      </c>
      <c r="HP1156" s="5" t="s">
        <v>272</v>
      </c>
      <c r="HQ1156" s="5" t="s">
        <v>272</v>
      </c>
    </row>
    <row r="1157" spans="1:238" x14ac:dyDescent="0.4">
      <c r="A1157" s="5">
        <v>1487</v>
      </c>
      <c r="B1157" s="5">
        <v>1</v>
      </c>
      <c r="C1157" s="5">
        <v>4</v>
      </c>
      <c r="D1157" s="5" t="s">
        <v>2097</v>
      </c>
      <c r="E1157" s="5" t="s">
        <v>1205</v>
      </c>
      <c r="F1157" s="5" t="s">
        <v>282</v>
      </c>
      <c r="G1157" s="5" t="s">
        <v>1905</v>
      </c>
      <c r="H1157" s="6" t="s">
        <v>1260</v>
      </c>
      <c r="I1157" s="5" t="s">
        <v>1902</v>
      </c>
      <c r="J1157" s="7">
        <f>530.63</f>
        <v>530.63</v>
      </c>
      <c r="K1157" s="5" t="s">
        <v>270</v>
      </c>
      <c r="L1157" s="8">
        <f>35870588</f>
        <v>35870588</v>
      </c>
      <c r="M1157" s="8">
        <f>137963800</f>
        <v>137963800</v>
      </c>
      <c r="N1157" s="6" t="s">
        <v>2098</v>
      </c>
      <c r="O1157" s="5" t="s">
        <v>279</v>
      </c>
      <c r="P1157" s="5" t="s">
        <v>1042</v>
      </c>
      <c r="Q1157" s="8">
        <f>2759276</f>
        <v>2759276</v>
      </c>
      <c r="R1157" s="8">
        <f>102093212</f>
        <v>102093212</v>
      </c>
      <c r="S1157" s="5" t="s">
        <v>240</v>
      </c>
      <c r="T1157" s="5" t="s">
        <v>237</v>
      </c>
      <c r="U1157" s="5" t="s">
        <v>238</v>
      </c>
      <c r="V1157" s="5" t="s">
        <v>238</v>
      </c>
      <c r="W1157" s="5" t="s">
        <v>241</v>
      </c>
      <c r="X1157" s="5" t="s">
        <v>802</v>
      </c>
      <c r="Y1157" s="5" t="s">
        <v>238</v>
      </c>
      <c r="AB1157" s="5" t="s">
        <v>238</v>
      </c>
      <c r="AC1157" s="6" t="s">
        <v>238</v>
      </c>
      <c r="AD1157" s="6" t="s">
        <v>238</v>
      </c>
      <c r="AF1157" s="6" t="s">
        <v>238</v>
      </c>
      <c r="AG1157" s="6" t="s">
        <v>246</v>
      </c>
      <c r="AH1157" s="5" t="s">
        <v>247</v>
      </c>
      <c r="AI1157" s="5" t="s">
        <v>248</v>
      </c>
      <c r="AO1157" s="5" t="s">
        <v>238</v>
      </c>
      <c r="AP1157" s="5" t="s">
        <v>238</v>
      </c>
      <c r="AQ1157" s="5" t="s">
        <v>238</v>
      </c>
      <c r="AR1157" s="6" t="s">
        <v>238</v>
      </c>
      <c r="AS1157" s="6" t="s">
        <v>238</v>
      </c>
      <c r="AT1157" s="6" t="s">
        <v>238</v>
      </c>
      <c r="AW1157" s="5" t="s">
        <v>304</v>
      </c>
      <c r="AX1157" s="5" t="s">
        <v>304</v>
      </c>
      <c r="AY1157" s="5" t="s">
        <v>250</v>
      </c>
      <c r="AZ1157" s="5" t="s">
        <v>305</v>
      </c>
      <c r="BA1157" s="5" t="s">
        <v>251</v>
      </c>
      <c r="BB1157" s="5" t="s">
        <v>238</v>
      </c>
      <c r="BC1157" s="5" t="s">
        <v>253</v>
      </c>
      <c r="BD1157" s="5" t="s">
        <v>238</v>
      </c>
      <c r="BF1157" s="5" t="s">
        <v>238</v>
      </c>
      <c r="BH1157" s="5" t="s">
        <v>283</v>
      </c>
      <c r="BI1157" s="6" t="s">
        <v>293</v>
      </c>
      <c r="BJ1157" s="5" t="s">
        <v>294</v>
      </c>
      <c r="BK1157" s="5" t="s">
        <v>294</v>
      </c>
      <c r="BL1157" s="5" t="s">
        <v>238</v>
      </c>
      <c r="BM1157" s="7">
        <f>0</f>
        <v>0</v>
      </c>
      <c r="BN1157" s="8">
        <f>-2759276</f>
        <v>-2759276</v>
      </c>
      <c r="BO1157" s="5" t="s">
        <v>257</v>
      </c>
      <c r="BP1157" s="5" t="s">
        <v>258</v>
      </c>
      <c r="BQ1157" s="5" t="s">
        <v>238</v>
      </c>
      <c r="BR1157" s="5" t="s">
        <v>238</v>
      </c>
      <c r="BS1157" s="5" t="s">
        <v>238</v>
      </c>
      <c r="BT1157" s="5" t="s">
        <v>238</v>
      </c>
      <c r="CC1157" s="5" t="s">
        <v>258</v>
      </c>
      <c r="CD1157" s="5" t="s">
        <v>238</v>
      </c>
      <c r="CE1157" s="5" t="s">
        <v>238</v>
      </c>
      <c r="CI1157" s="5" t="s">
        <v>259</v>
      </c>
      <c r="CJ1157" s="5" t="s">
        <v>260</v>
      </c>
      <c r="CK1157" s="5" t="s">
        <v>238</v>
      </c>
      <c r="CM1157" s="5" t="s">
        <v>882</v>
      </c>
      <c r="CN1157" s="6" t="s">
        <v>262</v>
      </c>
      <c r="CO1157" s="5" t="s">
        <v>263</v>
      </c>
      <c r="CP1157" s="5" t="s">
        <v>264</v>
      </c>
      <c r="CQ1157" s="5" t="s">
        <v>285</v>
      </c>
      <c r="CR1157" s="5" t="s">
        <v>238</v>
      </c>
      <c r="CS1157" s="5">
        <v>0.02</v>
      </c>
      <c r="CT1157" s="5" t="s">
        <v>265</v>
      </c>
      <c r="CU1157" s="5" t="s">
        <v>2099</v>
      </c>
      <c r="CV1157" s="5" t="s">
        <v>308</v>
      </c>
      <c r="CW1157" s="7">
        <f>0</f>
        <v>0</v>
      </c>
      <c r="CX1157" s="8">
        <f>137963800</f>
        <v>137963800</v>
      </c>
      <c r="CY1157" s="8">
        <f>38629864</f>
        <v>38629864</v>
      </c>
      <c r="DA1157" s="5" t="s">
        <v>238</v>
      </c>
      <c r="DB1157" s="5" t="s">
        <v>238</v>
      </c>
      <c r="DD1157" s="5" t="s">
        <v>238</v>
      </c>
      <c r="DE1157" s="8">
        <f>0</f>
        <v>0</v>
      </c>
      <c r="DG1157" s="5" t="s">
        <v>238</v>
      </c>
      <c r="DH1157" s="5" t="s">
        <v>238</v>
      </c>
      <c r="DI1157" s="5" t="s">
        <v>238</v>
      </c>
      <c r="DJ1157" s="5" t="s">
        <v>238</v>
      </c>
      <c r="DK1157" s="5" t="s">
        <v>271</v>
      </c>
      <c r="DL1157" s="5" t="s">
        <v>272</v>
      </c>
      <c r="DM1157" s="7">
        <f>530.63</f>
        <v>530.63</v>
      </c>
      <c r="DN1157" s="5" t="s">
        <v>238</v>
      </c>
      <c r="DO1157" s="5" t="s">
        <v>238</v>
      </c>
      <c r="DP1157" s="5" t="s">
        <v>238</v>
      </c>
      <c r="DQ1157" s="5" t="s">
        <v>238</v>
      </c>
      <c r="DT1157" s="5" t="s">
        <v>2100</v>
      </c>
      <c r="DU1157" s="5" t="s">
        <v>271</v>
      </c>
      <c r="GL1157" s="5" t="s">
        <v>2101</v>
      </c>
      <c r="HM1157" s="5" t="s">
        <v>313</v>
      </c>
      <c r="HP1157" s="5" t="s">
        <v>272</v>
      </c>
      <c r="HQ1157" s="5" t="s">
        <v>272</v>
      </c>
      <c r="HR1157" s="5" t="s">
        <v>238</v>
      </c>
      <c r="HS1157" s="5" t="s">
        <v>238</v>
      </c>
      <c r="HT1157" s="5" t="s">
        <v>238</v>
      </c>
      <c r="HU1157" s="5" t="s">
        <v>238</v>
      </c>
      <c r="HV1157" s="5" t="s">
        <v>238</v>
      </c>
      <c r="HW1157" s="5" t="s">
        <v>238</v>
      </c>
      <c r="HX1157" s="5" t="s">
        <v>238</v>
      </c>
      <c r="HY1157" s="5" t="s">
        <v>238</v>
      </c>
      <c r="HZ1157" s="5" t="s">
        <v>238</v>
      </c>
      <c r="IA1157" s="5" t="s">
        <v>238</v>
      </c>
      <c r="IB1157" s="5" t="s">
        <v>238</v>
      </c>
      <c r="IC1157" s="5" t="s">
        <v>238</v>
      </c>
      <c r="ID1157" s="5" t="s">
        <v>238</v>
      </c>
    </row>
    <row r="1158" spans="1:238" x14ac:dyDescent="0.4">
      <c r="A1158" s="5">
        <v>1488</v>
      </c>
      <c r="B1158" s="5">
        <v>1</v>
      </c>
      <c r="C1158" s="5">
        <v>4</v>
      </c>
      <c r="D1158" s="5" t="s">
        <v>2258</v>
      </c>
      <c r="E1158" s="5" t="s">
        <v>338</v>
      </c>
      <c r="F1158" s="5" t="s">
        <v>282</v>
      </c>
      <c r="G1158" s="5" t="s">
        <v>2260</v>
      </c>
      <c r="H1158" s="6" t="s">
        <v>1332</v>
      </c>
      <c r="I1158" s="5" t="s">
        <v>2257</v>
      </c>
      <c r="J1158" s="7">
        <f>805.19</f>
        <v>805.19</v>
      </c>
      <c r="K1158" s="5" t="s">
        <v>270</v>
      </c>
      <c r="L1158" s="8">
        <f>6199990</f>
        <v>6199990</v>
      </c>
      <c r="M1158" s="8">
        <f>221427250</f>
        <v>221427250</v>
      </c>
      <c r="N1158" s="6" t="s">
        <v>2280</v>
      </c>
      <c r="O1158" s="5" t="s">
        <v>639</v>
      </c>
      <c r="P1158" s="5" t="s">
        <v>755</v>
      </c>
      <c r="Q1158" s="8">
        <f>5978535</f>
        <v>5978535</v>
      </c>
      <c r="R1158" s="8">
        <f>215227260</f>
        <v>215227260</v>
      </c>
      <c r="S1158" s="5" t="s">
        <v>240</v>
      </c>
      <c r="T1158" s="5" t="s">
        <v>237</v>
      </c>
      <c r="U1158" s="5" t="s">
        <v>238</v>
      </c>
      <c r="V1158" s="5" t="s">
        <v>238</v>
      </c>
      <c r="W1158" s="5" t="s">
        <v>241</v>
      </c>
      <c r="X1158" s="5" t="s">
        <v>453</v>
      </c>
      <c r="Y1158" s="5" t="s">
        <v>238</v>
      </c>
      <c r="AB1158" s="5" t="s">
        <v>238</v>
      </c>
      <c r="AC1158" s="6" t="s">
        <v>238</v>
      </c>
      <c r="AD1158" s="6" t="s">
        <v>238</v>
      </c>
      <c r="AF1158" s="6" t="s">
        <v>238</v>
      </c>
      <c r="AG1158" s="6" t="s">
        <v>246</v>
      </c>
      <c r="AH1158" s="5" t="s">
        <v>247</v>
      </c>
      <c r="AI1158" s="5" t="s">
        <v>248</v>
      </c>
      <c r="AO1158" s="5" t="s">
        <v>238</v>
      </c>
      <c r="AP1158" s="5" t="s">
        <v>238</v>
      </c>
      <c r="AQ1158" s="5" t="s">
        <v>238</v>
      </c>
      <c r="AR1158" s="6" t="s">
        <v>238</v>
      </c>
      <c r="AS1158" s="6" t="s">
        <v>238</v>
      </c>
      <c r="AT1158" s="6" t="s">
        <v>238</v>
      </c>
      <c r="AW1158" s="5" t="s">
        <v>304</v>
      </c>
      <c r="AX1158" s="5" t="s">
        <v>304</v>
      </c>
      <c r="AY1158" s="5" t="s">
        <v>250</v>
      </c>
      <c r="AZ1158" s="5" t="s">
        <v>305</v>
      </c>
      <c r="BA1158" s="5" t="s">
        <v>251</v>
      </c>
      <c r="BB1158" s="5" t="s">
        <v>238</v>
      </c>
      <c r="BC1158" s="5" t="s">
        <v>253</v>
      </c>
      <c r="BD1158" s="5" t="s">
        <v>238</v>
      </c>
      <c r="BF1158" s="5" t="s">
        <v>710</v>
      </c>
      <c r="BH1158" s="5" t="s">
        <v>283</v>
      </c>
      <c r="BI1158" s="6" t="s">
        <v>293</v>
      </c>
      <c r="BJ1158" s="5" t="s">
        <v>294</v>
      </c>
      <c r="BK1158" s="5" t="s">
        <v>294</v>
      </c>
      <c r="BL1158" s="5" t="s">
        <v>238</v>
      </c>
      <c r="BM1158" s="7">
        <f>0</f>
        <v>0</v>
      </c>
      <c r="BN1158" s="8">
        <f>-5978535</f>
        <v>-5978535</v>
      </c>
      <c r="BO1158" s="5" t="s">
        <v>257</v>
      </c>
      <c r="BP1158" s="5" t="s">
        <v>258</v>
      </c>
      <c r="BQ1158" s="5" t="s">
        <v>238</v>
      </c>
      <c r="BR1158" s="5" t="s">
        <v>238</v>
      </c>
      <c r="BS1158" s="5" t="s">
        <v>238</v>
      </c>
      <c r="BT1158" s="5" t="s">
        <v>238</v>
      </c>
      <c r="CC1158" s="5" t="s">
        <v>258</v>
      </c>
      <c r="CD1158" s="5" t="s">
        <v>238</v>
      </c>
      <c r="CE1158" s="5" t="s">
        <v>238</v>
      </c>
      <c r="CI1158" s="5" t="s">
        <v>259</v>
      </c>
      <c r="CJ1158" s="5" t="s">
        <v>260</v>
      </c>
      <c r="CK1158" s="5" t="s">
        <v>238</v>
      </c>
      <c r="CM1158" s="5" t="s">
        <v>689</v>
      </c>
      <c r="CN1158" s="6" t="s">
        <v>262</v>
      </c>
      <c r="CO1158" s="5" t="s">
        <v>263</v>
      </c>
      <c r="CP1158" s="5" t="s">
        <v>264</v>
      </c>
      <c r="CQ1158" s="5" t="s">
        <v>285</v>
      </c>
      <c r="CR1158" s="5" t="s">
        <v>238</v>
      </c>
      <c r="CS1158" s="5">
        <v>2.7E-2</v>
      </c>
      <c r="CT1158" s="5" t="s">
        <v>265</v>
      </c>
      <c r="CU1158" s="5" t="s">
        <v>2254</v>
      </c>
      <c r="CV1158" s="5" t="s">
        <v>308</v>
      </c>
      <c r="CW1158" s="7">
        <f>0</f>
        <v>0</v>
      </c>
      <c r="CX1158" s="8">
        <f>221427250</f>
        <v>221427250</v>
      </c>
      <c r="CY1158" s="8">
        <f>12178525</f>
        <v>12178525</v>
      </c>
      <c r="DA1158" s="5" t="s">
        <v>238</v>
      </c>
      <c r="DB1158" s="5" t="s">
        <v>238</v>
      </c>
      <c r="DD1158" s="5" t="s">
        <v>238</v>
      </c>
      <c r="DE1158" s="8">
        <f>0</f>
        <v>0</v>
      </c>
      <c r="DG1158" s="5" t="s">
        <v>238</v>
      </c>
      <c r="DH1158" s="5" t="s">
        <v>238</v>
      </c>
      <c r="DI1158" s="5" t="s">
        <v>238</v>
      </c>
      <c r="DJ1158" s="5" t="s">
        <v>238</v>
      </c>
      <c r="DK1158" s="5" t="s">
        <v>271</v>
      </c>
      <c r="DL1158" s="5" t="s">
        <v>272</v>
      </c>
      <c r="DM1158" s="7">
        <f>805.19</f>
        <v>805.19</v>
      </c>
      <c r="DN1158" s="5" t="s">
        <v>238</v>
      </c>
      <c r="DO1158" s="5" t="s">
        <v>238</v>
      </c>
      <c r="DP1158" s="5" t="s">
        <v>238</v>
      </c>
      <c r="DQ1158" s="5" t="s">
        <v>238</v>
      </c>
      <c r="DT1158" s="5" t="s">
        <v>2261</v>
      </c>
      <c r="DU1158" s="5" t="s">
        <v>271</v>
      </c>
      <c r="GL1158" s="5" t="s">
        <v>2281</v>
      </c>
      <c r="HM1158" s="5" t="s">
        <v>313</v>
      </c>
      <c r="HP1158" s="5" t="s">
        <v>272</v>
      </c>
      <c r="HQ1158" s="5" t="s">
        <v>272</v>
      </c>
      <c r="HR1158" s="5" t="s">
        <v>238</v>
      </c>
      <c r="HS1158" s="5" t="s">
        <v>238</v>
      </c>
      <c r="HT1158" s="5" t="s">
        <v>238</v>
      </c>
      <c r="HU1158" s="5" t="s">
        <v>238</v>
      </c>
      <c r="HV1158" s="5" t="s">
        <v>238</v>
      </c>
      <c r="HW1158" s="5" t="s">
        <v>238</v>
      </c>
      <c r="HX1158" s="5" t="s">
        <v>238</v>
      </c>
      <c r="HY1158" s="5" t="s">
        <v>238</v>
      </c>
      <c r="HZ1158" s="5" t="s">
        <v>238</v>
      </c>
      <c r="IA1158" s="5" t="s">
        <v>238</v>
      </c>
      <c r="IB1158" s="5" t="s">
        <v>238</v>
      </c>
      <c r="IC1158" s="5" t="s">
        <v>238</v>
      </c>
      <c r="ID1158" s="5" t="s">
        <v>238</v>
      </c>
    </row>
    <row r="1159" spans="1:238" x14ac:dyDescent="0.4">
      <c r="A1159" s="5">
        <v>1489</v>
      </c>
      <c r="B1159" s="5">
        <v>1</v>
      </c>
      <c r="C1159" s="5">
        <v>4</v>
      </c>
      <c r="D1159" s="5" t="s">
        <v>2258</v>
      </c>
      <c r="E1159" s="5" t="s">
        <v>338</v>
      </c>
      <c r="F1159" s="5" t="s">
        <v>282</v>
      </c>
      <c r="G1159" s="5" t="s">
        <v>2260</v>
      </c>
      <c r="H1159" s="6" t="s">
        <v>1332</v>
      </c>
      <c r="I1159" s="5" t="s">
        <v>2257</v>
      </c>
      <c r="J1159" s="7">
        <f>963.2</f>
        <v>963.2</v>
      </c>
      <c r="K1159" s="5" t="s">
        <v>270</v>
      </c>
      <c r="L1159" s="8">
        <f>136148320</f>
        <v>136148320</v>
      </c>
      <c r="M1159" s="8">
        <f>264880000</f>
        <v>264880000</v>
      </c>
      <c r="N1159" s="6" t="s">
        <v>2259</v>
      </c>
      <c r="O1159" s="5" t="s">
        <v>639</v>
      </c>
      <c r="P1159" s="5" t="s">
        <v>269</v>
      </c>
      <c r="Q1159" s="8">
        <f>7151760</f>
        <v>7151760</v>
      </c>
      <c r="R1159" s="8">
        <f>128731680</f>
        <v>128731680</v>
      </c>
      <c r="S1159" s="5" t="s">
        <v>240</v>
      </c>
      <c r="T1159" s="5" t="s">
        <v>237</v>
      </c>
      <c r="U1159" s="5" t="s">
        <v>238</v>
      </c>
      <c r="V1159" s="5" t="s">
        <v>238</v>
      </c>
      <c r="W1159" s="5" t="s">
        <v>241</v>
      </c>
      <c r="X1159" s="5" t="s">
        <v>453</v>
      </c>
      <c r="Y1159" s="5" t="s">
        <v>238</v>
      </c>
      <c r="AB1159" s="5" t="s">
        <v>238</v>
      </c>
      <c r="AC1159" s="6" t="s">
        <v>238</v>
      </c>
      <c r="AD1159" s="6" t="s">
        <v>238</v>
      </c>
      <c r="AF1159" s="6" t="s">
        <v>238</v>
      </c>
      <c r="AG1159" s="6" t="s">
        <v>246</v>
      </c>
      <c r="AH1159" s="5" t="s">
        <v>247</v>
      </c>
      <c r="AI1159" s="5" t="s">
        <v>248</v>
      </c>
      <c r="AO1159" s="5" t="s">
        <v>238</v>
      </c>
      <c r="AP1159" s="5" t="s">
        <v>238</v>
      </c>
      <c r="AQ1159" s="5" t="s">
        <v>238</v>
      </c>
      <c r="AR1159" s="6" t="s">
        <v>238</v>
      </c>
      <c r="AS1159" s="6" t="s">
        <v>238</v>
      </c>
      <c r="AT1159" s="6" t="s">
        <v>238</v>
      </c>
      <c r="AW1159" s="5" t="s">
        <v>304</v>
      </c>
      <c r="AX1159" s="5" t="s">
        <v>304</v>
      </c>
      <c r="AY1159" s="5" t="s">
        <v>250</v>
      </c>
      <c r="AZ1159" s="5" t="s">
        <v>305</v>
      </c>
      <c r="BA1159" s="5" t="s">
        <v>251</v>
      </c>
      <c r="BB1159" s="5" t="s">
        <v>238</v>
      </c>
      <c r="BC1159" s="5" t="s">
        <v>253</v>
      </c>
      <c r="BD1159" s="5" t="s">
        <v>238</v>
      </c>
      <c r="BF1159" s="5" t="s">
        <v>238</v>
      </c>
      <c r="BH1159" s="5" t="s">
        <v>283</v>
      </c>
      <c r="BI1159" s="6" t="s">
        <v>293</v>
      </c>
      <c r="BJ1159" s="5" t="s">
        <v>294</v>
      </c>
      <c r="BK1159" s="5" t="s">
        <v>294</v>
      </c>
      <c r="BL1159" s="5" t="s">
        <v>238</v>
      </c>
      <c r="BM1159" s="7">
        <f>0</f>
        <v>0</v>
      </c>
      <c r="BN1159" s="8">
        <f>-7151760</f>
        <v>-7151760</v>
      </c>
      <c r="BO1159" s="5" t="s">
        <v>257</v>
      </c>
      <c r="BP1159" s="5" t="s">
        <v>258</v>
      </c>
      <c r="BQ1159" s="5" t="s">
        <v>238</v>
      </c>
      <c r="BR1159" s="5" t="s">
        <v>238</v>
      </c>
      <c r="BS1159" s="5" t="s">
        <v>238</v>
      </c>
      <c r="BT1159" s="5" t="s">
        <v>238</v>
      </c>
      <c r="CC1159" s="5" t="s">
        <v>258</v>
      </c>
      <c r="CD1159" s="5" t="s">
        <v>238</v>
      </c>
      <c r="CE1159" s="5" t="s">
        <v>238</v>
      </c>
      <c r="CI1159" s="5" t="s">
        <v>259</v>
      </c>
      <c r="CJ1159" s="5" t="s">
        <v>260</v>
      </c>
      <c r="CK1159" s="5" t="s">
        <v>238</v>
      </c>
      <c r="CM1159" s="5" t="s">
        <v>682</v>
      </c>
      <c r="CN1159" s="6" t="s">
        <v>262</v>
      </c>
      <c r="CO1159" s="5" t="s">
        <v>263</v>
      </c>
      <c r="CP1159" s="5" t="s">
        <v>264</v>
      </c>
      <c r="CQ1159" s="5" t="s">
        <v>285</v>
      </c>
      <c r="CR1159" s="5" t="s">
        <v>238</v>
      </c>
      <c r="CS1159" s="5">
        <v>2.7E-2</v>
      </c>
      <c r="CT1159" s="5" t="s">
        <v>265</v>
      </c>
      <c r="CU1159" s="5" t="s">
        <v>2254</v>
      </c>
      <c r="CV1159" s="5" t="s">
        <v>308</v>
      </c>
      <c r="CW1159" s="7">
        <f>0</f>
        <v>0</v>
      </c>
      <c r="CX1159" s="8">
        <f>264880000</f>
        <v>264880000</v>
      </c>
      <c r="CY1159" s="8">
        <f>143300080</f>
        <v>143300080</v>
      </c>
      <c r="DA1159" s="5" t="s">
        <v>238</v>
      </c>
      <c r="DB1159" s="5" t="s">
        <v>238</v>
      </c>
      <c r="DD1159" s="5" t="s">
        <v>238</v>
      </c>
      <c r="DE1159" s="8">
        <f>0</f>
        <v>0</v>
      </c>
      <c r="DG1159" s="5" t="s">
        <v>238</v>
      </c>
      <c r="DH1159" s="5" t="s">
        <v>238</v>
      </c>
      <c r="DI1159" s="5" t="s">
        <v>238</v>
      </c>
      <c r="DJ1159" s="5" t="s">
        <v>238</v>
      </c>
      <c r="DK1159" s="5" t="s">
        <v>271</v>
      </c>
      <c r="DL1159" s="5" t="s">
        <v>272</v>
      </c>
      <c r="DM1159" s="7">
        <f>963.2</f>
        <v>963.2</v>
      </c>
      <c r="DN1159" s="5" t="s">
        <v>238</v>
      </c>
      <c r="DO1159" s="5" t="s">
        <v>238</v>
      </c>
      <c r="DP1159" s="5" t="s">
        <v>238</v>
      </c>
      <c r="DQ1159" s="5" t="s">
        <v>238</v>
      </c>
      <c r="DT1159" s="5" t="s">
        <v>2261</v>
      </c>
      <c r="DU1159" s="5" t="s">
        <v>274</v>
      </c>
      <c r="GL1159" s="5" t="s">
        <v>2262</v>
      </c>
      <c r="HM1159" s="5" t="s">
        <v>313</v>
      </c>
      <c r="HP1159" s="5" t="s">
        <v>272</v>
      </c>
      <c r="HQ1159" s="5" t="s">
        <v>272</v>
      </c>
      <c r="HR1159" s="5" t="s">
        <v>238</v>
      </c>
      <c r="HS1159" s="5" t="s">
        <v>238</v>
      </c>
      <c r="HT1159" s="5" t="s">
        <v>238</v>
      </c>
      <c r="HU1159" s="5" t="s">
        <v>238</v>
      </c>
      <c r="HV1159" s="5" t="s">
        <v>238</v>
      </c>
      <c r="HW1159" s="5" t="s">
        <v>238</v>
      </c>
      <c r="HX1159" s="5" t="s">
        <v>238</v>
      </c>
      <c r="HY1159" s="5" t="s">
        <v>238</v>
      </c>
      <c r="HZ1159" s="5" t="s">
        <v>238</v>
      </c>
      <c r="IA1159" s="5" t="s">
        <v>238</v>
      </c>
      <c r="IB1159" s="5" t="s">
        <v>238</v>
      </c>
      <c r="IC1159" s="5" t="s">
        <v>238</v>
      </c>
      <c r="ID1159" s="5" t="s">
        <v>238</v>
      </c>
    </row>
    <row r="1160" spans="1:238" x14ac:dyDescent="0.4">
      <c r="A1160" s="5">
        <v>1494</v>
      </c>
      <c r="B1160" s="5">
        <v>1</v>
      </c>
      <c r="C1160" s="5">
        <v>1</v>
      </c>
      <c r="D1160" s="5" t="s">
        <v>2184</v>
      </c>
      <c r="E1160" s="5" t="s">
        <v>244</v>
      </c>
      <c r="F1160" s="5" t="s">
        <v>282</v>
      </c>
      <c r="G1160" s="5" t="s">
        <v>1309</v>
      </c>
      <c r="H1160" s="6" t="s">
        <v>2186</v>
      </c>
      <c r="I1160" s="5" t="s">
        <v>1309</v>
      </c>
      <c r="J1160" s="7">
        <f>16.59</f>
        <v>16.59</v>
      </c>
      <c r="K1160" s="5" t="s">
        <v>270</v>
      </c>
      <c r="L1160" s="8">
        <f>1</f>
        <v>1</v>
      </c>
      <c r="M1160" s="8">
        <f>1957620</f>
        <v>1957620</v>
      </c>
      <c r="N1160" s="6" t="s">
        <v>2185</v>
      </c>
      <c r="O1160" s="5" t="s">
        <v>268</v>
      </c>
      <c r="P1160" s="5" t="s">
        <v>611</v>
      </c>
      <c r="R1160" s="8">
        <f>1957619</f>
        <v>1957619</v>
      </c>
      <c r="S1160" s="5" t="s">
        <v>240</v>
      </c>
      <c r="T1160" s="5" t="s">
        <v>237</v>
      </c>
      <c r="U1160" s="5" t="s">
        <v>238</v>
      </c>
      <c r="V1160" s="5" t="s">
        <v>238</v>
      </c>
      <c r="W1160" s="5" t="s">
        <v>241</v>
      </c>
      <c r="X1160" s="5" t="s">
        <v>337</v>
      </c>
      <c r="Y1160" s="5" t="s">
        <v>238</v>
      </c>
      <c r="AB1160" s="5" t="s">
        <v>238</v>
      </c>
      <c r="AD1160" s="6" t="s">
        <v>238</v>
      </c>
      <c r="AG1160" s="6" t="s">
        <v>246</v>
      </c>
      <c r="AH1160" s="5" t="s">
        <v>247</v>
      </c>
      <c r="AI1160" s="5" t="s">
        <v>248</v>
      </c>
      <c r="AY1160" s="5" t="s">
        <v>250</v>
      </c>
      <c r="AZ1160" s="5" t="s">
        <v>238</v>
      </c>
      <c r="BA1160" s="5" t="s">
        <v>251</v>
      </c>
      <c r="BB1160" s="5" t="s">
        <v>238</v>
      </c>
      <c r="BC1160" s="5" t="s">
        <v>253</v>
      </c>
      <c r="BD1160" s="5" t="s">
        <v>238</v>
      </c>
      <c r="BF1160" s="5" t="s">
        <v>710</v>
      </c>
      <c r="BH1160" s="5" t="s">
        <v>254</v>
      </c>
      <c r="BI1160" s="6" t="s">
        <v>246</v>
      </c>
      <c r="BJ1160" s="5" t="s">
        <v>255</v>
      </c>
      <c r="BK1160" s="5" t="s">
        <v>256</v>
      </c>
      <c r="BL1160" s="5" t="s">
        <v>238</v>
      </c>
      <c r="BM1160" s="7">
        <f>0</f>
        <v>0</v>
      </c>
      <c r="BN1160" s="8">
        <f>0</f>
        <v>0</v>
      </c>
      <c r="BO1160" s="5" t="s">
        <v>257</v>
      </c>
      <c r="BP1160" s="5" t="s">
        <v>258</v>
      </c>
      <c r="CD1160" s="5" t="s">
        <v>238</v>
      </c>
      <c r="CE1160" s="5" t="s">
        <v>238</v>
      </c>
      <c r="CI1160" s="5" t="s">
        <v>259</v>
      </c>
      <c r="CJ1160" s="5" t="s">
        <v>260</v>
      </c>
      <c r="CK1160" s="5" t="s">
        <v>238</v>
      </c>
      <c r="CM1160" s="5" t="s">
        <v>1078</v>
      </c>
      <c r="CN1160" s="6" t="s">
        <v>262</v>
      </c>
      <c r="CO1160" s="5" t="s">
        <v>263</v>
      </c>
      <c r="CP1160" s="5" t="s">
        <v>264</v>
      </c>
      <c r="CQ1160" s="5" t="s">
        <v>238</v>
      </c>
      <c r="CR1160" s="5" t="s">
        <v>238</v>
      </c>
      <c r="CS1160" s="5">
        <v>0</v>
      </c>
      <c r="CT1160" s="5" t="s">
        <v>265</v>
      </c>
      <c r="CU1160" s="5" t="s">
        <v>1342</v>
      </c>
      <c r="CV1160" s="5" t="s">
        <v>267</v>
      </c>
      <c r="CX1160" s="8">
        <f>1957620</f>
        <v>1957620</v>
      </c>
      <c r="CY1160" s="8">
        <f>0</f>
        <v>0</v>
      </c>
      <c r="DA1160" s="5" t="s">
        <v>238</v>
      </c>
      <c r="DB1160" s="5" t="s">
        <v>238</v>
      </c>
      <c r="DD1160" s="5" t="s">
        <v>238</v>
      </c>
      <c r="DG1160" s="5" t="s">
        <v>238</v>
      </c>
      <c r="DH1160" s="5" t="s">
        <v>238</v>
      </c>
      <c r="DI1160" s="5" t="s">
        <v>238</v>
      </c>
      <c r="DJ1160" s="5" t="s">
        <v>238</v>
      </c>
      <c r="DK1160" s="5" t="s">
        <v>271</v>
      </c>
      <c r="DL1160" s="5" t="s">
        <v>272</v>
      </c>
      <c r="DM1160" s="7">
        <f>16.59</f>
        <v>16.59</v>
      </c>
      <c r="DN1160" s="5" t="s">
        <v>238</v>
      </c>
      <c r="DO1160" s="5" t="s">
        <v>238</v>
      </c>
      <c r="DP1160" s="5" t="s">
        <v>238</v>
      </c>
      <c r="DQ1160" s="5" t="s">
        <v>238</v>
      </c>
      <c r="DT1160" s="5" t="s">
        <v>2187</v>
      </c>
      <c r="DU1160" s="5" t="s">
        <v>271</v>
      </c>
      <c r="HM1160" s="5" t="s">
        <v>271</v>
      </c>
      <c r="HP1160" s="5" t="s">
        <v>272</v>
      </c>
      <c r="HQ1160" s="5" t="s">
        <v>272</v>
      </c>
    </row>
    <row r="1161" spans="1:238" x14ac:dyDescent="0.4">
      <c r="A1161" s="5">
        <v>1496</v>
      </c>
      <c r="B1161" s="5">
        <v>1</v>
      </c>
      <c r="C1161" s="5">
        <v>4</v>
      </c>
      <c r="D1161" s="5" t="s">
        <v>1721</v>
      </c>
      <c r="E1161" s="5" t="s">
        <v>338</v>
      </c>
      <c r="F1161" s="5" t="s">
        <v>282</v>
      </c>
      <c r="G1161" s="5" t="s">
        <v>1807</v>
      </c>
      <c r="H1161" s="6" t="s">
        <v>1722</v>
      </c>
      <c r="I1161" s="5" t="s">
        <v>1809</v>
      </c>
      <c r="J1161" s="7">
        <f>666</f>
        <v>666</v>
      </c>
      <c r="K1161" s="5" t="s">
        <v>270</v>
      </c>
      <c r="L1161" s="8">
        <f>104990904</f>
        <v>104990904</v>
      </c>
      <c r="M1161" s="8">
        <f>173826000</f>
        <v>173826000</v>
      </c>
      <c r="N1161" s="6" t="s">
        <v>1834</v>
      </c>
      <c r="O1161" s="5" t="s">
        <v>898</v>
      </c>
      <c r="P1161" s="5" t="s">
        <v>269</v>
      </c>
      <c r="Q1161" s="8">
        <f>3824172</f>
        <v>3824172</v>
      </c>
      <c r="R1161" s="8">
        <f>68835096</f>
        <v>68835096</v>
      </c>
      <c r="S1161" s="5" t="s">
        <v>240</v>
      </c>
      <c r="T1161" s="5" t="s">
        <v>237</v>
      </c>
      <c r="U1161" s="5" t="s">
        <v>238</v>
      </c>
      <c r="V1161" s="5" t="s">
        <v>238</v>
      </c>
      <c r="W1161" s="5" t="s">
        <v>241</v>
      </c>
      <c r="X1161" s="5" t="s">
        <v>337</v>
      </c>
      <c r="Y1161" s="5" t="s">
        <v>238</v>
      </c>
      <c r="AB1161" s="5" t="s">
        <v>238</v>
      </c>
      <c r="AC1161" s="6" t="s">
        <v>238</v>
      </c>
      <c r="AD1161" s="6" t="s">
        <v>238</v>
      </c>
      <c r="AF1161" s="6" t="s">
        <v>238</v>
      </c>
      <c r="AG1161" s="6" t="s">
        <v>246</v>
      </c>
      <c r="AH1161" s="5" t="s">
        <v>247</v>
      </c>
      <c r="AI1161" s="5" t="s">
        <v>248</v>
      </c>
      <c r="AO1161" s="5" t="s">
        <v>238</v>
      </c>
      <c r="AP1161" s="5" t="s">
        <v>238</v>
      </c>
      <c r="AQ1161" s="5" t="s">
        <v>238</v>
      </c>
      <c r="AR1161" s="6" t="s">
        <v>238</v>
      </c>
      <c r="AS1161" s="6" t="s">
        <v>238</v>
      </c>
      <c r="AT1161" s="6" t="s">
        <v>238</v>
      </c>
      <c r="AW1161" s="5" t="s">
        <v>304</v>
      </c>
      <c r="AX1161" s="5" t="s">
        <v>304</v>
      </c>
      <c r="AY1161" s="5" t="s">
        <v>250</v>
      </c>
      <c r="AZ1161" s="5" t="s">
        <v>305</v>
      </c>
      <c r="BA1161" s="5" t="s">
        <v>251</v>
      </c>
      <c r="BB1161" s="5" t="s">
        <v>238</v>
      </c>
      <c r="BC1161" s="5" t="s">
        <v>253</v>
      </c>
      <c r="BD1161" s="5" t="s">
        <v>238</v>
      </c>
      <c r="BF1161" s="5" t="s">
        <v>238</v>
      </c>
      <c r="BH1161" s="5" t="s">
        <v>283</v>
      </c>
      <c r="BI1161" s="6" t="s">
        <v>293</v>
      </c>
      <c r="BJ1161" s="5" t="s">
        <v>294</v>
      </c>
      <c r="BK1161" s="5" t="s">
        <v>294</v>
      </c>
      <c r="BL1161" s="5" t="s">
        <v>238</v>
      </c>
      <c r="BM1161" s="7">
        <f>0</f>
        <v>0</v>
      </c>
      <c r="BN1161" s="8">
        <f>-3824172</f>
        <v>-3824172</v>
      </c>
      <c r="BO1161" s="5" t="s">
        <v>257</v>
      </c>
      <c r="BP1161" s="5" t="s">
        <v>258</v>
      </c>
      <c r="BQ1161" s="5" t="s">
        <v>238</v>
      </c>
      <c r="BR1161" s="5" t="s">
        <v>238</v>
      </c>
      <c r="BS1161" s="5" t="s">
        <v>238</v>
      </c>
      <c r="BT1161" s="5" t="s">
        <v>238</v>
      </c>
      <c r="CC1161" s="5" t="s">
        <v>258</v>
      </c>
      <c r="CD1161" s="5" t="s">
        <v>238</v>
      </c>
      <c r="CE1161" s="5" t="s">
        <v>238</v>
      </c>
      <c r="CI1161" s="5" t="s">
        <v>259</v>
      </c>
      <c r="CJ1161" s="5" t="s">
        <v>260</v>
      </c>
      <c r="CK1161" s="5" t="s">
        <v>238</v>
      </c>
      <c r="CM1161" s="5" t="s">
        <v>682</v>
      </c>
      <c r="CN1161" s="6" t="s">
        <v>262</v>
      </c>
      <c r="CO1161" s="5" t="s">
        <v>263</v>
      </c>
      <c r="CP1161" s="5" t="s">
        <v>264</v>
      </c>
      <c r="CQ1161" s="5" t="s">
        <v>285</v>
      </c>
      <c r="CR1161" s="5" t="s">
        <v>238</v>
      </c>
      <c r="CS1161" s="5">
        <v>2.1999999999999999E-2</v>
      </c>
      <c r="CT1161" s="5" t="s">
        <v>265</v>
      </c>
      <c r="CU1161" s="5" t="s">
        <v>1803</v>
      </c>
      <c r="CV1161" s="5" t="s">
        <v>308</v>
      </c>
      <c r="CW1161" s="7">
        <f>0</f>
        <v>0</v>
      </c>
      <c r="CX1161" s="8">
        <f>173826000</f>
        <v>173826000</v>
      </c>
      <c r="CY1161" s="8">
        <f>108815076</f>
        <v>108815076</v>
      </c>
      <c r="DA1161" s="5" t="s">
        <v>238</v>
      </c>
      <c r="DB1161" s="5" t="s">
        <v>238</v>
      </c>
      <c r="DD1161" s="5" t="s">
        <v>238</v>
      </c>
      <c r="DE1161" s="8">
        <f>0</f>
        <v>0</v>
      </c>
      <c r="DG1161" s="5" t="s">
        <v>238</v>
      </c>
      <c r="DH1161" s="5" t="s">
        <v>238</v>
      </c>
      <c r="DI1161" s="5" t="s">
        <v>238</v>
      </c>
      <c r="DJ1161" s="5" t="s">
        <v>238</v>
      </c>
      <c r="DK1161" s="5" t="s">
        <v>271</v>
      </c>
      <c r="DL1161" s="5" t="s">
        <v>272</v>
      </c>
      <c r="DM1161" s="7">
        <f>666</f>
        <v>666</v>
      </c>
      <c r="DN1161" s="5" t="s">
        <v>238</v>
      </c>
      <c r="DO1161" s="5" t="s">
        <v>238</v>
      </c>
      <c r="DP1161" s="5" t="s">
        <v>238</v>
      </c>
      <c r="DQ1161" s="5" t="s">
        <v>238</v>
      </c>
      <c r="DT1161" s="5" t="s">
        <v>1723</v>
      </c>
      <c r="DU1161" s="5" t="s">
        <v>271</v>
      </c>
      <c r="GL1161" s="5" t="s">
        <v>1835</v>
      </c>
      <c r="HM1161" s="5" t="s">
        <v>313</v>
      </c>
      <c r="HP1161" s="5" t="s">
        <v>272</v>
      </c>
      <c r="HQ1161" s="5" t="s">
        <v>272</v>
      </c>
      <c r="HR1161" s="5" t="s">
        <v>238</v>
      </c>
      <c r="HS1161" s="5" t="s">
        <v>238</v>
      </c>
      <c r="HT1161" s="5" t="s">
        <v>238</v>
      </c>
      <c r="HU1161" s="5" t="s">
        <v>238</v>
      </c>
      <c r="HV1161" s="5" t="s">
        <v>238</v>
      </c>
      <c r="HW1161" s="5" t="s">
        <v>238</v>
      </c>
      <c r="HX1161" s="5" t="s">
        <v>238</v>
      </c>
      <c r="HY1161" s="5" t="s">
        <v>238</v>
      </c>
      <c r="HZ1161" s="5" t="s">
        <v>238</v>
      </c>
      <c r="IA1161" s="5" t="s">
        <v>238</v>
      </c>
      <c r="IB1161" s="5" t="s">
        <v>238</v>
      </c>
      <c r="IC1161" s="5" t="s">
        <v>238</v>
      </c>
      <c r="ID1161" s="5" t="s">
        <v>238</v>
      </c>
    </row>
    <row r="1162" spans="1:238" x14ac:dyDescent="0.4">
      <c r="A1162" s="5">
        <v>1497</v>
      </c>
      <c r="B1162" s="5">
        <v>1</v>
      </c>
      <c r="C1162" s="5">
        <v>4</v>
      </c>
      <c r="D1162" s="5" t="s">
        <v>1721</v>
      </c>
      <c r="E1162" s="5" t="s">
        <v>338</v>
      </c>
      <c r="F1162" s="5" t="s">
        <v>282</v>
      </c>
      <c r="G1162" s="5" t="s">
        <v>1666</v>
      </c>
      <c r="H1162" s="6" t="s">
        <v>1722</v>
      </c>
      <c r="I1162" s="5" t="s">
        <v>1308</v>
      </c>
      <c r="J1162" s="7">
        <f>779.36</f>
        <v>779.36</v>
      </c>
      <c r="K1162" s="5" t="s">
        <v>270</v>
      </c>
      <c r="L1162" s="8">
        <f>26443708</f>
        <v>26443708</v>
      </c>
      <c r="M1162" s="8">
        <f>203412960</f>
        <v>203412960</v>
      </c>
      <c r="N1162" s="6" t="s">
        <v>960</v>
      </c>
      <c r="O1162" s="5" t="s">
        <v>755</v>
      </c>
      <c r="P1162" s="5" t="s">
        <v>784</v>
      </c>
      <c r="Q1162" s="8">
        <f>6102388</f>
        <v>6102388</v>
      </c>
      <c r="R1162" s="8">
        <f>176969252</f>
        <v>176969252</v>
      </c>
      <c r="S1162" s="5" t="s">
        <v>240</v>
      </c>
      <c r="T1162" s="5" t="s">
        <v>237</v>
      </c>
      <c r="U1162" s="5" t="s">
        <v>238</v>
      </c>
      <c r="V1162" s="5" t="s">
        <v>238</v>
      </c>
      <c r="W1162" s="5" t="s">
        <v>241</v>
      </c>
      <c r="X1162" s="5" t="s">
        <v>337</v>
      </c>
      <c r="Y1162" s="5" t="s">
        <v>238</v>
      </c>
      <c r="AB1162" s="5" t="s">
        <v>238</v>
      </c>
      <c r="AC1162" s="6" t="s">
        <v>238</v>
      </c>
      <c r="AD1162" s="6" t="s">
        <v>238</v>
      </c>
      <c r="AF1162" s="6" t="s">
        <v>238</v>
      </c>
      <c r="AG1162" s="6" t="s">
        <v>246</v>
      </c>
      <c r="AH1162" s="5" t="s">
        <v>247</v>
      </c>
      <c r="AI1162" s="5" t="s">
        <v>248</v>
      </c>
      <c r="AO1162" s="5" t="s">
        <v>238</v>
      </c>
      <c r="AP1162" s="5" t="s">
        <v>238</v>
      </c>
      <c r="AQ1162" s="5" t="s">
        <v>238</v>
      </c>
      <c r="AR1162" s="6" t="s">
        <v>238</v>
      </c>
      <c r="AS1162" s="6" t="s">
        <v>238</v>
      </c>
      <c r="AT1162" s="6" t="s">
        <v>238</v>
      </c>
      <c r="AW1162" s="5" t="s">
        <v>304</v>
      </c>
      <c r="AX1162" s="5" t="s">
        <v>304</v>
      </c>
      <c r="AY1162" s="5" t="s">
        <v>250</v>
      </c>
      <c r="AZ1162" s="5" t="s">
        <v>305</v>
      </c>
      <c r="BA1162" s="5" t="s">
        <v>251</v>
      </c>
      <c r="BB1162" s="5" t="s">
        <v>238</v>
      </c>
      <c r="BC1162" s="5" t="s">
        <v>253</v>
      </c>
      <c r="BD1162" s="5" t="s">
        <v>238</v>
      </c>
      <c r="BF1162" s="5" t="s">
        <v>238</v>
      </c>
      <c r="BH1162" s="5" t="s">
        <v>283</v>
      </c>
      <c r="BI1162" s="6" t="s">
        <v>293</v>
      </c>
      <c r="BJ1162" s="5" t="s">
        <v>294</v>
      </c>
      <c r="BK1162" s="5" t="s">
        <v>294</v>
      </c>
      <c r="BL1162" s="5" t="s">
        <v>238</v>
      </c>
      <c r="BM1162" s="7">
        <f>0</f>
        <v>0</v>
      </c>
      <c r="BN1162" s="8">
        <f>-6102388</f>
        <v>-6102388</v>
      </c>
      <c r="BO1162" s="5" t="s">
        <v>257</v>
      </c>
      <c r="BP1162" s="5" t="s">
        <v>258</v>
      </c>
      <c r="BQ1162" s="5" t="s">
        <v>238</v>
      </c>
      <c r="BR1162" s="5" t="s">
        <v>238</v>
      </c>
      <c r="BS1162" s="5" t="s">
        <v>238</v>
      </c>
      <c r="BT1162" s="5" t="s">
        <v>238</v>
      </c>
      <c r="CC1162" s="5" t="s">
        <v>258</v>
      </c>
      <c r="CD1162" s="5" t="s">
        <v>238</v>
      </c>
      <c r="CE1162" s="5" t="s">
        <v>238</v>
      </c>
      <c r="CI1162" s="5" t="s">
        <v>259</v>
      </c>
      <c r="CJ1162" s="5" t="s">
        <v>260</v>
      </c>
      <c r="CK1162" s="5" t="s">
        <v>238</v>
      </c>
      <c r="CM1162" s="5" t="s">
        <v>783</v>
      </c>
      <c r="CN1162" s="6" t="s">
        <v>262</v>
      </c>
      <c r="CO1162" s="5" t="s">
        <v>263</v>
      </c>
      <c r="CP1162" s="5" t="s">
        <v>264</v>
      </c>
      <c r="CQ1162" s="5" t="s">
        <v>285</v>
      </c>
      <c r="CR1162" s="5" t="s">
        <v>238</v>
      </c>
      <c r="CS1162" s="5">
        <v>0.03</v>
      </c>
      <c r="CT1162" s="5" t="s">
        <v>265</v>
      </c>
      <c r="CU1162" s="5" t="s">
        <v>1330</v>
      </c>
      <c r="CV1162" s="5" t="s">
        <v>649</v>
      </c>
      <c r="CW1162" s="7">
        <f>0</f>
        <v>0</v>
      </c>
      <c r="CX1162" s="8">
        <f>203412960</f>
        <v>203412960</v>
      </c>
      <c r="CY1162" s="8">
        <f>32546096</f>
        <v>32546096</v>
      </c>
      <c r="DA1162" s="5" t="s">
        <v>238</v>
      </c>
      <c r="DB1162" s="5" t="s">
        <v>238</v>
      </c>
      <c r="DD1162" s="5" t="s">
        <v>238</v>
      </c>
      <c r="DE1162" s="8">
        <f>0</f>
        <v>0</v>
      </c>
      <c r="DG1162" s="5" t="s">
        <v>238</v>
      </c>
      <c r="DH1162" s="5" t="s">
        <v>238</v>
      </c>
      <c r="DI1162" s="5" t="s">
        <v>238</v>
      </c>
      <c r="DJ1162" s="5" t="s">
        <v>238</v>
      </c>
      <c r="DK1162" s="5" t="s">
        <v>271</v>
      </c>
      <c r="DL1162" s="5" t="s">
        <v>272</v>
      </c>
      <c r="DM1162" s="7">
        <f>779.36</f>
        <v>779.36</v>
      </c>
      <c r="DN1162" s="5" t="s">
        <v>238</v>
      </c>
      <c r="DO1162" s="5" t="s">
        <v>238</v>
      </c>
      <c r="DP1162" s="5" t="s">
        <v>238</v>
      </c>
      <c r="DQ1162" s="5" t="s">
        <v>238</v>
      </c>
      <c r="DT1162" s="5" t="s">
        <v>1723</v>
      </c>
      <c r="DU1162" s="5" t="s">
        <v>274</v>
      </c>
      <c r="GL1162" s="5" t="s">
        <v>1724</v>
      </c>
      <c r="HM1162" s="5" t="s">
        <v>313</v>
      </c>
      <c r="HP1162" s="5" t="s">
        <v>272</v>
      </c>
      <c r="HQ1162" s="5" t="s">
        <v>272</v>
      </c>
      <c r="HR1162" s="5" t="s">
        <v>238</v>
      </c>
      <c r="HS1162" s="5" t="s">
        <v>238</v>
      </c>
      <c r="HT1162" s="5" t="s">
        <v>238</v>
      </c>
      <c r="HU1162" s="5" t="s">
        <v>238</v>
      </c>
      <c r="HV1162" s="5" t="s">
        <v>238</v>
      </c>
      <c r="HW1162" s="5" t="s">
        <v>238</v>
      </c>
      <c r="HX1162" s="5" t="s">
        <v>238</v>
      </c>
      <c r="HY1162" s="5" t="s">
        <v>238</v>
      </c>
      <c r="HZ1162" s="5" t="s">
        <v>238</v>
      </c>
      <c r="IA1162" s="5" t="s">
        <v>238</v>
      </c>
      <c r="IB1162" s="5" t="s">
        <v>238</v>
      </c>
      <c r="IC1162" s="5" t="s">
        <v>238</v>
      </c>
      <c r="ID1162" s="5" t="s">
        <v>238</v>
      </c>
    </row>
    <row r="1163" spans="1:238" x14ac:dyDescent="0.4">
      <c r="A1163" s="5">
        <v>1498</v>
      </c>
      <c r="B1163" s="5">
        <v>1</v>
      </c>
      <c r="C1163" s="5">
        <v>4</v>
      </c>
      <c r="D1163" s="5" t="s">
        <v>1721</v>
      </c>
      <c r="E1163" s="5" t="s">
        <v>338</v>
      </c>
      <c r="F1163" s="5" t="s">
        <v>282</v>
      </c>
      <c r="G1163" s="5" t="s">
        <v>2930</v>
      </c>
      <c r="H1163" s="6" t="s">
        <v>1722</v>
      </c>
      <c r="I1163" s="5" t="s">
        <v>2929</v>
      </c>
      <c r="J1163" s="7">
        <f>0</f>
        <v>0</v>
      </c>
      <c r="K1163" s="5" t="s">
        <v>270</v>
      </c>
      <c r="L1163" s="8">
        <f>1516840</f>
        <v>1516840</v>
      </c>
      <c r="M1163" s="8">
        <f>2280960</f>
        <v>2280960</v>
      </c>
      <c r="N1163" s="6" t="s">
        <v>1504</v>
      </c>
      <c r="O1163" s="5" t="s">
        <v>268</v>
      </c>
      <c r="P1163" s="5" t="s">
        <v>356</v>
      </c>
      <c r="Q1163" s="8">
        <f>152824</f>
        <v>152824</v>
      </c>
      <c r="R1163" s="8">
        <f>764120</f>
        <v>764120</v>
      </c>
      <c r="S1163" s="5" t="s">
        <v>240</v>
      </c>
      <c r="T1163" s="5" t="s">
        <v>287</v>
      </c>
      <c r="U1163" s="5" t="s">
        <v>238</v>
      </c>
      <c r="V1163" s="5" t="s">
        <v>238</v>
      </c>
      <c r="W1163" s="5" t="s">
        <v>241</v>
      </c>
      <c r="X1163" s="5" t="s">
        <v>337</v>
      </c>
      <c r="Y1163" s="5" t="s">
        <v>238</v>
      </c>
      <c r="AB1163" s="5" t="s">
        <v>238</v>
      </c>
      <c r="AC1163" s="6" t="s">
        <v>238</v>
      </c>
      <c r="AD1163" s="6" t="s">
        <v>238</v>
      </c>
      <c r="AF1163" s="6" t="s">
        <v>238</v>
      </c>
      <c r="AG1163" s="6" t="s">
        <v>246</v>
      </c>
      <c r="AH1163" s="5" t="s">
        <v>247</v>
      </c>
      <c r="AI1163" s="5" t="s">
        <v>248</v>
      </c>
      <c r="AO1163" s="5" t="s">
        <v>238</v>
      </c>
      <c r="AP1163" s="5" t="s">
        <v>238</v>
      </c>
      <c r="AQ1163" s="5" t="s">
        <v>238</v>
      </c>
      <c r="AR1163" s="6" t="s">
        <v>238</v>
      </c>
      <c r="AS1163" s="6" t="s">
        <v>238</v>
      </c>
      <c r="AT1163" s="6" t="s">
        <v>238</v>
      </c>
      <c r="AW1163" s="5" t="s">
        <v>304</v>
      </c>
      <c r="AX1163" s="5" t="s">
        <v>304</v>
      </c>
      <c r="AY1163" s="5" t="s">
        <v>250</v>
      </c>
      <c r="AZ1163" s="5" t="s">
        <v>305</v>
      </c>
      <c r="BA1163" s="5" t="s">
        <v>251</v>
      </c>
      <c r="BB1163" s="5" t="s">
        <v>238</v>
      </c>
      <c r="BC1163" s="5" t="s">
        <v>253</v>
      </c>
      <c r="BD1163" s="5" t="s">
        <v>238</v>
      </c>
      <c r="BF1163" s="5" t="s">
        <v>238</v>
      </c>
      <c r="BH1163" s="5" t="s">
        <v>283</v>
      </c>
      <c r="BI1163" s="6" t="s">
        <v>293</v>
      </c>
      <c r="BJ1163" s="5" t="s">
        <v>294</v>
      </c>
      <c r="BK1163" s="5" t="s">
        <v>294</v>
      </c>
      <c r="BL1163" s="5" t="s">
        <v>238</v>
      </c>
      <c r="BM1163" s="7">
        <f>0</f>
        <v>0</v>
      </c>
      <c r="BN1163" s="8">
        <f>-152824</f>
        <v>-152824</v>
      </c>
      <c r="BO1163" s="5" t="s">
        <v>257</v>
      </c>
      <c r="BP1163" s="5" t="s">
        <v>258</v>
      </c>
      <c r="BQ1163" s="5" t="s">
        <v>238</v>
      </c>
      <c r="BR1163" s="5" t="s">
        <v>238</v>
      </c>
      <c r="BS1163" s="5" t="s">
        <v>238</v>
      </c>
      <c r="BT1163" s="5" t="s">
        <v>238</v>
      </c>
      <c r="CC1163" s="5" t="s">
        <v>258</v>
      </c>
      <c r="CD1163" s="5" t="s">
        <v>238</v>
      </c>
      <c r="CE1163" s="5" t="s">
        <v>238</v>
      </c>
      <c r="CI1163" s="5" t="s">
        <v>259</v>
      </c>
      <c r="CJ1163" s="5" t="s">
        <v>260</v>
      </c>
      <c r="CK1163" s="5" t="s">
        <v>238</v>
      </c>
      <c r="CM1163" s="5" t="s">
        <v>376</v>
      </c>
      <c r="CN1163" s="6" t="s">
        <v>262</v>
      </c>
      <c r="CO1163" s="5" t="s">
        <v>263</v>
      </c>
      <c r="CP1163" s="5" t="s">
        <v>264</v>
      </c>
      <c r="CQ1163" s="5" t="s">
        <v>285</v>
      </c>
      <c r="CR1163" s="5" t="s">
        <v>238</v>
      </c>
      <c r="CS1163" s="5">
        <v>6.7000000000000004E-2</v>
      </c>
      <c r="CT1163" s="5" t="s">
        <v>265</v>
      </c>
      <c r="CU1163" s="5" t="s">
        <v>351</v>
      </c>
      <c r="CV1163" s="5" t="s">
        <v>394</v>
      </c>
      <c r="CW1163" s="7">
        <f>0</f>
        <v>0</v>
      </c>
      <c r="CX1163" s="8">
        <f>2280960</f>
        <v>2280960</v>
      </c>
      <c r="CY1163" s="8">
        <f>1669664</f>
        <v>1669664</v>
      </c>
      <c r="DA1163" s="5" t="s">
        <v>238</v>
      </c>
      <c r="DB1163" s="5" t="s">
        <v>238</v>
      </c>
      <c r="DD1163" s="5" t="s">
        <v>238</v>
      </c>
      <c r="DE1163" s="8">
        <f>0</f>
        <v>0</v>
      </c>
      <c r="DG1163" s="5" t="s">
        <v>238</v>
      </c>
      <c r="DH1163" s="5" t="s">
        <v>238</v>
      </c>
      <c r="DI1163" s="5" t="s">
        <v>238</v>
      </c>
      <c r="DJ1163" s="5" t="s">
        <v>238</v>
      </c>
      <c r="DK1163" s="5" t="s">
        <v>272</v>
      </c>
      <c r="DL1163" s="5" t="s">
        <v>272</v>
      </c>
      <c r="DM1163" s="8" t="s">
        <v>238</v>
      </c>
      <c r="DN1163" s="5" t="s">
        <v>238</v>
      </c>
      <c r="DO1163" s="5" t="s">
        <v>238</v>
      </c>
      <c r="DP1163" s="5" t="s">
        <v>238</v>
      </c>
      <c r="DQ1163" s="5" t="s">
        <v>238</v>
      </c>
      <c r="DT1163" s="5" t="s">
        <v>1723</v>
      </c>
      <c r="DU1163" s="5" t="s">
        <v>356</v>
      </c>
      <c r="GL1163" s="5" t="s">
        <v>2931</v>
      </c>
      <c r="HM1163" s="5" t="s">
        <v>379</v>
      </c>
      <c r="HP1163" s="5" t="s">
        <v>272</v>
      </c>
      <c r="HQ1163" s="5" t="s">
        <v>272</v>
      </c>
      <c r="HR1163" s="5" t="s">
        <v>238</v>
      </c>
      <c r="HS1163" s="5" t="s">
        <v>238</v>
      </c>
      <c r="HT1163" s="5" t="s">
        <v>238</v>
      </c>
      <c r="HU1163" s="5" t="s">
        <v>238</v>
      </c>
      <c r="HV1163" s="5" t="s">
        <v>238</v>
      </c>
      <c r="HW1163" s="5" t="s">
        <v>238</v>
      </c>
      <c r="HX1163" s="5" t="s">
        <v>238</v>
      </c>
      <c r="HY1163" s="5" t="s">
        <v>238</v>
      </c>
      <c r="HZ1163" s="5" t="s">
        <v>238</v>
      </c>
      <c r="IA1163" s="5" t="s">
        <v>238</v>
      </c>
      <c r="IB1163" s="5" t="s">
        <v>238</v>
      </c>
      <c r="IC1163" s="5" t="s">
        <v>238</v>
      </c>
      <c r="ID1163" s="5" t="s">
        <v>238</v>
      </c>
    </row>
    <row r="1164" spans="1:238" x14ac:dyDescent="0.4">
      <c r="A1164" s="5">
        <v>1499</v>
      </c>
      <c r="B1164" s="5">
        <v>1</v>
      </c>
      <c r="C1164" s="5">
        <v>1</v>
      </c>
      <c r="D1164" s="5" t="s">
        <v>1828</v>
      </c>
      <c r="E1164" s="5" t="s">
        <v>338</v>
      </c>
      <c r="F1164" s="5" t="s">
        <v>282</v>
      </c>
      <c r="G1164" s="5" t="s">
        <v>1809</v>
      </c>
      <c r="H1164" s="6" t="s">
        <v>625</v>
      </c>
      <c r="I1164" s="5" t="s">
        <v>1809</v>
      </c>
      <c r="J1164" s="7">
        <f>470.08</f>
        <v>470.08</v>
      </c>
      <c r="K1164" s="5" t="s">
        <v>270</v>
      </c>
      <c r="L1164" s="8">
        <f>1</f>
        <v>1</v>
      </c>
      <c r="M1164" s="8">
        <f>125511360</f>
        <v>125511360</v>
      </c>
      <c r="N1164" s="6" t="s">
        <v>1836</v>
      </c>
      <c r="O1164" s="5" t="s">
        <v>286</v>
      </c>
      <c r="P1164" s="5" t="s">
        <v>784</v>
      </c>
      <c r="R1164" s="8">
        <f>125511359</f>
        <v>125511359</v>
      </c>
      <c r="S1164" s="5" t="s">
        <v>240</v>
      </c>
      <c r="T1164" s="5" t="s">
        <v>237</v>
      </c>
      <c r="U1164" s="5" t="s">
        <v>238</v>
      </c>
      <c r="V1164" s="5" t="s">
        <v>238</v>
      </c>
      <c r="W1164" s="5" t="s">
        <v>241</v>
      </c>
      <c r="X1164" s="5" t="s">
        <v>337</v>
      </c>
      <c r="Y1164" s="5" t="s">
        <v>238</v>
      </c>
      <c r="AB1164" s="5" t="s">
        <v>238</v>
      </c>
      <c r="AD1164" s="6" t="s">
        <v>238</v>
      </c>
      <c r="AG1164" s="6" t="s">
        <v>246</v>
      </c>
      <c r="AH1164" s="5" t="s">
        <v>247</v>
      </c>
      <c r="AI1164" s="5" t="s">
        <v>248</v>
      </c>
      <c r="AY1164" s="5" t="s">
        <v>250</v>
      </c>
      <c r="AZ1164" s="5" t="s">
        <v>238</v>
      </c>
      <c r="BA1164" s="5" t="s">
        <v>251</v>
      </c>
      <c r="BB1164" s="5" t="s">
        <v>238</v>
      </c>
      <c r="BC1164" s="5" t="s">
        <v>253</v>
      </c>
      <c r="BD1164" s="5" t="s">
        <v>238</v>
      </c>
      <c r="BF1164" s="5" t="s">
        <v>238</v>
      </c>
      <c r="BH1164" s="5" t="s">
        <v>254</v>
      </c>
      <c r="BI1164" s="6" t="s">
        <v>246</v>
      </c>
      <c r="BJ1164" s="5" t="s">
        <v>255</v>
      </c>
      <c r="BK1164" s="5" t="s">
        <v>256</v>
      </c>
      <c r="BL1164" s="5" t="s">
        <v>238</v>
      </c>
      <c r="BM1164" s="7">
        <f>0</f>
        <v>0</v>
      </c>
      <c r="BN1164" s="8">
        <f>0</f>
        <v>0</v>
      </c>
      <c r="BO1164" s="5" t="s">
        <v>257</v>
      </c>
      <c r="BP1164" s="5" t="s">
        <v>258</v>
      </c>
      <c r="CD1164" s="5" t="s">
        <v>238</v>
      </c>
      <c r="CE1164" s="5" t="s">
        <v>238</v>
      </c>
      <c r="CI1164" s="5" t="s">
        <v>259</v>
      </c>
      <c r="CJ1164" s="5" t="s">
        <v>260</v>
      </c>
      <c r="CK1164" s="5" t="s">
        <v>238</v>
      </c>
      <c r="CM1164" s="5" t="s">
        <v>1064</v>
      </c>
      <c r="CN1164" s="6" t="s">
        <v>262</v>
      </c>
      <c r="CO1164" s="5" t="s">
        <v>263</v>
      </c>
      <c r="CP1164" s="5" t="s">
        <v>264</v>
      </c>
      <c r="CQ1164" s="5" t="s">
        <v>238</v>
      </c>
      <c r="CR1164" s="5" t="s">
        <v>238</v>
      </c>
      <c r="CS1164" s="5">
        <v>0</v>
      </c>
      <c r="CT1164" s="5" t="s">
        <v>265</v>
      </c>
      <c r="CU1164" s="5" t="s">
        <v>1803</v>
      </c>
      <c r="CV1164" s="5" t="s">
        <v>267</v>
      </c>
      <c r="CX1164" s="8">
        <f>125511360</f>
        <v>125511360</v>
      </c>
      <c r="CY1164" s="8">
        <f>0</f>
        <v>0</v>
      </c>
      <c r="DA1164" s="5" t="s">
        <v>238</v>
      </c>
      <c r="DB1164" s="5" t="s">
        <v>238</v>
      </c>
      <c r="DD1164" s="5" t="s">
        <v>238</v>
      </c>
      <c r="DG1164" s="5" t="s">
        <v>238</v>
      </c>
      <c r="DH1164" s="5" t="s">
        <v>238</v>
      </c>
      <c r="DI1164" s="5" t="s">
        <v>238</v>
      </c>
      <c r="DJ1164" s="5" t="s">
        <v>238</v>
      </c>
      <c r="DK1164" s="5" t="s">
        <v>271</v>
      </c>
      <c r="DL1164" s="5" t="s">
        <v>272</v>
      </c>
      <c r="DM1164" s="7">
        <f>470.08</f>
        <v>470.08</v>
      </c>
      <c r="DN1164" s="5" t="s">
        <v>238</v>
      </c>
      <c r="DO1164" s="5" t="s">
        <v>238</v>
      </c>
      <c r="DP1164" s="5" t="s">
        <v>238</v>
      </c>
      <c r="DQ1164" s="5" t="s">
        <v>238</v>
      </c>
      <c r="DT1164" s="5" t="s">
        <v>1830</v>
      </c>
      <c r="DU1164" s="5" t="s">
        <v>271</v>
      </c>
      <c r="HM1164" s="5" t="s">
        <v>271</v>
      </c>
      <c r="HP1164" s="5" t="s">
        <v>272</v>
      </c>
      <c r="HQ1164" s="5" t="s">
        <v>272</v>
      </c>
    </row>
    <row r="1165" spans="1:238" x14ac:dyDescent="0.4">
      <c r="A1165" s="5">
        <v>1500</v>
      </c>
      <c r="B1165" s="5">
        <v>1</v>
      </c>
      <c r="C1165" s="5">
        <v>4</v>
      </c>
      <c r="D1165" s="5" t="s">
        <v>1828</v>
      </c>
      <c r="E1165" s="5" t="s">
        <v>338</v>
      </c>
      <c r="F1165" s="5" t="s">
        <v>282</v>
      </c>
      <c r="G1165" s="5" t="s">
        <v>1807</v>
      </c>
      <c r="H1165" s="6" t="s">
        <v>625</v>
      </c>
      <c r="I1165" s="5" t="s">
        <v>1809</v>
      </c>
      <c r="J1165" s="7">
        <f>432.2</f>
        <v>432.2</v>
      </c>
      <c r="K1165" s="5" t="s">
        <v>270</v>
      </c>
      <c r="L1165" s="8">
        <f>41352896</f>
        <v>41352896</v>
      </c>
      <c r="M1165" s="8">
        <f>89897600</f>
        <v>89897600</v>
      </c>
      <c r="N1165" s="6" t="s">
        <v>1832</v>
      </c>
      <c r="O1165" s="5" t="s">
        <v>755</v>
      </c>
      <c r="P1165" s="5" t="s">
        <v>269</v>
      </c>
      <c r="Q1165" s="8">
        <f>2696928</f>
        <v>2696928</v>
      </c>
      <c r="R1165" s="8">
        <f>48544704</f>
        <v>48544704</v>
      </c>
      <c r="S1165" s="5" t="s">
        <v>240</v>
      </c>
      <c r="T1165" s="5" t="s">
        <v>237</v>
      </c>
      <c r="U1165" s="5" t="s">
        <v>238</v>
      </c>
      <c r="V1165" s="5" t="s">
        <v>238</v>
      </c>
      <c r="W1165" s="5" t="s">
        <v>241</v>
      </c>
      <c r="X1165" s="5" t="s">
        <v>337</v>
      </c>
      <c r="Y1165" s="5" t="s">
        <v>238</v>
      </c>
      <c r="AB1165" s="5" t="s">
        <v>238</v>
      </c>
      <c r="AC1165" s="6" t="s">
        <v>238</v>
      </c>
      <c r="AD1165" s="6" t="s">
        <v>238</v>
      </c>
      <c r="AF1165" s="6" t="s">
        <v>238</v>
      </c>
      <c r="AG1165" s="6" t="s">
        <v>246</v>
      </c>
      <c r="AH1165" s="5" t="s">
        <v>247</v>
      </c>
      <c r="AI1165" s="5" t="s">
        <v>248</v>
      </c>
      <c r="AO1165" s="5" t="s">
        <v>238</v>
      </c>
      <c r="AP1165" s="5" t="s">
        <v>238</v>
      </c>
      <c r="AQ1165" s="5" t="s">
        <v>238</v>
      </c>
      <c r="AR1165" s="6" t="s">
        <v>238</v>
      </c>
      <c r="AS1165" s="6" t="s">
        <v>238</v>
      </c>
      <c r="AT1165" s="6" t="s">
        <v>238</v>
      </c>
      <c r="AW1165" s="5" t="s">
        <v>304</v>
      </c>
      <c r="AX1165" s="5" t="s">
        <v>304</v>
      </c>
      <c r="AY1165" s="5" t="s">
        <v>250</v>
      </c>
      <c r="AZ1165" s="5" t="s">
        <v>305</v>
      </c>
      <c r="BA1165" s="5" t="s">
        <v>251</v>
      </c>
      <c r="BB1165" s="5" t="s">
        <v>238</v>
      </c>
      <c r="BC1165" s="5" t="s">
        <v>253</v>
      </c>
      <c r="BD1165" s="5" t="s">
        <v>238</v>
      </c>
      <c r="BF1165" s="5" t="s">
        <v>238</v>
      </c>
      <c r="BH1165" s="5" t="s">
        <v>283</v>
      </c>
      <c r="BI1165" s="6" t="s">
        <v>293</v>
      </c>
      <c r="BJ1165" s="5" t="s">
        <v>294</v>
      </c>
      <c r="BK1165" s="5" t="s">
        <v>294</v>
      </c>
      <c r="BL1165" s="5" t="s">
        <v>238</v>
      </c>
      <c r="BM1165" s="7">
        <f>0</f>
        <v>0</v>
      </c>
      <c r="BN1165" s="8">
        <f>-2696928</f>
        <v>-2696928</v>
      </c>
      <c r="BO1165" s="5" t="s">
        <v>257</v>
      </c>
      <c r="BP1165" s="5" t="s">
        <v>258</v>
      </c>
      <c r="BQ1165" s="5" t="s">
        <v>238</v>
      </c>
      <c r="BR1165" s="5" t="s">
        <v>238</v>
      </c>
      <c r="BS1165" s="5" t="s">
        <v>238</v>
      </c>
      <c r="BT1165" s="5" t="s">
        <v>238</v>
      </c>
      <c r="CC1165" s="5" t="s">
        <v>258</v>
      </c>
      <c r="CD1165" s="5" t="s">
        <v>238</v>
      </c>
      <c r="CE1165" s="5" t="s">
        <v>238</v>
      </c>
      <c r="CI1165" s="5" t="s">
        <v>259</v>
      </c>
      <c r="CJ1165" s="5" t="s">
        <v>260</v>
      </c>
      <c r="CK1165" s="5" t="s">
        <v>238</v>
      </c>
      <c r="CM1165" s="5" t="s">
        <v>682</v>
      </c>
      <c r="CN1165" s="6" t="s">
        <v>262</v>
      </c>
      <c r="CO1165" s="5" t="s">
        <v>263</v>
      </c>
      <c r="CP1165" s="5" t="s">
        <v>264</v>
      </c>
      <c r="CQ1165" s="5" t="s">
        <v>285</v>
      </c>
      <c r="CR1165" s="5" t="s">
        <v>238</v>
      </c>
      <c r="CS1165" s="5">
        <v>0.03</v>
      </c>
      <c r="CT1165" s="5" t="s">
        <v>265</v>
      </c>
      <c r="CU1165" s="5" t="s">
        <v>1803</v>
      </c>
      <c r="CV1165" s="5" t="s">
        <v>649</v>
      </c>
      <c r="CW1165" s="7">
        <f>0</f>
        <v>0</v>
      </c>
      <c r="CX1165" s="8">
        <f>89897600</f>
        <v>89897600</v>
      </c>
      <c r="CY1165" s="8">
        <f>44049824</f>
        <v>44049824</v>
      </c>
      <c r="DA1165" s="5" t="s">
        <v>238</v>
      </c>
      <c r="DB1165" s="5" t="s">
        <v>238</v>
      </c>
      <c r="DD1165" s="5" t="s">
        <v>238</v>
      </c>
      <c r="DE1165" s="8">
        <f>0</f>
        <v>0</v>
      </c>
      <c r="DG1165" s="5" t="s">
        <v>238</v>
      </c>
      <c r="DH1165" s="5" t="s">
        <v>238</v>
      </c>
      <c r="DI1165" s="5" t="s">
        <v>238</v>
      </c>
      <c r="DJ1165" s="5" t="s">
        <v>238</v>
      </c>
      <c r="DK1165" s="5" t="s">
        <v>271</v>
      </c>
      <c r="DL1165" s="5" t="s">
        <v>272</v>
      </c>
      <c r="DM1165" s="7">
        <f>432.2</f>
        <v>432.2</v>
      </c>
      <c r="DN1165" s="5" t="s">
        <v>238</v>
      </c>
      <c r="DO1165" s="5" t="s">
        <v>238</v>
      </c>
      <c r="DP1165" s="5" t="s">
        <v>238</v>
      </c>
      <c r="DQ1165" s="5" t="s">
        <v>238</v>
      </c>
      <c r="DT1165" s="5" t="s">
        <v>1830</v>
      </c>
      <c r="DU1165" s="5" t="s">
        <v>274</v>
      </c>
      <c r="GL1165" s="5" t="s">
        <v>1833</v>
      </c>
      <c r="HM1165" s="5" t="s">
        <v>313</v>
      </c>
      <c r="HP1165" s="5" t="s">
        <v>272</v>
      </c>
      <c r="HQ1165" s="5" t="s">
        <v>272</v>
      </c>
      <c r="HR1165" s="5" t="s">
        <v>238</v>
      </c>
      <c r="HS1165" s="5" t="s">
        <v>238</v>
      </c>
      <c r="HT1165" s="5" t="s">
        <v>238</v>
      </c>
      <c r="HU1165" s="5" t="s">
        <v>238</v>
      </c>
      <c r="HV1165" s="5" t="s">
        <v>238</v>
      </c>
      <c r="HW1165" s="5" t="s">
        <v>238</v>
      </c>
      <c r="HX1165" s="5" t="s">
        <v>238</v>
      </c>
      <c r="HY1165" s="5" t="s">
        <v>238</v>
      </c>
      <c r="HZ1165" s="5" t="s">
        <v>238</v>
      </c>
      <c r="IA1165" s="5" t="s">
        <v>238</v>
      </c>
      <c r="IB1165" s="5" t="s">
        <v>238</v>
      </c>
      <c r="IC1165" s="5" t="s">
        <v>238</v>
      </c>
      <c r="ID1165" s="5" t="s">
        <v>238</v>
      </c>
    </row>
    <row r="1166" spans="1:238" x14ac:dyDescent="0.4">
      <c r="A1166" s="5">
        <v>1501</v>
      </c>
      <c r="B1166" s="5">
        <v>1</v>
      </c>
      <c r="C1166" s="5">
        <v>4</v>
      </c>
      <c r="D1166" s="5" t="s">
        <v>1828</v>
      </c>
      <c r="E1166" s="5" t="s">
        <v>338</v>
      </c>
      <c r="F1166" s="5" t="s">
        <v>282</v>
      </c>
      <c r="G1166" s="5" t="s">
        <v>1807</v>
      </c>
      <c r="H1166" s="6" t="s">
        <v>625</v>
      </c>
      <c r="I1166" s="5" t="s">
        <v>1827</v>
      </c>
      <c r="J1166" s="7">
        <f>0</f>
        <v>0</v>
      </c>
      <c r="K1166" s="5" t="s">
        <v>270</v>
      </c>
      <c r="L1166" s="8">
        <f>3157506</f>
        <v>3157506</v>
      </c>
      <c r="M1166" s="8">
        <f>3663000</f>
        <v>3663000</v>
      </c>
      <c r="N1166" s="6" t="s">
        <v>1829</v>
      </c>
      <c r="O1166" s="5" t="s">
        <v>286</v>
      </c>
      <c r="P1166" s="5" t="s">
        <v>271</v>
      </c>
      <c r="Q1166" s="8">
        <f>168498</f>
        <v>168498</v>
      </c>
      <c r="R1166" s="8">
        <f>505494</f>
        <v>505494</v>
      </c>
      <c r="S1166" s="5" t="s">
        <v>240</v>
      </c>
      <c r="T1166" s="5" t="s">
        <v>287</v>
      </c>
      <c r="U1166" s="5" t="s">
        <v>238</v>
      </c>
      <c r="V1166" s="5" t="s">
        <v>238</v>
      </c>
      <c r="W1166" s="5" t="s">
        <v>241</v>
      </c>
      <c r="X1166" s="5" t="s">
        <v>337</v>
      </c>
      <c r="Y1166" s="5" t="s">
        <v>238</v>
      </c>
      <c r="AB1166" s="5" t="s">
        <v>238</v>
      </c>
      <c r="AC1166" s="6" t="s">
        <v>238</v>
      </c>
      <c r="AD1166" s="6" t="s">
        <v>238</v>
      </c>
      <c r="AF1166" s="6" t="s">
        <v>238</v>
      </c>
      <c r="AG1166" s="6" t="s">
        <v>246</v>
      </c>
      <c r="AH1166" s="5" t="s">
        <v>247</v>
      </c>
      <c r="AI1166" s="5" t="s">
        <v>248</v>
      </c>
      <c r="AO1166" s="5" t="s">
        <v>238</v>
      </c>
      <c r="AP1166" s="5" t="s">
        <v>238</v>
      </c>
      <c r="AQ1166" s="5" t="s">
        <v>238</v>
      </c>
      <c r="AR1166" s="6" t="s">
        <v>238</v>
      </c>
      <c r="AS1166" s="6" t="s">
        <v>238</v>
      </c>
      <c r="AT1166" s="6" t="s">
        <v>238</v>
      </c>
      <c r="AW1166" s="5" t="s">
        <v>304</v>
      </c>
      <c r="AX1166" s="5" t="s">
        <v>304</v>
      </c>
      <c r="AY1166" s="5" t="s">
        <v>250</v>
      </c>
      <c r="AZ1166" s="5" t="s">
        <v>305</v>
      </c>
      <c r="BA1166" s="5" t="s">
        <v>251</v>
      </c>
      <c r="BB1166" s="5" t="s">
        <v>238</v>
      </c>
      <c r="BC1166" s="5" t="s">
        <v>253</v>
      </c>
      <c r="BD1166" s="5" t="s">
        <v>238</v>
      </c>
      <c r="BF1166" s="5" t="s">
        <v>238</v>
      </c>
      <c r="BH1166" s="5" t="s">
        <v>283</v>
      </c>
      <c r="BI1166" s="6" t="s">
        <v>293</v>
      </c>
      <c r="BJ1166" s="5" t="s">
        <v>294</v>
      </c>
      <c r="BK1166" s="5" t="s">
        <v>294</v>
      </c>
      <c r="BL1166" s="5" t="s">
        <v>238</v>
      </c>
      <c r="BM1166" s="7">
        <f>0</f>
        <v>0</v>
      </c>
      <c r="BN1166" s="8">
        <f>-168498</f>
        <v>-168498</v>
      </c>
      <c r="BO1166" s="5" t="s">
        <v>257</v>
      </c>
      <c r="BP1166" s="5" t="s">
        <v>258</v>
      </c>
      <c r="BQ1166" s="5" t="s">
        <v>238</v>
      </c>
      <c r="BR1166" s="5" t="s">
        <v>238</v>
      </c>
      <c r="BS1166" s="5" t="s">
        <v>238</v>
      </c>
      <c r="BT1166" s="5" t="s">
        <v>238</v>
      </c>
      <c r="CC1166" s="5" t="s">
        <v>258</v>
      </c>
      <c r="CD1166" s="5" t="s">
        <v>238</v>
      </c>
      <c r="CE1166" s="5" t="s">
        <v>238</v>
      </c>
      <c r="CI1166" s="5" t="s">
        <v>259</v>
      </c>
      <c r="CJ1166" s="5" t="s">
        <v>260</v>
      </c>
      <c r="CK1166" s="5" t="s">
        <v>238</v>
      </c>
      <c r="CM1166" s="5" t="s">
        <v>291</v>
      </c>
      <c r="CN1166" s="6" t="s">
        <v>262</v>
      </c>
      <c r="CO1166" s="5" t="s">
        <v>263</v>
      </c>
      <c r="CP1166" s="5" t="s">
        <v>264</v>
      </c>
      <c r="CQ1166" s="5" t="s">
        <v>285</v>
      </c>
      <c r="CR1166" s="5" t="s">
        <v>238</v>
      </c>
      <c r="CS1166" s="5">
        <v>4.5999999999999999E-2</v>
      </c>
      <c r="CT1166" s="5" t="s">
        <v>265</v>
      </c>
      <c r="CU1166" s="5" t="s">
        <v>1803</v>
      </c>
      <c r="CV1166" s="5" t="s">
        <v>267</v>
      </c>
      <c r="CW1166" s="7">
        <f>0</f>
        <v>0</v>
      </c>
      <c r="CX1166" s="8">
        <f>3663000</f>
        <v>3663000</v>
      </c>
      <c r="CY1166" s="8">
        <f>3326004</f>
        <v>3326004</v>
      </c>
      <c r="DA1166" s="5" t="s">
        <v>238</v>
      </c>
      <c r="DB1166" s="5" t="s">
        <v>238</v>
      </c>
      <c r="DD1166" s="5" t="s">
        <v>238</v>
      </c>
      <c r="DE1166" s="8">
        <f>0</f>
        <v>0</v>
      </c>
      <c r="DG1166" s="5" t="s">
        <v>238</v>
      </c>
      <c r="DH1166" s="5" t="s">
        <v>238</v>
      </c>
      <c r="DI1166" s="5" t="s">
        <v>238</v>
      </c>
      <c r="DJ1166" s="5" t="s">
        <v>238</v>
      </c>
      <c r="DK1166" s="5" t="s">
        <v>272</v>
      </c>
      <c r="DL1166" s="5" t="s">
        <v>272</v>
      </c>
      <c r="DM1166" s="8" t="s">
        <v>238</v>
      </c>
      <c r="DN1166" s="5" t="s">
        <v>238</v>
      </c>
      <c r="DO1166" s="5" t="s">
        <v>238</v>
      </c>
      <c r="DP1166" s="5" t="s">
        <v>238</v>
      </c>
      <c r="DQ1166" s="5" t="s">
        <v>238</v>
      </c>
      <c r="DT1166" s="5" t="s">
        <v>1830</v>
      </c>
      <c r="DU1166" s="5" t="s">
        <v>356</v>
      </c>
      <c r="GL1166" s="5" t="s">
        <v>1831</v>
      </c>
      <c r="HM1166" s="5" t="s">
        <v>356</v>
      </c>
      <c r="HP1166" s="5" t="s">
        <v>272</v>
      </c>
      <c r="HQ1166" s="5" t="s">
        <v>272</v>
      </c>
      <c r="HR1166" s="5" t="s">
        <v>238</v>
      </c>
      <c r="HS1166" s="5" t="s">
        <v>238</v>
      </c>
      <c r="HT1166" s="5" t="s">
        <v>238</v>
      </c>
      <c r="HU1166" s="5" t="s">
        <v>238</v>
      </c>
      <c r="HV1166" s="5" t="s">
        <v>238</v>
      </c>
      <c r="HW1166" s="5" t="s">
        <v>238</v>
      </c>
      <c r="HX1166" s="5" t="s">
        <v>238</v>
      </c>
      <c r="HY1166" s="5" t="s">
        <v>238</v>
      </c>
      <c r="HZ1166" s="5" t="s">
        <v>238</v>
      </c>
      <c r="IA1166" s="5" t="s">
        <v>238</v>
      </c>
      <c r="IB1166" s="5" t="s">
        <v>238</v>
      </c>
      <c r="IC1166" s="5" t="s">
        <v>238</v>
      </c>
      <c r="ID1166" s="5" t="s">
        <v>238</v>
      </c>
    </row>
    <row r="1167" spans="1:238" x14ac:dyDescent="0.4">
      <c r="A1167" s="5">
        <v>1502</v>
      </c>
      <c r="B1167" s="5">
        <v>1</v>
      </c>
      <c r="C1167" s="5">
        <v>4</v>
      </c>
      <c r="D1167" s="5" t="s">
        <v>1823</v>
      </c>
      <c r="E1167" s="5" t="s">
        <v>338</v>
      </c>
      <c r="F1167" s="5" t="s">
        <v>282</v>
      </c>
      <c r="G1167" s="5" t="s">
        <v>1807</v>
      </c>
      <c r="H1167" s="6" t="s">
        <v>1824</v>
      </c>
      <c r="I1167" s="5" t="s">
        <v>1809</v>
      </c>
      <c r="J1167" s="7">
        <f>991.08</f>
        <v>991.08</v>
      </c>
      <c r="K1167" s="5" t="s">
        <v>270</v>
      </c>
      <c r="L1167" s="8">
        <f>121546060</f>
        <v>121546060</v>
      </c>
      <c r="M1167" s="8">
        <f>217046520</f>
        <v>217046520</v>
      </c>
      <c r="N1167" s="6" t="s">
        <v>1356</v>
      </c>
      <c r="O1167" s="5" t="s">
        <v>898</v>
      </c>
      <c r="P1167" s="5" t="s">
        <v>611</v>
      </c>
      <c r="Q1167" s="8">
        <f>4775023</f>
        <v>4775023</v>
      </c>
      <c r="R1167" s="8">
        <f>95500460</f>
        <v>95500460</v>
      </c>
      <c r="S1167" s="5" t="s">
        <v>240</v>
      </c>
      <c r="T1167" s="5" t="s">
        <v>237</v>
      </c>
      <c r="U1167" s="5" t="s">
        <v>238</v>
      </c>
      <c r="V1167" s="5" t="s">
        <v>238</v>
      </c>
      <c r="W1167" s="5" t="s">
        <v>241</v>
      </c>
      <c r="X1167" s="5" t="s">
        <v>337</v>
      </c>
      <c r="Y1167" s="5" t="s">
        <v>238</v>
      </c>
      <c r="AB1167" s="5" t="s">
        <v>238</v>
      </c>
      <c r="AC1167" s="6" t="s">
        <v>238</v>
      </c>
      <c r="AD1167" s="6" t="s">
        <v>238</v>
      </c>
      <c r="AF1167" s="6" t="s">
        <v>238</v>
      </c>
      <c r="AG1167" s="6" t="s">
        <v>246</v>
      </c>
      <c r="AH1167" s="5" t="s">
        <v>247</v>
      </c>
      <c r="AI1167" s="5" t="s">
        <v>248</v>
      </c>
      <c r="AO1167" s="5" t="s">
        <v>238</v>
      </c>
      <c r="AP1167" s="5" t="s">
        <v>238</v>
      </c>
      <c r="AQ1167" s="5" t="s">
        <v>238</v>
      </c>
      <c r="AR1167" s="6" t="s">
        <v>238</v>
      </c>
      <c r="AS1167" s="6" t="s">
        <v>238</v>
      </c>
      <c r="AT1167" s="6" t="s">
        <v>238</v>
      </c>
      <c r="AW1167" s="5" t="s">
        <v>304</v>
      </c>
      <c r="AX1167" s="5" t="s">
        <v>304</v>
      </c>
      <c r="AY1167" s="5" t="s">
        <v>250</v>
      </c>
      <c r="AZ1167" s="5" t="s">
        <v>305</v>
      </c>
      <c r="BA1167" s="5" t="s">
        <v>251</v>
      </c>
      <c r="BB1167" s="5" t="s">
        <v>238</v>
      </c>
      <c r="BC1167" s="5" t="s">
        <v>253</v>
      </c>
      <c r="BD1167" s="5" t="s">
        <v>238</v>
      </c>
      <c r="BF1167" s="5" t="s">
        <v>238</v>
      </c>
      <c r="BH1167" s="5" t="s">
        <v>283</v>
      </c>
      <c r="BI1167" s="6" t="s">
        <v>293</v>
      </c>
      <c r="BJ1167" s="5" t="s">
        <v>294</v>
      </c>
      <c r="BK1167" s="5" t="s">
        <v>294</v>
      </c>
      <c r="BL1167" s="5" t="s">
        <v>238</v>
      </c>
      <c r="BM1167" s="7">
        <f>0</f>
        <v>0</v>
      </c>
      <c r="BN1167" s="8">
        <f>-4775023</f>
        <v>-4775023</v>
      </c>
      <c r="BO1167" s="5" t="s">
        <v>257</v>
      </c>
      <c r="BP1167" s="5" t="s">
        <v>258</v>
      </c>
      <c r="BQ1167" s="5" t="s">
        <v>238</v>
      </c>
      <c r="BR1167" s="5" t="s">
        <v>238</v>
      </c>
      <c r="BS1167" s="5" t="s">
        <v>238</v>
      </c>
      <c r="BT1167" s="5" t="s">
        <v>238</v>
      </c>
      <c r="CC1167" s="5" t="s">
        <v>258</v>
      </c>
      <c r="CD1167" s="5" t="s">
        <v>238</v>
      </c>
      <c r="CE1167" s="5" t="s">
        <v>238</v>
      </c>
      <c r="CI1167" s="5" t="s">
        <v>259</v>
      </c>
      <c r="CJ1167" s="5" t="s">
        <v>260</v>
      </c>
      <c r="CK1167" s="5" t="s">
        <v>238</v>
      </c>
      <c r="CM1167" s="5" t="s">
        <v>1357</v>
      </c>
      <c r="CN1167" s="6" t="s">
        <v>262</v>
      </c>
      <c r="CO1167" s="5" t="s">
        <v>263</v>
      </c>
      <c r="CP1167" s="5" t="s">
        <v>264</v>
      </c>
      <c r="CQ1167" s="5" t="s">
        <v>285</v>
      </c>
      <c r="CR1167" s="5" t="s">
        <v>238</v>
      </c>
      <c r="CS1167" s="5">
        <v>2.1999999999999999E-2</v>
      </c>
      <c r="CT1167" s="5" t="s">
        <v>265</v>
      </c>
      <c r="CU1167" s="5" t="s">
        <v>1803</v>
      </c>
      <c r="CV1167" s="5" t="s">
        <v>308</v>
      </c>
      <c r="CW1167" s="7">
        <f>0</f>
        <v>0</v>
      </c>
      <c r="CX1167" s="8">
        <f>217046520</f>
        <v>217046520</v>
      </c>
      <c r="CY1167" s="8">
        <f>126321083</f>
        <v>126321083</v>
      </c>
      <c r="DA1167" s="5" t="s">
        <v>238</v>
      </c>
      <c r="DB1167" s="5" t="s">
        <v>238</v>
      </c>
      <c r="DD1167" s="5" t="s">
        <v>238</v>
      </c>
      <c r="DE1167" s="8">
        <f>0</f>
        <v>0</v>
      </c>
      <c r="DG1167" s="5" t="s">
        <v>238</v>
      </c>
      <c r="DH1167" s="5" t="s">
        <v>238</v>
      </c>
      <c r="DI1167" s="5" t="s">
        <v>238</v>
      </c>
      <c r="DJ1167" s="5" t="s">
        <v>238</v>
      </c>
      <c r="DK1167" s="5" t="s">
        <v>271</v>
      </c>
      <c r="DL1167" s="5" t="s">
        <v>272</v>
      </c>
      <c r="DM1167" s="7">
        <f>991.08</f>
        <v>991.08</v>
      </c>
      <c r="DN1167" s="5" t="s">
        <v>238</v>
      </c>
      <c r="DO1167" s="5" t="s">
        <v>238</v>
      </c>
      <c r="DP1167" s="5" t="s">
        <v>238</v>
      </c>
      <c r="DQ1167" s="5" t="s">
        <v>238</v>
      </c>
      <c r="DT1167" s="5" t="s">
        <v>1825</v>
      </c>
      <c r="DU1167" s="5" t="s">
        <v>271</v>
      </c>
      <c r="GL1167" s="5" t="s">
        <v>1826</v>
      </c>
      <c r="HM1167" s="5" t="s">
        <v>313</v>
      </c>
      <c r="HP1167" s="5" t="s">
        <v>272</v>
      </c>
      <c r="HQ1167" s="5" t="s">
        <v>272</v>
      </c>
      <c r="HR1167" s="5" t="s">
        <v>238</v>
      </c>
      <c r="HS1167" s="5" t="s">
        <v>238</v>
      </c>
      <c r="HT1167" s="5" t="s">
        <v>238</v>
      </c>
      <c r="HU1167" s="5" t="s">
        <v>238</v>
      </c>
      <c r="HV1167" s="5" t="s">
        <v>238</v>
      </c>
      <c r="HW1167" s="5" t="s">
        <v>238</v>
      </c>
      <c r="HX1167" s="5" t="s">
        <v>238</v>
      </c>
      <c r="HY1167" s="5" t="s">
        <v>238</v>
      </c>
      <c r="HZ1167" s="5" t="s">
        <v>238</v>
      </c>
      <c r="IA1167" s="5" t="s">
        <v>238</v>
      </c>
      <c r="IB1167" s="5" t="s">
        <v>238</v>
      </c>
      <c r="IC1167" s="5" t="s">
        <v>238</v>
      </c>
      <c r="ID1167" s="5" t="s">
        <v>238</v>
      </c>
    </row>
    <row r="1168" spans="1:238" x14ac:dyDescent="0.4">
      <c r="A1168" s="5">
        <v>1503</v>
      </c>
      <c r="B1168" s="5">
        <v>1</v>
      </c>
      <c r="C1168" s="5">
        <v>4</v>
      </c>
      <c r="D1168" s="5" t="s">
        <v>1823</v>
      </c>
      <c r="E1168" s="5" t="s">
        <v>338</v>
      </c>
      <c r="F1168" s="5" t="s">
        <v>282</v>
      </c>
      <c r="G1168" s="5" t="s">
        <v>349</v>
      </c>
      <c r="H1168" s="6" t="s">
        <v>1824</v>
      </c>
      <c r="I1168" s="5" t="s">
        <v>2941</v>
      </c>
      <c r="J1168" s="7">
        <f>0</f>
        <v>0</v>
      </c>
      <c r="K1168" s="5" t="s">
        <v>270</v>
      </c>
      <c r="L1168" s="8">
        <f>182250</f>
        <v>182250</v>
      </c>
      <c r="M1168" s="8">
        <f>486000</f>
        <v>486000</v>
      </c>
      <c r="N1168" s="6" t="s">
        <v>2942</v>
      </c>
      <c r="O1168" s="5" t="s">
        <v>354</v>
      </c>
      <c r="P1168" s="5" t="s">
        <v>356</v>
      </c>
      <c r="Q1168" s="8">
        <f>60750</f>
        <v>60750</v>
      </c>
      <c r="R1168" s="8">
        <f>303750</f>
        <v>303750</v>
      </c>
      <c r="S1168" s="5" t="s">
        <v>240</v>
      </c>
      <c r="T1168" s="5" t="s">
        <v>287</v>
      </c>
      <c r="U1168" s="5" t="s">
        <v>238</v>
      </c>
      <c r="V1168" s="5" t="s">
        <v>238</v>
      </c>
      <c r="W1168" s="5" t="s">
        <v>241</v>
      </c>
      <c r="X1168" s="5" t="s">
        <v>337</v>
      </c>
      <c r="Y1168" s="5" t="s">
        <v>238</v>
      </c>
      <c r="AB1168" s="5" t="s">
        <v>238</v>
      </c>
      <c r="AC1168" s="6" t="s">
        <v>238</v>
      </c>
      <c r="AD1168" s="6" t="s">
        <v>238</v>
      </c>
      <c r="AF1168" s="6" t="s">
        <v>238</v>
      </c>
      <c r="AG1168" s="6" t="s">
        <v>246</v>
      </c>
      <c r="AH1168" s="5" t="s">
        <v>247</v>
      </c>
      <c r="AI1168" s="5" t="s">
        <v>248</v>
      </c>
      <c r="AO1168" s="5" t="s">
        <v>238</v>
      </c>
      <c r="AP1168" s="5" t="s">
        <v>238</v>
      </c>
      <c r="AQ1168" s="5" t="s">
        <v>238</v>
      </c>
      <c r="AR1168" s="6" t="s">
        <v>238</v>
      </c>
      <c r="AS1168" s="6" t="s">
        <v>238</v>
      </c>
      <c r="AT1168" s="6" t="s">
        <v>238</v>
      </c>
      <c r="AW1168" s="5" t="s">
        <v>304</v>
      </c>
      <c r="AX1168" s="5" t="s">
        <v>304</v>
      </c>
      <c r="AY1168" s="5" t="s">
        <v>250</v>
      </c>
      <c r="AZ1168" s="5" t="s">
        <v>305</v>
      </c>
      <c r="BA1168" s="5" t="s">
        <v>251</v>
      </c>
      <c r="BB1168" s="5" t="s">
        <v>238</v>
      </c>
      <c r="BC1168" s="5" t="s">
        <v>253</v>
      </c>
      <c r="BD1168" s="5" t="s">
        <v>238</v>
      </c>
      <c r="BF1168" s="5" t="s">
        <v>238</v>
      </c>
      <c r="BH1168" s="5" t="s">
        <v>283</v>
      </c>
      <c r="BI1168" s="6" t="s">
        <v>293</v>
      </c>
      <c r="BJ1168" s="5" t="s">
        <v>294</v>
      </c>
      <c r="BK1168" s="5" t="s">
        <v>294</v>
      </c>
      <c r="BL1168" s="5" t="s">
        <v>238</v>
      </c>
      <c r="BM1168" s="7">
        <f>0</f>
        <v>0</v>
      </c>
      <c r="BN1168" s="8">
        <f>-60750</f>
        <v>-60750</v>
      </c>
      <c r="BO1168" s="5" t="s">
        <v>257</v>
      </c>
      <c r="BP1168" s="5" t="s">
        <v>258</v>
      </c>
      <c r="BQ1168" s="5" t="s">
        <v>238</v>
      </c>
      <c r="BR1168" s="5" t="s">
        <v>238</v>
      </c>
      <c r="BS1168" s="5" t="s">
        <v>238</v>
      </c>
      <c r="BT1168" s="5" t="s">
        <v>238</v>
      </c>
      <c r="CC1168" s="5" t="s">
        <v>258</v>
      </c>
      <c r="CD1168" s="5" t="s">
        <v>238</v>
      </c>
      <c r="CE1168" s="5" t="s">
        <v>238</v>
      </c>
      <c r="CI1168" s="5" t="s">
        <v>259</v>
      </c>
      <c r="CJ1168" s="5" t="s">
        <v>260</v>
      </c>
      <c r="CK1168" s="5" t="s">
        <v>238</v>
      </c>
      <c r="CM1168" s="5" t="s">
        <v>376</v>
      </c>
      <c r="CN1168" s="6" t="s">
        <v>262</v>
      </c>
      <c r="CO1168" s="5" t="s">
        <v>263</v>
      </c>
      <c r="CP1168" s="5" t="s">
        <v>264</v>
      </c>
      <c r="CQ1168" s="5" t="s">
        <v>285</v>
      </c>
      <c r="CR1168" s="5" t="s">
        <v>238</v>
      </c>
      <c r="CS1168" s="5">
        <v>0.125</v>
      </c>
      <c r="CT1168" s="5" t="s">
        <v>265</v>
      </c>
      <c r="CU1168" s="5" t="s">
        <v>351</v>
      </c>
      <c r="CV1168" s="5" t="s">
        <v>494</v>
      </c>
      <c r="CW1168" s="7">
        <f>0</f>
        <v>0</v>
      </c>
      <c r="CX1168" s="8">
        <f>486000</f>
        <v>486000</v>
      </c>
      <c r="CY1168" s="8">
        <f>243000</f>
        <v>243000</v>
      </c>
      <c r="DA1168" s="5" t="s">
        <v>238</v>
      </c>
      <c r="DB1168" s="5" t="s">
        <v>238</v>
      </c>
      <c r="DD1168" s="5" t="s">
        <v>238</v>
      </c>
      <c r="DE1168" s="8">
        <f>0</f>
        <v>0</v>
      </c>
      <c r="DG1168" s="5" t="s">
        <v>238</v>
      </c>
      <c r="DH1168" s="5" t="s">
        <v>238</v>
      </c>
      <c r="DI1168" s="5" t="s">
        <v>238</v>
      </c>
      <c r="DJ1168" s="5" t="s">
        <v>238</v>
      </c>
      <c r="DK1168" s="5" t="s">
        <v>272</v>
      </c>
      <c r="DL1168" s="5" t="s">
        <v>272</v>
      </c>
      <c r="DM1168" s="8" t="s">
        <v>238</v>
      </c>
      <c r="DN1168" s="5" t="s">
        <v>238</v>
      </c>
      <c r="DO1168" s="5" t="s">
        <v>238</v>
      </c>
      <c r="DP1168" s="5" t="s">
        <v>238</v>
      </c>
      <c r="DQ1168" s="5" t="s">
        <v>238</v>
      </c>
      <c r="DT1168" s="5" t="s">
        <v>1825</v>
      </c>
      <c r="DU1168" s="5" t="s">
        <v>274</v>
      </c>
      <c r="GL1168" s="5" t="s">
        <v>2943</v>
      </c>
      <c r="HM1168" s="5" t="s">
        <v>379</v>
      </c>
      <c r="HP1168" s="5" t="s">
        <v>272</v>
      </c>
      <c r="HQ1168" s="5" t="s">
        <v>272</v>
      </c>
      <c r="HR1168" s="5" t="s">
        <v>238</v>
      </c>
      <c r="HS1168" s="5" t="s">
        <v>238</v>
      </c>
      <c r="HT1168" s="5" t="s">
        <v>238</v>
      </c>
      <c r="HU1168" s="5" t="s">
        <v>238</v>
      </c>
      <c r="HV1168" s="5" t="s">
        <v>238</v>
      </c>
      <c r="HW1168" s="5" t="s">
        <v>238</v>
      </c>
      <c r="HX1168" s="5" t="s">
        <v>238</v>
      </c>
      <c r="HY1168" s="5" t="s">
        <v>238</v>
      </c>
      <c r="HZ1168" s="5" t="s">
        <v>238</v>
      </c>
      <c r="IA1168" s="5" t="s">
        <v>238</v>
      </c>
      <c r="IB1168" s="5" t="s">
        <v>238</v>
      </c>
      <c r="IC1168" s="5" t="s">
        <v>238</v>
      </c>
      <c r="ID1168" s="5" t="s">
        <v>238</v>
      </c>
    </row>
    <row r="1169" spans="1:238" x14ac:dyDescent="0.4">
      <c r="A1169" s="5">
        <v>1504</v>
      </c>
      <c r="B1169" s="5">
        <v>1</v>
      </c>
      <c r="C1169" s="5">
        <v>4</v>
      </c>
      <c r="D1169" s="5" t="s">
        <v>1819</v>
      </c>
      <c r="E1169" s="5" t="s">
        <v>338</v>
      </c>
      <c r="F1169" s="5" t="s">
        <v>282</v>
      </c>
      <c r="G1169" s="5" t="s">
        <v>1807</v>
      </c>
      <c r="H1169" s="6" t="s">
        <v>1820</v>
      </c>
      <c r="I1169" s="5" t="s">
        <v>1809</v>
      </c>
      <c r="J1169" s="7">
        <f>1022.46</f>
        <v>1022.46</v>
      </c>
      <c r="K1169" s="5" t="s">
        <v>270</v>
      </c>
      <c r="L1169" s="8">
        <f>65273856</f>
        <v>65273856</v>
      </c>
      <c r="M1169" s="8">
        <f>233120880</f>
        <v>233120880</v>
      </c>
      <c r="N1169" s="6" t="s">
        <v>1099</v>
      </c>
      <c r="O1169" s="5" t="s">
        <v>755</v>
      </c>
      <c r="P1169" s="5" t="s">
        <v>286</v>
      </c>
      <c r="Q1169" s="8">
        <f>6993626</f>
        <v>6993626</v>
      </c>
      <c r="R1169" s="8">
        <f>167847024</f>
        <v>167847024</v>
      </c>
      <c r="S1169" s="5" t="s">
        <v>240</v>
      </c>
      <c r="T1169" s="5" t="s">
        <v>237</v>
      </c>
      <c r="U1169" s="5" t="s">
        <v>238</v>
      </c>
      <c r="V1169" s="5" t="s">
        <v>238</v>
      </c>
      <c r="W1169" s="5" t="s">
        <v>241</v>
      </c>
      <c r="X1169" s="5" t="s">
        <v>337</v>
      </c>
      <c r="Y1169" s="5" t="s">
        <v>238</v>
      </c>
      <c r="AB1169" s="5" t="s">
        <v>238</v>
      </c>
      <c r="AC1169" s="6" t="s">
        <v>238</v>
      </c>
      <c r="AD1169" s="6" t="s">
        <v>238</v>
      </c>
      <c r="AF1169" s="6" t="s">
        <v>238</v>
      </c>
      <c r="AG1169" s="6" t="s">
        <v>246</v>
      </c>
      <c r="AH1169" s="5" t="s">
        <v>247</v>
      </c>
      <c r="AI1169" s="5" t="s">
        <v>248</v>
      </c>
      <c r="AO1169" s="5" t="s">
        <v>238</v>
      </c>
      <c r="AP1169" s="5" t="s">
        <v>238</v>
      </c>
      <c r="AQ1169" s="5" t="s">
        <v>238</v>
      </c>
      <c r="AR1169" s="6" t="s">
        <v>238</v>
      </c>
      <c r="AS1169" s="6" t="s">
        <v>238</v>
      </c>
      <c r="AT1169" s="6" t="s">
        <v>238</v>
      </c>
      <c r="AW1169" s="5" t="s">
        <v>304</v>
      </c>
      <c r="AX1169" s="5" t="s">
        <v>304</v>
      </c>
      <c r="AY1169" s="5" t="s">
        <v>250</v>
      </c>
      <c r="AZ1169" s="5" t="s">
        <v>305</v>
      </c>
      <c r="BA1169" s="5" t="s">
        <v>251</v>
      </c>
      <c r="BB1169" s="5" t="s">
        <v>238</v>
      </c>
      <c r="BC1169" s="5" t="s">
        <v>253</v>
      </c>
      <c r="BD1169" s="5" t="s">
        <v>238</v>
      </c>
      <c r="BF1169" s="5" t="s">
        <v>238</v>
      </c>
      <c r="BH1169" s="5" t="s">
        <v>283</v>
      </c>
      <c r="BI1169" s="6" t="s">
        <v>293</v>
      </c>
      <c r="BJ1169" s="5" t="s">
        <v>294</v>
      </c>
      <c r="BK1169" s="5" t="s">
        <v>294</v>
      </c>
      <c r="BL1169" s="5" t="s">
        <v>238</v>
      </c>
      <c r="BM1169" s="7">
        <f>0</f>
        <v>0</v>
      </c>
      <c r="BN1169" s="8">
        <f>-6993626</f>
        <v>-6993626</v>
      </c>
      <c r="BO1169" s="5" t="s">
        <v>257</v>
      </c>
      <c r="BP1169" s="5" t="s">
        <v>258</v>
      </c>
      <c r="BQ1169" s="5" t="s">
        <v>238</v>
      </c>
      <c r="BR1169" s="5" t="s">
        <v>238</v>
      </c>
      <c r="BS1169" s="5" t="s">
        <v>238</v>
      </c>
      <c r="BT1169" s="5" t="s">
        <v>238</v>
      </c>
      <c r="CC1169" s="5" t="s">
        <v>258</v>
      </c>
      <c r="CD1169" s="5" t="s">
        <v>238</v>
      </c>
      <c r="CE1169" s="5" t="s">
        <v>238</v>
      </c>
      <c r="CI1169" s="5" t="s">
        <v>259</v>
      </c>
      <c r="CJ1169" s="5" t="s">
        <v>260</v>
      </c>
      <c r="CK1169" s="5" t="s">
        <v>238</v>
      </c>
      <c r="CM1169" s="5" t="s">
        <v>330</v>
      </c>
      <c r="CN1169" s="6" t="s">
        <v>262</v>
      </c>
      <c r="CO1169" s="5" t="s">
        <v>263</v>
      </c>
      <c r="CP1169" s="5" t="s">
        <v>264</v>
      </c>
      <c r="CQ1169" s="5" t="s">
        <v>285</v>
      </c>
      <c r="CR1169" s="5" t="s">
        <v>238</v>
      </c>
      <c r="CS1169" s="5">
        <v>0.03</v>
      </c>
      <c r="CT1169" s="5" t="s">
        <v>265</v>
      </c>
      <c r="CU1169" s="5" t="s">
        <v>1803</v>
      </c>
      <c r="CV1169" s="5" t="s">
        <v>649</v>
      </c>
      <c r="CW1169" s="7">
        <f>0</f>
        <v>0</v>
      </c>
      <c r="CX1169" s="8">
        <f>233120880</f>
        <v>233120880</v>
      </c>
      <c r="CY1169" s="8">
        <f>72267482</f>
        <v>72267482</v>
      </c>
      <c r="DA1169" s="5" t="s">
        <v>238</v>
      </c>
      <c r="DB1169" s="5" t="s">
        <v>238</v>
      </c>
      <c r="DD1169" s="5" t="s">
        <v>238</v>
      </c>
      <c r="DE1169" s="8">
        <f>0</f>
        <v>0</v>
      </c>
      <c r="DG1169" s="5" t="s">
        <v>238</v>
      </c>
      <c r="DH1169" s="5" t="s">
        <v>238</v>
      </c>
      <c r="DI1169" s="5" t="s">
        <v>238</v>
      </c>
      <c r="DJ1169" s="5" t="s">
        <v>238</v>
      </c>
      <c r="DK1169" s="5" t="s">
        <v>271</v>
      </c>
      <c r="DL1169" s="5" t="s">
        <v>272</v>
      </c>
      <c r="DM1169" s="7">
        <f>1022.46</f>
        <v>1022.46</v>
      </c>
      <c r="DN1169" s="5" t="s">
        <v>238</v>
      </c>
      <c r="DO1169" s="5" t="s">
        <v>238</v>
      </c>
      <c r="DP1169" s="5" t="s">
        <v>238</v>
      </c>
      <c r="DQ1169" s="5" t="s">
        <v>238</v>
      </c>
      <c r="DT1169" s="5" t="s">
        <v>1821</v>
      </c>
      <c r="DU1169" s="5" t="s">
        <v>271</v>
      </c>
      <c r="GL1169" s="5" t="s">
        <v>1822</v>
      </c>
      <c r="HM1169" s="5" t="s">
        <v>313</v>
      </c>
      <c r="HP1169" s="5" t="s">
        <v>272</v>
      </c>
      <c r="HQ1169" s="5" t="s">
        <v>272</v>
      </c>
      <c r="HR1169" s="5" t="s">
        <v>238</v>
      </c>
      <c r="HS1169" s="5" t="s">
        <v>238</v>
      </c>
      <c r="HT1169" s="5" t="s">
        <v>238</v>
      </c>
      <c r="HU1169" s="5" t="s">
        <v>238</v>
      </c>
      <c r="HV1169" s="5" t="s">
        <v>238</v>
      </c>
      <c r="HW1169" s="5" t="s">
        <v>238</v>
      </c>
      <c r="HX1169" s="5" t="s">
        <v>238</v>
      </c>
      <c r="HY1169" s="5" t="s">
        <v>238</v>
      </c>
      <c r="HZ1169" s="5" t="s">
        <v>238</v>
      </c>
      <c r="IA1169" s="5" t="s">
        <v>238</v>
      </c>
      <c r="IB1169" s="5" t="s">
        <v>238</v>
      </c>
      <c r="IC1169" s="5" t="s">
        <v>238</v>
      </c>
      <c r="ID1169" s="5" t="s">
        <v>238</v>
      </c>
    </row>
    <row r="1170" spans="1:238" x14ac:dyDescent="0.4">
      <c r="A1170" s="5">
        <v>1505</v>
      </c>
      <c r="B1170" s="5">
        <v>1</v>
      </c>
      <c r="C1170" s="5">
        <v>1</v>
      </c>
      <c r="D1170" s="5" t="s">
        <v>1846</v>
      </c>
      <c r="E1170" s="5" t="s">
        <v>338</v>
      </c>
      <c r="F1170" s="5" t="s">
        <v>282</v>
      </c>
      <c r="G1170" s="5" t="s">
        <v>1845</v>
      </c>
      <c r="H1170" s="6" t="s">
        <v>1848</v>
      </c>
      <c r="I1170" s="5" t="s">
        <v>1845</v>
      </c>
      <c r="J1170" s="7">
        <f>920.16</f>
        <v>920.16</v>
      </c>
      <c r="K1170" s="5" t="s">
        <v>270</v>
      </c>
      <c r="L1170" s="8">
        <f>1</f>
        <v>1</v>
      </c>
      <c r="M1170" s="8">
        <f>292610880</f>
        <v>292610880</v>
      </c>
      <c r="N1170" s="6" t="s">
        <v>1847</v>
      </c>
      <c r="O1170" s="5" t="s">
        <v>286</v>
      </c>
      <c r="P1170" s="5" t="s">
        <v>286</v>
      </c>
      <c r="R1170" s="8">
        <f>292610879</f>
        <v>292610879</v>
      </c>
      <c r="S1170" s="5" t="s">
        <v>240</v>
      </c>
      <c r="T1170" s="5" t="s">
        <v>237</v>
      </c>
      <c r="U1170" s="5" t="s">
        <v>238</v>
      </c>
      <c r="V1170" s="5" t="s">
        <v>238</v>
      </c>
      <c r="W1170" s="5" t="s">
        <v>241</v>
      </c>
      <c r="X1170" s="5" t="s">
        <v>337</v>
      </c>
      <c r="Y1170" s="5" t="s">
        <v>238</v>
      </c>
      <c r="AB1170" s="5" t="s">
        <v>238</v>
      </c>
      <c r="AD1170" s="6" t="s">
        <v>238</v>
      </c>
      <c r="AG1170" s="6" t="s">
        <v>246</v>
      </c>
      <c r="AH1170" s="5" t="s">
        <v>247</v>
      </c>
      <c r="AI1170" s="5" t="s">
        <v>248</v>
      </c>
      <c r="AY1170" s="5" t="s">
        <v>250</v>
      </c>
      <c r="AZ1170" s="5" t="s">
        <v>238</v>
      </c>
      <c r="BA1170" s="5" t="s">
        <v>251</v>
      </c>
      <c r="BB1170" s="5" t="s">
        <v>238</v>
      </c>
      <c r="BC1170" s="5" t="s">
        <v>253</v>
      </c>
      <c r="BD1170" s="5" t="s">
        <v>238</v>
      </c>
      <c r="BF1170" s="5" t="s">
        <v>238</v>
      </c>
      <c r="BH1170" s="5" t="s">
        <v>859</v>
      </c>
      <c r="BI1170" s="6" t="s">
        <v>368</v>
      </c>
      <c r="BJ1170" s="5" t="s">
        <v>255</v>
      </c>
      <c r="BK1170" s="5" t="s">
        <v>294</v>
      </c>
      <c r="BL1170" s="5" t="s">
        <v>238</v>
      </c>
      <c r="BM1170" s="7">
        <f>0</f>
        <v>0</v>
      </c>
      <c r="BN1170" s="8">
        <f>0</f>
        <v>0</v>
      </c>
      <c r="BO1170" s="5" t="s">
        <v>257</v>
      </c>
      <c r="BP1170" s="5" t="s">
        <v>258</v>
      </c>
      <c r="CD1170" s="5" t="s">
        <v>238</v>
      </c>
      <c r="CE1170" s="5" t="s">
        <v>238</v>
      </c>
      <c r="CI1170" s="5" t="s">
        <v>259</v>
      </c>
      <c r="CJ1170" s="5" t="s">
        <v>260</v>
      </c>
      <c r="CK1170" s="5" t="s">
        <v>238</v>
      </c>
      <c r="CM1170" s="5" t="s">
        <v>638</v>
      </c>
      <c r="CN1170" s="6" t="s">
        <v>262</v>
      </c>
      <c r="CO1170" s="5" t="s">
        <v>263</v>
      </c>
      <c r="CP1170" s="5" t="s">
        <v>264</v>
      </c>
      <c r="CQ1170" s="5" t="s">
        <v>238</v>
      </c>
      <c r="CR1170" s="5" t="s">
        <v>238</v>
      </c>
      <c r="CS1170" s="5">
        <v>0</v>
      </c>
      <c r="CT1170" s="5" t="s">
        <v>265</v>
      </c>
      <c r="CU1170" s="5" t="s">
        <v>1803</v>
      </c>
      <c r="CV1170" s="5" t="s">
        <v>267</v>
      </c>
      <c r="CX1170" s="8">
        <f>292610880</f>
        <v>292610880</v>
      </c>
      <c r="CY1170" s="8">
        <f>0</f>
        <v>0</v>
      </c>
      <c r="DA1170" s="5" t="s">
        <v>238</v>
      </c>
      <c r="DB1170" s="5" t="s">
        <v>238</v>
      </c>
      <c r="DD1170" s="5" t="s">
        <v>238</v>
      </c>
      <c r="DG1170" s="5" t="s">
        <v>238</v>
      </c>
      <c r="DH1170" s="5" t="s">
        <v>238</v>
      </c>
      <c r="DI1170" s="5" t="s">
        <v>238</v>
      </c>
      <c r="DJ1170" s="5" t="s">
        <v>238</v>
      </c>
      <c r="DK1170" s="5" t="s">
        <v>271</v>
      </c>
      <c r="DL1170" s="5" t="s">
        <v>272</v>
      </c>
      <c r="DM1170" s="7">
        <f>920.16</f>
        <v>920.16</v>
      </c>
      <c r="DN1170" s="5" t="s">
        <v>238</v>
      </c>
      <c r="DO1170" s="5" t="s">
        <v>238</v>
      </c>
      <c r="DP1170" s="5" t="s">
        <v>238</v>
      </c>
      <c r="DQ1170" s="5" t="s">
        <v>238</v>
      </c>
      <c r="DT1170" s="5" t="s">
        <v>1849</v>
      </c>
      <c r="DU1170" s="5" t="s">
        <v>271</v>
      </c>
      <c r="HM1170" s="5" t="s">
        <v>356</v>
      </c>
      <c r="HP1170" s="5" t="s">
        <v>272</v>
      </c>
      <c r="HQ1170" s="5" t="s">
        <v>272</v>
      </c>
    </row>
    <row r="1171" spans="1:238" x14ac:dyDescent="0.4">
      <c r="A1171" s="5">
        <v>1506</v>
      </c>
      <c r="B1171" s="5">
        <v>1</v>
      </c>
      <c r="C1171" s="5">
        <v>4</v>
      </c>
      <c r="D1171" s="5" t="s">
        <v>1846</v>
      </c>
      <c r="E1171" s="5" t="s">
        <v>338</v>
      </c>
      <c r="F1171" s="5" t="s">
        <v>282</v>
      </c>
      <c r="G1171" s="5" t="s">
        <v>1886</v>
      </c>
      <c r="H1171" s="6" t="s">
        <v>1848</v>
      </c>
      <c r="I1171" s="5" t="s">
        <v>1845</v>
      </c>
      <c r="J1171" s="7">
        <f>308.44</f>
        <v>308.44</v>
      </c>
      <c r="K1171" s="5" t="s">
        <v>270</v>
      </c>
      <c r="L1171" s="8">
        <f>25912066</f>
        <v>25912066</v>
      </c>
      <c r="M1171" s="8">
        <f>95616400</f>
        <v>95616400</v>
      </c>
      <c r="N1171" s="6" t="s">
        <v>1847</v>
      </c>
      <c r="O1171" s="5" t="s">
        <v>639</v>
      </c>
      <c r="P1171" s="5" t="s">
        <v>640</v>
      </c>
      <c r="Q1171" s="8">
        <f>2581642</f>
        <v>2581642</v>
      </c>
      <c r="R1171" s="8">
        <f>69704334</f>
        <v>69704334</v>
      </c>
      <c r="S1171" s="5" t="s">
        <v>240</v>
      </c>
      <c r="T1171" s="5" t="s">
        <v>237</v>
      </c>
      <c r="U1171" s="5" t="s">
        <v>238</v>
      </c>
      <c r="V1171" s="5" t="s">
        <v>238</v>
      </c>
      <c r="W1171" s="5" t="s">
        <v>241</v>
      </c>
      <c r="X1171" s="5" t="s">
        <v>337</v>
      </c>
      <c r="Y1171" s="5" t="s">
        <v>238</v>
      </c>
      <c r="AB1171" s="5" t="s">
        <v>238</v>
      </c>
      <c r="AC1171" s="6" t="s">
        <v>238</v>
      </c>
      <c r="AD1171" s="6" t="s">
        <v>238</v>
      </c>
      <c r="AF1171" s="6" t="s">
        <v>238</v>
      </c>
      <c r="AG1171" s="6" t="s">
        <v>246</v>
      </c>
      <c r="AH1171" s="5" t="s">
        <v>247</v>
      </c>
      <c r="AI1171" s="5" t="s">
        <v>248</v>
      </c>
      <c r="AO1171" s="5" t="s">
        <v>238</v>
      </c>
      <c r="AP1171" s="5" t="s">
        <v>238</v>
      </c>
      <c r="AQ1171" s="5" t="s">
        <v>238</v>
      </c>
      <c r="AR1171" s="6" t="s">
        <v>238</v>
      </c>
      <c r="AS1171" s="6" t="s">
        <v>238</v>
      </c>
      <c r="AT1171" s="6" t="s">
        <v>238</v>
      </c>
      <c r="AW1171" s="5" t="s">
        <v>304</v>
      </c>
      <c r="AX1171" s="5" t="s">
        <v>304</v>
      </c>
      <c r="AY1171" s="5" t="s">
        <v>250</v>
      </c>
      <c r="AZ1171" s="5" t="s">
        <v>305</v>
      </c>
      <c r="BA1171" s="5" t="s">
        <v>251</v>
      </c>
      <c r="BB1171" s="5" t="s">
        <v>238</v>
      </c>
      <c r="BC1171" s="5" t="s">
        <v>253</v>
      </c>
      <c r="BD1171" s="5" t="s">
        <v>238</v>
      </c>
      <c r="BF1171" s="5" t="s">
        <v>238</v>
      </c>
      <c r="BH1171" s="5" t="s">
        <v>283</v>
      </c>
      <c r="BI1171" s="6" t="s">
        <v>293</v>
      </c>
      <c r="BJ1171" s="5" t="s">
        <v>294</v>
      </c>
      <c r="BK1171" s="5" t="s">
        <v>294</v>
      </c>
      <c r="BL1171" s="5" t="s">
        <v>238</v>
      </c>
      <c r="BM1171" s="7">
        <f>0</f>
        <v>0</v>
      </c>
      <c r="BN1171" s="8">
        <f>-2581642</f>
        <v>-2581642</v>
      </c>
      <c r="BO1171" s="5" t="s">
        <v>257</v>
      </c>
      <c r="BP1171" s="5" t="s">
        <v>258</v>
      </c>
      <c r="BQ1171" s="5" t="s">
        <v>238</v>
      </c>
      <c r="BR1171" s="5" t="s">
        <v>238</v>
      </c>
      <c r="BS1171" s="5" t="s">
        <v>238</v>
      </c>
      <c r="BT1171" s="5" t="s">
        <v>238</v>
      </c>
      <c r="CC1171" s="5" t="s">
        <v>258</v>
      </c>
      <c r="CD1171" s="5" t="s">
        <v>238</v>
      </c>
      <c r="CE1171" s="5" t="s">
        <v>238</v>
      </c>
      <c r="CI1171" s="5" t="s">
        <v>259</v>
      </c>
      <c r="CJ1171" s="5" t="s">
        <v>260</v>
      </c>
      <c r="CK1171" s="5" t="s">
        <v>238</v>
      </c>
      <c r="CM1171" s="5" t="s">
        <v>638</v>
      </c>
      <c r="CN1171" s="6" t="s">
        <v>262</v>
      </c>
      <c r="CO1171" s="5" t="s">
        <v>263</v>
      </c>
      <c r="CP1171" s="5" t="s">
        <v>264</v>
      </c>
      <c r="CQ1171" s="5" t="s">
        <v>285</v>
      </c>
      <c r="CR1171" s="5" t="s">
        <v>238</v>
      </c>
      <c r="CS1171" s="5">
        <v>2.7E-2</v>
      </c>
      <c r="CT1171" s="5" t="s">
        <v>265</v>
      </c>
      <c r="CU1171" s="5" t="s">
        <v>1333</v>
      </c>
      <c r="CV1171" s="5" t="s">
        <v>649</v>
      </c>
      <c r="CW1171" s="7">
        <f>0</f>
        <v>0</v>
      </c>
      <c r="CX1171" s="8">
        <f>95616400</f>
        <v>95616400</v>
      </c>
      <c r="CY1171" s="8">
        <f>28493708</f>
        <v>28493708</v>
      </c>
      <c r="DA1171" s="5" t="s">
        <v>238</v>
      </c>
      <c r="DB1171" s="5" t="s">
        <v>238</v>
      </c>
      <c r="DD1171" s="5" t="s">
        <v>238</v>
      </c>
      <c r="DE1171" s="8">
        <f>0</f>
        <v>0</v>
      </c>
      <c r="DG1171" s="5" t="s">
        <v>238</v>
      </c>
      <c r="DH1171" s="5" t="s">
        <v>238</v>
      </c>
      <c r="DI1171" s="5" t="s">
        <v>238</v>
      </c>
      <c r="DJ1171" s="5" t="s">
        <v>238</v>
      </c>
      <c r="DK1171" s="5" t="s">
        <v>271</v>
      </c>
      <c r="DL1171" s="5" t="s">
        <v>272</v>
      </c>
      <c r="DM1171" s="7">
        <f>308.44</f>
        <v>308.44</v>
      </c>
      <c r="DN1171" s="5" t="s">
        <v>238</v>
      </c>
      <c r="DO1171" s="5" t="s">
        <v>238</v>
      </c>
      <c r="DP1171" s="5" t="s">
        <v>238</v>
      </c>
      <c r="DQ1171" s="5" t="s">
        <v>238</v>
      </c>
      <c r="DT1171" s="5" t="s">
        <v>1849</v>
      </c>
      <c r="DU1171" s="5" t="s">
        <v>274</v>
      </c>
      <c r="GL1171" s="5" t="s">
        <v>2005</v>
      </c>
      <c r="HM1171" s="5" t="s">
        <v>313</v>
      </c>
      <c r="HP1171" s="5" t="s">
        <v>272</v>
      </c>
      <c r="HQ1171" s="5" t="s">
        <v>272</v>
      </c>
      <c r="HR1171" s="5" t="s">
        <v>238</v>
      </c>
      <c r="HS1171" s="5" t="s">
        <v>238</v>
      </c>
      <c r="HT1171" s="5" t="s">
        <v>238</v>
      </c>
      <c r="HU1171" s="5" t="s">
        <v>238</v>
      </c>
      <c r="HV1171" s="5" t="s">
        <v>238</v>
      </c>
      <c r="HW1171" s="5" t="s">
        <v>238</v>
      </c>
      <c r="HX1171" s="5" t="s">
        <v>238</v>
      </c>
      <c r="HY1171" s="5" t="s">
        <v>238</v>
      </c>
      <c r="HZ1171" s="5" t="s">
        <v>238</v>
      </c>
      <c r="IA1171" s="5" t="s">
        <v>238</v>
      </c>
      <c r="IB1171" s="5" t="s">
        <v>238</v>
      </c>
      <c r="IC1171" s="5" t="s">
        <v>238</v>
      </c>
      <c r="ID1171" s="5" t="s">
        <v>238</v>
      </c>
    </row>
    <row r="1172" spans="1:238" x14ac:dyDescent="0.4">
      <c r="A1172" s="5">
        <v>1507</v>
      </c>
      <c r="B1172" s="5">
        <v>1</v>
      </c>
      <c r="C1172" s="5">
        <v>4</v>
      </c>
      <c r="D1172" s="5" t="s">
        <v>1846</v>
      </c>
      <c r="E1172" s="5" t="s">
        <v>338</v>
      </c>
      <c r="F1172" s="5" t="s">
        <v>282</v>
      </c>
      <c r="G1172" s="5" t="s">
        <v>505</v>
      </c>
      <c r="H1172" s="6" t="s">
        <v>1848</v>
      </c>
      <c r="I1172" s="5" t="s">
        <v>2944</v>
      </c>
      <c r="J1172" s="7">
        <f>0</f>
        <v>0</v>
      </c>
      <c r="K1172" s="5" t="s">
        <v>270</v>
      </c>
      <c r="L1172" s="8">
        <f>1165640</f>
        <v>1165640</v>
      </c>
      <c r="M1172" s="8">
        <f>1752840</f>
        <v>1752840</v>
      </c>
      <c r="N1172" s="6" t="s">
        <v>2945</v>
      </c>
      <c r="O1172" s="5" t="s">
        <v>268</v>
      </c>
      <c r="P1172" s="5" t="s">
        <v>356</v>
      </c>
      <c r="Q1172" s="8">
        <f>117440</f>
        <v>117440</v>
      </c>
      <c r="R1172" s="8">
        <f>587200</f>
        <v>587200</v>
      </c>
      <c r="S1172" s="5" t="s">
        <v>240</v>
      </c>
      <c r="T1172" s="5" t="s">
        <v>287</v>
      </c>
      <c r="U1172" s="5" t="s">
        <v>238</v>
      </c>
      <c r="V1172" s="5" t="s">
        <v>238</v>
      </c>
      <c r="W1172" s="5" t="s">
        <v>241</v>
      </c>
      <c r="X1172" s="5" t="s">
        <v>337</v>
      </c>
      <c r="Y1172" s="5" t="s">
        <v>238</v>
      </c>
      <c r="AB1172" s="5" t="s">
        <v>238</v>
      </c>
      <c r="AC1172" s="6" t="s">
        <v>238</v>
      </c>
      <c r="AD1172" s="6" t="s">
        <v>238</v>
      </c>
      <c r="AF1172" s="6" t="s">
        <v>238</v>
      </c>
      <c r="AG1172" s="6" t="s">
        <v>246</v>
      </c>
      <c r="AH1172" s="5" t="s">
        <v>247</v>
      </c>
      <c r="AI1172" s="5" t="s">
        <v>248</v>
      </c>
      <c r="AO1172" s="5" t="s">
        <v>238</v>
      </c>
      <c r="AP1172" s="5" t="s">
        <v>238</v>
      </c>
      <c r="AQ1172" s="5" t="s">
        <v>238</v>
      </c>
      <c r="AR1172" s="6" t="s">
        <v>238</v>
      </c>
      <c r="AS1172" s="6" t="s">
        <v>238</v>
      </c>
      <c r="AT1172" s="6" t="s">
        <v>238</v>
      </c>
      <c r="AW1172" s="5" t="s">
        <v>304</v>
      </c>
      <c r="AX1172" s="5" t="s">
        <v>304</v>
      </c>
      <c r="AY1172" s="5" t="s">
        <v>250</v>
      </c>
      <c r="AZ1172" s="5" t="s">
        <v>305</v>
      </c>
      <c r="BA1172" s="5" t="s">
        <v>251</v>
      </c>
      <c r="BB1172" s="5" t="s">
        <v>238</v>
      </c>
      <c r="BC1172" s="5" t="s">
        <v>253</v>
      </c>
      <c r="BD1172" s="5" t="s">
        <v>238</v>
      </c>
      <c r="BF1172" s="5" t="s">
        <v>238</v>
      </c>
      <c r="BH1172" s="5" t="s">
        <v>283</v>
      </c>
      <c r="BI1172" s="6" t="s">
        <v>293</v>
      </c>
      <c r="BJ1172" s="5" t="s">
        <v>294</v>
      </c>
      <c r="BK1172" s="5" t="s">
        <v>294</v>
      </c>
      <c r="BL1172" s="5" t="s">
        <v>238</v>
      </c>
      <c r="BM1172" s="7">
        <f>0</f>
        <v>0</v>
      </c>
      <c r="BN1172" s="8">
        <f>-117440</f>
        <v>-117440</v>
      </c>
      <c r="BO1172" s="5" t="s">
        <v>257</v>
      </c>
      <c r="BP1172" s="5" t="s">
        <v>258</v>
      </c>
      <c r="BQ1172" s="5" t="s">
        <v>238</v>
      </c>
      <c r="BR1172" s="5" t="s">
        <v>238</v>
      </c>
      <c r="BS1172" s="5" t="s">
        <v>238</v>
      </c>
      <c r="BT1172" s="5" t="s">
        <v>238</v>
      </c>
      <c r="CC1172" s="5" t="s">
        <v>258</v>
      </c>
      <c r="CD1172" s="5" t="s">
        <v>238</v>
      </c>
      <c r="CE1172" s="5" t="s">
        <v>238</v>
      </c>
      <c r="CI1172" s="5" t="s">
        <v>259</v>
      </c>
      <c r="CJ1172" s="5" t="s">
        <v>260</v>
      </c>
      <c r="CK1172" s="5" t="s">
        <v>238</v>
      </c>
      <c r="CM1172" s="5" t="s">
        <v>376</v>
      </c>
      <c r="CN1172" s="6" t="s">
        <v>262</v>
      </c>
      <c r="CO1172" s="5" t="s">
        <v>263</v>
      </c>
      <c r="CP1172" s="5" t="s">
        <v>264</v>
      </c>
      <c r="CQ1172" s="5" t="s">
        <v>285</v>
      </c>
      <c r="CR1172" s="5" t="s">
        <v>238</v>
      </c>
      <c r="CS1172" s="5">
        <v>6.7000000000000004E-2</v>
      </c>
      <c r="CT1172" s="5" t="s">
        <v>265</v>
      </c>
      <c r="CU1172" s="5" t="s">
        <v>351</v>
      </c>
      <c r="CV1172" s="5" t="s">
        <v>365</v>
      </c>
      <c r="CW1172" s="7">
        <f>0</f>
        <v>0</v>
      </c>
      <c r="CX1172" s="8">
        <f>1752840</f>
        <v>1752840</v>
      </c>
      <c r="CY1172" s="8">
        <f>1283080</f>
        <v>1283080</v>
      </c>
      <c r="DA1172" s="5" t="s">
        <v>238</v>
      </c>
      <c r="DB1172" s="5" t="s">
        <v>238</v>
      </c>
      <c r="DD1172" s="5" t="s">
        <v>238</v>
      </c>
      <c r="DE1172" s="8">
        <f>0</f>
        <v>0</v>
      </c>
      <c r="DG1172" s="5" t="s">
        <v>238</v>
      </c>
      <c r="DH1172" s="5" t="s">
        <v>238</v>
      </c>
      <c r="DI1172" s="5" t="s">
        <v>238</v>
      </c>
      <c r="DJ1172" s="5" t="s">
        <v>238</v>
      </c>
      <c r="DK1172" s="5" t="s">
        <v>272</v>
      </c>
      <c r="DL1172" s="5" t="s">
        <v>272</v>
      </c>
      <c r="DM1172" s="8" t="s">
        <v>238</v>
      </c>
      <c r="DN1172" s="5" t="s">
        <v>238</v>
      </c>
      <c r="DO1172" s="5" t="s">
        <v>238</v>
      </c>
      <c r="DP1172" s="5" t="s">
        <v>238</v>
      </c>
      <c r="DQ1172" s="5" t="s">
        <v>238</v>
      </c>
      <c r="DT1172" s="5" t="s">
        <v>1849</v>
      </c>
      <c r="DU1172" s="5" t="s">
        <v>356</v>
      </c>
      <c r="GL1172" s="5" t="s">
        <v>2946</v>
      </c>
      <c r="HM1172" s="5" t="s">
        <v>379</v>
      </c>
      <c r="HP1172" s="5" t="s">
        <v>272</v>
      </c>
      <c r="HQ1172" s="5" t="s">
        <v>272</v>
      </c>
      <c r="HR1172" s="5" t="s">
        <v>238</v>
      </c>
      <c r="HS1172" s="5" t="s">
        <v>238</v>
      </c>
      <c r="HT1172" s="5" t="s">
        <v>238</v>
      </c>
      <c r="HU1172" s="5" t="s">
        <v>238</v>
      </c>
      <c r="HV1172" s="5" t="s">
        <v>238</v>
      </c>
      <c r="HW1172" s="5" t="s">
        <v>238</v>
      </c>
      <c r="HX1172" s="5" t="s">
        <v>238</v>
      </c>
      <c r="HY1172" s="5" t="s">
        <v>238</v>
      </c>
      <c r="HZ1172" s="5" t="s">
        <v>238</v>
      </c>
      <c r="IA1172" s="5" t="s">
        <v>238</v>
      </c>
      <c r="IB1172" s="5" t="s">
        <v>238</v>
      </c>
      <c r="IC1172" s="5" t="s">
        <v>238</v>
      </c>
      <c r="ID1172" s="5" t="s">
        <v>238</v>
      </c>
    </row>
    <row r="1173" spans="1:238" x14ac:dyDescent="0.4">
      <c r="A1173" s="5">
        <v>1508</v>
      </c>
      <c r="B1173" s="5">
        <v>1</v>
      </c>
      <c r="C1173" s="5">
        <v>1</v>
      </c>
      <c r="D1173" s="5" t="s">
        <v>1110</v>
      </c>
      <c r="E1173" s="5" t="s">
        <v>338</v>
      </c>
      <c r="F1173" s="5" t="s">
        <v>282</v>
      </c>
      <c r="G1173" s="5" t="s">
        <v>3027</v>
      </c>
      <c r="H1173" s="6" t="s">
        <v>1112</v>
      </c>
      <c r="I1173" s="5" t="s">
        <v>3027</v>
      </c>
      <c r="J1173" s="7">
        <f>43</f>
        <v>43</v>
      </c>
      <c r="K1173" s="5" t="s">
        <v>270</v>
      </c>
      <c r="L1173" s="8">
        <f>1</f>
        <v>1</v>
      </c>
      <c r="M1173" s="8">
        <f>2580000</f>
        <v>2580000</v>
      </c>
      <c r="N1173" s="6" t="s">
        <v>1737</v>
      </c>
      <c r="O1173" s="5" t="s">
        <v>268</v>
      </c>
      <c r="P1173" s="5" t="s">
        <v>991</v>
      </c>
      <c r="R1173" s="8">
        <f>2579999</f>
        <v>2579999</v>
      </c>
      <c r="S1173" s="5" t="s">
        <v>240</v>
      </c>
      <c r="T1173" s="5" t="s">
        <v>237</v>
      </c>
      <c r="U1173" s="5" t="s">
        <v>238</v>
      </c>
      <c r="V1173" s="5" t="s">
        <v>238</v>
      </c>
      <c r="W1173" s="5" t="s">
        <v>241</v>
      </c>
      <c r="X1173" s="5" t="s">
        <v>337</v>
      </c>
      <c r="Y1173" s="5" t="s">
        <v>238</v>
      </c>
      <c r="AB1173" s="5" t="s">
        <v>238</v>
      </c>
      <c r="AD1173" s="6" t="s">
        <v>238</v>
      </c>
      <c r="AG1173" s="6" t="s">
        <v>246</v>
      </c>
      <c r="AH1173" s="5" t="s">
        <v>247</v>
      </c>
      <c r="AI1173" s="5" t="s">
        <v>248</v>
      </c>
      <c r="AY1173" s="5" t="s">
        <v>250</v>
      </c>
      <c r="AZ1173" s="5" t="s">
        <v>238</v>
      </c>
      <c r="BA1173" s="5" t="s">
        <v>251</v>
      </c>
      <c r="BB1173" s="5" t="s">
        <v>238</v>
      </c>
      <c r="BC1173" s="5" t="s">
        <v>253</v>
      </c>
      <c r="BD1173" s="5" t="s">
        <v>238</v>
      </c>
      <c r="BF1173" s="5" t="s">
        <v>710</v>
      </c>
      <c r="BH1173" s="5" t="s">
        <v>254</v>
      </c>
      <c r="BI1173" s="6" t="s">
        <v>246</v>
      </c>
      <c r="BJ1173" s="5" t="s">
        <v>255</v>
      </c>
      <c r="BK1173" s="5" t="s">
        <v>256</v>
      </c>
      <c r="BL1173" s="5" t="s">
        <v>238</v>
      </c>
      <c r="BM1173" s="7">
        <f>0</f>
        <v>0</v>
      </c>
      <c r="BN1173" s="8">
        <f>0</f>
        <v>0</v>
      </c>
      <c r="BO1173" s="5" t="s">
        <v>257</v>
      </c>
      <c r="BP1173" s="5" t="s">
        <v>258</v>
      </c>
      <c r="CD1173" s="5" t="s">
        <v>238</v>
      </c>
      <c r="CE1173" s="5" t="s">
        <v>238</v>
      </c>
      <c r="CI1173" s="5" t="s">
        <v>527</v>
      </c>
      <c r="CJ1173" s="5" t="s">
        <v>260</v>
      </c>
      <c r="CK1173" s="5" t="s">
        <v>238</v>
      </c>
      <c r="CM1173" s="5" t="s">
        <v>990</v>
      </c>
      <c r="CN1173" s="6" t="s">
        <v>262</v>
      </c>
      <c r="CO1173" s="5" t="s">
        <v>263</v>
      </c>
      <c r="CP1173" s="5" t="s">
        <v>264</v>
      </c>
      <c r="CQ1173" s="5" t="s">
        <v>238</v>
      </c>
      <c r="CR1173" s="5" t="s">
        <v>238</v>
      </c>
      <c r="CS1173" s="5">
        <v>0</v>
      </c>
      <c r="CT1173" s="5" t="s">
        <v>265</v>
      </c>
      <c r="CU1173" s="5" t="s">
        <v>351</v>
      </c>
      <c r="CV1173" s="5" t="s">
        <v>394</v>
      </c>
      <c r="CX1173" s="8">
        <f>2580000</f>
        <v>2580000</v>
      </c>
      <c r="CY1173" s="8">
        <f>0</f>
        <v>0</v>
      </c>
      <c r="DA1173" s="5" t="s">
        <v>238</v>
      </c>
      <c r="DB1173" s="5" t="s">
        <v>238</v>
      </c>
      <c r="DD1173" s="5" t="s">
        <v>238</v>
      </c>
      <c r="DG1173" s="5" t="s">
        <v>238</v>
      </c>
      <c r="DH1173" s="5" t="s">
        <v>238</v>
      </c>
      <c r="DI1173" s="5" t="s">
        <v>238</v>
      </c>
      <c r="DJ1173" s="5" t="s">
        <v>238</v>
      </c>
      <c r="DK1173" s="5" t="s">
        <v>271</v>
      </c>
      <c r="DL1173" s="5" t="s">
        <v>272</v>
      </c>
      <c r="DM1173" s="7">
        <f>43</f>
        <v>43</v>
      </c>
      <c r="DN1173" s="5" t="s">
        <v>238</v>
      </c>
      <c r="DO1173" s="5" t="s">
        <v>238</v>
      </c>
      <c r="DP1173" s="5" t="s">
        <v>238</v>
      </c>
      <c r="DQ1173" s="5" t="s">
        <v>238</v>
      </c>
      <c r="DT1173" s="5" t="s">
        <v>1115</v>
      </c>
      <c r="DU1173" s="5" t="s">
        <v>271</v>
      </c>
      <c r="HM1173" s="5" t="s">
        <v>271</v>
      </c>
      <c r="HP1173" s="5" t="s">
        <v>272</v>
      </c>
      <c r="HQ1173" s="5" t="s">
        <v>272</v>
      </c>
    </row>
    <row r="1174" spans="1:238" x14ac:dyDescent="0.4">
      <c r="A1174" s="5">
        <v>1509</v>
      </c>
      <c r="B1174" s="5">
        <v>1</v>
      </c>
      <c r="C1174" s="5">
        <v>4</v>
      </c>
      <c r="D1174" s="5" t="s">
        <v>1110</v>
      </c>
      <c r="E1174" s="5" t="s">
        <v>338</v>
      </c>
      <c r="F1174" s="5" t="s">
        <v>282</v>
      </c>
      <c r="G1174" s="5" t="s">
        <v>1807</v>
      </c>
      <c r="H1174" s="6" t="s">
        <v>1112</v>
      </c>
      <c r="I1174" s="5" t="s">
        <v>1809</v>
      </c>
      <c r="J1174" s="7">
        <f>2103.09</f>
        <v>2103.09</v>
      </c>
      <c r="K1174" s="5" t="s">
        <v>270</v>
      </c>
      <c r="L1174" s="8">
        <f>40316247</f>
        <v>40316247</v>
      </c>
      <c r="M1174" s="8">
        <f>283917150</f>
        <v>283917150</v>
      </c>
      <c r="N1174" s="6" t="s">
        <v>1737</v>
      </c>
      <c r="O1174" s="5" t="s">
        <v>898</v>
      </c>
      <c r="P1174" s="5" t="s">
        <v>971</v>
      </c>
      <c r="Q1174" s="8">
        <f>6246177</f>
        <v>6246177</v>
      </c>
      <c r="R1174" s="8">
        <f>243600903</f>
        <v>243600903</v>
      </c>
      <c r="S1174" s="5" t="s">
        <v>240</v>
      </c>
      <c r="T1174" s="5" t="s">
        <v>237</v>
      </c>
      <c r="U1174" s="5" t="s">
        <v>238</v>
      </c>
      <c r="V1174" s="5" t="s">
        <v>238</v>
      </c>
      <c r="W1174" s="5" t="s">
        <v>241</v>
      </c>
      <c r="X1174" s="5" t="s">
        <v>337</v>
      </c>
      <c r="Y1174" s="5" t="s">
        <v>238</v>
      </c>
      <c r="AB1174" s="5" t="s">
        <v>238</v>
      </c>
      <c r="AC1174" s="6" t="s">
        <v>238</v>
      </c>
      <c r="AD1174" s="6" t="s">
        <v>238</v>
      </c>
      <c r="AF1174" s="6" t="s">
        <v>238</v>
      </c>
      <c r="AG1174" s="6" t="s">
        <v>246</v>
      </c>
      <c r="AH1174" s="5" t="s">
        <v>247</v>
      </c>
      <c r="AI1174" s="5" t="s">
        <v>248</v>
      </c>
      <c r="AO1174" s="5" t="s">
        <v>238</v>
      </c>
      <c r="AP1174" s="5" t="s">
        <v>238</v>
      </c>
      <c r="AQ1174" s="5" t="s">
        <v>238</v>
      </c>
      <c r="AR1174" s="6" t="s">
        <v>238</v>
      </c>
      <c r="AS1174" s="6" t="s">
        <v>238</v>
      </c>
      <c r="AT1174" s="6" t="s">
        <v>238</v>
      </c>
      <c r="AW1174" s="5" t="s">
        <v>304</v>
      </c>
      <c r="AX1174" s="5" t="s">
        <v>304</v>
      </c>
      <c r="AY1174" s="5" t="s">
        <v>250</v>
      </c>
      <c r="AZ1174" s="5" t="s">
        <v>305</v>
      </c>
      <c r="BA1174" s="5" t="s">
        <v>251</v>
      </c>
      <c r="BB1174" s="5" t="s">
        <v>238</v>
      </c>
      <c r="BC1174" s="5" t="s">
        <v>253</v>
      </c>
      <c r="BD1174" s="5" t="s">
        <v>238</v>
      </c>
      <c r="BF1174" s="5" t="s">
        <v>238</v>
      </c>
      <c r="BH1174" s="5" t="s">
        <v>283</v>
      </c>
      <c r="BI1174" s="6" t="s">
        <v>293</v>
      </c>
      <c r="BJ1174" s="5" t="s">
        <v>294</v>
      </c>
      <c r="BK1174" s="5" t="s">
        <v>294</v>
      </c>
      <c r="BL1174" s="5" t="s">
        <v>238</v>
      </c>
      <c r="BM1174" s="7">
        <f>0</f>
        <v>0</v>
      </c>
      <c r="BN1174" s="8">
        <f>-6246177</f>
        <v>-6246177</v>
      </c>
      <c r="BO1174" s="5" t="s">
        <v>257</v>
      </c>
      <c r="BP1174" s="5" t="s">
        <v>258</v>
      </c>
      <c r="BQ1174" s="5" t="s">
        <v>238</v>
      </c>
      <c r="BR1174" s="5" t="s">
        <v>238</v>
      </c>
      <c r="BS1174" s="5" t="s">
        <v>238</v>
      </c>
      <c r="BT1174" s="5" t="s">
        <v>238</v>
      </c>
      <c r="CC1174" s="5" t="s">
        <v>258</v>
      </c>
      <c r="CD1174" s="5" t="s">
        <v>238</v>
      </c>
      <c r="CE1174" s="5" t="s">
        <v>238</v>
      </c>
      <c r="CI1174" s="5" t="s">
        <v>527</v>
      </c>
      <c r="CJ1174" s="5" t="s">
        <v>260</v>
      </c>
      <c r="CK1174" s="5" t="s">
        <v>238</v>
      </c>
      <c r="CM1174" s="5" t="s">
        <v>990</v>
      </c>
      <c r="CN1174" s="6" t="s">
        <v>262</v>
      </c>
      <c r="CO1174" s="5" t="s">
        <v>263</v>
      </c>
      <c r="CP1174" s="5" t="s">
        <v>264</v>
      </c>
      <c r="CQ1174" s="5" t="s">
        <v>285</v>
      </c>
      <c r="CR1174" s="5" t="s">
        <v>238</v>
      </c>
      <c r="CS1174" s="5">
        <v>2.1999999999999999E-2</v>
      </c>
      <c r="CT1174" s="5" t="s">
        <v>265</v>
      </c>
      <c r="CU1174" s="5" t="s">
        <v>1803</v>
      </c>
      <c r="CV1174" s="5" t="s">
        <v>308</v>
      </c>
      <c r="CW1174" s="7">
        <f>0</f>
        <v>0</v>
      </c>
      <c r="CX1174" s="8">
        <f>283917150</f>
        <v>283917150</v>
      </c>
      <c r="CY1174" s="8">
        <f>46562424</f>
        <v>46562424</v>
      </c>
      <c r="DA1174" s="5" t="s">
        <v>238</v>
      </c>
      <c r="DB1174" s="5" t="s">
        <v>238</v>
      </c>
      <c r="DD1174" s="5" t="s">
        <v>238</v>
      </c>
      <c r="DE1174" s="8">
        <f>0</f>
        <v>0</v>
      </c>
      <c r="DG1174" s="5" t="s">
        <v>238</v>
      </c>
      <c r="DH1174" s="5" t="s">
        <v>238</v>
      </c>
      <c r="DI1174" s="5" t="s">
        <v>238</v>
      </c>
      <c r="DJ1174" s="5" t="s">
        <v>238</v>
      </c>
      <c r="DK1174" s="5" t="s">
        <v>356</v>
      </c>
      <c r="DL1174" s="5" t="s">
        <v>272</v>
      </c>
      <c r="DM1174" s="7">
        <f>2103.09</f>
        <v>2103.09</v>
      </c>
      <c r="DN1174" s="5" t="s">
        <v>238</v>
      </c>
      <c r="DO1174" s="5" t="s">
        <v>238</v>
      </c>
      <c r="DP1174" s="5" t="s">
        <v>238</v>
      </c>
      <c r="DQ1174" s="5" t="s">
        <v>238</v>
      </c>
      <c r="DT1174" s="5" t="s">
        <v>1115</v>
      </c>
      <c r="DU1174" s="5" t="s">
        <v>274</v>
      </c>
      <c r="GL1174" s="5" t="s">
        <v>1818</v>
      </c>
      <c r="HM1174" s="5" t="s">
        <v>313</v>
      </c>
      <c r="HP1174" s="5" t="s">
        <v>272</v>
      </c>
      <c r="HQ1174" s="5" t="s">
        <v>272</v>
      </c>
      <c r="HR1174" s="5" t="s">
        <v>238</v>
      </c>
      <c r="HS1174" s="5" t="s">
        <v>238</v>
      </c>
      <c r="HT1174" s="5" t="s">
        <v>238</v>
      </c>
      <c r="HU1174" s="5" t="s">
        <v>238</v>
      </c>
      <c r="HV1174" s="5" t="s">
        <v>238</v>
      </c>
      <c r="HW1174" s="5" t="s">
        <v>238</v>
      </c>
      <c r="HX1174" s="5" t="s">
        <v>238</v>
      </c>
      <c r="HY1174" s="5" t="s">
        <v>238</v>
      </c>
      <c r="HZ1174" s="5" t="s">
        <v>238</v>
      </c>
      <c r="IA1174" s="5" t="s">
        <v>238</v>
      </c>
      <c r="IB1174" s="5" t="s">
        <v>238</v>
      </c>
      <c r="IC1174" s="5" t="s">
        <v>238</v>
      </c>
      <c r="ID1174" s="5" t="s">
        <v>238</v>
      </c>
    </row>
    <row r="1175" spans="1:238" x14ac:dyDescent="0.4">
      <c r="A1175" s="5">
        <v>1510</v>
      </c>
      <c r="B1175" s="5">
        <v>1</v>
      </c>
      <c r="C1175" s="5">
        <v>4</v>
      </c>
      <c r="D1175" s="5" t="s">
        <v>1110</v>
      </c>
      <c r="E1175" s="5" t="s">
        <v>338</v>
      </c>
      <c r="F1175" s="5" t="s">
        <v>282</v>
      </c>
      <c r="G1175" s="5" t="s">
        <v>1666</v>
      </c>
      <c r="H1175" s="6" t="s">
        <v>1112</v>
      </c>
      <c r="I1175" s="5" t="s">
        <v>1308</v>
      </c>
      <c r="J1175" s="7">
        <f>756.89</f>
        <v>756.89</v>
      </c>
      <c r="K1175" s="5" t="s">
        <v>270</v>
      </c>
      <c r="L1175" s="8">
        <f>19346124</f>
        <v>19346124</v>
      </c>
      <c r="M1175" s="8">
        <f>136240200</f>
        <v>136240200</v>
      </c>
      <c r="N1175" s="6" t="s">
        <v>1737</v>
      </c>
      <c r="O1175" s="5" t="s">
        <v>898</v>
      </c>
      <c r="P1175" s="5" t="s">
        <v>971</v>
      </c>
      <c r="Q1175" s="8">
        <f>2997284</f>
        <v>2997284</v>
      </c>
      <c r="R1175" s="8">
        <f>116894076</f>
        <v>116894076</v>
      </c>
      <c r="S1175" s="5" t="s">
        <v>240</v>
      </c>
      <c r="T1175" s="5" t="s">
        <v>237</v>
      </c>
      <c r="U1175" s="5" t="s">
        <v>238</v>
      </c>
      <c r="V1175" s="5" t="s">
        <v>238</v>
      </c>
      <c r="W1175" s="5" t="s">
        <v>241</v>
      </c>
      <c r="X1175" s="5" t="s">
        <v>337</v>
      </c>
      <c r="Y1175" s="5" t="s">
        <v>238</v>
      </c>
      <c r="AB1175" s="5" t="s">
        <v>238</v>
      </c>
      <c r="AC1175" s="6" t="s">
        <v>238</v>
      </c>
      <c r="AD1175" s="6" t="s">
        <v>238</v>
      </c>
      <c r="AF1175" s="6" t="s">
        <v>238</v>
      </c>
      <c r="AG1175" s="6" t="s">
        <v>246</v>
      </c>
      <c r="AH1175" s="5" t="s">
        <v>247</v>
      </c>
      <c r="AI1175" s="5" t="s">
        <v>248</v>
      </c>
      <c r="AO1175" s="5" t="s">
        <v>238</v>
      </c>
      <c r="AP1175" s="5" t="s">
        <v>238</v>
      </c>
      <c r="AQ1175" s="5" t="s">
        <v>238</v>
      </c>
      <c r="AR1175" s="6" t="s">
        <v>238</v>
      </c>
      <c r="AS1175" s="6" t="s">
        <v>238</v>
      </c>
      <c r="AT1175" s="6" t="s">
        <v>238</v>
      </c>
      <c r="AW1175" s="5" t="s">
        <v>304</v>
      </c>
      <c r="AX1175" s="5" t="s">
        <v>304</v>
      </c>
      <c r="AY1175" s="5" t="s">
        <v>250</v>
      </c>
      <c r="AZ1175" s="5" t="s">
        <v>305</v>
      </c>
      <c r="BA1175" s="5" t="s">
        <v>251</v>
      </c>
      <c r="BB1175" s="5" t="s">
        <v>238</v>
      </c>
      <c r="BC1175" s="5" t="s">
        <v>253</v>
      </c>
      <c r="BD1175" s="5" t="s">
        <v>238</v>
      </c>
      <c r="BF1175" s="5" t="s">
        <v>238</v>
      </c>
      <c r="BH1175" s="5" t="s">
        <v>283</v>
      </c>
      <c r="BI1175" s="6" t="s">
        <v>293</v>
      </c>
      <c r="BJ1175" s="5" t="s">
        <v>294</v>
      </c>
      <c r="BK1175" s="5" t="s">
        <v>294</v>
      </c>
      <c r="BL1175" s="5" t="s">
        <v>238</v>
      </c>
      <c r="BM1175" s="7">
        <f>0</f>
        <v>0</v>
      </c>
      <c r="BN1175" s="8">
        <f>-2997284</f>
        <v>-2997284</v>
      </c>
      <c r="BO1175" s="5" t="s">
        <v>257</v>
      </c>
      <c r="BP1175" s="5" t="s">
        <v>258</v>
      </c>
      <c r="BQ1175" s="5" t="s">
        <v>238</v>
      </c>
      <c r="BR1175" s="5" t="s">
        <v>238</v>
      </c>
      <c r="BS1175" s="5" t="s">
        <v>238</v>
      </c>
      <c r="BT1175" s="5" t="s">
        <v>238</v>
      </c>
      <c r="CC1175" s="5" t="s">
        <v>258</v>
      </c>
      <c r="CD1175" s="5" t="s">
        <v>238</v>
      </c>
      <c r="CE1175" s="5" t="s">
        <v>238</v>
      </c>
      <c r="CI1175" s="5" t="s">
        <v>527</v>
      </c>
      <c r="CJ1175" s="5" t="s">
        <v>260</v>
      </c>
      <c r="CK1175" s="5" t="s">
        <v>238</v>
      </c>
      <c r="CM1175" s="5" t="s">
        <v>990</v>
      </c>
      <c r="CN1175" s="6" t="s">
        <v>262</v>
      </c>
      <c r="CO1175" s="5" t="s">
        <v>263</v>
      </c>
      <c r="CP1175" s="5" t="s">
        <v>264</v>
      </c>
      <c r="CQ1175" s="5" t="s">
        <v>285</v>
      </c>
      <c r="CR1175" s="5" t="s">
        <v>238</v>
      </c>
      <c r="CS1175" s="5">
        <v>2.1999999999999999E-2</v>
      </c>
      <c r="CT1175" s="5" t="s">
        <v>265</v>
      </c>
      <c r="CU1175" s="5" t="s">
        <v>1330</v>
      </c>
      <c r="CV1175" s="5" t="s">
        <v>308</v>
      </c>
      <c r="CW1175" s="7">
        <f>0</f>
        <v>0</v>
      </c>
      <c r="CX1175" s="8">
        <f>136240200</f>
        <v>136240200</v>
      </c>
      <c r="CY1175" s="8">
        <f>22343408</f>
        <v>22343408</v>
      </c>
      <c r="DA1175" s="5" t="s">
        <v>238</v>
      </c>
      <c r="DB1175" s="5" t="s">
        <v>238</v>
      </c>
      <c r="DD1175" s="5" t="s">
        <v>238</v>
      </c>
      <c r="DE1175" s="8">
        <f>0</f>
        <v>0</v>
      </c>
      <c r="DG1175" s="5" t="s">
        <v>238</v>
      </c>
      <c r="DH1175" s="5" t="s">
        <v>238</v>
      </c>
      <c r="DI1175" s="5" t="s">
        <v>238</v>
      </c>
      <c r="DJ1175" s="5" t="s">
        <v>238</v>
      </c>
      <c r="DK1175" s="5" t="s">
        <v>271</v>
      </c>
      <c r="DL1175" s="5" t="s">
        <v>272</v>
      </c>
      <c r="DM1175" s="7">
        <f>756.89</f>
        <v>756.89</v>
      </c>
      <c r="DN1175" s="5" t="s">
        <v>238</v>
      </c>
      <c r="DO1175" s="5" t="s">
        <v>238</v>
      </c>
      <c r="DP1175" s="5" t="s">
        <v>238</v>
      </c>
      <c r="DQ1175" s="5" t="s">
        <v>238</v>
      </c>
      <c r="DT1175" s="5" t="s">
        <v>1115</v>
      </c>
      <c r="DU1175" s="5" t="s">
        <v>356</v>
      </c>
      <c r="GL1175" s="5" t="s">
        <v>1738</v>
      </c>
      <c r="HM1175" s="5" t="s">
        <v>313</v>
      </c>
      <c r="HP1175" s="5" t="s">
        <v>272</v>
      </c>
      <c r="HQ1175" s="5" t="s">
        <v>272</v>
      </c>
      <c r="HR1175" s="5" t="s">
        <v>238</v>
      </c>
      <c r="HS1175" s="5" t="s">
        <v>238</v>
      </c>
      <c r="HT1175" s="5" t="s">
        <v>238</v>
      </c>
      <c r="HU1175" s="5" t="s">
        <v>238</v>
      </c>
      <c r="HV1175" s="5" t="s">
        <v>238</v>
      </c>
      <c r="HW1175" s="5" t="s">
        <v>238</v>
      </c>
      <c r="HX1175" s="5" t="s">
        <v>238</v>
      </c>
      <c r="HY1175" s="5" t="s">
        <v>238</v>
      </c>
      <c r="HZ1175" s="5" t="s">
        <v>238</v>
      </c>
      <c r="IA1175" s="5" t="s">
        <v>238</v>
      </c>
      <c r="IB1175" s="5" t="s">
        <v>238</v>
      </c>
      <c r="IC1175" s="5" t="s">
        <v>238</v>
      </c>
      <c r="ID1175" s="5" t="s">
        <v>238</v>
      </c>
    </row>
    <row r="1176" spans="1:238" x14ac:dyDescent="0.4">
      <c r="A1176" s="5">
        <v>1511</v>
      </c>
      <c r="B1176" s="5">
        <v>1</v>
      </c>
      <c r="C1176" s="5">
        <v>3</v>
      </c>
      <c r="D1176" s="5" t="s">
        <v>1110</v>
      </c>
      <c r="E1176" s="5" t="s">
        <v>338</v>
      </c>
      <c r="F1176" s="5" t="s">
        <v>282</v>
      </c>
      <c r="G1176" s="5" t="s">
        <v>239</v>
      </c>
      <c r="H1176" s="6" t="s">
        <v>1112</v>
      </c>
      <c r="I1176" s="5" t="s">
        <v>239</v>
      </c>
      <c r="J1176" s="7">
        <f>36</f>
        <v>36</v>
      </c>
      <c r="K1176" s="5" t="s">
        <v>270</v>
      </c>
      <c r="L1176" s="8">
        <f>1</f>
        <v>1</v>
      </c>
      <c r="M1176" s="8">
        <f>10800000</f>
        <v>10800000</v>
      </c>
      <c r="N1176" s="6" t="s">
        <v>1111</v>
      </c>
      <c r="O1176" s="5" t="s">
        <v>268</v>
      </c>
      <c r="P1176" s="5" t="s">
        <v>1114</v>
      </c>
      <c r="Q1176" s="8">
        <f>669599</f>
        <v>669599</v>
      </c>
      <c r="R1176" s="8">
        <f>10799999</f>
        <v>10799999</v>
      </c>
      <c r="S1176" s="5" t="s">
        <v>240</v>
      </c>
      <c r="T1176" s="5" t="s">
        <v>237</v>
      </c>
      <c r="U1176" s="5" t="s">
        <v>238</v>
      </c>
      <c r="V1176" s="5" t="s">
        <v>238</v>
      </c>
      <c r="W1176" s="5" t="s">
        <v>241</v>
      </c>
      <c r="X1176" s="5" t="s">
        <v>337</v>
      </c>
      <c r="Y1176" s="5" t="s">
        <v>238</v>
      </c>
      <c r="AB1176" s="5" t="s">
        <v>238</v>
      </c>
      <c r="AC1176" s="6" t="s">
        <v>238</v>
      </c>
      <c r="AD1176" s="6" t="s">
        <v>238</v>
      </c>
      <c r="AF1176" s="6" t="s">
        <v>238</v>
      </c>
      <c r="AG1176" s="6" t="s">
        <v>246</v>
      </c>
      <c r="AH1176" s="5" t="s">
        <v>247</v>
      </c>
      <c r="AI1176" s="5" t="s">
        <v>248</v>
      </c>
      <c r="AO1176" s="5" t="s">
        <v>238</v>
      </c>
      <c r="AP1176" s="5" t="s">
        <v>238</v>
      </c>
      <c r="AQ1176" s="5" t="s">
        <v>238</v>
      </c>
      <c r="AR1176" s="6" t="s">
        <v>238</v>
      </c>
      <c r="AS1176" s="6" t="s">
        <v>238</v>
      </c>
      <c r="AT1176" s="6" t="s">
        <v>238</v>
      </c>
      <c r="AW1176" s="5" t="s">
        <v>304</v>
      </c>
      <c r="AX1176" s="5" t="s">
        <v>304</v>
      </c>
      <c r="AY1176" s="5" t="s">
        <v>250</v>
      </c>
      <c r="AZ1176" s="5" t="s">
        <v>305</v>
      </c>
      <c r="BA1176" s="5" t="s">
        <v>251</v>
      </c>
      <c r="BB1176" s="5" t="s">
        <v>238</v>
      </c>
      <c r="BC1176" s="5" t="s">
        <v>253</v>
      </c>
      <c r="BD1176" s="5" t="s">
        <v>238</v>
      </c>
      <c r="BF1176" s="5" t="s">
        <v>238</v>
      </c>
      <c r="BH1176" s="5" t="s">
        <v>1076</v>
      </c>
      <c r="BI1176" s="6" t="s">
        <v>1077</v>
      </c>
      <c r="BJ1176" s="5" t="s">
        <v>294</v>
      </c>
      <c r="BK1176" s="5" t="s">
        <v>294</v>
      </c>
      <c r="BL1176" s="5" t="s">
        <v>238</v>
      </c>
      <c r="BM1176" s="7">
        <f>0</f>
        <v>0</v>
      </c>
      <c r="BN1176" s="8">
        <f>-669599</f>
        <v>-669599</v>
      </c>
      <c r="BO1176" s="5" t="s">
        <v>257</v>
      </c>
      <c r="BP1176" s="5" t="s">
        <v>258</v>
      </c>
      <c r="BQ1176" s="5" t="s">
        <v>238</v>
      </c>
      <c r="BR1176" s="5" t="s">
        <v>238</v>
      </c>
      <c r="BS1176" s="5" t="s">
        <v>238</v>
      </c>
      <c r="BT1176" s="5" t="s">
        <v>238</v>
      </c>
      <c r="CC1176" s="5" t="s">
        <v>258</v>
      </c>
      <c r="CD1176" s="5" t="s">
        <v>238</v>
      </c>
      <c r="CE1176" s="5" t="s">
        <v>238</v>
      </c>
      <c r="CI1176" s="5" t="s">
        <v>259</v>
      </c>
      <c r="CJ1176" s="5" t="s">
        <v>260</v>
      </c>
      <c r="CK1176" s="5" t="s">
        <v>238</v>
      </c>
      <c r="CM1176" s="5" t="s">
        <v>1113</v>
      </c>
      <c r="CN1176" s="6" t="s">
        <v>262</v>
      </c>
      <c r="CO1176" s="5" t="s">
        <v>263</v>
      </c>
      <c r="CP1176" s="5" t="s">
        <v>264</v>
      </c>
      <c r="CQ1176" s="5" t="s">
        <v>285</v>
      </c>
      <c r="CR1176" s="5" t="s">
        <v>238</v>
      </c>
      <c r="CS1176" s="5">
        <v>6.7000000000000004E-2</v>
      </c>
      <c r="CT1176" s="5" t="s">
        <v>265</v>
      </c>
      <c r="CU1176" s="5" t="s">
        <v>266</v>
      </c>
      <c r="CV1176" s="5" t="s">
        <v>267</v>
      </c>
      <c r="CW1176" s="7">
        <f>0</f>
        <v>0</v>
      </c>
      <c r="CX1176" s="8">
        <f>10800000</f>
        <v>10800000</v>
      </c>
      <c r="CY1176" s="8">
        <f>1</f>
        <v>1</v>
      </c>
      <c r="DA1176" s="5" t="s">
        <v>238</v>
      </c>
      <c r="DB1176" s="5" t="s">
        <v>238</v>
      </c>
      <c r="DD1176" s="5" t="s">
        <v>238</v>
      </c>
      <c r="DE1176" s="8">
        <f>0</f>
        <v>0</v>
      </c>
      <c r="DG1176" s="5" t="s">
        <v>238</v>
      </c>
      <c r="DH1176" s="5" t="s">
        <v>238</v>
      </c>
      <c r="DI1176" s="5" t="s">
        <v>238</v>
      </c>
      <c r="DJ1176" s="5" t="s">
        <v>238</v>
      </c>
      <c r="DK1176" s="5" t="s">
        <v>271</v>
      </c>
      <c r="DL1176" s="5" t="s">
        <v>272</v>
      </c>
      <c r="DM1176" s="7">
        <f>36</f>
        <v>36</v>
      </c>
      <c r="DN1176" s="5" t="s">
        <v>238</v>
      </c>
      <c r="DO1176" s="5" t="s">
        <v>238</v>
      </c>
      <c r="DP1176" s="5" t="s">
        <v>238</v>
      </c>
      <c r="DQ1176" s="5" t="s">
        <v>238</v>
      </c>
      <c r="DT1176" s="5" t="s">
        <v>1115</v>
      </c>
      <c r="DU1176" s="5" t="s">
        <v>310</v>
      </c>
      <c r="GL1176" s="5" t="s">
        <v>1116</v>
      </c>
      <c r="HM1176" s="5" t="s">
        <v>313</v>
      </c>
      <c r="HP1176" s="5" t="s">
        <v>272</v>
      </c>
      <c r="HQ1176" s="5" t="s">
        <v>272</v>
      </c>
      <c r="HR1176" s="5" t="s">
        <v>238</v>
      </c>
      <c r="HS1176" s="5" t="s">
        <v>238</v>
      </c>
      <c r="HT1176" s="5" t="s">
        <v>238</v>
      </c>
      <c r="HU1176" s="5" t="s">
        <v>238</v>
      </c>
      <c r="HV1176" s="5" t="s">
        <v>238</v>
      </c>
      <c r="HW1176" s="5" t="s">
        <v>238</v>
      </c>
      <c r="HX1176" s="5" t="s">
        <v>238</v>
      </c>
      <c r="HY1176" s="5" t="s">
        <v>238</v>
      </c>
      <c r="HZ1176" s="5" t="s">
        <v>238</v>
      </c>
      <c r="IA1176" s="5" t="s">
        <v>238</v>
      </c>
      <c r="IB1176" s="5" t="s">
        <v>238</v>
      </c>
      <c r="IC1176" s="5" t="s">
        <v>238</v>
      </c>
      <c r="ID1176" s="5" t="s">
        <v>238</v>
      </c>
    </row>
    <row r="1177" spans="1:238" x14ac:dyDescent="0.4">
      <c r="A1177" s="5">
        <v>1512</v>
      </c>
      <c r="B1177" s="5">
        <v>1</v>
      </c>
      <c r="C1177" s="5">
        <v>1</v>
      </c>
      <c r="D1177" s="5" t="s">
        <v>1841</v>
      </c>
      <c r="E1177" s="5" t="s">
        <v>338</v>
      </c>
      <c r="F1177" s="5" t="s">
        <v>282</v>
      </c>
      <c r="G1177" s="5" t="s">
        <v>1809</v>
      </c>
      <c r="H1177" s="6" t="s">
        <v>1843</v>
      </c>
      <c r="I1177" s="5" t="s">
        <v>1809</v>
      </c>
      <c r="J1177" s="7">
        <f>300.19</f>
        <v>300.19</v>
      </c>
      <c r="K1177" s="5" t="s">
        <v>270</v>
      </c>
      <c r="L1177" s="8">
        <f>1</f>
        <v>1</v>
      </c>
      <c r="M1177" s="8">
        <f>61839140</f>
        <v>61839140</v>
      </c>
      <c r="N1177" s="6" t="s">
        <v>1842</v>
      </c>
      <c r="O1177" s="5" t="s">
        <v>286</v>
      </c>
      <c r="P1177" s="5" t="s">
        <v>286</v>
      </c>
      <c r="R1177" s="8">
        <f>61839139</f>
        <v>61839139</v>
      </c>
      <c r="S1177" s="5" t="s">
        <v>240</v>
      </c>
      <c r="T1177" s="5" t="s">
        <v>237</v>
      </c>
      <c r="U1177" s="5" t="s">
        <v>238</v>
      </c>
      <c r="V1177" s="5" t="s">
        <v>238</v>
      </c>
      <c r="W1177" s="5" t="s">
        <v>241</v>
      </c>
      <c r="X1177" s="5" t="s">
        <v>337</v>
      </c>
      <c r="Y1177" s="5" t="s">
        <v>238</v>
      </c>
      <c r="AB1177" s="5" t="s">
        <v>238</v>
      </c>
      <c r="AD1177" s="6" t="s">
        <v>238</v>
      </c>
      <c r="AG1177" s="6" t="s">
        <v>246</v>
      </c>
      <c r="AH1177" s="5" t="s">
        <v>247</v>
      </c>
      <c r="AI1177" s="5" t="s">
        <v>248</v>
      </c>
      <c r="AY1177" s="5" t="s">
        <v>250</v>
      </c>
      <c r="AZ1177" s="5" t="s">
        <v>238</v>
      </c>
      <c r="BA1177" s="5" t="s">
        <v>251</v>
      </c>
      <c r="BB1177" s="5" t="s">
        <v>238</v>
      </c>
      <c r="BC1177" s="5" t="s">
        <v>253</v>
      </c>
      <c r="BD1177" s="5" t="s">
        <v>238</v>
      </c>
      <c r="BF1177" s="5" t="s">
        <v>238</v>
      </c>
      <c r="BH1177" s="5" t="s">
        <v>254</v>
      </c>
      <c r="BI1177" s="6" t="s">
        <v>246</v>
      </c>
      <c r="BJ1177" s="5" t="s">
        <v>255</v>
      </c>
      <c r="BK1177" s="5" t="s">
        <v>294</v>
      </c>
      <c r="BL1177" s="5" t="s">
        <v>238</v>
      </c>
      <c r="BM1177" s="7">
        <f>0</f>
        <v>0</v>
      </c>
      <c r="BN1177" s="8">
        <f>0</f>
        <v>0</v>
      </c>
      <c r="BO1177" s="5" t="s">
        <v>257</v>
      </c>
      <c r="BP1177" s="5" t="s">
        <v>258</v>
      </c>
      <c r="CD1177" s="5" t="s">
        <v>238</v>
      </c>
      <c r="CE1177" s="5" t="s">
        <v>238</v>
      </c>
      <c r="CI1177" s="5" t="s">
        <v>259</v>
      </c>
      <c r="CJ1177" s="5" t="s">
        <v>260</v>
      </c>
      <c r="CK1177" s="5" t="s">
        <v>238</v>
      </c>
      <c r="CM1177" s="5" t="s">
        <v>638</v>
      </c>
      <c r="CN1177" s="6" t="s">
        <v>262</v>
      </c>
      <c r="CO1177" s="5" t="s">
        <v>263</v>
      </c>
      <c r="CP1177" s="5" t="s">
        <v>264</v>
      </c>
      <c r="CQ1177" s="5" t="s">
        <v>238</v>
      </c>
      <c r="CR1177" s="5" t="s">
        <v>238</v>
      </c>
      <c r="CS1177" s="5">
        <v>0</v>
      </c>
      <c r="CT1177" s="5" t="s">
        <v>265</v>
      </c>
      <c r="CU1177" s="5" t="s">
        <v>1803</v>
      </c>
      <c r="CV1177" s="5" t="s">
        <v>267</v>
      </c>
      <c r="CX1177" s="8">
        <f>61839140</f>
        <v>61839140</v>
      </c>
      <c r="CY1177" s="8">
        <f>0</f>
        <v>0</v>
      </c>
      <c r="DA1177" s="5" t="s">
        <v>238</v>
      </c>
      <c r="DB1177" s="5" t="s">
        <v>238</v>
      </c>
      <c r="DD1177" s="5" t="s">
        <v>238</v>
      </c>
      <c r="DG1177" s="5" t="s">
        <v>238</v>
      </c>
      <c r="DH1177" s="5" t="s">
        <v>238</v>
      </c>
      <c r="DI1177" s="5" t="s">
        <v>238</v>
      </c>
      <c r="DJ1177" s="5" t="s">
        <v>238</v>
      </c>
      <c r="DK1177" s="5" t="s">
        <v>271</v>
      </c>
      <c r="DL1177" s="5" t="s">
        <v>272</v>
      </c>
      <c r="DM1177" s="7">
        <f>300.19</f>
        <v>300.19</v>
      </c>
      <c r="DN1177" s="5" t="s">
        <v>238</v>
      </c>
      <c r="DO1177" s="5" t="s">
        <v>238</v>
      </c>
      <c r="DP1177" s="5" t="s">
        <v>238</v>
      </c>
      <c r="DQ1177" s="5" t="s">
        <v>238</v>
      </c>
      <c r="DT1177" s="5" t="s">
        <v>1844</v>
      </c>
      <c r="DU1177" s="5" t="s">
        <v>271</v>
      </c>
      <c r="HM1177" s="5" t="s">
        <v>356</v>
      </c>
      <c r="HP1177" s="5" t="s">
        <v>272</v>
      </c>
      <c r="HQ1177" s="5" t="s">
        <v>272</v>
      </c>
    </row>
    <row r="1178" spans="1:238" x14ac:dyDescent="0.4">
      <c r="A1178" s="5">
        <v>1514</v>
      </c>
      <c r="B1178" s="5">
        <v>1</v>
      </c>
      <c r="C1178" s="5">
        <v>4</v>
      </c>
      <c r="D1178" s="5" t="s">
        <v>2301</v>
      </c>
      <c r="E1178" s="5" t="s">
        <v>1912</v>
      </c>
      <c r="F1178" s="5" t="s">
        <v>282</v>
      </c>
      <c r="G1178" s="5" t="s">
        <v>2303</v>
      </c>
      <c r="H1178" s="6" t="s">
        <v>2304</v>
      </c>
      <c r="I1178" s="5" t="s">
        <v>2300</v>
      </c>
      <c r="J1178" s="7">
        <f>2163.45</f>
        <v>2163.4499999999998</v>
      </c>
      <c r="K1178" s="5" t="s">
        <v>270</v>
      </c>
      <c r="L1178" s="8">
        <f>675413424</f>
        <v>675413424</v>
      </c>
      <c r="M1178" s="8">
        <f>938074200</f>
        <v>938074200</v>
      </c>
      <c r="N1178" s="6" t="s">
        <v>2302</v>
      </c>
      <c r="O1178" s="5" t="s">
        <v>279</v>
      </c>
      <c r="P1178" s="5" t="s">
        <v>395</v>
      </c>
      <c r="Q1178" s="8">
        <f>18761484</f>
        <v>18761484</v>
      </c>
      <c r="R1178" s="8">
        <f>262660776</f>
        <v>262660776</v>
      </c>
      <c r="S1178" s="5" t="s">
        <v>240</v>
      </c>
      <c r="T1178" s="5" t="s">
        <v>237</v>
      </c>
      <c r="U1178" s="5" t="s">
        <v>238</v>
      </c>
      <c r="V1178" s="5" t="s">
        <v>238</v>
      </c>
      <c r="W1178" s="5" t="s">
        <v>241</v>
      </c>
      <c r="X1178" s="5" t="s">
        <v>802</v>
      </c>
      <c r="Y1178" s="5" t="s">
        <v>238</v>
      </c>
      <c r="AB1178" s="5" t="s">
        <v>238</v>
      </c>
      <c r="AC1178" s="6" t="s">
        <v>238</v>
      </c>
      <c r="AD1178" s="6" t="s">
        <v>238</v>
      </c>
      <c r="AF1178" s="6" t="s">
        <v>238</v>
      </c>
      <c r="AG1178" s="6" t="s">
        <v>246</v>
      </c>
      <c r="AH1178" s="5" t="s">
        <v>247</v>
      </c>
      <c r="AI1178" s="5" t="s">
        <v>248</v>
      </c>
      <c r="AO1178" s="5" t="s">
        <v>238</v>
      </c>
      <c r="AP1178" s="5" t="s">
        <v>238</v>
      </c>
      <c r="AQ1178" s="5" t="s">
        <v>238</v>
      </c>
      <c r="AR1178" s="6" t="s">
        <v>238</v>
      </c>
      <c r="AS1178" s="6" t="s">
        <v>238</v>
      </c>
      <c r="AT1178" s="6" t="s">
        <v>238</v>
      </c>
      <c r="AW1178" s="5" t="s">
        <v>304</v>
      </c>
      <c r="AX1178" s="5" t="s">
        <v>304</v>
      </c>
      <c r="AY1178" s="5" t="s">
        <v>250</v>
      </c>
      <c r="AZ1178" s="5" t="s">
        <v>305</v>
      </c>
      <c r="BA1178" s="5" t="s">
        <v>251</v>
      </c>
      <c r="BB1178" s="5" t="s">
        <v>238</v>
      </c>
      <c r="BC1178" s="5" t="s">
        <v>253</v>
      </c>
      <c r="BD1178" s="5" t="s">
        <v>238</v>
      </c>
      <c r="BF1178" s="5" t="s">
        <v>238</v>
      </c>
      <c r="BH1178" s="5" t="s">
        <v>283</v>
      </c>
      <c r="BI1178" s="6" t="s">
        <v>293</v>
      </c>
      <c r="BJ1178" s="5" t="s">
        <v>294</v>
      </c>
      <c r="BK1178" s="5" t="s">
        <v>294</v>
      </c>
      <c r="BL1178" s="5" t="s">
        <v>238</v>
      </c>
      <c r="BM1178" s="7">
        <f>0</f>
        <v>0</v>
      </c>
      <c r="BN1178" s="8">
        <f>-18761484</f>
        <v>-18761484</v>
      </c>
      <c r="BO1178" s="5" t="s">
        <v>257</v>
      </c>
      <c r="BP1178" s="5" t="s">
        <v>258</v>
      </c>
      <c r="BQ1178" s="5" t="s">
        <v>238</v>
      </c>
      <c r="BR1178" s="5" t="s">
        <v>238</v>
      </c>
      <c r="BS1178" s="5" t="s">
        <v>238</v>
      </c>
      <c r="BT1178" s="5" t="s">
        <v>238</v>
      </c>
      <c r="CC1178" s="5" t="s">
        <v>258</v>
      </c>
      <c r="CD1178" s="5" t="s">
        <v>238</v>
      </c>
      <c r="CE1178" s="5" t="s">
        <v>238</v>
      </c>
      <c r="CI1178" s="5" t="s">
        <v>259</v>
      </c>
      <c r="CJ1178" s="5" t="s">
        <v>260</v>
      </c>
      <c r="CK1178" s="5" t="s">
        <v>238</v>
      </c>
      <c r="CM1178" s="5" t="s">
        <v>393</v>
      </c>
      <c r="CN1178" s="6" t="s">
        <v>262</v>
      </c>
      <c r="CO1178" s="5" t="s">
        <v>263</v>
      </c>
      <c r="CP1178" s="5" t="s">
        <v>264</v>
      </c>
      <c r="CQ1178" s="5" t="s">
        <v>285</v>
      </c>
      <c r="CR1178" s="5" t="s">
        <v>238</v>
      </c>
      <c r="CS1178" s="5">
        <v>0.02</v>
      </c>
      <c r="CT1178" s="5" t="s">
        <v>265</v>
      </c>
      <c r="CU1178" s="5" t="s">
        <v>2305</v>
      </c>
      <c r="CV1178" s="5" t="s">
        <v>308</v>
      </c>
      <c r="CW1178" s="7">
        <f>0</f>
        <v>0</v>
      </c>
      <c r="CX1178" s="8">
        <f>938074200</f>
        <v>938074200</v>
      </c>
      <c r="CY1178" s="8">
        <f>694174908</f>
        <v>694174908</v>
      </c>
      <c r="DA1178" s="5" t="s">
        <v>238</v>
      </c>
      <c r="DB1178" s="5" t="s">
        <v>238</v>
      </c>
      <c r="DD1178" s="5" t="s">
        <v>238</v>
      </c>
      <c r="DE1178" s="8">
        <f>0</f>
        <v>0</v>
      </c>
      <c r="DG1178" s="5" t="s">
        <v>238</v>
      </c>
      <c r="DH1178" s="5" t="s">
        <v>238</v>
      </c>
      <c r="DI1178" s="5" t="s">
        <v>238</v>
      </c>
      <c r="DJ1178" s="5" t="s">
        <v>238</v>
      </c>
      <c r="DK1178" s="5" t="s">
        <v>271</v>
      </c>
      <c r="DL1178" s="5" t="s">
        <v>272</v>
      </c>
      <c r="DM1178" s="7">
        <f>2163.45</f>
        <v>2163.4499999999998</v>
      </c>
      <c r="DN1178" s="5" t="s">
        <v>238</v>
      </c>
      <c r="DO1178" s="5" t="s">
        <v>238</v>
      </c>
      <c r="DP1178" s="5" t="s">
        <v>238</v>
      </c>
      <c r="DQ1178" s="5" t="s">
        <v>238</v>
      </c>
      <c r="DT1178" s="5" t="s">
        <v>2306</v>
      </c>
      <c r="DU1178" s="5" t="s">
        <v>271</v>
      </c>
      <c r="GL1178" s="5" t="s">
        <v>2307</v>
      </c>
      <c r="HM1178" s="5" t="s">
        <v>313</v>
      </c>
      <c r="HP1178" s="5" t="s">
        <v>272</v>
      </c>
      <c r="HQ1178" s="5" t="s">
        <v>272</v>
      </c>
      <c r="HR1178" s="5" t="s">
        <v>238</v>
      </c>
      <c r="HS1178" s="5" t="s">
        <v>238</v>
      </c>
      <c r="HT1178" s="5" t="s">
        <v>238</v>
      </c>
      <c r="HU1178" s="5" t="s">
        <v>238</v>
      </c>
      <c r="HV1178" s="5" t="s">
        <v>238</v>
      </c>
      <c r="HW1178" s="5" t="s">
        <v>238</v>
      </c>
      <c r="HX1178" s="5" t="s">
        <v>238</v>
      </c>
      <c r="HY1178" s="5" t="s">
        <v>238</v>
      </c>
      <c r="HZ1178" s="5" t="s">
        <v>238</v>
      </c>
      <c r="IA1178" s="5" t="s">
        <v>238</v>
      </c>
      <c r="IB1178" s="5" t="s">
        <v>238</v>
      </c>
      <c r="IC1178" s="5" t="s">
        <v>238</v>
      </c>
      <c r="ID1178" s="5" t="s">
        <v>238</v>
      </c>
    </row>
    <row r="1179" spans="1:238" x14ac:dyDescent="0.4">
      <c r="A1179" s="5">
        <v>1515</v>
      </c>
      <c r="B1179" s="5">
        <v>1</v>
      </c>
      <c r="C1179" s="5">
        <v>4</v>
      </c>
      <c r="D1179" s="5" t="s">
        <v>1182</v>
      </c>
      <c r="E1179" s="5" t="s">
        <v>1183</v>
      </c>
      <c r="F1179" s="5" t="s">
        <v>282</v>
      </c>
      <c r="G1179" s="5" t="s">
        <v>1341</v>
      </c>
      <c r="H1179" s="6" t="s">
        <v>1186</v>
      </c>
      <c r="I1179" s="5" t="s">
        <v>2221</v>
      </c>
      <c r="J1179" s="7">
        <f>43.92</f>
        <v>43.92</v>
      </c>
      <c r="K1179" s="5" t="s">
        <v>270</v>
      </c>
      <c r="L1179" s="8">
        <f>4200868</f>
        <v>4200868</v>
      </c>
      <c r="M1179" s="8">
        <f>17216640</f>
        <v>17216640</v>
      </c>
      <c r="N1179" s="6" t="s">
        <v>1184</v>
      </c>
      <c r="O1179" s="5" t="s">
        <v>639</v>
      </c>
      <c r="P1179" s="5" t="s">
        <v>1035</v>
      </c>
      <c r="Q1179" s="8">
        <f>464849</f>
        <v>464849</v>
      </c>
      <c r="R1179" s="8">
        <f>13015772</f>
        <v>13015772</v>
      </c>
      <c r="S1179" s="5" t="s">
        <v>240</v>
      </c>
      <c r="T1179" s="5" t="s">
        <v>237</v>
      </c>
      <c r="U1179" s="5" t="s">
        <v>238</v>
      </c>
      <c r="V1179" s="5" t="s">
        <v>238</v>
      </c>
      <c r="W1179" s="5" t="s">
        <v>241</v>
      </c>
      <c r="X1179" s="5" t="s">
        <v>337</v>
      </c>
      <c r="Y1179" s="5" t="s">
        <v>238</v>
      </c>
      <c r="AB1179" s="5" t="s">
        <v>238</v>
      </c>
      <c r="AC1179" s="6" t="s">
        <v>238</v>
      </c>
      <c r="AD1179" s="6" t="s">
        <v>238</v>
      </c>
      <c r="AF1179" s="6" t="s">
        <v>238</v>
      </c>
      <c r="AG1179" s="6" t="s">
        <v>246</v>
      </c>
      <c r="AH1179" s="5" t="s">
        <v>247</v>
      </c>
      <c r="AI1179" s="5" t="s">
        <v>248</v>
      </c>
      <c r="AO1179" s="5" t="s">
        <v>238</v>
      </c>
      <c r="AP1179" s="5" t="s">
        <v>238</v>
      </c>
      <c r="AQ1179" s="5" t="s">
        <v>238</v>
      </c>
      <c r="AR1179" s="6" t="s">
        <v>238</v>
      </c>
      <c r="AS1179" s="6" t="s">
        <v>238</v>
      </c>
      <c r="AT1179" s="6" t="s">
        <v>238</v>
      </c>
      <c r="AW1179" s="5" t="s">
        <v>304</v>
      </c>
      <c r="AX1179" s="5" t="s">
        <v>304</v>
      </c>
      <c r="AY1179" s="5" t="s">
        <v>250</v>
      </c>
      <c r="AZ1179" s="5" t="s">
        <v>305</v>
      </c>
      <c r="BA1179" s="5" t="s">
        <v>251</v>
      </c>
      <c r="BB1179" s="5" t="s">
        <v>238</v>
      </c>
      <c r="BC1179" s="5" t="s">
        <v>253</v>
      </c>
      <c r="BD1179" s="5" t="s">
        <v>238</v>
      </c>
      <c r="BF1179" s="5" t="s">
        <v>238</v>
      </c>
      <c r="BH1179" s="5" t="s">
        <v>283</v>
      </c>
      <c r="BI1179" s="6" t="s">
        <v>293</v>
      </c>
      <c r="BJ1179" s="5" t="s">
        <v>294</v>
      </c>
      <c r="BK1179" s="5" t="s">
        <v>294</v>
      </c>
      <c r="BL1179" s="5" t="s">
        <v>238</v>
      </c>
      <c r="BM1179" s="7">
        <f>0</f>
        <v>0</v>
      </c>
      <c r="BN1179" s="8">
        <f>-464849</f>
        <v>-464849</v>
      </c>
      <c r="BO1179" s="5" t="s">
        <v>257</v>
      </c>
      <c r="BP1179" s="5" t="s">
        <v>258</v>
      </c>
      <c r="BQ1179" s="5" t="s">
        <v>238</v>
      </c>
      <c r="BR1179" s="5" t="s">
        <v>238</v>
      </c>
      <c r="BS1179" s="5" t="s">
        <v>238</v>
      </c>
      <c r="BT1179" s="5" t="s">
        <v>238</v>
      </c>
      <c r="CC1179" s="5" t="s">
        <v>258</v>
      </c>
      <c r="CD1179" s="5" t="s">
        <v>238</v>
      </c>
      <c r="CE1179" s="5" t="s">
        <v>238</v>
      </c>
      <c r="CI1179" s="5" t="s">
        <v>259</v>
      </c>
      <c r="CJ1179" s="5" t="s">
        <v>260</v>
      </c>
      <c r="CK1179" s="5" t="s">
        <v>238</v>
      </c>
      <c r="CM1179" s="5" t="s">
        <v>937</v>
      </c>
      <c r="CN1179" s="6" t="s">
        <v>262</v>
      </c>
      <c r="CO1179" s="5" t="s">
        <v>263</v>
      </c>
      <c r="CP1179" s="5" t="s">
        <v>264</v>
      </c>
      <c r="CQ1179" s="5" t="s">
        <v>285</v>
      </c>
      <c r="CR1179" s="5" t="s">
        <v>238</v>
      </c>
      <c r="CS1179" s="5">
        <v>2.7E-2</v>
      </c>
      <c r="CT1179" s="5" t="s">
        <v>265</v>
      </c>
      <c r="CU1179" s="5" t="s">
        <v>1342</v>
      </c>
      <c r="CV1179" s="5" t="s">
        <v>308</v>
      </c>
      <c r="CW1179" s="7">
        <f>0</f>
        <v>0</v>
      </c>
      <c r="CX1179" s="8">
        <f>17216640</f>
        <v>17216640</v>
      </c>
      <c r="CY1179" s="8">
        <f>4665717</f>
        <v>4665717</v>
      </c>
      <c r="DA1179" s="5" t="s">
        <v>238</v>
      </c>
      <c r="DB1179" s="5" t="s">
        <v>238</v>
      </c>
      <c r="DD1179" s="5" t="s">
        <v>238</v>
      </c>
      <c r="DE1179" s="8">
        <f>0</f>
        <v>0</v>
      </c>
      <c r="DG1179" s="5" t="s">
        <v>238</v>
      </c>
      <c r="DH1179" s="5" t="s">
        <v>238</v>
      </c>
      <c r="DI1179" s="5" t="s">
        <v>238</v>
      </c>
      <c r="DJ1179" s="5" t="s">
        <v>238</v>
      </c>
      <c r="DK1179" s="5" t="s">
        <v>271</v>
      </c>
      <c r="DL1179" s="5" t="s">
        <v>272</v>
      </c>
      <c r="DM1179" s="7">
        <f>43.92</f>
        <v>43.92</v>
      </c>
      <c r="DN1179" s="5" t="s">
        <v>238</v>
      </c>
      <c r="DO1179" s="5" t="s">
        <v>238</v>
      </c>
      <c r="DP1179" s="5" t="s">
        <v>238</v>
      </c>
      <c r="DQ1179" s="5" t="s">
        <v>238</v>
      </c>
      <c r="DT1179" s="5" t="s">
        <v>1188</v>
      </c>
      <c r="DU1179" s="5" t="s">
        <v>271</v>
      </c>
      <c r="GL1179" s="5" t="s">
        <v>2222</v>
      </c>
      <c r="HM1179" s="5" t="s">
        <v>313</v>
      </c>
      <c r="HP1179" s="5" t="s">
        <v>272</v>
      </c>
      <c r="HQ1179" s="5" t="s">
        <v>272</v>
      </c>
      <c r="HR1179" s="5" t="s">
        <v>238</v>
      </c>
      <c r="HS1179" s="5" t="s">
        <v>238</v>
      </c>
      <c r="HT1179" s="5" t="s">
        <v>238</v>
      </c>
      <c r="HU1179" s="5" t="s">
        <v>238</v>
      </c>
      <c r="HV1179" s="5" t="s">
        <v>238</v>
      </c>
      <c r="HW1179" s="5" t="s">
        <v>238</v>
      </c>
      <c r="HX1179" s="5" t="s">
        <v>238</v>
      </c>
      <c r="HY1179" s="5" t="s">
        <v>238</v>
      </c>
      <c r="HZ1179" s="5" t="s">
        <v>238</v>
      </c>
      <c r="IA1179" s="5" t="s">
        <v>238</v>
      </c>
      <c r="IB1179" s="5" t="s">
        <v>238</v>
      </c>
      <c r="IC1179" s="5" t="s">
        <v>238</v>
      </c>
      <c r="ID1179" s="5" t="s">
        <v>238</v>
      </c>
    </row>
    <row r="1180" spans="1:238" x14ac:dyDescent="0.4">
      <c r="A1180" s="5">
        <v>1516</v>
      </c>
      <c r="B1180" s="5">
        <v>1</v>
      </c>
      <c r="C1180" s="5">
        <v>4</v>
      </c>
      <c r="D1180" s="5" t="s">
        <v>1182</v>
      </c>
      <c r="E1180" s="5" t="s">
        <v>1183</v>
      </c>
      <c r="F1180" s="5" t="s">
        <v>282</v>
      </c>
      <c r="G1180" s="5" t="s">
        <v>1185</v>
      </c>
      <c r="H1180" s="6" t="s">
        <v>1186</v>
      </c>
      <c r="I1180" s="5" t="s">
        <v>1181</v>
      </c>
      <c r="J1180" s="7">
        <f>82.41</f>
        <v>82.41</v>
      </c>
      <c r="K1180" s="5" t="s">
        <v>270</v>
      </c>
      <c r="L1180" s="8">
        <f>764124</f>
        <v>764124</v>
      </c>
      <c r="M1180" s="8">
        <f>10054020</f>
        <v>10054020</v>
      </c>
      <c r="N1180" s="6" t="s">
        <v>1184</v>
      </c>
      <c r="O1180" s="5" t="s">
        <v>650</v>
      </c>
      <c r="P1180" s="5" t="s">
        <v>1035</v>
      </c>
      <c r="Q1180" s="8">
        <f>331782</f>
        <v>331782</v>
      </c>
      <c r="R1180" s="8">
        <f>9289896</f>
        <v>9289896</v>
      </c>
      <c r="S1180" s="5" t="s">
        <v>240</v>
      </c>
      <c r="T1180" s="5" t="s">
        <v>237</v>
      </c>
      <c r="U1180" s="5" t="s">
        <v>238</v>
      </c>
      <c r="V1180" s="5" t="s">
        <v>238</v>
      </c>
      <c r="W1180" s="5" t="s">
        <v>241</v>
      </c>
      <c r="X1180" s="5" t="s">
        <v>337</v>
      </c>
      <c r="Y1180" s="5" t="s">
        <v>238</v>
      </c>
      <c r="AB1180" s="5" t="s">
        <v>238</v>
      </c>
      <c r="AC1180" s="6" t="s">
        <v>238</v>
      </c>
      <c r="AD1180" s="6" t="s">
        <v>238</v>
      </c>
      <c r="AF1180" s="6" t="s">
        <v>238</v>
      </c>
      <c r="AG1180" s="6" t="s">
        <v>246</v>
      </c>
      <c r="AH1180" s="5" t="s">
        <v>247</v>
      </c>
      <c r="AI1180" s="5" t="s">
        <v>248</v>
      </c>
      <c r="AO1180" s="5" t="s">
        <v>238</v>
      </c>
      <c r="AP1180" s="5" t="s">
        <v>238</v>
      </c>
      <c r="AQ1180" s="5" t="s">
        <v>238</v>
      </c>
      <c r="AR1180" s="6" t="s">
        <v>238</v>
      </c>
      <c r="AS1180" s="6" t="s">
        <v>238</v>
      </c>
      <c r="AT1180" s="6" t="s">
        <v>238</v>
      </c>
      <c r="AW1180" s="5" t="s">
        <v>304</v>
      </c>
      <c r="AX1180" s="5" t="s">
        <v>304</v>
      </c>
      <c r="AY1180" s="5" t="s">
        <v>250</v>
      </c>
      <c r="AZ1180" s="5" t="s">
        <v>305</v>
      </c>
      <c r="BA1180" s="5" t="s">
        <v>251</v>
      </c>
      <c r="BB1180" s="5" t="s">
        <v>238</v>
      </c>
      <c r="BC1180" s="5" t="s">
        <v>253</v>
      </c>
      <c r="BD1180" s="5" t="s">
        <v>238</v>
      </c>
      <c r="BF1180" s="5" t="s">
        <v>238</v>
      </c>
      <c r="BH1180" s="5" t="s">
        <v>283</v>
      </c>
      <c r="BI1180" s="6" t="s">
        <v>293</v>
      </c>
      <c r="BJ1180" s="5" t="s">
        <v>294</v>
      </c>
      <c r="BK1180" s="5" t="s">
        <v>294</v>
      </c>
      <c r="BL1180" s="5" t="s">
        <v>238</v>
      </c>
      <c r="BM1180" s="7">
        <f>0</f>
        <v>0</v>
      </c>
      <c r="BN1180" s="8">
        <f>-331782</f>
        <v>-331782</v>
      </c>
      <c r="BO1180" s="5" t="s">
        <v>257</v>
      </c>
      <c r="BP1180" s="5" t="s">
        <v>258</v>
      </c>
      <c r="BQ1180" s="5" t="s">
        <v>238</v>
      </c>
      <c r="BR1180" s="5" t="s">
        <v>238</v>
      </c>
      <c r="BS1180" s="5" t="s">
        <v>238</v>
      </c>
      <c r="BT1180" s="5" t="s">
        <v>238</v>
      </c>
      <c r="CC1180" s="5" t="s">
        <v>258</v>
      </c>
      <c r="CD1180" s="5" t="s">
        <v>238</v>
      </c>
      <c r="CE1180" s="5" t="s">
        <v>238</v>
      </c>
      <c r="CI1180" s="5" t="s">
        <v>259</v>
      </c>
      <c r="CJ1180" s="5" t="s">
        <v>260</v>
      </c>
      <c r="CK1180" s="5" t="s">
        <v>238</v>
      </c>
      <c r="CM1180" s="5" t="s">
        <v>937</v>
      </c>
      <c r="CN1180" s="6" t="s">
        <v>262</v>
      </c>
      <c r="CO1180" s="5" t="s">
        <v>263</v>
      </c>
      <c r="CP1180" s="5" t="s">
        <v>264</v>
      </c>
      <c r="CQ1180" s="5" t="s">
        <v>285</v>
      </c>
      <c r="CR1180" s="5" t="s">
        <v>238</v>
      </c>
      <c r="CS1180" s="5">
        <v>3.3000000000000002E-2</v>
      </c>
      <c r="CT1180" s="5" t="s">
        <v>265</v>
      </c>
      <c r="CU1180" s="5" t="s">
        <v>1187</v>
      </c>
      <c r="CV1180" s="5" t="s">
        <v>649</v>
      </c>
      <c r="CW1180" s="7">
        <f>0</f>
        <v>0</v>
      </c>
      <c r="CX1180" s="8">
        <f>10054020</f>
        <v>10054020</v>
      </c>
      <c r="CY1180" s="8">
        <f>1095906</f>
        <v>1095906</v>
      </c>
      <c r="DA1180" s="5" t="s">
        <v>238</v>
      </c>
      <c r="DB1180" s="5" t="s">
        <v>238</v>
      </c>
      <c r="DD1180" s="5" t="s">
        <v>238</v>
      </c>
      <c r="DE1180" s="8">
        <f>0</f>
        <v>0</v>
      </c>
      <c r="DG1180" s="5" t="s">
        <v>238</v>
      </c>
      <c r="DH1180" s="5" t="s">
        <v>238</v>
      </c>
      <c r="DI1180" s="5" t="s">
        <v>238</v>
      </c>
      <c r="DJ1180" s="5" t="s">
        <v>238</v>
      </c>
      <c r="DK1180" s="5" t="s">
        <v>271</v>
      </c>
      <c r="DL1180" s="5" t="s">
        <v>272</v>
      </c>
      <c r="DM1180" s="7">
        <f>82.41</f>
        <v>82.41</v>
      </c>
      <c r="DN1180" s="5" t="s">
        <v>238</v>
      </c>
      <c r="DO1180" s="5" t="s">
        <v>238</v>
      </c>
      <c r="DP1180" s="5" t="s">
        <v>238</v>
      </c>
      <c r="DQ1180" s="5" t="s">
        <v>238</v>
      </c>
      <c r="DT1180" s="5" t="s">
        <v>1188</v>
      </c>
      <c r="DU1180" s="5" t="s">
        <v>274</v>
      </c>
      <c r="GL1180" s="5" t="s">
        <v>1189</v>
      </c>
      <c r="HM1180" s="5" t="s">
        <v>313</v>
      </c>
      <c r="HP1180" s="5" t="s">
        <v>272</v>
      </c>
      <c r="HQ1180" s="5" t="s">
        <v>272</v>
      </c>
      <c r="HR1180" s="5" t="s">
        <v>238</v>
      </c>
      <c r="HS1180" s="5" t="s">
        <v>238</v>
      </c>
      <c r="HT1180" s="5" t="s">
        <v>238</v>
      </c>
      <c r="HU1180" s="5" t="s">
        <v>238</v>
      </c>
      <c r="HV1180" s="5" t="s">
        <v>238</v>
      </c>
      <c r="HW1180" s="5" t="s">
        <v>238</v>
      </c>
      <c r="HX1180" s="5" t="s">
        <v>238</v>
      </c>
      <c r="HY1180" s="5" t="s">
        <v>238</v>
      </c>
      <c r="HZ1180" s="5" t="s">
        <v>238</v>
      </c>
      <c r="IA1180" s="5" t="s">
        <v>238</v>
      </c>
      <c r="IB1180" s="5" t="s">
        <v>238</v>
      </c>
      <c r="IC1180" s="5" t="s">
        <v>238</v>
      </c>
      <c r="ID1180" s="5" t="s">
        <v>238</v>
      </c>
    </row>
    <row r="1181" spans="1:238" x14ac:dyDescent="0.4">
      <c r="A1181" s="5">
        <v>1517</v>
      </c>
      <c r="B1181" s="5">
        <v>1</v>
      </c>
      <c r="C1181" s="5">
        <v>4</v>
      </c>
      <c r="D1181" s="5" t="s">
        <v>1182</v>
      </c>
      <c r="E1181" s="5" t="s">
        <v>1183</v>
      </c>
      <c r="F1181" s="5" t="s">
        <v>282</v>
      </c>
      <c r="G1181" s="5" t="s">
        <v>1807</v>
      </c>
      <c r="H1181" s="6" t="s">
        <v>1186</v>
      </c>
      <c r="I1181" s="5" t="s">
        <v>1816</v>
      </c>
      <c r="J1181" s="7">
        <f>4545.72</f>
        <v>4545.72</v>
      </c>
      <c r="K1181" s="5" t="s">
        <v>270</v>
      </c>
      <c r="L1181" s="8">
        <f>1237599560</f>
        <v>1237599560</v>
      </c>
      <c r="M1181" s="8">
        <f>3222915480</f>
        <v>3222915480</v>
      </c>
      <c r="N1181" s="6" t="s">
        <v>1184</v>
      </c>
      <c r="O1181" s="5" t="s">
        <v>898</v>
      </c>
      <c r="P1181" s="5" t="s">
        <v>1035</v>
      </c>
      <c r="Q1181" s="8">
        <f>70904140</f>
        <v>70904140</v>
      </c>
      <c r="R1181" s="8">
        <f>1985315920</f>
        <v>1985315920</v>
      </c>
      <c r="S1181" s="5" t="s">
        <v>240</v>
      </c>
      <c r="T1181" s="5" t="s">
        <v>237</v>
      </c>
      <c r="U1181" s="5" t="s">
        <v>238</v>
      </c>
      <c r="V1181" s="5" t="s">
        <v>238</v>
      </c>
      <c r="W1181" s="5" t="s">
        <v>241</v>
      </c>
      <c r="X1181" s="5" t="s">
        <v>337</v>
      </c>
      <c r="Y1181" s="5" t="s">
        <v>238</v>
      </c>
      <c r="AB1181" s="5" t="s">
        <v>238</v>
      </c>
      <c r="AC1181" s="6" t="s">
        <v>238</v>
      </c>
      <c r="AD1181" s="6" t="s">
        <v>238</v>
      </c>
      <c r="AF1181" s="6" t="s">
        <v>238</v>
      </c>
      <c r="AG1181" s="6" t="s">
        <v>246</v>
      </c>
      <c r="AH1181" s="5" t="s">
        <v>247</v>
      </c>
      <c r="AI1181" s="5" t="s">
        <v>248</v>
      </c>
      <c r="AO1181" s="5" t="s">
        <v>238</v>
      </c>
      <c r="AP1181" s="5" t="s">
        <v>238</v>
      </c>
      <c r="AQ1181" s="5" t="s">
        <v>238</v>
      </c>
      <c r="AR1181" s="6" t="s">
        <v>238</v>
      </c>
      <c r="AS1181" s="6" t="s">
        <v>238</v>
      </c>
      <c r="AT1181" s="6" t="s">
        <v>238</v>
      </c>
      <c r="AW1181" s="5" t="s">
        <v>304</v>
      </c>
      <c r="AX1181" s="5" t="s">
        <v>304</v>
      </c>
      <c r="AY1181" s="5" t="s">
        <v>250</v>
      </c>
      <c r="AZ1181" s="5" t="s">
        <v>305</v>
      </c>
      <c r="BA1181" s="5" t="s">
        <v>251</v>
      </c>
      <c r="BB1181" s="5" t="s">
        <v>238</v>
      </c>
      <c r="BC1181" s="5" t="s">
        <v>253</v>
      </c>
      <c r="BD1181" s="5" t="s">
        <v>238</v>
      </c>
      <c r="BF1181" s="5" t="s">
        <v>238</v>
      </c>
      <c r="BH1181" s="5" t="s">
        <v>283</v>
      </c>
      <c r="BI1181" s="6" t="s">
        <v>293</v>
      </c>
      <c r="BJ1181" s="5" t="s">
        <v>294</v>
      </c>
      <c r="BK1181" s="5" t="s">
        <v>294</v>
      </c>
      <c r="BL1181" s="5" t="s">
        <v>238</v>
      </c>
      <c r="BM1181" s="7">
        <f>0</f>
        <v>0</v>
      </c>
      <c r="BN1181" s="8">
        <f>-70904140</f>
        <v>-70904140</v>
      </c>
      <c r="BO1181" s="5" t="s">
        <v>257</v>
      </c>
      <c r="BP1181" s="5" t="s">
        <v>258</v>
      </c>
      <c r="BQ1181" s="5" t="s">
        <v>238</v>
      </c>
      <c r="BR1181" s="5" t="s">
        <v>238</v>
      </c>
      <c r="BS1181" s="5" t="s">
        <v>238</v>
      </c>
      <c r="BT1181" s="5" t="s">
        <v>238</v>
      </c>
      <c r="CC1181" s="5" t="s">
        <v>258</v>
      </c>
      <c r="CD1181" s="5" t="s">
        <v>238</v>
      </c>
      <c r="CE1181" s="5" t="s">
        <v>238</v>
      </c>
      <c r="CI1181" s="5" t="s">
        <v>259</v>
      </c>
      <c r="CJ1181" s="5" t="s">
        <v>260</v>
      </c>
      <c r="CK1181" s="5" t="s">
        <v>238</v>
      </c>
      <c r="CM1181" s="5" t="s">
        <v>937</v>
      </c>
      <c r="CN1181" s="6" t="s">
        <v>262</v>
      </c>
      <c r="CO1181" s="5" t="s">
        <v>263</v>
      </c>
      <c r="CP1181" s="5" t="s">
        <v>264</v>
      </c>
      <c r="CQ1181" s="5" t="s">
        <v>285</v>
      </c>
      <c r="CR1181" s="5" t="s">
        <v>238</v>
      </c>
      <c r="CS1181" s="5">
        <v>2.1999999999999999E-2</v>
      </c>
      <c r="CT1181" s="5" t="s">
        <v>265</v>
      </c>
      <c r="CU1181" s="5" t="s">
        <v>1803</v>
      </c>
      <c r="CV1181" s="5" t="s">
        <v>308</v>
      </c>
      <c r="CW1181" s="7">
        <f>0</f>
        <v>0</v>
      </c>
      <c r="CX1181" s="8">
        <f>3222915480</f>
        <v>3222915480</v>
      </c>
      <c r="CY1181" s="8">
        <f>1308503700</f>
        <v>1308503700</v>
      </c>
      <c r="DA1181" s="5" t="s">
        <v>238</v>
      </c>
      <c r="DB1181" s="5" t="s">
        <v>238</v>
      </c>
      <c r="DD1181" s="5" t="s">
        <v>238</v>
      </c>
      <c r="DE1181" s="8">
        <f>0</f>
        <v>0</v>
      </c>
      <c r="DG1181" s="5" t="s">
        <v>238</v>
      </c>
      <c r="DH1181" s="5" t="s">
        <v>238</v>
      </c>
      <c r="DI1181" s="5" t="s">
        <v>238</v>
      </c>
      <c r="DJ1181" s="5" t="s">
        <v>238</v>
      </c>
      <c r="DK1181" s="5" t="s">
        <v>271</v>
      </c>
      <c r="DL1181" s="5" t="s">
        <v>272</v>
      </c>
      <c r="DM1181" s="7">
        <f>4545.72</f>
        <v>4545.72</v>
      </c>
      <c r="DN1181" s="5" t="s">
        <v>238</v>
      </c>
      <c r="DO1181" s="5" t="s">
        <v>238</v>
      </c>
      <c r="DP1181" s="5" t="s">
        <v>238</v>
      </c>
      <c r="DQ1181" s="5" t="s">
        <v>238</v>
      </c>
      <c r="DT1181" s="5" t="s">
        <v>1188</v>
      </c>
      <c r="DU1181" s="5" t="s">
        <v>356</v>
      </c>
      <c r="GL1181" s="5" t="s">
        <v>1817</v>
      </c>
      <c r="HM1181" s="5" t="s">
        <v>313</v>
      </c>
      <c r="HP1181" s="5" t="s">
        <v>272</v>
      </c>
      <c r="HQ1181" s="5" t="s">
        <v>272</v>
      </c>
      <c r="HR1181" s="5" t="s">
        <v>238</v>
      </c>
      <c r="HS1181" s="5" t="s">
        <v>238</v>
      </c>
      <c r="HT1181" s="5" t="s">
        <v>238</v>
      </c>
      <c r="HU1181" s="5" t="s">
        <v>238</v>
      </c>
      <c r="HV1181" s="5" t="s">
        <v>238</v>
      </c>
      <c r="HW1181" s="5" t="s">
        <v>238</v>
      </c>
      <c r="HX1181" s="5" t="s">
        <v>238</v>
      </c>
      <c r="HY1181" s="5" t="s">
        <v>238</v>
      </c>
      <c r="HZ1181" s="5" t="s">
        <v>238</v>
      </c>
      <c r="IA1181" s="5" t="s">
        <v>238</v>
      </c>
      <c r="IB1181" s="5" t="s">
        <v>238</v>
      </c>
      <c r="IC1181" s="5" t="s">
        <v>238</v>
      </c>
      <c r="ID1181" s="5" t="s">
        <v>238</v>
      </c>
    </row>
    <row r="1182" spans="1:238" x14ac:dyDescent="0.4">
      <c r="A1182" s="5">
        <v>1518</v>
      </c>
      <c r="B1182" s="5">
        <v>1</v>
      </c>
      <c r="C1182" s="5">
        <v>1</v>
      </c>
      <c r="D1182" s="5" t="s">
        <v>1182</v>
      </c>
      <c r="E1182" s="5" t="s">
        <v>1183</v>
      </c>
      <c r="F1182" s="5" t="s">
        <v>282</v>
      </c>
      <c r="G1182" s="5" t="s">
        <v>695</v>
      </c>
      <c r="H1182" s="6" t="s">
        <v>1186</v>
      </c>
      <c r="I1182" s="5" t="s">
        <v>2380</v>
      </c>
      <c r="J1182" s="7">
        <f>72</f>
        <v>72</v>
      </c>
      <c r="K1182" s="5" t="s">
        <v>270</v>
      </c>
      <c r="L1182" s="8">
        <f>1</f>
        <v>1</v>
      </c>
      <c r="M1182" s="8">
        <f>17280000</f>
        <v>17280000</v>
      </c>
      <c r="N1182" s="6" t="s">
        <v>1184</v>
      </c>
      <c r="O1182" s="5" t="s">
        <v>268</v>
      </c>
      <c r="P1182" s="5" t="s">
        <v>818</v>
      </c>
      <c r="R1182" s="8">
        <f>17279999</f>
        <v>17279999</v>
      </c>
      <c r="S1182" s="5" t="s">
        <v>240</v>
      </c>
      <c r="T1182" s="5" t="s">
        <v>237</v>
      </c>
      <c r="U1182" s="5" t="s">
        <v>238</v>
      </c>
      <c r="V1182" s="5" t="s">
        <v>238</v>
      </c>
      <c r="W1182" s="5" t="s">
        <v>241</v>
      </c>
      <c r="X1182" s="5" t="s">
        <v>337</v>
      </c>
      <c r="Y1182" s="5" t="s">
        <v>238</v>
      </c>
      <c r="AB1182" s="5" t="s">
        <v>238</v>
      </c>
      <c r="AD1182" s="6" t="s">
        <v>238</v>
      </c>
      <c r="AG1182" s="6" t="s">
        <v>246</v>
      </c>
      <c r="AH1182" s="5" t="s">
        <v>247</v>
      </c>
      <c r="AI1182" s="5" t="s">
        <v>248</v>
      </c>
      <c r="AY1182" s="5" t="s">
        <v>250</v>
      </c>
      <c r="AZ1182" s="5" t="s">
        <v>238</v>
      </c>
      <c r="BA1182" s="5" t="s">
        <v>251</v>
      </c>
      <c r="BB1182" s="5" t="s">
        <v>238</v>
      </c>
      <c r="BC1182" s="5" t="s">
        <v>253</v>
      </c>
      <c r="BD1182" s="5" t="s">
        <v>238</v>
      </c>
      <c r="BF1182" s="5" t="s">
        <v>238</v>
      </c>
      <c r="BH1182" s="5" t="s">
        <v>254</v>
      </c>
      <c r="BI1182" s="6" t="s">
        <v>246</v>
      </c>
      <c r="BJ1182" s="5" t="s">
        <v>255</v>
      </c>
      <c r="BK1182" s="5" t="s">
        <v>256</v>
      </c>
      <c r="BL1182" s="5" t="s">
        <v>238</v>
      </c>
      <c r="BM1182" s="7">
        <f>0</f>
        <v>0</v>
      </c>
      <c r="BN1182" s="8">
        <f>0</f>
        <v>0</v>
      </c>
      <c r="BO1182" s="5" t="s">
        <v>257</v>
      </c>
      <c r="BP1182" s="5" t="s">
        <v>258</v>
      </c>
      <c r="CD1182" s="5" t="s">
        <v>238</v>
      </c>
      <c r="CE1182" s="5" t="s">
        <v>238</v>
      </c>
      <c r="CI1182" s="5" t="s">
        <v>259</v>
      </c>
      <c r="CJ1182" s="5" t="s">
        <v>260</v>
      </c>
      <c r="CK1182" s="5" t="s">
        <v>238</v>
      </c>
      <c r="CM1182" s="5" t="s">
        <v>937</v>
      </c>
      <c r="CN1182" s="6" t="s">
        <v>262</v>
      </c>
      <c r="CO1182" s="5" t="s">
        <v>263</v>
      </c>
      <c r="CP1182" s="5" t="s">
        <v>264</v>
      </c>
      <c r="CQ1182" s="5" t="s">
        <v>238</v>
      </c>
      <c r="CR1182" s="5" t="s">
        <v>238</v>
      </c>
      <c r="CS1182" s="5">
        <v>0</v>
      </c>
      <c r="CT1182" s="5" t="s">
        <v>265</v>
      </c>
      <c r="CU1182" s="5" t="s">
        <v>351</v>
      </c>
      <c r="CV1182" s="5" t="s">
        <v>394</v>
      </c>
      <c r="CX1182" s="8">
        <f>17280000</f>
        <v>17280000</v>
      </c>
      <c r="CY1182" s="8">
        <f>0</f>
        <v>0</v>
      </c>
      <c r="DA1182" s="5" t="s">
        <v>238</v>
      </c>
      <c r="DB1182" s="5" t="s">
        <v>238</v>
      </c>
      <c r="DD1182" s="5" t="s">
        <v>238</v>
      </c>
      <c r="DG1182" s="5" t="s">
        <v>238</v>
      </c>
      <c r="DH1182" s="5" t="s">
        <v>238</v>
      </c>
      <c r="DI1182" s="5" t="s">
        <v>238</v>
      </c>
      <c r="DJ1182" s="5" t="s">
        <v>238</v>
      </c>
      <c r="DK1182" s="5" t="s">
        <v>271</v>
      </c>
      <c r="DL1182" s="5" t="s">
        <v>272</v>
      </c>
      <c r="DM1182" s="7">
        <f>72</f>
        <v>72</v>
      </c>
      <c r="DN1182" s="5" t="s">
        <v>238</v>
      </c>
      <c r="DO1182" s="5" t="s">
        <v>238</v>
      </c>
      <c r="DP1182" s="5" t="s">
        <v>238</v>
      </c>
      <c r="DQ1182" s="5" t="s">
        <v>238</v>
      </c>
      <c r="DT1182" s="5" t="s">
        <v>1188</v>
      </c>
      <c r="DU1182" s="5" t="s">
        <v>310</v>
      </c>
      <c r="HM1182" s="5" t="s">
        <v>271</v>
      </c>
      <c r="HP1182" s="5" t="s">
        <v>272</v>
      </c>
      <c r="HQ1182" s="5" t="s">
        <v>272</v>
      </c>
    </row>
    <row r="1183" spans="1:238" x14ac:dyDescent="0.4">
      <c r="A1183" s="5">
        <v>1519</v>
      </c>
      <c r="B1183" s="5">
        <v>1</v>
      </c>
      <c r="C1183" s="5">
        <v>4</v>
      </c>
      <c r="D1183" s="5" t="s">
        <v>1182</v>
      </c>
      <c r="E1183" s="5" t="s">
        <v>1183</v>
      </c>
      <c r="F1183" s="5" t="s">
        <v>282</v>
      </c>
      <c r="G1183" s="5" t="s">
        <v>781</v>
      </c>
      <c r="H1183" s="6" t="s">
        <v>1186</v>
      </c>
      <c r="I1183" s="5" t="s">
        <v>2382</v>
      </c>
      <c r="J1183" s="7">
        <f>4.68</f>
        <v>4.68</v>
      </c>
      <c r="K1183" s="5" t="s">
        <v>270</v>
      </c>
      <c r="L1183" s="8">
        <f>103936</f>
        <v>103936</v>
      </c>
      <c r="M1183" s="8">
        <f>425880</f>
        <v>425880</v>
      </c>
      <c r="N1183" s="6" t="s">
        <v>1184</v>
      </c>
      <c r="O1183" s="5" t="s">
        <v>639</v>
      </c>
      <c r="P1183" s="5" t="s">
        <v>1035</v>
      </c>
      <c r="Q1183" s="8">
        <f>11498</f>
        <v>11498</v>
      </c>
      <c r="R1183" s="8">
        <f>321944</f>
        <v>321944</v>
      </c>
      <c r="S1183" s="5" t="s">
        <v>240</v>
      </c>
      <c r="T1183" s="5" t="s">
        <v>237</v>
      </c>
      <c r="U1183" s="5" t="s">
        <v>238</v>
      </c>
      <c r="V1183" s="5" t="s">
        <v>238</v>
      </c>
      <c r="W1183" s="5" t="s">
        <v>241</v>
      </c>
      <c r="X1183" s="5" t="s">
        <v>337</v>
      </c>
      <c r="Y1183" s="5" t="s">
        <v>238</v>
      </c>
      <c r="AB1183" s="5" t="s">
        <v>238</v>
      </c>
      <c r="AC1183" s="6" t="s">
        <v>238</v>
      </c>
      <c r="AD1183" s="6" t="s">
        <v>238</v>
      </c>
      <c r="AF1183" s="6" t="s">
        <v>238</v>
      </c>
      <c r="AG1183" s="6" t="s">
        <v>246</v>
      </c>
      <c r="AH1183" s="5" t="s">
        <v>247</v>
      </c>
      <c r="AI1183" s="5" t="s">
        <v>248</v>
      </c>
      <c r="AO1183" s="5" t="s">
        <v>238</v>
      </c>
      <c r="AP1183" s="5" t="s">
        <v>238</v>
      </c>
      <c r="AQ1183" s="5" t="s">
        <v>238</v>
      </c>
      <c r="AR1183" s="6" t="s">
        <v>238</v>
      </c>
      <c r="AS1183" s="6" t="s">
        <v>238</v>
      </c>
      <c r="AT1183" s="6" t="s">
        <v>238</v>
      </c>
      <c r="AW1183" s="5" t="s">
        <v>304</v>
      </c>
      <c r="AX1183" s="5" t="s">
        <v>304</v>
      </c>
      <c r="AY1183" s="5" t="s">
        <v>250</v>
      </c>
      <c r="AZ1183" s="5" t="s">
        <v>305</v>
      </c>
      <c r="BA1183" s="5" t="s">
        <v>251</v>
      </c>
      <c r="BB1183" s="5" t="s">
        <v>238</v>
      </c>
      <c r="BC1183" s="5" t="s">
        <v>253</v>
      </c>
      <c r="BD1183" s="5" t="s">
        <v>238</v>
      </c>
      <c r="BF1183" s="5" t="s">
        <v>238</v>
      </c>
      <c r="BH1183" s="5" t="s">
        <v>283</v>
      </c>
      <c r="BI1183" s="6" t="s">
        <v>293</v>
      </c>
      <c r="BJ1183" s="5" t="s">
        <v>294</v>
      </c>
      <c r="BK1183" s="5" t="s">
        <v>294</v>
      </c>
      <c r="BL1183" s="5" t="s">
        <v>238</v>
      </c>
      <c r="BM1183" s="7">
        <f>0</f>
        <v>0</v>
      </c>
      <c r="BN1183" s="8">
        <f>-11498</f>
        <v>-11498</v>
      </c>
      <c r="BO1183" s="5" t="s">
        <v>257</v>
      </c>
      <c r="BP1183" s="5" t="s">
        <v>258</v>
      </c>
      <c r="BQ1183" s="5" t="s">
        <v>238</v>
      </c>
      <c r="BR1183" s="5" t="s">
        <v>238</v>
      </c>
      <c r="BS1183" s="5" t="s">
        <v>238</v>
      </c>
      <c r="BT1183" s="5" t="s">
        <v>238</v>
      </c>
      <c r="CC1183" s="5" t="s">
        <v>258</v>
      </c>
      <c r="CD1183" s="5" t="s">
        <v>238</v>
      </c>
      <c r="CE1183" s="5" t="s">
        <v>238</v>
      </c>
      <c r="CI1183" s="5" t="s">
        <v>259</v>
      </c>
      <c r="CJ1183" s="5" t="s">
        <v>260</v>
      </c>
      <c r="CK1183" s="5" t="s">
        <v>238</v>
      </c>
      <c r="CM1183" s="5" t="s">
        <v>937</v>
      </c>
      <c r="CN1183" s="6" t="s">
        <v>262</v>
      </c>
      <c r="CO1183" s="5" t="s">
        <v>263</v>
      </c>
      <c r="CP1183" s="5" t="s">
        <v>264</v>
      </c>
      <c r="CQ1183" s="5" t="s">
        <v>285</v>
      </c>
      <c r="CR1183" s="5" t="s">
        <v>238</v>
      </c>
      <c r="CS1183" s="5">
        <v>2.7E-2</v>
      </c>
      <c r="CT1183" s="5" t="s">
        <v>265</v>
      </c>
      <c r="CU1183" s="5" t="s">
        <v>2381</v>
      </c>
      <c r="CV1183" s="5" t="s">
        <v>308</v>
      </c>
      <c r="CW1183" s="7">
        <f>0</f>
        <v>0</v>
      </c>
      <c r="CX1183" s="8">
        <f>425880</f>
        <v>425880</v>
      </c>
      <c r="CY1183" s="8">
        <f>115434</f>
        <v>115434</v>
      </c>
      <c r="DA1183" s="5" t="s">
        <v>238</v>
      </c>
      <c r="DB1183" s="5" t="s">
        <v>238</v>
      </c>
      <c r="DD1183" s="5" t="s">
        <v>238</v>
      </c>
      <c r="DE1183" s="8">
        <f>0</f>
        <v>0</v>
      </c>
      <c r="DG1183" s="5" t="s">
        <v>238</v>
      </c>
      <c r="DH1183" s="5" t="s">
        <v>238</v>
      </c>
      <c r="DI1183" s="5" t="s">
        <v>238</v>
      </c>
      <c r="DJ1183" s="5" t="s">
        <v>238</v>
      </c>
      <c r="DK1183" s="5" t="s">
        <v>271</v>
      </c>
      <c r="DL1183" s="5" t="s">
        <v>272</v>
      </c>
      <c r="DM1183" s="7">
        <f>4.68</f>
        <v>4.68</v>
      </c>
      <c r="DN1183" s="5" t="s">
        <v>238</v>
      </c>
      <c r="DO1183" s="5" t="s">
        <v>238</v>
      </c>
      <c r="DP1183" s="5" t="s">
        <v>238</v>
      </c>
      <c r="DQ1183" s="5" t="s">
        <v>238</v>
      </c>
      <c r="DT1183" s="5" t="s">
        <v>1188</v>
      </c>
      <c r="DU1183" s="5" t="s">
        <v>379</v>
      </c>
      <c r="GL1183" s="5" t="s">
        <v>2383</v>
      </c>
      <c r="HM1183" s="5" t="s">
        <v>313</v>
      </c>
      <c r="HP1183" s="5" t="s">
        <v>272</v>
      </c>
      <c r="HQ1183" s="5" t="s">
        <v>272</v>
      </c>
      <c r="HR1183" s="5" t="s">
        <v>238</v>
      </c>
      <c r="HS1183" s="5" t="s">
        <v>238</v>
      </c>
      <c r="HT1183" s="5" t="s">
        <v>238</v>
      </c>
      <c r="HU1183" s="5" t="s">
        <v>238</v>
      </c>
      <c r="HV1183" s="5" t="s">
        <v>238</v>
      </c>
      <c r="HW1183" s="5" t="s">
        <v>238</v>
      </c>
      <c r="HX1183" s="5" t="s">
        <v>238</v>
      </c>
      <c r="HY1183" s="5" t="s">
        <v>238</v>
      </c>
      <c r="HZ1183" s="5" t="s">
        <v>238</v>
      </c>
      <c r="IA1183" s="5" t="s">
        <v>238</v>
      </c>
      <c r="IB1183" s="5" t="s">
        <v>238</v>
      </c>
      <c r="IC1183" s="5" t="s">
        <v>238</v>
      </c>
      <c r="ID1183" s="5" t="s">
        <v>238</v>
      </c>
    </row>
    <row r="1184" spans="1:238" x14ac:dyDescent="0.4">
      <c r="A1184" s="5">
        <v>1520</v>
      </c>
      <c r="B1184" s="5">
        <v>1</v>
      </c>
      <c r="C1184" s="5">
        <v>1</v>
      </c>
      <c r="D1184" s="5" t="s">
        <v>1182</v>
      </c>
      <c r="E1184" s="5" t="s">
        <v>1183</v>
      </c>
      <c r="F1184" s="5" t="s">
        <v>282</v>
      </c>
      <c r="G1184" s="5" t="s">
        <v>695</v>
      </c>
      <c r="H1184" s="6" t="s">
        <v>1186</v>
      </c>
      <c r="I1184" s="5" t="s">
        <v>695</v>
      </c>
      <c r="J1184" s="7">
        <f>10.14</f>
        <v>10.14</v>
      </c>
      <c r="K1184" s="5" t="s">
        <v>270</v>
      </c>
      <c r="L1184" s="8">
        <f>1</f>
        <v>1</v>
      </c>
      <c r="M1184" s="8">
        <f>2433600</f>
        <v>2433600</v>
      </c>
      <c r="N1184" s="6" t="s">
        <v>1184</v>
      </c>
      <c r="O1184" s="5" t="s">
        <v>268</v>
      </c>
      <c r="P1184" s="5" t="s">
        <v>818</v>
      </c>
      <c r="R1184" s="8">
        <f>2433599</f>
        <v>2433599</v>
      </c>
      <c r="S1184" s="5" t="s">
        <v>240</v>
      </c>
      <c r="T1184" s="5" t="s">
        <v>237</v>
      </c>
      <c r="U1184" s="5" t="s">
        <v>238</v>
      </c>
      <c r="V1184" s="5" t="s">
        <v>238</v>
      </c>
      <c r="W1184" s="5" t="s">
        <v>241</v>
      </c>
      <c r="X1184" s="5" t="s">
        <v>337</v>
      </c>
      <c r="Y1184" s="5" t="s">
        <v>238</v>
      </c>
      <c r="AB1184" s="5" t="s">
        <v>238</v>
      </c>
      <c r="AD1184" s="6" t="s">
        <v>238</v>
      </c>
      <c r="AG1184" s="6" t="s">
        <v>246</v>
      </c>
      <c r="AH1184" s="5" t="s">
        <v>247</v>
      </c>
      <c r="AI1184" s="5" t="s">
        <v>248</v>
      </c>
      <c r="AY1184" s="5" t="s">
        <v>250</v>
      </c>
      <c r="AZ1184" s="5" t="s">
        <v>238</v>
      </c>
      <c r="BA1184" s="5" t="s">
        <v>251</v>
      </c>
      <c r="BB1184" s="5" t="s">
        <v>238</v>
      </c>
      <c r="BC1184" s="5" t="s">
        <v>253</v>
      </c>
      <c r="BD1184" s="5" t="s">
        <v>238</v>
      </c>
      <c r="BF1184" s="5" t="s">
        <v>238</v>
      </c>
      <c r="BH1184" s="5" t="s">
        <v>254</v>
      </c>
      <c r="BI1184" s="6" t="s">
        <v>246</v>
      </c>
      <c r="BJ1184" s="5" t="s">
        <v>255</v>
      </c>
      <c r="BK1184" s="5" t="s">
        <v>256</v>
      </c>
      <c r="BL1184" s="5" t="s">
        <v>238</v>
      </c>
      <c r="BM1184" s="7">
        <f>0</f>
        <v>0</v>
      </c>
      <c r="BN1184" s="8">
        <f>0</f>
        <v>0</v>
      </c>
      <c r="BO1184" s="5" t="s">
        <v>257</v>
      </c>
      <c r="BP1184" s="5" t="s">
        <v>258</v>
      </c>
      <c r="CD1184" s="5" t="s">
        <v>238</v>
      </c>
      <c r="CE1184" s="5" t="s">
        <v>238</v>
      </c>
      <c r="CI1184" s="5" t="s">
        <v>259</v>
      </c>
      <c r="CJ1184" s="5" t="s">
        <v>260</v>
      </c>
      <c r="CK1184" s="5" t="s">
        <v>238</v>
      </c>
      <c r="CM1184" s="5" t="s">
        <v>937</v>
      </c>
      <c r="CN1184" s="6" t="s">
        <v>262</v>
      </c>
      <c r="CO1184" s="5" t="s">
        <v>263</v>
      </c>
      <c r="CP1184" s="5" t="s">
        <v>264</v>
      </c>
      <c r="CQ1184" s="5" t="s">
        <v>238</v>
      </c>
      <c r="CR1184" s="5" t="s">
        <v>238</v>
      </c>
      <c r="CS1184" s="5">
        <v>0</v>
      </c>
      <c r="CT1184" s="5" t="s">
        <v>265</v>
      </c>
      <c r="CU1184" s="5" t="s">
        <v>351</v>
      </c>
      <c r="CV1184" s="5" t="s">
        <v>394</v>
      </c>
      <c r="CX1184" s="8">
        <f>2433600</f>
        <v>2433600</v>
      </c>
      <c r="CY1184" s="8">
        <f>0</f>
        <v>0</v>
      </c>
      <c r="DA1184" s="5" t="s">
        <v>238</v>
      </c>
      <c r="DB1184" s="5" t="s">
        <v>238</v>
      </c>
      <c r="DD1184" s="5" t="s">
        <v>238</v>
      </c>
      <c r="DG1184" s="5" t="s">
        <v>238</v>
      </c>
      <c r="DH1184" s="5" t="s">
        <v>238</v>
      </c>
      <c r="DI1184" s="5" t="s">
        <v>238</v>
      </c>
      <c r="DJ1184" s="5" t="s">
        <v>238</v>
      </c>
      <c r="DK1184" s="5" t="s">
        <v>271</v>
      </c>
      <c r="DL1184" s="5" t="s">
        <v>272</v>
      </c>
      <c r="DM1184" s="7">
        <f>10.14</f>
        <v>10.14</v>
      </c>
      <c r="DN1184" s="5" t="s">
        <v>238</v>
      </c>
      <c r="DO1184" s="5" t="s">
        <v>238</v>
      </c>
      <c r="DP1184" s="5" t="s">
        <v>238</v>
      </c>
      <c r="DQ1184" s="5" t="s">
        <v>238</v>
      </c>
      <c r="DT1184" s="5" t="s">
        <v>1188</v>
      </c>
      <c r="DU1184" s="5" t="s">
        <v>313</v>
      </c>
      <c r="HM1184" s="5" t="s">
        <v>271</v>
      </c>
      <c r="HP1184" s="5" t="s">
        <v>272</v>
      </c>
      <c r="HQ1184" s="5" t="s">
        <v>272</v>
      </c>
    </row>
    <row r="1185" spans="1:238" x14ac:dyDescent="0.4">
      <c r="A1185" s="5">
        <v>1521</v>
      </c>
      <c r="B1185" s="5">
        <v>1</v>
      </c>
      <c r="C1185" s="5">
        <v>4</v>
      </c>
      <c r="D1185" s="5" t="s">
        <v>1182</v>
      </c>
      <c r="E1185" s="5" t="s">
        <v>1183</v>
      </c>
      <c r="F1185" s="5" t="s">
        <v>282</v>
      </c>
      <c r="G1185" s="5" t="s">
        <v>1185</v>
      </c>
      <c r="H1185" s="6" t="s">
        <v>1186</v>
      </c>
      <c r="I1185" s="5" t="s">
        <v>1181</v>
      </c>
      <c r="J1185" s="7">
        <f>82.41</f>
        <v>82.41</v>
      </c>
      <c r="K1185" s="5" t="s">
        <v>270</v>
      </c>
      <c r="L1185" s="8">
        <f>764124</f>
        <v>764124</v>
      </c>
      <c r="M1185" s="8">
        <f>10054020</f>
        <v>10054020</v>
      </c>
      <c r="N1185" s="6" t="s">
        <v>1184</v>
      </c>
      <c r="O1185" s="5" t="s">
        <v>650</v>
      </c>
      <c r="P1185" s="5" t="s">
        <v>1035</v>
      </c>
      <c r="Q1185" s="8">
        <f>331782</f>
        <v>331782</v>
      </c>
      <c r="R1185" s="8">
        <f>9289896</f>
        <v>9289896</v>
      </c>
      <c r="S1185" s="5" t="s">
        <v>240</v>
      </c>
      <c r="T1185" s="5" t="s">
        <v>237</v>
      </c>
      <c r="U1185" s="5" t="s">
        <v>238</v>
      </c>
      <c r="V1185" s="5" t="s">
        <v>238</v>
      </c>
      <c r="W1185" s="5" t="s">
        <v>241</v>
      </c>
      <c r="X1185" s="5" t="s">
        <v>337</v>
      </c>
      <c r="Y1185" s="5" t="s">
        <v>238</v>
      </c>
      <c r="AB1185" s="5" t="s">
        <v>238</v>
      </c>
      <c r="AC1185" s="6" t="s">
        <v>238</v>
      </c>
      <c r="AD1185" s="6" t="s">
        <v>238</v>
      </c>
      <c r="AF1185" s="6" t="s">
        <v>238</v>
      </c>
      <c r="AG1185" s="6" t="s">
        <v>246</v>
      </c>
      <c r="AH1185" s="5" t="s">
        <v>247</v>
      </c>
      <c r="AI1185" s="5" t="s">
        <v>248</v>
      </c>
      <c r="AO1185" s="5" t="s">
        <v>238</v>
      </c>
      <c r="AP1185" s="5" t="s">
        <v>238</v>
      </c>
      <c r="AQ1185" s="5" t="s">
        <v>238</v>
      </c>
      <c r="AR1185" s="6" t="s">
        <v>238</v>
      </c>
      <c r="AS1185" s="6" t="s">
        <v>238</v>
      </c>
      <c r="AT1185" s="6" t="s">
        <v>238</v>
      </c>
      <c r="AW1185" s="5" t="s">
        <v>304</v>
      </c>
      <c r="AX1185" s="5" t="s">
        <v>304</v>
      </c>
      <c r="AY1185" s="5" t="s">
        <v>250</v>
      </c>
      <c r="AZ1185" s="5" t="s">
        <v>305</v>
      </c>
      <c r="BA1185" s="5" t="s">
        <v>251</v>
      </c>
      <c r="BB1185" s="5" t="s">
        <v>238</v>
      </c>
      <c r="BC1185" s="5" t="s">
        <v>253</v>
      </c>
      <c r="BD1185" s="5" t="s">
        <v>238</v>
      </c>
      <c r="BF1185" s="5" t="s">
        <v>238</v>
      </c>
      <c r="BH1185" s="5" t="s">
        <v>283</v>
      </c>
      <c r="BI1185" s="6" t="s">
        <v>293</v>
      </c>
      <c r="BJ1185" s="5" t="s">
        <v>294</v>
      </c>
      <c r="BK1185" s="5" t="s">
        <v>294</v>
      </c>
      <c r="BL1185" s="5" t="s">
        <v>238</v>
      </c>
      <c r="BM1185" s="7">
        <f>0</f>
        <v>0</v>
      </c>
      <c r="BN1185" s="8">
        <f>-331782</f>
        <v>-331782</v>
      </c>
      <c r="BO1185" s="5" t="s">
        <v>257</v>
      </c>
      <c r="BP1185" s="5" t="s">
        <v>258</v>
      </c>
      <c r="BQ1185" s="5" t="s">
        <v>238</v>
      </c>
      <c r="BR1185" s="5" t="s">
        <v>238</v>
      </c>
      <c r="BS1185" s="5" t="s">
        <v>238</v>
      </c>
      <c r="BT1185" s="5" t="s">
        <v>238</v>
      </c>
      <c r="CC1185" s="5" t="s">
        <v>258</v>
      </c>
      <c r="CD1185" s="5" t="s">
        <v>238</v>
      </c>
      <c r="CE1185" s="5" t="s">
        <v>238</v>
      </c>
      <c r="CI1185" s="5" t="s">
        <v>259</v>
      </c>
      <c r="CJ1185" s="5" t="s">
        <v>260</v>
      </c>
      <c r="CK1185" s="5" t="s">
        <v>238</v>
      </c>
      <c r="CM1185" s="5" t="s">
        <v>937</v>
      </c>
      <c r="CN1185" s="6" t="s">
        <v>262</v>
      </c>
      <c r="CO1185" s="5" t="s">
        <v>263</v>
      </c>
      <c r="CP1185" s="5" t="s">
        <v>264</v>
      </c>
      <c r="CQ1185" s="5" t="s">
        <v>285</v>
      </c>
      <c r="CR1185" s="5" t="s">
        <v>238</v>
      </c>
      <c r="CS1185" s="5">
        <v>3.3000000000000002E-2</v>
      </c>
      <c r="CT1185" s="5" t="s">
        <v>265</v>
      </c>
      <c r="CU1185" s="5" t="s">
        <v>1187</v>
      </c>
      <c r="CV1185" s="5" t="s">
        <v>649</v>
      </c>
      <c r="CW1185" s="7">
        <f>0</f>
        <v>0</v>
      </c>
      <c r="CX1185" s="8">
        <f>10054020</f>
        <v>10054020</v>
      </c>
      <c r="CY1185" s="8">
        <f>1095906</f>
        <v>1095906</v>
      </c>
      <c r="DA1185" s="5" t="s">
        <v>238</v>
      </c>
      <c r="DB1185" s="5" t="s">
        <v>238</v>
      </c>
      <c r="DD1185" s="5" t="s">
        <v>238</v>
      </c>
      <c r="DE1185" s="8">
        <f>0</f>
        <v>0</v>
      </c>
      <c r="DG1185" s="5" t="s">
        <v>238</v>
      </c>
      <c r="DH1185" s="5" t="s">
        <v>238</v>
      </c>
      <c r="DI1185" s="5" t="s">
        <v>238</v>
      </c>
      <c r="DJ1185" s="5" t="s">
        <v>238</v>
      </c>
      <c r="DK1185" s="5" t="s">
        <v>271</v>
      </c>
      <c r="DL1185" s="5" t="s">
        <v>272</v>
      </c>
      <c r="DM1185" s="7">
        <f>82.41</f>
        <v>82.41</v>
      </c>
      <c r="DN1185" s="5" t="s">
        <v>238</v>
      </c>
      <c r="DO1185" s="5" t="s">
        <v>238</v>
      </c>
      <c r="DP1185" s="5" t="s">
        <v>238</v>
      </c>
      <c r="DQ1185" s="5" t="s">
        <v>238</v>
      </c>
      <c r="DT1185" s="5" t="s">
        <v>1188</v>
      </c>
      <c r="DU1185" s="5" t="s">
        <v>389</v>
      </c>
      <c r="GL1185" s="5" t="s">
        <v>1190</v>
      </c>
      <c r="HM1185" s="5" t="s">
        <v>313</v>
      </c>
      <c r="HP1185" s="5" t="s">
        <v>272</v>
      </c>
      <c r="HQ1185" s="5" t="s">
        <v>272</v>
      </c>
      <c r="HR1185" s="5" t="s">
        <v>238</v>
      </c>
      <c r="HS1185" s="5" t="s">
        <v>238</v>
      </c>
      <c r="HT1185" s="5" t="s">
        <v>238</v>
      </c>
      <c r="HU1185" s="5" t="s">
        <v>238</v>
      </c>
      <c r="HV1185" s="5" t="s">
        <v>238</v>
      </c>
      <c r="HW1185" s="5" t="s">
        <v>238</v>
      </c>
      <c r="HX1185" s="5" t="s">
        <v>238</v>
      </c>
      <c r="HY1185" s="5" t="s">
        <v>238</v>
      </c>
      <c r="HZ1185" s="5" t="s">
        <v>238</v>
      </c>
      <c r="IA1185" s="5" t="s">
        <v>238</v>
      </c>
      <c r="IB1185" s="5" t="s">
        <v>238</v>
      </c>
      <c r="IC1185" s="5" t="s">
        <v>238</v>
      </c>
      <c r="ID1185" s="5" t="s">
        <v>238</v>
      </c>
    </row>
    <row r="1186" spans="1:238" x14ac:dyDescent="0.4">
      <c r="A1186" s="5">
        <v>1522</v>
      </c>
      <c r="B1186" s="5">
        <v>1</v>
      </c>
      <c r="C1186" s="5">
        <v>4</v>
      </c>
      <c r="D1186" s="5" t="s">
        <v>1182</v>
      </c>
      <c r="E1186" s="5" t="s">
        <v>1183</v>
      </c>
      <c r="F1186" s="5" t="s">
        <v>282</v>
      </c>
      <c r="G1186" s="5" t="s">
        <v>349</v>
      </c>
      <c r="H1186" s="6" t="s">
        <v>1186</v>
      </c>
      <c r="I1186" s="5" t="s">
        <v>1813</v>
      </c>
      <c r="J1186" s="7">
        <f>0</f>
        <v>0</v>
      </c>
      <c r="K1186" s="5" t="s">
        <v>270</v>
      </c>
      <c r="L1186" s="8">
        <f>223960208</f>
        <v>223960208</v>
      </c>
      <c r="M1186" s="8">
        <f>245570400</f>
        <v>245570400</v>
      </c>
      <c r="N1186" s="6" t="s">
        <v>1814</v>
      </c>
      <c r="O1186" s="5" t="s">
        <v>898</v>
      </c>
      <c r="P1186" s="5" t="s">
        <v>274</v>
      </c>
      <c r="Q1186" s="8">
        <f>5402548</f>
        <v>5402548</v>
      </c>
      <c r="R1186" s="8">
        <f>21610192</f>
        <v>21610192</v>
      </c>
      <c r="S1186" s="5" t="s">
        <v>240</v>
      </c>
      <c r="T1186" s="5" t="s">
        <v>287</v>
      </c>
      <c r="U1186" s="5" t="s">
        <v>238</v>
      </c>
      <c r="V1186" s="5" t="s">
        <v>238</v>
      </c>
      <c r="W1186" s="5" t="s">
        <v>241</v>
      </c>
      <c r="X1186" s="5" t="s">
        <v>238</v>
      </c>
      <c r="Y1186" s="5" t="s">
        <v>238</v>
      </c>
      <c r="AB1186" s="5" t="s">
        <v>238</v>
      </c>
      <c r="AC1186" s="6" t="s">
        <v>238</v>
      </c>
      <c r="AD1186" s="6" t="s">
        <v>238</v>
      </c>
      <c r="AF1186" s="6" t="s">
        <v>238</v>
      </c>
      <c r="AG1186" s="6" t="s">
        <v>246</v>
      </c>
      <c r="AH1186" s="5" t="s">
        <v>247</v>
      </c>
      <c r="AI1186" s="5" t="s">
        <v>248</v>
      </c>
      <c r="AO1186" s="5" t="s">
        <v>238</v>
      </c>
      <c r="AP1186" s="5" t="s">
        <v>238</v>
      </c>
      <c r="AQ1186" s="5" t="s">
        <v>238</v>
      </c>
      <c r="AR1186" s="6" t="s">
        <v>238</v>
      </c>
      <c r="AS1186" s="6" t="s">
        <v>238</v>
      </c>
      <c r="AT1186" s="6" t="s">
        <v>238</v>
      </c>
      <c r="AW1186" s="5" t="s">
        <v>304</v>
      </c>
      <c r="AX1186" s="5" t="s">
        <v>304</v>
      </c>
      <c r="AY1186" s="5" t="s">
        <v>250</v>
      </c>
      <c r="AZ1186" s="5" t="s">
        <v>305</v>
      </c>
      <c r="BA1186" s="5" t="s">
        <v>251</v>
      </c>
      <c r="BB1186" s="5" t="s">
        <v>238</v>
      </c>
      <c r="BC1186" s="5" t="s">
        <v>253</v>
      </c>
      <c r="BD1186" s="5" t="s">
        <v>238</v>
      </c>
      <c r="BF1186" s="5" t="s">
        <v>238</v>
      </c>
      <c r="BH1186" s="5" t="s">
        <v>283</v>
      </c>
      <c r="BI1186" s="6" t="s">
        <v>293</v>
      </c>
      <c r="BJ1186" s="5" t="s">
        <v>294</v>
      </c>
      <c r="BK1186" s="5" t="s">
        <v>294</v>
      </c>
      <c r="BL1186" s="5" t="s">
        <v>238</v>
      </c>
      <c r="BM1186" s="7">
        <f>0</f>
        <v>0</v>
      </c>
      <c r="BN1186" s="8">
        <f>-5402548</f>
        <v>-5402548</v>
      </c>
      <c r="BO1186" s="5" t="s">
        <v>257</v>
      </c>
      <c r="BP1186" s="5" t="s">
        <v>258</v>
      </c>
      <c r="BQ1186" s="5" t="s">
        <v>238</v>
      </c>
      <c r="BR1186" s="5" t="s">
        <v>238</v>
      </c>
      <c r="BS1186" s="5" t="s">
        <v>238</v>
      </c>
      <c r="BT1186" s="5" t="s">
        <v>238</v>
      </c>
      <c r="CC1186" s="5" t="s">
        <v>258</v>
      </c>
      <c r="CD1186" s="5" t="s">
        <v>238</v>
      </c>
      <c r="CE1186" s="5" t="s">
        <v>238</v>
      </c>
      <c r="CI1186" s="5" t="s">
        <v>259</v>
      </c>
      <c r="CJ1186" s="5" t="s">
        <v>260</v>
      </c>
      <c r="CK1186" s="5" t="s">
        <v>238</v>
      </c>
      <c r="CM1186" s="5" t="s">
        <v>402</v>
      </c>
      <c r="CN1186" s="6" t="s">
        <v>262</v>
      </c>
      <c r="CO1186" s="5" t="s">
        <v>263</v>
      </c>
      <c r="CP1186" s="5" t="s">
        <v>264</v>
      </c>
      <c r="CQ1186" s="5" t="s">
        <v>285</v>
      </c>
      <c r="CR1186" s="5" t="s">
        <v>238</v>
      </c>
      <c r="CS1186" s="5">
        <v>2.1999999999999999E-2</v>
      </c>
      <c r="CT1186" s="5" t="s">
        <v>265</v>
      </c>
      <c r="CU1186" s="5" t="s">
        <v>1803</v>
      </c>
      <c r="CV1186" s="5" t="s">
        <v>308</v>
      </c>
      <c r="CW1186" s="7">
        <f>0</f>
        <v>0</v>
      </c>
      <c r="CX1186" s="8">
        <f>245570400</f>
        <v>245570400</v>
      </c>
      <c r="CY1186" s="8">
        <f>229362756</f>
        <v>229362756</v>
      </c>
      <c r="DA1186" s="5" t="s">
        <v>238</v>
      </c>
      <c r="DB1186" s="5" t="s">
        <v>238</v>
      </c>
      <c r="DD1186" s="5" t="s">
        <v>238</v>
      </c>
      <c r="DE1186" s="8">
        <f>0</f>
        <v>0</v>
      </c>
      <c r="DG1186" s="5" t="s">
        <v>238</v>
      </c>
      <c r="DH1186" s="5" t="s">
        <v>238</v>
      </c>
      <c r="DI1186" s="5" t="s">
        <v>238</v>
      </c>
      <c r="DJ1186" s="5" t="s">
        <v>238</v>
      </c>
      <c r="DK1186" s="5" t="s">
        <v>272</v>
      </c>
      <c r="DL1186" s="5" t="s">
        <v>272</v>
      </c>
      <c r="DM1186" s="8" t="s">
        <v>238</v>
      </c>
      <c r="DN1186" s="5" t="s">
        <v>238</v>
      </c>
      <c r="DO1186" s="5" t="s">
        <v>238</v>
      </c>
      <c r="DP1186" s="5" t="s">
        <v>238</v>
      </c>
      <c r="DQ1186" s="5" t="s">
        <v>238</v>
      </c>
      <c r="DT1186" s="5" t="s">
        <v>1188</v>
      </c>
      <c r="DU1186" s="5" t="s">
        <v>354</v>
      </c>
      <c r="GL1186" s="5" t="s">
        <v>1815</v>
      </c>
      <c r="HM1186" s="5" t="s">
        <v>310</v>
      </c>
      <c r="HP1186" s="5" t="s">
        <v>272</v>
      </c>
      <c r="HQ1186" s="5" t="s">
        <v>272</v>
      </c>
      <c r="HR1186" s="5" t="s">
        <v>238</v>
      </c>
      <c r="HS1186" s="5" t="s">
        <v>238</v>
      </c>
      <c r="HT1186" s="5" t="s">
        <v>238</v>
      </c>
      <c r="HU1186" s="5" t="s">
        <v>238</v>
      </c>
      <c r="HV1186" s="5" t="s">
        <v>238</v>
      </c>
      <c r="HW1186" s="5" t="s">
        <v>238</v>
      </c>
      <c r="HX1186" s="5" t="s">
        <v>238</v>
      </c>
      <c r="HY1186" s="5" t="s">
        <v>238</v>
      </c>
      <c r="HZ1186" s="5" t="s">
        <v>238</v>
      </c>
      <c r="IA1186" s="5" t="s">
        <v>238</v>
      </c>
      <c r="IB1186" s="5" t="s">
        <v>238</v>
      </c>
      <c r="IC1186" s="5" t="s">
        <v>238</v>
      </c>
      <c r="ID1186" s="5" t="s">
        <v>238</v>
      </c>
    </row>
    <row r="1187" spans="1:238" x14ac:dyDescent="0.4">
      <c r="A1187" s="5">
        <v>1523</v>
      </c>
      <c r="B1187" s="5">
        <v>1</v>
      </c>
      <c r="C1187" s="5">
        <v>4</v>
      </c>
      <c r="D1187" s="5" t="s">
        <v>1182</v>
      </c>
      <c r="E1187" s="5" t="s">
        <v>1183</v>
      </c>
      <c r="F1187" s="5" t="s">
        <v>282</v>
      </c>
      <c r="G1187" s="5" t="s">
        <v>349</v>
      </c>
      <c r="H1187" s="6" t="s">
        <v>1186</v>
      </c>
      <c r="I1187" s="5" t="s">
        <v>2947</v>
      </c>
      <c r="J1187" s="7">
        <f>0</f>
        <v>0</v>
      </c>
      <c r="K1187" s="5" t="s">
        <v>270</v>
      </c>
      <c r="L1187" s="8">
        <f>505674</f>
        <v>505674</v>
      </c>
      <c r="M1187" s="8">
        <f>632880</f>
        <v>632880</v>
      </c>
      <c r="N1187" s="6" t="s">
        <v>2948</v>
      </c>
      <c r="O1187" s="5" t="s">
        <v>268</v>
      </c>
      <c r="P1187" s="5" t="s">
        <v>271</v>
      </c>
      <c r="Q1187" s="8">
        <f>42402</f>
        <v>42402</v>
      </c>
      <c r="R1187" s="8">
        <f>127206</f>
        <v>127206</v>
      </c>
      <c r="S1187" s="5" t="s">
        <v>240</v>
      </c>
      <c r="T1187" s="5" t="s">
        <v>287</v>
      </c>
      <c r="U1187" s="5" t="s">
        <v>238</v>
      </c>
      <c r="V1187" s="5" t="s">
        <v>238</v>
      </c>
      <c r="W1187" s="5" t="s">
        <v>241</v>
      </c>
      <c r="X1187" s="5" t="s">
        <v>238</v>
      </c>
      <c r="Y1187" s="5" t="s">
        <v>238</v>
      </c>
      <c r="AB1187" s="5" t="s">
        <v>238</v>
      </c>
      <c r="AC1187" s="6" t="s">
        <v>238</v>
      </c>
      <c r="AD1187" s="6" t="s">
        <v>238</v>
      </c>
      <c r="AF1187" s="6" t="s">
        <v>238</v>
      </c>
      <c r="AG1187" s="6" t="s">
        <v>246</v>
      </c>
      <c r="AH1187" s="5" t="s">
        <v>247</v>
      </c>
      <c r="AI1187" s="5" t="s">
        <v>248</v>
      </c>
      <c r="AO1187" s="5" t="s">
        <v>238</v>
      </c>
      <c r="AP1187" s="5" t="s">
        <v>238</v>
      </c>
      <c r="AQ1187" s="5" t="s">
        <v>238</v>
      </c>
      <c r="AR1187" s="6" t="s">
        <v>238</v>
      </c>
      <c r="AS1187" s="6" t="s">
        <v>238</v>
      </c>
      <c r="AT1187" s="6" t="s">
        <v>238</v>
      </c>
      <c r="AW1187" s="5" t="s">
        <v>304</v>
      </c>
      <c r="AX1187" s="5" t="s">
        <v>304</v>
      </c>
      <c r="AY1187" s="5" t="s">
        <v>250</v>
      </c>
      <c r="AZ1187" s="5" t="s">
        <v>305</v>
      </c>
      <c r="BA1187" s="5" t="s">
        <v>251</v>
      </c>
      <c r="BB1187" s="5" t="s">
        <v>238</v>
      </c>
      <c r="BC1187" s="5" t="s">
        <v>253</v>
      </c>
      <c r="BD1187" s="5" t="s">
        <v>238</v>
      </c>
      <c r="BF1187" s="5" t="s">
        <v>238</v>
      </c>
      <c r="BH1187" s="5" t="s">
        <v>283</v>
      </c>
      <c r="BI1187" s="6" t="s">
        <v>293</v>
      </c>
      <c r="BJ1187" s="5" t="s">
        <v>294</v>
      </c>
      <c r="BK1187" s="5" t="s">
        <v>294</v>
      </c>
      <c r="BL1187" s="5" t="s">
        <v>238</v>
      </c>
      <c r="BM1187" s="7">
        <f>0</f>
        <v>0</v>
      </c>
      <c r="BN1187" s="8">
        <f>-42402</f>
        <v>-42402</v>
      </c>
      <c r="BO1187" s="5" t="s">
        <v>257</v>
      </c>
      <c r="BP1187" s="5" t="s">
        <v>258</v>
      </c>
      <c r="BQ1187" s="5" t="s">
        <v>238</v>
      </c>
      <c r="BR1187" s="5" t="s">
        <v>238</v>
      </c>
      <c r="BS1187" s="5" t="s">
        <v>238</v>
      </c>
      <c r="BT1187" s="5" t="s">
        <v>238</v>
      </c>
      <c r="CC1187" s="5" t="s">
        <v>258</v>
      </c>
      <c r="CD1187" s="5" t="s">
        <v>238</v>
      </c>
      <c r="CE1187" s="5" t="s">
        <v>238</v>
      </c>
      <c r="CI1187" s="5" t="s">
        <v>259</v>
      </c>
      <c r="CJ1187" s="5" t="s">
        <v>260</v>
      </c>
      <c r="CK1187" s="5" t="s">
        <v>238</v>
      </c>
      <c r="CM1187" s="5" t="s">
        <v>291</v>
      </c>
      <c r="CN1187" s="6" t="s">
        <v>262</v>
      </c>
      <c r="CO1187" s="5" t="s">
        <v>263</v>
      </c>
      <c r="CP1187" s="5" t="s">
        <v>264</v>
      </c>
      <c r="CQ1187" s="5" t="s">
        <v>285</v>
      </c>
      <c r="CR1187" s="5" t="s">
        <v>238</v>
      </c>
      <c r="CS1187" s="5">
        <v>6.7000000000000004E-2</v>
      </c>
      <c r="CT1187" s="5" t="s">
        <v>265</v>
      </c>
      <c r="CU1187" s="5" t="s">
        <v>351</v>
      </c>
      <c r="CV1187" s="5" t="s">
        <v>365</v>
      </c>
      <c r="CW1187" s="7">
        <f>0</f>
        <v>0</v>
      </c>
      <c r="CX1187" s="8">
        <f>632880</f>
        <v>632880</v>
      </c>
      <c r="CY1187" s="8">
        <f>548076</f>
        <v>548076</v>
      </c>
      <c r="DA1187" s="5" t="s">
        <v>238</v>
      </c>
      <c r="DB1187" s="5" t="s">
        <v>238</v>
      </c>
      <c r="DD1187" s="5" t="s">
        <v>238</v>
      </c>
      <c r="DE1187" s="8">
        <f>0</f>
        <v>0</v>
      </c>
      <c r="DG1187" s="5" t="s">
        <v>238</v>
      </c>
      <c r="DH1187" s="5" t="s">
        <v>238</v>
      </c>
      <c r="DI1187" s="5" t="s">
        <v>238</v>
      </c>
      <c r="DJ1187" s="5" t="s">
        <v>238</v>
      </c>
      <c r="DK1187" s="5" t="s">
        <v>272</v>
      </c>
      <c r="DL1187" s="5" t="s">
        <v>272</v>
      </c>
      <c r="DM1187" s="8" t="s">
        <v>238</v>
      </c>
      <c r="DN1187" s="5" t="s">
        <v>238</v>
      </c>
      <c r="DO1187" s="5" t="s">
        <v>238</v>
      </c>
      <c r="DP1187" s="5" t="s">
        <v>238</v>
      </c>
      <c r="DQ1187" s="5" t="s">
        <v>238</v>
      </c>
      <c r="DT1187" s="5" t="s">
        <v>1188</v>
      </c>
      <c r="DU1187" s="5" t="s">
        <v>361</v>
      </c>
      <c r="GL1187" s="5" t="s">
        <v>2949</v>
      </c>
      <c r="HM1187" s="5" t="s">
        <v>356</v>
      </c>
      <c r="HP1187" s="5" t="s">
        <v>272</v>
      </c>
      <c r="HQ1187" s="5" t="s">
        <v>272</v>
      </c>
      <c r="HR1187" s="5" t="s">
        <v>238</v>
      </c>
      <c r="HS1187" s="5" t="s">
        <v>238</v>
      </c>
      <c r="HT1187" s="5" t="s">
        <v>238</v>
      </c>
      <c r="HU1187" s="5" t="s">
        <v>238</v>
      </c>
      <c r="HV1187" s="5" t="s">
        <v>238</v>
      </c>
      <c r="HW1187" s="5" t="s">
        <v>238</v>
      </c>
      <c r="HX1187" s="5" t="s">
        <v>238</v>
      </c>
      <c r="HY1187" s="5" t="s">
        <v>238</v>
      </c>
      <c r="HZ1187" s="5" t="s">
        <v>238</v>
      </c>
      <c r="IA1187" s="5" t="s">
        <v>238</v>
      </c>
      <c r="IB1187" s="5" t="s">
        <v>238</v>
      </c>
      <c r="IC1187" s="5" t="s">
        <v>238</v>
      </c>
      <c r="ID1187" s="5" t="s">
        <v>238</v>
      </c>
    </row>
    <row r="1188" spans="1:238" x14ac:dyDescent="0.4">
      <c r="A1188" s="5">
        <v>1524</v>
      </c>
      <c r="B1188" s="5">
        <v>1</v>
      </c>
      <c r="C1188" s="5">
        <v>4</v>
      </c>
      <c r="D1188" s="5" t="s">
        <v>1182</v>
      </c>
      <c r="E1188" s="5" t="s">
        <v>1183</v>
      </c>
      <c r="F1188" s="5" t="s">
        <v>282</v>
      </c>
      <c r="G1188" s="5" t="s">
        <v>349</v>
      </c>
      <c r="H1188" s="6" t="s">
        <v>1186</v>
      </c>
      <c r="I1188" s="5" t="s">
        <v>2950</v>
      </c>
      <c r="J1188" s="7">
        <f>0</f>
        <v>0</v>
      </c>
      <c r="K1188" s="5" t="s">
        <v>270</v>
      </c>
      <c r="L1188" s="8">
        <f>2533194</f>
        <v>2533194</v>
      </c>
      <c r="M1188" s="8">
        <f>3078000</f>
        <v>3078000</v>
      </c>
      <c r="N1188" s="6" t="s">
        <v>2951</v>
      </c>
      <c r="O1188" s="5" t="s">
        <v>631</v>
      </c>
      <c r="P1188" s="5" t="s">
        <v>271</v>
      </c>
      <c r="Q1188" s="8">
        <f>181602</f>
        <v>181602</v>
      </c>
      <c r="R1188" s="8">
        <f>544806</f>
        <v>544806</v>
      </c>
      <c r="S1188" s="5" t="s">
        <v>240</v>
      </c>
      <c r="T1188" s="5" t="s">
        <v>287</v>
      </c>
      <c r="U1188" s="5" t="s">
        <v>238</v>
      </c>
      <c r="V1188" s="5" t="s">
        <v>238</v>
      </c>
      <c r="W1188" s="5" t="s">
        <v>241</v>
      </c>
      <c r="X1188" s="5" t="s">
        <v>238</v>
      </c>
      <c r="Y1188" s="5" t="s">
        <v>238</v>
      </c>
      <c r="AB1188" s="5" t="s">
        <v>238</v>
      </c>
      <c r="AC1188" s="6" t="s">
        <v>238</v>
      </c>
      <c r="AD1188" s="6" t="s">
        <v>238</v>
      </c>
      <c r="AF1188" s="6" t="s">
        <v>238</v>
      </c>
      <c r="AG1188" s="6" t="s">
        <v>246</v>
      </c>
      <c r="AH1188" s="5" t="s">
        <v>247</v>
      </c>
      <c r="AI1188" s="5" t="s">
        <v>248</v>
      </c>
      <c r="AO1188" s="5" t="s">
        <v>238</v>
      </c>
      <c r="AP1188" s="5" t="s">
        <v>238</v>
      </c>
      <c r="AQ1188" s="5" t="s">
        <v>238</v>
      </c>
      <c r="AR1188" s="6" t="s">
        <v>238</v>
      </c>
      <c r="AS1188" s="6" t="s">
        <v>238</v>
      </c>
      <c r="AT1188" s="6" t="s">
        <v>238</v>
      </c>
      <c r="AW1188" s="5" t="s">
        <v>304</v>
      </c>
      <c r="AX1188" s="5" t="s">
        <v>304</v>
      </c>
      <c r="AY1188" s="5" t="s">
        <v>250</v>
      </c>
      <c r="AZ1188" s="5" t="s">
        <v>305</v>
      </c>
      <c r="BA1188" s="5" t="s">
        <v>251</v>
      </c>
      <c r="BB1188" s="5" t="s">
        <v>238</v>
      </c>
      <c r="BC1188" s="5" t="s">
        <v>253</v>
      </c>
      <c r="BD1188" s="5" t="s">
        <v>238</v>
      </c>
      <c r="BF1188" s="5" t="s">
        <v>238</v>
      </c>
      <c r="BH1188" s="5" t="s">
        <v>283</v>
      </c>
      <c r="BI1188" s="6" t="s">
        <v>293</v>
      </c>
      <c r="BJ1188" s="5" t="s">
        <v>294</v>
      </c>
      <c r="BK1188" s="5" t="s">
        <v>294</v>
      </c>
      <c r="BL1188" s="5" t="s">
        <v>238</v>
      </c>
      <c r="BM1188" s="7">
        <f>0</f>
        <v>0</v>
      </c>
      <c r="BN1188" s="8">
        <f>-181602</f>
        <v>-181602</v>
      </c>
      <c r="BO1188" s="5" t="s">
        <v>257</v>
      </c>
      <c r="BP1188" s="5" t="s">
        <v>258</v>
      </c>
      <c r="BQ1188" s="5" t="s">
        <v>238</v>
      </c>
      <c r="BR1188" s="5" t="s">
        <v>238</v>
      </c>
      <c r="BS1188" s="5" t="s">
        <v>238</v>
      </c>
      <c r="BT1188" s="5" t="s">
        <v>238</v>
      </c>
      <c r="CC1188" s="5" t="s">
        <v>258</v>
      </c>
      <c r="CD1188" s="5" t="s">
        <v>238</v>
      </c>
      <c r="CE1188" s="5" t="s">
        <v>238</v>
      </c>
      <c r="CI1188" s="5" t="s">
        <v>259</v>
      </c>
      <c r="CJ1188" s="5" t="s">
        <v>260</v>
      </c>
      <c r="CK1188" s="5" t="s">
        <v>238</v>
      </c>
      <c r="CM1188" s="5" t="s">
        <v>291</v>
      </c>
      <c r="CN1188" s="6" t="s">
        <v>262</v>
      </c>
      <c r="CO1188" s="5" t="s">
        <v>263</v>
      </c>
      <c r="CP1188" s="5" t="s">
        <v>264</v>
      </c>
      <c r="CQ1188" s="5" t="s">
        <v>285</v>
      </c>
      <c r="CR1188" s="5" t="s">
        <v>238</v>
      </c>
      <c r="CS1188" s="5">
        <v>5.8999999999999997E-2</v>
      </c>
      <c r="CT1188" s="5" t="s">
        <v>265</v>
      </c>
      <c r="CU1188" s="5" t="s">
        <v>351</v>
      </c>
      <c r="CV1188" s="5" t="s">
        <v>630</v>
      </c>
      <c r="CW1188" s="7">
        <f>0</f>
        <v>0</v>
      </c>
      <c r="CX1188" s="8">
        <f>3078000</f>
        <v>3078000</v>
      </c>
      <c r="CY1188" s="8">
        <f>2714796</f>
        <v>2714796</v>
      </c>
      <c r="DA1188" s="5" t="s">
        <v>238</v>
      </c>
      <c r="DB1188" s="5" t="s">
        <v>238</v>
      </c>
      <c r="DD1188" s="5" t="s">
        <v>238</v>
      </c>
      <c r="DE1188" s="8">
        <f>0</f>
        <v>0</v>
      </c>
      <c r="DG1188" s="5" t="s">
        <v>238</v>
      </c>
      <c r="DH1188" s="5" t="s">
        <v>238</v>
      </c>
      <c r="DI1188" s="5" t="s">
        <v>238</v>
      </c>
      <c r="DJ1188" s="5" t="s">
        <v>238</v>
      </c>
      <c r="DK1188" s="5" t="s">
        <v>272</v>
      </c>
      <c r="DL1188" s="5" t="s">
        <v>272</v>
      </c>
      <c r="DM1188" s="8" t="s">
        <v>238</v>
      </c>
      <c r="DN1188" s="5" t="s">
        <v>238</v>
      </c>
      <c r="DO1188" s="5" t="s">
        <v>238</v>
      </c>
      <c r="DP1188" s="5" t="s">
        <v>238</v>
      </c>
      <c r="DQ1188" s="5" t="s">
        <v>238</v>
      </c>
      <c r="DT1188" s="5" t="s">
        <v>1188</v>
      </c>
      <c r="DU1188" s="5" t="s">
        <v>377</v>
      </c>
      <c r="GL1188" s="5" t="s">
        <v>2952</v>
      </c>
      <c r="HM1188" s="5" t="s">
        <v>356</v>
      </c>
      <c r="HP1188" s="5" t="s">
        <v>272</v>
      </c>
      <c r="HQ1188" s="5" t="s">
        <v>272</v>
      </c>
      <c r="HR1188" s="5" t="s">
        <v>238</v>
      </c>
      <c r="HS1188" s="5" t="s">
        <v>238</v>
      </c>
      <c r="HT1188" s="5" t="s">
        <v>238</v>
      </c>
      <c r="HU1188" s="5" t="s">
        <v>238</v>
      </c>
      <c r="HV1188" s="5" t="s">
        <v>238</v>
      </c>
      <c r="HW1188" s="5" t="s">
        <v>238</v>
      </c>
      <c r="HX1188" s="5" t="s">
        <v>238</v>
      </c>
      <c r="HY1188" s="5" t="s">
        <v>238</v>
      </c>
      <c r="HZ1188" s="5" t="s">
        <v>238</v>
      </c>
      <c r="IA1188" s="5" t="s">
        <v>238</v>
      </c>
      <c r="IB1188" s="5" t="s">
        <v>238</v>
      </c>
      <c r="IC1188" s="5" t="s">
        <v>238</v>
      </c>
      <c r="ID1188" s="5" t="s">
        <v>238</v>
      </c>
    </row>
    <row r="1189" spans="1:238" x14ac:dyDescent="0.4">
      <c r="A1189" s="5">
        <v>1525</v>
      </c>
      <c r="B1189" s="5">
        <v>1</v>
      </c>
      <c r="C1189" s="5">
        <v>4</v>
      </c>
      <c r="D1189" s="5" t="s">
        <v>1182</v>
      </c>
      <c r="E1189" s="5" t="s">
        <v>1183</v>
      </c>
      <c r="F1189" s="5" t="s">
        <v>282</v>
      </c>
      <c r="G1189" s="5" t="s">
        <v>349</v>
      </c>
      <c r="H1189" s="6" t="s">
        <v>1186</v>
      </c>
      <c r="I1189" s="5" t="s">
        <v>2953</v>
      </c>
      <c r="J1189" s="7">
        <f>0</f>
        <v>0</v>
      </c>
      <c r="K1189" s="5" t="s">
        <v>270</v>
      </c>
      <c r="L1189" s="8">
        <f>2783880</f>
        <v>2783880</v>
      </c>
      <c r="M1189" s="8">
        <f>3135000</f>
        <v>3135000</v>
      </c>
      <c r="N1189" s="6" t="s">
        <v>2954</v>
      </c>
      <c r="O1189" s="5" t="s">
        <v>611</v>
      </c>
      <c r="P1189" s="5" t="s">
        <v>272</v>
      </c>
      <c r="Q1189" s="8">
        <f>3134999</f>
        <v>3134999</v>
      </c>
      <c r="R1189" s="8">
        <f>351120</f>
        <v>351120</v>
      </c>
      <c r="S1189" s="5" t="s">
        <v>240</v>
      </c>
      <c r="T1189" s="5" t="s">
        <v>287</v>
      </c>
      <c r="U1189" s="5" t="s">
        <v>238</v>
      </c>
      <c r="V1189" s="5" t="s">
        <v>238</v>
      </c>
      <c r="W1189" s="5" t="s">
        <v>241</v>
      </c>
      <c r="X1189" s="5" t="s">
        <v>238</v>
      </c>
      <c r="Y1189" s="5" t="s">
        <v>238</v>
      </c>
      <c r="AB1189" s="5" t="s">
        <v>238</v>
      </c>
      <c r="AC1189" s="6" t="s">
        <v>238</v>
      </c>
      <c r="AD1189" s="6" t="s">
        <v>238</v>
      </c>
      <c r="AF1189" s="6" t="s">
        <v>238</v>
      </c>
      <c r="AG1189" s="6" t="s">
        <v>246</v>
      </c>
      <c r="AH1189" s="5" t="s">
        <v>247</v>
      </c>
      <c r="AI1189" s="5" t="s">
        <v>248</v>
      </c>
      <c r="AO1189" s="5" t="s">
        <v>238</v>
      </c>
      <c r="AP1189" s="5" t="s">
        <v>238</v>
      </c>
      <c r="AQ1189" s="5" t="s">
        <v>238</v>
      </c>
      <c r="AR1189" s="6" t="s">
        <v>238</v>
      </c>
      <c r="AS1189" s="6" t="s">
        <v>238</v>
      </c>
      <c r="AT1189" s="6" t="s">
        <v>238</v>
      </c>
      <c r="AW1189" s="5" t="s">
        <v>304</v>
      </c>
      <c r="AX1189" s="5" t="s">
        <v>304</v>
      </c>
      <c r="AY1189" s="5" t="s">
        <v>250</v>
      </c>
      <c r="AZ1189" s="5" t="s">
        <v>305</v>
      </c>
      <c r="BA1189" s="5" t="s">
        <v>251</v>
      </c>
      <c r="BB1189" s="5" t="s">
        <v>238</v>
      </c>
      <c r="BC1189" s="5" t="s">
        <v>253</v>
      </c>
      <c r="BD1189" s="5" t="s">
        <v>238</v>
      </c>
      <c r="BF1189" s="5" t="s">
        <v>238</v>
      </c>
      <c r="BH1189" s="5" t="s">
        <v>283</v>
      </c>
      <c r="BI1189" s="6" t="s">
        <v>293</v>
      </c>
      <c r="BJ1189" s="5" t="s">
        <v>294</v>
      </c>
      <c r="BK1189" s="5" t="s">
        <v>294</v>
      </c>
      <c r="BL1189" s="5" t="s">
        <v>238</v>
      </c>
      <c r="BM1189" s="7">
        <f>0</f>
        <v>0</v>
      </c>
      <c r="BN1189" s="8">
        <f>-175560</f>
        <v>-175560</v>
      </c>
      <c r="BO1189" s="5" t="s">
        <v>257</v>
      </c>
      <c r="BP1189" s="5" t="s">
        <v>258</v>
      </c>
      <c r="BQ1189" s="5" t="s">
        <v>238</v>
      </c>
      <c r="BR1189" s="5" t="s">
        <v>238</v>
      </c>
      <c r="BS1189" s="5" t="s">
        <v>238</v>
      </c>
      <c r="BT1189" s="5" t="s">
        <v>238</v>
      </c>
      <c r="CC1189" s="5" t="s">
        <v>258</v>
      </c>
      <c r="CD1189" s="5" t="s">
        <v>238</v>
      </c>
      <c r="CE1189" s="5" t="s">
        <v>238</v>
      </c>
      <c r="CI1189" s="5" t="s">
        <v>259</v>
      </c>
      <c r="CJ1189" s="5" t="s">
        <v>260</v>
      </c>
      <c r="CK1189" s="5" t="s">
        <v>238</v>
      </c>
      <c r="CM1189" s="5" t="s">
        <v>408</v>
      </c>
      <c r="CN1189" s="6" t="s">
        <v>262</v>
      </c>
      <c r="CO1189" s="5" t="s">
        <v>263</v>
      </c>
      <c r="CP1189" s="5" t="s">
        <v>264</v>
      </c>
      <c r="CQ1189" s="5" t="s">
        <v>285</v>
      </c>
      <c r="CR1189" s="5" t="s">
        <v>238</v>
      </c>
      <c r="CS1189" s="5">
        <v>5.6000000000000001E-2</v>
      </c>
      <c r="CT1189" s="5" t="s">
        <v>265</v>
      </c>
      <c r="CU1189" s="5" t="s">
        <v>351</v>
      </c>
      <c r="CV1189" s="5" t="s">
        <v>610</v>
      </c>
      <c r="CW1189" s="7">
        <f>0</f>
        <v>0</v>
      </c>
      <c r="CX1189" s="8">
        <f>3135000</f>
        <v>3135000</v>
      </c>
      <c r="CY1189" s="8">
        <f>2959440</f>
        <v>2959440</v>
      </c>
      <c r="DA1189" s="5" t="s">
        <v>238</v>
      </c>
      <c r="DB1189" s="5" t="s">
        <v>238</v>
      </c>
      <c r="DD1189" s="5" t="s">
        <v>238</v>
      </c>
      <c r="DE1189" s="8">
        <f>0</f>
        <v>0</v>
      </c>
      <c r="DG1189" s="5" t="s">
        <v>238</v>
      </c>
      <c r="DH1189" s="5" t="s">
        <v>238</v>
      </c>
      <c r="DI1189" s="5" t="s">
        <v>238</v>
      </c>
      <c r="DJ1189" s="5" t="s">
        <v>238</v>
      </c>
      <c r="DK1189" s="5" t="s">
        <v>272</v>
      </c>
      <c r="DL1189" s="5" t="s">
        <v>272</v>
      </c>
      <c r="DM1189" s="8" t="s">
        <v>238</v>
      </c>
      <c r="DN1189" s="5" t="s">
        <v>238</v>
      </c>
      <c r="DO1189" s="5" t="s">
        <v>238</v>
      </c>
      <c r="DP1189" s="5" t="s">
        <v>238</v>
      </c>
      <c r="DQ1189" s="5" t="s">
        <v>238</v>
      </c>
      <c r="DT1189" s="5" t="s">
        <v>1188</v>
      </c>
      <c r="DU1189" s="5" t="s">
        <v>371</v>
      </c>
      <c r="GL1189" s="5" t="s">
        <v>2955</v>
      </c>
      <c r="HM1189" s="5" t="s">
        <v>274</v>
      </c>
      <c r="HP1189" s="5" t="s">
        <v>272</v>
      </c>
      <c r="HQ1189" s="5" t="s">
        <v>272</v>
      </c>
      <c r="HR1189" s="5" t="s">
        <v>238</v>
      </c>
      <c r="HS1189" s="5" t="s">
        <v>238</v>
      </c>
      <c r="HT1189" s="5" t="s">
        <v>238</v>
      </c>
      <c r="HU1189" s="5" t="s">
        <v>238</v>
      </c>
      <c r="HV1189" s="5" t="s">
        <v>238</v>
      </c>
      <c r="HW1189" s="5" t="s">
        <v>238</v>
      </c>
      <c r="HX1189" s="5" t="s">
        <v>238</v>
      </c>
      <c r="HY1189" s="5" t="s">
        <v>238</v>
      </c>
      <c r="HZ1189" s="5" t="s">
        <v>238</v>
      </c>
      <c r="IA1189" s="5" t="s">
        <v>238</v>
      </c>
      <c r="IB1189" s="5" t="s">
        <v>238</v>
      </c>
      <c r="IC1189" s="5" t="s">
        <v>238</v>
      </c>
      <c r="ID1189" s="5" t="s">
        <v>238</v>
      </c>
    </row>
    <row r="1190" spans="1:238" x14ac:dyDescent="0.4">
      <c r="A1190" s="5">
        <v>1526</v>
      </c>
      <c r="B1190" s="5">
        <v>1</v>
      </c>
      <c r="C1190" s="5">
        <v>4</v>
      </c>
      <c r="D1190" s="5" t="s">
        <v>1936</v>
      </c>
      <c r="E1190" s="5" t="s">
        <v>338</v>
      </c>
      <c r="F1190" s="5" t="s">
        <v>282</v>
      </c>
      <c r="G1190" s="5" t="s">
        <v>1937</v>
      </c>
      <c r="H1190" s="6" t="s">
        <v>1938</v>
      </c>
      <c r="I1190" s="5" t="s">
        <v>1935</v>
      </c>
      <c r="J1190" s="7">
        <f>599.1</f>
        <v>599.1</v>
      </c>
      <c r="K1190" s="5" t="s">
        <v>270</v>
      </c>
      <c r="L1190" s="8">
        <f>97629336</f>
        <v>97629336</v>
      </c>
      <c r="M1190" s="8">
        <f>232450800</f>
        <v>232450800</v>
      </c>
      <c r="N1190" s="6" t="s">
        <v>958</v>
      </c>
      <c r="O1190" s="5" t="s">
        <v>279</v>
      </c>
      <c r="P1190" s="5" t="s">
        <v>784</v>
      </c>
      <c r="Q1190" s="8">
        <f>4649016</f>
        <v>4649016</v>
      </c>
      <c r="R1190" s="8">
        <f>134821464</f>
        <v>134821464</v>
      </c>
      <c r="S1190" s="5" t="s">
        <v>240</v>
      </c>
      <c r="T1190" s="5" t="s">
        <v>237</v>
      </c>
      <c r="U1190" s="5" t="s">
        <v>238</v>
      </c>
      <c r="V1190" s="5" t="s">
        <v>238</v>
      </c>
      <c r="W1190" s="5" t="s">
        <v>241</v>
      </c>
      <c r="X1190" s="5" t="s">
        <v>337</v>
      </c>
      <c r="Y1190" s="5" t="s">
        <v>238</v>
      </c>
      <c r="AB1190" s="5" t="s">
        <v>238</v>
      </c>
      <c r="AC1190" s="6" t="s">
        <v>238</v>
      </c>
      <c r="AD1190" s="6" t="s">
        <v>238</v>
      </c>
      <c r="AF1190" s="6" t="s">
        <v>238</v>
      </c>
      <c r="AG1190" s="6" t="s">
        <v>246</v>
      </c>
      <c r="AH1190" s="5" t="s">
        <v>247</v>
      </c>
      <c r="AI1190" s="5" t="s">
        <v>248</v>
      </c>
      <c r="AO1190" s="5" t="s">
        <v>238</v>
      </c>
      <c r="AP1190" s="5" t="s">
        <v>238</v>
      </c>
      <c r="AQ1190" s="5" t="s">
        <v>238</v>
      </c>
      <c r="AR1190" s="6" t="s">
        <v>238</v>
      </c>
      <c r="AS1190" s="6" t="s">
        <v>238</v>
      </c>
      <c r="AT1190" s="6" t="s">
        <v>238</v>
      </c>
      <c r="AW1190" s="5" t="s">
        <v>304</v>
      </c>
      <c r="AX1190" s="5" t="s">
        <v>304</v>
      </c>
      <c r="AY1190" s="5" t="s">
        <v>250</v>
      </c>
      <c r="AZ1190" s="5" t="s">
        <v>305</v>
      </c>
      <c r="BA1190" s="5" t="s">
        <v>251</v>
      </c>
      <c r="BB1190" s="5" t="s">
        <v>238</v>
      </c>
      <c r="BC1190" s="5" t="s">
        <v>253</v>
      </c>
      <c r="BD1190" s="5" t="s">
        <v>238</v>
      </c>
      <c r="BF1190" s="5" t="s">
        <v>710</v>
      </c>
      <c r="BH1190" s="5" t="s">
        <v>283</v>
      </c>
      <c r="BI1190" s="6" t="s">
        <v>293</v>
      </c>
      <c r="BJ1190" s="5" t="s">
        <v>294</v>
      </c>
      <c r="BK1190" s="5" t="s">
        <v>294</v>
      </c>
      <c r="BL1190" s="5" t="s">
        <v>238</v>
      </c>
      <c r="BM1190" s="7">
        <f>0</f>
        <v>0</v>
      </c>
      <c r="BN1190" s="8">
        <f>-4649016</f>
        <v>-4649016</v>
      </c>
      <c r="BO1190" s="5" t="s">
        <v>257</v>
      </c>
      <c r="BP1190" s="5" t="s">
        <v>258</v>
      </c>
      <c r="BQ1190" s="5" t="s">
        <v>238</v>
      </c>
      <c r="BR1190" s="5" t="s">
        <v>238</v>
      </c>
      <c r="BS1190" s="5" t="s">
        <v>238</v>
      </c>
      <c r="BT1190" s="5" t="s">
        <v>238</v>
      </c>
      <c r="CC1190" s="5" t="s">
        <v>258</v>
      </c>
      <c r="CD1190" s="5" t="s">
        <v>238</v>
      </c>
      <c r="CE1190" s="5" t="s">
        <v>238</v>
      </c>
      <c r="CI1190" s="5" t="s">
        <v>259</v>
      </c>
      <c r="CJ1190" s="5" t="s">
        <v>260</v>
      </c>
      <c r="CK1190" s="5" t="s">
        <v>238</v>
      </c>
      <c r="CM1190" s="5" t="s">
        <v>783</v>
      </c>
      <c r="CN1190" s="6" t="s">
        <v>262</v>
      </c>
      <c r="CO1190" s="5" t="s">
        <v>263</v>
      </c>
      <c r="CP1190" s="5" t="s">
        <v>264</v>
      </c>
      <c r="CQ1190" s="5" t="s">
        <v>285</v>
      </c>
      <c r="CR1190" s="5" t="s">
        <v>238</v>
      </c>
      <c r="CS1190" s="5">
        <v>0.02</v>
      </c>
      <c r="CT1190" s="5" t="s">
        <v>265</v>
      </c>
      <c r="CU1190" s="5" t="s">
        <v>1333</v>
      </c>
      <c r="CV1190" s="5" t="s">
        <v>308</v>
      </c>
      <c r="CW1190" s="7">
        <f>0</f>
        <v>0</v>
      </c>
      <c r="CX1190" s="8">
        <f>232450800</f>
        <v>232450800</v>
      </c>
      <c r="CY1190" s="8">
        <f>102278352</f>
        <v>102278352</v>
      </c>
      <c r="DA1190" s="5" t="s">
        <v>238</v>
      </c>
      <c r="DB1190" s="5" t="s">
        <v>238</v>
      </c>
      <c r="DD1190" s="5" t="s">
        <v>238</v>
      </c>
      <c r="DE1190" s="8">
        <f>0</f>
        <v>0</v>
      </c>
      <c r="DG1190" s="5" t="s">
        <v>238</v>
      </c>
      <c r="DH1190" s="5" t="s">
        <v>238</v>
      </c>
      <c r="DI1190" s="5" t="s">
        <v>238</v>
      </c>
      <c r="DJ1190" s="5" t="s">
        <v>238</v>
      </c>
      <c r="DK1190" s="5" t="s">
        <v>274</v>
      </c>
      <c r="DL1190" s="5" t="s">
        <v>272</v>
      </c>
      <c r="DM1190" s="7">
        <f>599.1</f>
        <v>599.1</v>
      </c>
      <c r="DN1190" s="5" t="s">
        <v>238</v>
      </c>
      <c r="DO1190" s="5" t="s">
        <v>238</v>
      </c>
      <c r="DP1190" s="5" t="s">
        <v>238</v>
      </c>
      <c r="DQ1190" s="5" t="s">
        <v>238</v>
      </c>
      <c r="DT1190" s="5" t="s">
        <v>1939</v>
      </c>
      <c r="DU1190" s="5" t="s">
        <v>271</v>
      </c>
      <c r="GL1190" s="5" t="s">
        <v>1940</v>
      </c>
      <c r="HM1190" s="5" t="s">
        <v>389</v>
      </c>
      <c r="HP1190" s="5" t="s">
        <v>272</v>
      </c>
      <c r="HQ1190" s="5" t="s">
        <v>272</v>
      </c>
      <c r="HR1190" s="5" t="s">
        <v>238</v>
      </c>
      <c r="HS1190" s="5" t="s">
        <v>238</v>
      </c>
      <c r="HT1190" s="5" t="s">
        <v>238</v>
      </c>
      <c r="HU1190" s="5" t="s">
        <v>238</v>
      </c>
      <c r="HV1190" s="5" t="s">
        <v>238</v>
      </c>
      <c r="HW1190" s="5" t="s">
        <v>238</v>
      </c>
      <c r="HX1190" s="5" t="s">
        <v>238</v>
      </c>
      <c r="HY1190" s="5" t="s">
        <v>238</v>
      </c>
      <c r="HZ1190" s="5" t="s">
        <v>238</v>
      </c>
      <c r="IA1190" s="5" t="s">
        <v>238</v>
      </c>
      <c r="IB1190" s="5" t="s">
        <v>238</v>
      </c>
      <c r="IC1190" s="5" t="s">
        <v>238</v>
      </c>
      <c r="ID1190" s="5" t="s">
        <v>238</v>
      </c>
    </row>
    <row r="1191" spans="1:238" x14ac:dyDescent="0.4">
      <c r="A1191" s="5">
        <v>1529</v>
      </c>
      <c r="B1191" s="5">
        <v>1</v>
      </c>
      <c r="C1191" s="5">
        <v>1</v>
      </c>
      <c r="D1191" s="5" t="s">
        <v>2267</v>
      </c>
      <c r="E1191" s="5" t="s">
        <v>347</v>
      </c>
      <c r="F1191" s="5" t="s">
        <v>282</v>
      </c>
      <c r="G1191" s="5" t="s">
        <v>2266</v>
      </c>
      <c r="H1191" s="6" t="s">
        <v>1506</v>
      </c>
      <c r="I1191" s="5" t="s">
        <v>2266</v>
      </c>
      <c r="J1191" s="7">
        <f>237.35</f>
        <v>237.35</v>
      </c>
      <c r="K1191" s="5" t="s">
        <v>270</v>
      </c>
      <c r="L1191" s="8">
        <f>1</f>
        <v>1</v>
      </c>
      <c r="M1191" s="8">
        <f>45096500</f>
        <v>45096500</v>
      </c>
      <c r="N1191" s="6" t="s">
        <v>2268</v>
      </c>
      <c r="O1191" s="5" t="s">
        <v>650</v>
      </c>
      <c r="P1191" s="5" t="s">
        <v>650</v>
      </c>
      <c r="R1191" s="8">
        <f>45096499</f>
        <v>45096499</v>
      </c>
      <c r="S1191" s="5" t="s">
        <v>240</v>
      </c>
      <c r="T1191" s="5" t="s">
        <v>237</v>
      </c>
      <c r="U1191" s="5" t="s">
        <v>238</v>
      </c>
      <c r="V1191" s="5" t="s">
        <v>238</v>
      </c>
      <c r="W1191" s="5" t="s">
        <v>241</v>
      </c>
      <c r="X1191" s="5" t="s">
        <v>337</v>
      </c>
      <c r="Y1191" s="5" t="s">
        <v>238</v>
      </c>
      <c r="AB1191" s="5" t="s">
        <v>238</v>
      </c>
      <c r="AD1191" s="6" t="s">
        <v>238</v>
      </c>
      <c r="AG1191" s="6" t="s">
        <v>246</v>
      </c>
      <c r="AH1191" s="5" t="s">
        <v>247</v>
      </c>
      <c r="AI1191" s="5" t="s">
        <v>248</v>
      </c>
      <c r="AY1191" s="5" t="s">
        <v>250</v>
      </c>
      <c r="AZ1191" s="5" t="s">
        <v>238</v>
      </c>
      <c r="BA1191" s="5" t="s">
        <v>251</v>
      </c>
      <c r="BB1191" s="5" t="s">
        <v>238</v>
      </c>
      <c r="BC1191" s="5" t="s">
        <v>253</v>
      </c>
      <c r="BD1191" s="5" t="s">
        <v>238</v>
      </c>
      <c r="BF1191" s="5" t="s">
        <v>710</v>
      </c>
      <c r="BH1191" s="5" t="s">
        <v>254</v>
      </c>
      <c r="BI1191" s="6" t="s">
        <v>246</v>
      </c>
      <c r="BJ1191" s="5" t="s">
        <v>255</v>
      </c>
      <c r="BK1191" s="5" t="s">
        <v>294</v>
      </c>
      <c r="BL1191" s="5" t="s">
        <v>238</v>
      </c>
      <c r="BM1191" s="7">
        <f>0</f>
        <v>0</v>
      </c>
      <c r="BN1191" s="8">
        <f>0</f>
        <v>0</v>
      </c>
      <c r="BO1191" s="5" t="s">
        <v>257</v>
      </c>
      <c r="BP1191" s="5" t="s">
        <v>258</v>
      </c>
      <c r="CD1191" s="5" t="s">
        <v>238</v>
      </c>
      <c r="CE1191" s="5" t="s">
        <v>238</v>
      </c>
      <c r="CI1191" s="5" t="s">
        <v>259</v>
      </c>
      <c r="CJ1191" s="5" t="s">
        <v>260</v>
      </c>
      <c r="CK1191" s="5" t="s">
        <v>238</v>
      </c>
      <c r="CM1191" s="5" t="s">
        <v>689</v>
      </c>
      <c r="CN1191" s="6" t="s">
        <v>262</v>
      </c>
      <c r="CO1191" s="5" t="s">
        <v>263</v>
      </c>
      <c r="CP1191" s="5" t="s">
        <v>264</v>
      </c>
      <c r="CQ1191" s="5" t="s">
        <v>238</v>
      </c>
      <c r="CR1191" s="5" t="s">
        <v>238</v>
      </c>
      <c r="CS1191" s="5">
        <v>0</v>
      </c>
      <c r="CT1191" s="5" t="s">
        <v>265</v>
      </c>
      <c r="CU1191" s="5" t="s">
        <v>2254</v>
      </c>
      <c r="CV1191" s="5" t="s">
        <v>649</v>
      </c>
      <c r="CX1191" s="8">
        <f>45096500</f>
        <v>45096500</v>
      </c>
      <c r="CY1191" s="8">
        <f>0</f>
        <v>0</v>
      </c>
      <c r="DA1191" s="5" t="s">
        <v>238</v>
      </c>
      <c r="DB1191" s="5" t="s">
        <v>238</v>
      </c>
      <c r="DD1191" s="5" t="s">
        <v>238</v>
      </c>
      <c r="DG1191" s="5" t="s">
        <v>238</v>
      </c>
      <c r="DH1191" s="5" t="s">
        <v>238</v>
      </c>
      <c r="DI1191" s="5" t="s">
        <v>238</v>
      </c>
      <c r="DJ1191" s="5" t="s">
        <v>238</v>
      </c>
      <c r="DK1191" s="5" t="s">
        <v>271</v>
      </c>
      <c r="DL1191" s="5" t="s">
        <v>272</v>
      </c>
      <c r="DM1191" s="7">
        <f>237.35</f>
        <v>237.35</v>
      </c>
      <c r="DN1191" s="5" t="s">
        <v>238</v>
      </c>
      <c r="DO1191" s="5" t="s">
        <v>238</v>
      </c>
      <c r="DP1191" s="5" t="s">
        <v>238</v>
      </c>
      <c r="DQ1191" s="5" t="s">
        <v>238</v>
      </c>
      <c r="DT1191" s="5" t="s">
        <v>2269</v>
      </c>
      <c r="DU1191" s="5" t="s">
        <v>271</v>
      </c>
      <c r="HM1191" s="5" t="s">
        <v>356</v>
      </c>
      <c r="HP1191" s="5" t="s">
        <v>272</v>
      </c>
      <c r="HQ1191" s="5" t="s">
        <v>272</v>
      </c>
    </row>
    <row r="1192" spans="1:238" x14ac:dyDescent="0.4">
      <c r="A1192" s="5">
        <v>1530</v>
      </c>
      <c r="B1192" s="5">
        <v>1</v>
      </c>
      <c r="C1192" s="5">
        <v>4</v>
      </c>
      <c r="D1192" s="5" t="s">
        <v>238</v>
      </c>
      <c r="E1192" s="5" t="s">
        <v>1912</v>
      </c>
      <c r="F1192" s="5" t="s">
        <v>282</v>
      </c>
      <c r="G1192" s="5" t="s">
        <v>3943</v>
      </c>
      <c r="H1192" s="6" t="s">
        <v>3944</v>
      </c>
      <c r="I1192" s="5" t="s">
        <v>3941</v>
      </c>
      <c r="J1192" s="7">
        <f>897.12</f>
        <v>897.12</v>
      </c>
      <c r="K1192" s="5" t="s">
        <v>270</v>
      </c>
      <c r="L1192" s="8">
        <f>33486828</f>
        <v>33486828</v>
      </c>
      <c r="M1192" s="8">
        <f>205440480</f>
        <v>205440480</v>
      </c>
      <c r="N1192" s="6" t="s">
        <v>3942</v>
      </c>
      <c r="O1192" s="5" t="s">
        <v>639</v>
      </c>
      <c r="P1192" s="5" t="s">
        <v>690</v>
      </c>
      <c r="Q1192" s="8">
        <f>5546892</f>
        <v>5546892</v>
      </c>
      <c r="R1192" s="8">
        <f>171953652</f>
        <v>171953652</v>
      </c>
      <c r="S1192" s="5" t="s">
        <v>240</v>
      </c>
      <c r="T1192" s="5" t="s">
        <v>237</v>
      </c>
      <c r="W1192" s="5" t="s">
        <v>241</v>
      </c>
      <c r="X1192" s="5" t="s">
        <v>337</v>
      </c>
      <c r="Y1192" s="5" t="s">
        <v>238</v>
      </c>
      <c r="AB1192" s="5" t="s">
        <v>238</v>
      </c>
      <c r="AC1192" s="6" t="s">
        <v>238</v>
      </c>
      <c r="AD1192" s="6" t="s">
        <v>238</v>
      </c>
      <c r="AE1192" s="5" t="s">
        <v>238</v>
      </c>
      <c r="AF1192" s="6" t="s">
        <v>238</v>
      </c>
      <c r="AG1192" s="6" t="s">
        <v>246</v>
      </c>
      <c r="AH1192" s="5" t="s">
        <v>247</v>
      </c>
      <c r="AI1192" s="5" t="s">
        <v>248</v>
      </c>
      <c r="AO1192" s="5" t="s">
        <v>238</v>
      </c>
      <c r="AP1192" s="5" t="s">
        <v>238</v>
      </c>
      <c r="AQ1192" s="5" t="s">
        <v>238</v>
      </c>
      <c r="AR1192" s="6" t="s">
        <v>238</v>
      </c>
      <c r="AS1192" s="6" t="s">
        <v>238</v>
      </c>
      <c r="AT1192" s="6" t="s">
        <v>238</v>
      </c>
      <c r="AW1192" s="5" t="s">
        <v>304</v>
      </c>
      <c r="AX1192" s="5" t="s">
        <v>304</v>
      </c>
      <c r="AY1192" s="5" t="s">
        <v>250</v>
      </c>
      <c r="AZ1192" s="5" t="s">
        <v>305</v>
      </c>
      <c r="BA1192" s="5" t="s">
        <v>251</v>
      </c>
      <c r="BB1192" s="5" t="s">
        <v>238</v>
      </c>
      <c r="BC1192" s="5" t="s">
        <v>253</v>
      </c>
      <c r="BD1192" s="5" t="s">
        <v>3170</v>
      </c>
      <c r="BF1192" s="5" t="s">
        <v>238</v>
      </c>
      <c r="BH1192" s="5" t="s">
        <v>283</v>
      </c>
      <c r="BI1192" s="6" t="s">
        <v>293</v>
      </c>
      <c r="BJ1192" s="5" t="s">
        <v>294</v>
      </c>
      <c r="BK1192" s="5" t="s">
        <v>294</v>
      </c>
      <c r="BL1192" s="5" t="s">
        <v>238</v>
      </c>
      <c r="BM1192" s="7">
        <f>0</f>
        <v>0</v>
      </c>
      <c r="BN1192" s="8">
        <f>-5546892</f>
        <v>-5546892</v>
      </c>
      <c r="BO1192" s="5" t="s">
        <v>257</v>
      </c>
      <c r="BP1192" s="5" t="s">
        <v>258</v>
      </c>
      <c r="BQ1192" s="5" t="s">
        <v>238</v>
      </c>
      <c r="BR1192" s="5" t="s">
        <v>238</v>
      </c>
      <c r="BS1192" s="5" t="s">
        <v>238</v>
      </c>
      <c r="BT1192" s="5" t="s">
        <v>238</v>
      </c>
      <c r="BY1192" s="6" t="s">
        <v>3945</v>
      </c>
      <c r="BZ1192" s="5" t="s">
        <v>257</v>
      </c>
      <c r="CA1192" s="5" t="s">
        <v>238</v>
      </c>
      <c r="CB1192" s="5" t="s">
        <v>238</v>
      </c>
      <c r="CC1192" s="5" t="s">
        <v>258</v>
      </c>
      <c r="CD1192" s="5" t="s">
        <v>238</v>
      </c>
      <c r="CE1192" s="5" t="s">
        <v>238</v>
      </c>
      <c r="CI1192" s="5" t="s">
        <v>259</v>
      </c>
      <c r="CJ1192" s="5" t="s">
        <v>260</v>
      </c>
      <c r="CK1192" s="5" t="s">
        <v>272</v>
      </c>
      <c r="CM1192" s="5" t="s">
        <v>768</v>
      </c>
      <c r="CN1192" s="6" t="s">
        <v>262</v>
      </c>
      <c r="CO1192" s="5" t="s">
        <v>263</v>
      </c>
      <c r="CP1192" s="5" t="s">
        <v>264</v>
      </c>
      <c r="CQ1192" s="5" t="s">
        <v>285</v>
      </c>
      <c r="CR1192" s="5" t="s">
        <v>238</v>
      </c>
      <c r="CS1192" s="5">
        <v>2.7E-2</v>
      </c>
      <c r="CT1192" s="5" t="s">
        <v>265</v>
      </c>
      <c r="CU1192" s="5" t="s">
        <v>1333</v>
      </c>
      <c r="CV1192" s="5" t="s">
        <v>649</v>
      </c>
      <c r="CW1192" s="7">
        <f>0</f>
        <v>0</v>
      </c>
      <c r="CX1192" s="8">
        <f>205440480</f>
        <v>205440480</v>
      </c>
      <c r="CY1192" s="8">
        <f>39033720</f>
        <v>39033720</v>
      </c>
      <c r="CZ1192" s="8" t="s">
        <v>238</v>
      </c>
      <c r="DA1192" s="5" t="s">
        <v>238</v>
      </c>
      <c r="DB1192" s="5" t="s">
        <v>238</v>
      </c>
      <c r="DD1192" s="5" t="s">
        <v>238</v>
      </c>
      <c r="DE1192" s="8">
        <f>0</f>
        <v>0</v>
      </c>
      <c r="DF1192" s="6" t="s">
        <v>238</v>
      </c>
      <c r="DG1192" s="5" t="s">
        <v>238</v>
      </c>
      <c r="DH1192" s="5" t="s">
        <v>238</v>
      </c>
      <c r="DI1192" s="5" t="s">
        <v>238</v>
      </c>
      <c r="DJ1192" s="5" t="s">
        <v>238</v>
      </c>
      <c r="DK1192" s="5" t="s">
        <v>271</v>
      </c>
      <c r="DL1192" s="5" t="s">
        <v>272</v>
      </c>
      <c r="DM1192" s="7">
        <f>897.12</f>
        <v>897.12</v>
      </c>
      <c r="DN1192" s="5" t="s">
        <v>238</v>
      </c>
      <c r="DO1192" s="5" t="s">
        <v>247</v>
      </c>
      <c r="DP1192" s="5" t="s">
        <v>3170</v>
      </c>
      <c r="DQ1192" s="5" t="s">
        <v>3170</v>
      </c>
      <c r="DR1192" s="5" t="s">
        <v>238</v>
      </c>
      <c r="DS1192" s="5" t="s">
        <v>238</v>
      </c>
      <c r="DT1192" s="5" t="s">
        <v>3946</v>
      </c>
      <c r="DU1192" s="5" t="s">
        <v>271</v>
      </c>
      <c r="GL1192" s="5" t="s">
        <v>3947</v>
      </c>
      <c r="HP1192" s="5" t="s">
        <v>272</v>
      </c>
      <c r="HQ1192" s="5" t="s">
        <v>272</v>
      </c>
      <c r="HR1192" s="5" t="s">
        <v>238</v>
      </c>
      <c r="HS1192" s="5" t="s">
        <v>238</v>
      </c>
      <c r="HT1192" s="5" t="s">
        <v>238</v>
      </c>
      <c r="HU1192" s="5" t="s">
        <v>238</v>
      </c>
      <c r="HV1192" s="5" t="s">
        <v>238</v>
      </c>
      <c r="HW1192" s="5" t="s">
        <v>238</v>
      </c>
      <c r="HX1192" s="5" t="s">
        <v>238</v>
      </c>
      <c r="HY1192" s="5" t="s">
        <v>238</v>
      </c>
      <c r="HZ1192" s="5" t="s">
        <v>238</v>
      </c>
      <c r="IA1192" s="5" t="s">
        <v>238</v>
      </c>
      <c r="IB1192" s="5" t="s">
        <v>238</v>
      </c>
      <c r="IC1192" s="5" t="s">
        <v>238</v>
      </c>
      <c r="ID1192" s="5" t="s">
        <v>238</v>
      </c>
    </row>
    <row r="1193" spans="1:238" x14ac:dyDescent="0.4">
      <c r="A1193" s="5">
        <v>1533</v>
      </c>
      <c r="B1193" s="5">
        <v>1</v>
      </c>
      <c r="C1193" s="5">
        <v>2</v>
      </c>
      <c r="D1193" s="5" t="s">
        <v>3258</v>
      </c>
      <c r="E1193" s="5" t="s">
        <v>1503</v>
      </c>
      <c r="F1193" s="5" t="s">
        <v>252</v>
      </c>
      <c r="G1193" s="5" t="s">
        <v>3260</v>
      </c>
      <c r="H1193" s="6" t="s">
        <v>3261</v>
      </c>
      <c r="I1193" s="5" t="s">
        <v>3257</v>
      </c>
      <c r="J1193" s="7">
        <f>82.8</f>
        <v>82.8</v>
      </c>
      <c r="K1193" s="5" t="s">
        <v>270</v>
      </c>
      <c r="L1193" s="8">
        <f>1</f>
        <v>1</v>
      </c>
      <c r="M1193" s="8">
        <f>4968000</f>
        <v>4968000</v>
      </c>
      <c r="N1193" s="6" t="s">
        <v>3259</v>
      </c>
      <c r="O1193" s="5" t="s">
        <v>268</v>
      </c>
      <c r="P1193" s="5" t="s">
        <v>898</v>
      </c>
      <c r="R1193" s="8">
        <f>4967999</f>
        <v>4967999</v>
      </c>
      <c r="S1193" s="5" t="s">
        <v>240</v>
      </c>
      <c r="T1193" s="5" t="s">
        <v>237</v>
      </c>
      <c r="W1193" s="5" t="s">
        <v>241</v>
      </c>
      <c r="X1193" s="5" t="s">
        <v>453</v>
      </c>
      <c r="Y1193" s="5" t="s">
        <v>238</v>
      </c>
      <c r="AB1193" s="5" t="s">
        <v>238</v>
      </c>
      <c r="AC1193" s="6" t="s">
        <v>238</v>
      </c>
      <c r="AD1193" s="6" t="s">
        <v>238</v>
      </c>
      <c r="AF1193" s="6" t="s">
        <v>238</v>
      </c>
      <c r="AG1193" s="6" t="s">
        <v>246</v>
      </c>
      <c r="AH1193" s="5" t="s">
        <v>247</v>
      </c>
      <c r="AI1193" s="5" t="s">
        <v>248</v>
      </c>
      <c r="AT1193" s="6" t="s">
        <v>238</v>
      </c>
      <c r="AW1193" s="5" t="s">
        <v>304</v>
      </c>
      <c r="AX1193" s="5" t="s">
        <v>304</v>
      </c>
      <c r="AY1193" s="5" t="s">
        <v>250</v>
      </c>
      <c r="AZ1193" s="5" t="s">
        <v>305</v>
      </c>
      <c r="BA1193" s="5" t="s">
        <v>251</v>
      </c>
      <c r="BB1193" s="5" t="s">
        <v>238</v>
      </c>
      <c r="BC1193" s="5" t="s">
        <v>253</v>
      </c>
      <c r="BD1193" s="5" t="s">
        <v>238</v>
      </c>
      <c r="BF1193" s="5" t="s">
        <v>238</v>
      </c>
      <c r="BH1193" s="5" t="s">
        <v>283</v>
      </c>
      <c r="BI1193" s="6" t="s">
        <v>3262</v>
      </c>
      <c r="BJ1193" s="5" t="s">
        <v>255</v>
      </c>
      <c r="BK1193" s="5" t="s">
        <v>256</v>
      </c>
      <c r="BL1193" s="5" t="s">
        <v>238</v>
      </c>
      <c r="BM1193" s="7">
        <f>0</f>
        <v>0</v>
      </c>
      <c r="BN1193" s="8">
        <f>0</f>
        <v>0</v>
      </c>
      <c r="BO1193" s="5" t="s">
        <v>257</v>
      </c>
      <c r="BP1193" s="5" t="s">
        <v>258</v>
      </c>
      <c r="BQ1193" s="5" t="s">
        <v>238</v>
      </c>
      <c r="BR1193" s="5" t="s">
        <v>238</v>
      </c>
      <c r="BS1193" s="5" t="s">
        <v>238</v>
      </c>
      <c r="BT1193" s="5" t="s">
        <v>238</v>
      </c>
      <c r="CC1193" s="5" t="s">
        <v>258</v>
      </c>
      <c r="CD1193" s="5" t="s">
        <v>238</v>
      </c>
      <c r="CE1193" s="5" t="s">
        <v>238</v>
      </c>
      <c r="CI1193" s="5" t="s">
        <v>527</v>
      </c>
      <c r="CJ1193" s="5" t="s">
        <v>260</v>
      </c>
      <c r="CK1193" s="5" t="s">
        <v>238</v>
      </c>
      <c r="CM1193" s="5" t="s">
        <v>897</v>
      </c>
      <c r="CN1193" s="6" t="s">
        <v>262</v>
      </c>
      <c r="CO1193" s="5" t="s">
        <v>263</v>
      </c>
      <c r="CP1193" s="5" t="s">
        <v>264</v>
      </c>
      <c r="CQ1193" s="5" t="s">
        <v>285</v>
      </c>
      <c r="CR1193" s="5" t="s">
        <v>238</v>
      </c>
      <c r="CS1193" s="5">
        <v>0</v>
      </c>
      <c r="CT1193" s="5" t="s">
        <v>265</v>
      </c>
      <c r="CU1193" s="5" t="s">
        <v>2254</v>
      </c>
      <c r="CV1193" s="5" t="s">
        <v>267</v>
      </c>
      <c r="CW1193" s="7">
        <f>0</f>
        <v>0</v>
      </c>
      <c r="CX1193" s="8">
        <f>4968000</f>
        <v>4968000</v>
      </c>
      <c r="CY1193" s="8">
        <f>1</f>
        <v>1</v>
      </c>
      <c r="DA1193" s="5" t="s">
        <v>238</v>
      </c>
      <c r="DB1193" s="5" t="s">
        <v>238</v>
      </c>
      <c r="DD1193" s="5" t="s">
        <v>238</v>
      </c>
      <c r="DE1193" s="8">
        <f>0</f>
        <v>0</v>
      </c>
      <c r="DG1193" s="5" t="s">
        <v>238</v>
      </c>
      <c r="DH1193" s="5" t="s">
        <v>238</v>
      </c>
      <c r="DI1193" s="5" t="s">
        <v>238</v>
      </c>
      <c r="DJ1193" s="5" t="s">
        <v>238</v>
      </c>
      <c r="DK1193" s="5" t="s">
        <v>271</v>
      </c>
      <c r="DL1193" s="5" t="s">
        <v>272</v>
      </c>
      <c r="DM1193" s="7">
        <f>82.8</f>
        <v>82.8</v>
      </c>
      <c r="DN1193" s="5" t="s">
        <v>238</v>
      </c>
      <c r="DO1193" s="5" t="s">
        <v>238</v>
      </c>
      <c r="DP1193" s="5" t="s">
        <v>238</v>
      </c>
      <c r="DQ1193" s="5" t="s">
        <v>238</v>
      </c>
      <c r="DT1193" s="5" t="s">
        <v>3263</v>
      </c>
      <c r="DU1193" s="5" t="s">
        <v>271</v>
      </c>
      <c r="HM1193" s="5" t="s">
        <v>271</v>
      </c>
      <c r="HP1193" s="5" t="s">
        <v>272</v>
      </c>
      <c r="HQ1193" s="5" t="s">
        <v>272</v>
      </c>
      <c r="HR1193" s="5" t="s">
        <v>238</v>
      </c>
      <c r="HS1193" s="5" t="s">
        <v>238</v>
      </c>
      <c r="HT1193" s="5" t="s">
        <v>238</v>
      </c>
      <c r="HU1193" s="5" t="s">
        <v>238</v>
      </c>
      <c r="HV1193" s="5" t="s">
        <v>238</v>
      </c>
      <c r="HW1193" s="5" t="s">
        <v>238</v>
      </c>
      <c r="HX1193" s="5" t="s">
        <v>238</v>
      </c>
      <c r="HY1193" s="5" t="s">
        <v>238</v>
      </c>
      <c r="HZ1193" s="5" t="s">
        <v>238</v>
      </c>
      <c r="IA1193" s="5" t="s">
        <v>238</v>
      </c>
      <c r="IB1193" s="5" t="s">
        <v>238</v>
      </c>
      <c r="IC1193" s="5" t="s">
        <v>238</v>
      </c>
      <c r="ID1193" s="5" t="s">
        <v>238</v>
      </c>
    </row>
    <row r="1194" spans="1:238" x14ac:dyDescent="0.4">
      <c r="A1194" s="5">
        <v>1534</v>
      </c>
      <c r="B1194" s="5">
        <v>1</v>
      </c>
      <c r="C1194" s="5">
        <v>1</v>
      </c>
      <c r="D1194" s="5" t="s">
        <v>2288</v>
      </c>
      <c r="E1194" s="5" t="s">
        <v>1503</v>
      </c>
      <c r="F1194" s="5" t="s">
        <v>282</v>
      </c>
      <c r="G1194" s="5" t="s">
        <v>2289</v>
      </c>
      <c r="H1194" s="6" t="s">
        <v>2290</v>
      </c>
      <c r="I1194" s="5" t="s">
        <v>2287</v>
      </c>
      <c r="J1194" s="7">
        <f>97.72</f>
        <v>97.72</v>
      </c>
      <c r="K1194" s="5" t="s">
        <v>270</v>
      </c>
      <c r="L1194" s="8">
        <f>1</f>
        <v>1</v>
      </c>
      <c r="M1194" s="8">
        <f>16514680</f>
        <v>16514680</v>
      </c>
      <c r="N1194" s="6" t="s">
        <v>768</v>
      </c>
      <c r="O1194" s="5" t="s">
        <v>268</v>
      </c>
      <c r="P1194" s="5" t="s">
        <v>1040</v>
      </c>
      <c r="R1194" s="8">
        <f>16514679</f>
        <v>16514679</v>
      </c>
      <c r="S1194" s="5" t="s">
        <v>240</v>
      </c>
      <c r="T1194" s="5" t="s">
        <v>237</v>
      </c>
      <c r="U1194" s="5" t="s">
        <v>238</v>
      </c>
      <c r="V1194" s="5" t="s">
        <v>238</v>
      </c>
      <c r="W1194" s="5" t="s">
        <v>241</v>
      </c>
      <c r="X1194" s="5" t="s">
        <v>453</v>
      </c>
      <c r="Y1194" s="5" t="s">
        <v>238</v>
      </c>
      <c r="AB1194" s="5" t="s">
        <v>238</v>
      </c>
      <c r="AD1194" s="6" t="s">
        <v>238</v>
      </c>
      <c r="AG1194" s="6" t="s">
        <v>246</v>
      </c>
      <c r="AH1194" s="5" t="s">
        <v>247</v>
      </c>
      <c r="AI1194" s="5" t="s">
        <v>248</v>
      </c>
      <c r="AY1194" s="5" t="s">
        <v>250</v>
      </c>
      <c r="AZ1194" s="5" t="s">
        <v>238</v>
      </c>
      <c r="BA1194" s="5" t="s">
        <v>251</v>
      </c>
      <c r="BB1194" s="5" t="s">
        <v>238</v>
      </c>
      <c r="BC1194" s="5" t="s">
        <v>253</v>
      </c>
      <c r="BD1194" s="5" t="s">
        <v>238</v>
      </c>
      <c r="BF1194" s="5" t="s">
        <v>238</v>
      </c>
      <c r="BH1194" s="5" t="s">
        <v>254</v>
      </c>
      <c r="BI1194" s="6" t="s">
        <v>246</v>
      </c>
      <c r="BJ1194" s="5" t="s">
        <v>255</v>
      </c>
      <c r="BK1194" s="5" t="s">
        <v>256</v>
      </c>
      <c r="BL1194" s="5" t="s">
        <v>238</v>
      </c>
      <c r="BM1194" s="7">
        <f>0</f>
        <v>0</v>
      </c>
      <c r="BN1194" s="8">
        <f>0</f>
        <v>0</v>
      </c>
      <c r="BO1194" s="5" t="s">
        <v>257</v>
      </c>
      <c r="BP1194" s="5" t="s">
        <v>258</v>
      </c>
      <c r="CD1194" s="5" t="s">
        <v>238</v>
      </c>
      <c r="CE1194" s="5" t="s">
        <v>238</v>
      </c>
      <c r="CI1194" s="5" t="s">
        <v>259</v>
      </c>
      <c r="CJ1194" s="5" t="s">
        <v>260</v>
      </c>
      <c r="CK1194" s="5" t="s">
        <v>238</v>
      </c>
      <c r="CM1194" s="5" t="s">
        <v>958</v>
      </c>
      <c r="CN1194" s="6" t="s">
        <v>262</v>
      </c>
      <c r="CO1194" s="5" t="s">
        <v>263</v>
      </c>
      <c r="CP1194" s="5" t="s">
        <v>264</v>
      </c>
      <c r="CQ1194" s="5" t="s">
        <v>238</v>
      </c>
      <c r="CR1194" s="5" t="s">
        <v>238</v>
      </c>
      <c r="CS1194" s="5">
        <v>0</v>
      </c>
      <c r="CT1194" s="5" t="s">
        <v>265</v>
      </c>
      <c r="CU1194" s="5" t="s">
        <v>2254</v>
      </c>
      <c r="CV1194" s="5" t="s">
        <v>267</v>
      </c>
      <c r="CX1194" s="8">
        <f>16514680</f>
        <v>16514680</v>
      </c>
      <c r="CY1194" s="8">
        <f>0</f>
        <v>0</v>
      </c>
      <c r="DA1194" s="5" t="s">
        <v>238</v>
      </c>
      <c r="DB1194" s="5" t="s">
        <v>238</v>
      </c>
      <c r="DD1194" s="5" t="s">
        <v>238</v>
      </c>
      <c r="DG1194" s="5" t="s">
        <v>238</v>
      </c>
      <c r="DH1194" s="5" t="s">
        <v>238</v>
      </c>
      <c r="DI1194" s="5" t="s">
        <v>238</v>
      </c>
      <c r="DJ1194" s="5" t="s">
        <v>238</v>
      </c>
      <c r="DK1194" s="5" t="s">
        <v>271</v>
      </c>
      <c r="DL1194" s="5" t="s">
        <v>272</v>
      </c>
      <c r="DM1194" s="7">
        <f>97.72</f>
        <v>97.72</v>
      </c>
      <c r="DN1194" s="5" t="s">
        <v>238</v>
      </c>
      <c r="DO1194" s="5" t="s">
        <v>238</v>
      </c>
      <c r="DP1194" s="5" t="s">
        <v>238</v>
      </c>
      <c r="DQ1194" s="5" t="s">
        <v>238</v>
      </c>
      <c r="DT1194" s="5" t="s">
        <v>2291</v>
      </c>
      <c r="DU1194" s="5" t="s">
        <v>271</v>
      </c>
      <c r="HM1194" s="5" t="s">
        <v>271</v>
      </c>
      <c r="HP1194" s="5" t="s">
        <v>272</v>
      </c>
      <c r="HQ1194" s="5" t="s">
        <v>272</v>
      </c>
    </row>
    <row r="1195" spans="1:238" x14ac:dyDescent="0.4">
      <c r="A1195" s="5">
        <v>1535</v>
      </c>
      <c r="B1195" s="5">
        <v>1</v>
      </c>
      <c r="C1195" s="5">
        <v>1</v>
      </c>
      <c r="D1195" s="5" t="s">
        <v>2292</v>
      </c>
      <c r="E1195" s="5" t="s">
        <v>1503</v>
      </c>
      <c r="F1195" s="5" t="s">
        <v>282</v>
      </c>
      <c r="G1195" s="5" t="s">
        <v>2289</v>
      </c>
      <c r="H1195" s="6" t="s">
        <v>2293</v>
      </c>
      <c r="I1195" s="5" t="s">
        <v>2287</v>
      </c>
      <c r="J1195" s="7">
        <f>158.64</f>
        <v>158.63999999999999</v>
      </c>
      <c r="K1195" s="5" t="s">
        <v>270</v>
      </c>
      <c r="L1195" s="8">
        <f>1</f>
        <v>1</v>
      </c>
      <c r="M1195" s="8">
        <f>26968800</f>
        <v>26968800</v>
      </c>
      <c r="N1195" s="6" t="s">
        <v>937</v>
      </c>
      <c r="O1195" s="5" t="s">
        <v>268</v>
      </c>
      <c r="P1195" s="5" t="s">
        <v>712</v>
      </c>
      <c r="R1195" s="8">
        <f>26968799</f>
        <v>26968799</v>
      </c>
      <c r="S1195" s="5" t="s">
        <v>240</v>
      </c>
      <c r="T1195" s="5" t="s">
        <v>237</v>
      </c>
      <c r="U1195" s="5" t="s">
        <v>238</v>
      </c>
      <c r="V1195" s="5" t="s">
        <v>238</v>
      </c>
      <c r="W1195" s="5" t="s">
        <v>241</v>
      </c>
      <c r="X1195" s="5" t="s">
        <v>453</v>
      </c>
      <c r="Y1195" s="5" t="s">
        <v>238</v>
      </c>
      <c r="AB1195" s="5" t="s">
        <v>238</v>
      </c>
      <c r="AD1195" s="6" t="s">
        <v>238</v>
      </c>
      <c r="AG1195" s="6" t="s">
        <v>246</v>
      </c>
      <c r="AH1195" s="5" t="s">
        <v>247</v>
      </c>
      <c r="AI1195" s="5" t="s">
        <v>248</v>
      </c>
      <c r="AY1195" s="5" t="s">
        <v>250</v>
      </c>
      <c r="AZ1195" s="5" t="s">
        <v>238</v>
      </c>
      <c r="BA1195" s="5" t="s">
        <v>251</v>
      </c>
      <c r="BB1195" s="5" t="s">
        <v>238</v>
      </c>
      <c r="BC1195" s="5" t="s">
        <v>253</v>
      </c>
      <c r="BD1195" s="5" t="s">
        <v>238</v>
      </c>
      <c r="BF1195" s="5" t="s">
        <v>238</v>
      </c>
      <c r="BH1195" s="5" t="s">
        <v>254</v>
      </c>
      <c r="BI1195" s="6" t="s">
        <v>246</v>
      </c>
      <c r="BJ1195" s="5" t="s">
        <v>255</v>
      </c>
      <c r="BK1195" s="5" t="s">
        <v>256</v>
      </c>
      <c r="BL1195" s="5" t="s">
        <v>238</v>
      </c>
      <c r="BM1195" s="7">
        <f>0</f>
        <v>0</v>
      </c>
      <c r="BN1195" s="8">
        <f>0</f>
        <v>0</v>
      </c>
      <c r="BO1195" s="5" t="s">
        <v>257</v>
      </c>
      <c r="BP1195" s="5" t="s">
        <v>258</v>
      </c>
      <c r="CD1195" s="5" t="s">
        <v>238</v>
      </c>
      <c r="CE1195" s="5" t="s">
        <v>238</v>
      </c>
      <c r="CI1195" s="5" t="s">
        <v>259</v>
      </c>
      <c r="CJ1195" s="5" t="s">
        <v>260</v>
      </c>
      <c r="CK1195" s="5" t="s">
        <v>238</v>
      </c>
      <c r="CM1195" s="5" t="s">
        <v>638</v>
      </c>
      <c r="CN1195" s="6" t="s">
        <v>262</v>
      </c>
      <c r="CO1195" s="5" t="s">
        <v>263</v>
      </c>
      <c r="CP1195" s="5" t="s">
        <v>264</v>
      </c>
      <c r="CQ1195" s="5" t="s">
        <v>238</v>
      </c>
      <c r="CR1195" s="5" t="s">
        <v>238</v>
      </c>
      <c r="CS1195" s="5">
        <v>0</v>
      </c>
      <c r="CT1195" s="5" t="s">
        <v>265</v>
      </c>
      <c r="CU1195" s="5" t="s">
        <v>2254</v>
      </c>
      <c r="CV1195" s="5" t="s">
        <v>267</v>
      </c>
      <c r="CX1195" s="8">
        <f>26968800</f>
        <v>26968800</v>
      </c>
      <c r="CY1195" s="8">
        <f>0</f>
        <v>0</v>
      </c>
      <c r="DA1195" s="5" t="s">
        <v>238</v>
      </c>
      <c r="DB1195" s="5" t="s">
        <v>238</v>
      </c>
      <c r="DD1195" s="5" t="s">
        <v>238</v>
      </c>
      <c r="DG1195" s="5" t="s">
        <v>238</v>
      </c>
      <c r="DH1195" s="5" t="s">
        <v>238</v>
      </c>
      <c r="DI1195" s="5" t="s">
        <v>238</v>
      </c>
      <c r="DJ1195" s="5" t="s">
        <v>238</v>
      </c>
      <c r="DK1195" s="5" t="s">
        <v>271</v>
      </c>
      <c r="DL1195" s="5" t="s">
        <v>272</v>
      </c>
      <c r="DM1195" s="7">
        <f>158.64</f>
        <v>158.63999999999999</v>
      </c>
      <c r="DN1195" s="5" t="s">
        <v>238</v>
      </c>
      <c r="DO1195" s="5" t="s">
        <v>238</v>
      </c>
      <c r="DP1195" s="5" t="s">
        <v>238</v>
      </c>
      <c r="DQ1195" s="5" t="s">
        <v>238</v>
      </c>
      <c r="DT1195" s="5" t="s">
        <v>2294</v>
      </c>
      <c r="DU1195" s="5" t="s">
        <v>271</v>
      </c>
      <c r="HM1195" s="5" t="s">
        <v>271</v>
      </c>
      <c r="HP1195" s="5" t="s">
        <v>272</v>
      </c>
      <c r="HQ1195" s="5" t="s">
        <v>272</v>
      </c>
    </row>
    <row r="1196" spans="1:238" x14ac:dyDescent="0.4">
      <c r="A1196" s="5">
        <v>1536</v>
      </c>
      <c r="B1196" s="5">
        <v>1</v>
      </c>
      <c r="C1196" s="5">
        <v>4</v>
      </c>
      <c r="D1196" s="5" t="s">
        <v>801</v>
      </c>
      <c r="E1196" s="5" t="s">
        <v>803</v>
      </c>
      <c r="F1196" s="5" t="s">
        <v>282</v>
      </c>
      <c r="G1196" s="5" t="s">
        <v>1331</v>
      </c>
      <c r="H1196" s="6" t="s">
        <v>806</v>
      </c>
      <c r="I1196" s="5" t="s">
        <v>1334</v>
      </c>
      <c r="J1196" s="7">
        <f>38</f>
        <v>38</v>
      </c>
      <c r="K1196" s="5" t="s">
        <v>270</v>
      </c>
      <c r="L1196" s="8">
        <f>974852</f>
        <v>974852</v>
      </c>
      <c r="M1196" s="8">
        <f>4826000</f>
        <v>4826000</v>
      </c>
      <c r="N1196" s="6" t="s">
        <v>804</v>
      </c>
      <c r="O1196" s="5" t="s">
        <v>651</v>
      </c>
      <c r="P1196" s="5" t="s">
        <v>631</v>
      </c>
      <c r="Q1196" s="8">
        <f>202692</f>
        <v>202692</v>
      </c>
      <c r="R1196" s="8">
        <f>3851148</f>
        <v>3851148</v>
      </c>
      <c r="S1196" s="5" t="s">
        <v>240</v>
      </c>
      <c r="T1196" s="5" t="s">
        <v>237</v>
      </c>
      <c r="U1196" s="5" t="s">
        <v>238</v>
      </c>
      <c r="V1196" s="5" t="s">
        <v>238</v>
      </c>
      <c r="W1196" s="5" t="s">
        <v>241</v>
      </c>
      <c r="X1196" s="5" t="s">
        <v>802</v>
      </c>
      <c r="Y1196" s="5" t="s">
        <v>238</v>
      </c>
      <c r="AB1196" s="5" t="s">
        <v>238</v>
      </c>
      <c r="AC1196" s="6" t="s">
        <v>238</v>
      </c>
      <c r="AD1196" s="6" t="s">
        <v>238</v>
      </c>
      <c r="AF1196" s="6" t="s">
        <v>238</v>
      </c>
      <c r="AG1196" s="6" t="s">
        <v>246</v>
      </c>
      <c r="AH1196" s="5" t="s">
        <v>247</v>
      </c>
      <c r="AI1196" s="5" t="s">
        <v>248</v>
      </c>
      <c r="AO1196" s="5" t="s">
        <v>238</v>
      </c>
      <c r="AP1196" s="5" t="s">
        <v>238</v>
      </c>
      <c r="AQ1196" s="5" t="s">
        <v>238</v>
      </c>
      <c r="AR1196" s="6" t="s">
        <v>238</v>
      </c>
      <c r="AS1196" s="6" t="s">
        <v>238</v>
      </c>
      <c r="AT1196" s="6" t="s">
        <v>238</v>
      </c>
      <c r="AW1196" s="5" t="s">
        <v>304</v>
      </c>
      <c r="AX1196" s="5" t="s">
        <v>304</v>
      </c>
      <c r="AY1196" s="5" t="s">
        <v>250</v>
      </c>
      <c r="AZ1196" s="5" t="s">
        <v>305</v>
      </c>
      <c r="BA1196" s="5" t="s">
        <v>251</v>
      </c>
      <c r="BB1196" s="5" t="s">
        <v>238</v>
      </c>
      <c r="BC1196" s="5" t="s">
        <v>253</v>
      </c>
      <c r="BD1196" s="5" t="s">
        <v>238</v>
      </c>
      <c r="BF1196" s="5" t="s">
        <v>238</v>
      </c>
      <c r="BH1196" s="5" t="s">
        <v>283</v>
      </c>
      <c r="BI1196" s="6" t="s">
        <v>293</v>
      </c>
      <c r="BJ1196" s="5" t="s">
        <v>294</v>
      </c>
      <c r="BK1196" s="5" t="s">
        <v>294</v>
      </c>
      <c r="BL1196" s="5" t="s">
        <v>238</v>
      </c>
      <c r="BM1196" s="7">
        <f>0</f>
        <v>0</v>
      </c>
      <c r="BN1196" s="8">
        <f>-202692</f>
        <v>-202692</v>
      </c>
      <c r="BO1196" s="5" t="s">
        <v>257</v>
      </c>
      <c r="BP1196" s="5" t="s">
        <v>258</v>
      </c>
      <c r="BQ1196" s="5" t="s">
        <v>238</v>
      </c>
      <c r="BR1196" s="5" t="s">
        <v>238</v>
      </c>
      <c r="BS1196" s="5" t="s">
        <v>238</v>
      </c>
      <c r="BT1196" s="5" t="s">
        <v>238</v>
      </c>
      <c r="CC1196" s="5" t="s">
        <v>258</v>
      </c>
      <c r="CD1196" s="5" t="s">
        <v>238</v>
      </c>
      <c r="CE1196" s="5" t="s">
        <v>238</v>
      </c>
      <c r="CI1196" s="5" t="s">
        <v>259</v>
      </c>
      <c r="CJ1196" s="5" t="s">
        <v>260</v>
      </c>
      <c r="CK1196" s="5" t="s">
        <v>238</v>
      </c>
      <c r="CM1196" s="5" t="s">
        <v>807</v>
      </c>
      <c r="CN1196" s="6" t="s">
        <v>262</v>
      </c>
      <c r="CO1196" s="5" t="s">
        <v>263</v>
      </c>
      <c r="CP1196" s="5" t="s">
        <v>264</v>
      </c>
      <c r="CQ1196" s="5" t="s">
        <v>285</v>
      </c>
      <c r="CR1196" s="5" t="s">
        <v>238</v>
      </c>
      <c r="CS1196" s="5">
        <v>4.2000000000000003E-2</v>
      </c>
      <c r="CT1196" s="5" t="s">
        <v>265</v>
      </c>
      <c r="CU1196" s="5" t="s">
        <v>1333</v>
      </c>
      <c r="CV1196" s="5" t="s">
        <v>267</v>
      </c>
      <c r="CW1196" s="7">
        <f>0</f>
        <v>0</v>
      </c>
      <c r="CX1196" s="8">
        <f>4826000</f>
        <v>4826000</v>
      </c>
      <c r="CY1196" s="8">
        <f>1177544</f>
        <v>1177544</v>
      </c>
      <c r="DA1196" s="5" t="s">
        <v>238</v>
      </c>
      <c r="DB1196" s="5" t="s">
        <v>238</v>
      </c>
      <c r="DD1196" s="5" t="s">
        <v>238</v>
      </c>
      <c r="DE1196" s="8">
        <f>0</f>
        <v>0</v>
      </c>
      <c r="DG1196" s="5" t="s">
        <v>238</v>
      </c>
      <c r="DH1196" s="5" t="s">
        <v>238</v>
      </c>
      <c r="DI1196" s="5" t="s">
        <v>238</v>
      </c>
      <c r="DJ1196" s="5" t="s">
        <v>238</v>
      </c>
      <c r="DK1196" s="5" t="s">
        <v>271</v>
      </c>
      <c r="DL1196" s="5" t="s">
        <v>272</v>
      </c>
      <c r="DM1196" s="7">
        <f>38</f>
        <v>38</v>
      </c>
      <c r="DN1196" s="5" t="s">
        <v>238</v>
      </c>
      <c r="DO1196" s="5" t="s">
        <v>238</v>
      </c>
      <c r="DP1196" s="5" t="s">
        <v>238</v>
      </c>
      <c r="DQ1196" s="5" t="s">
        <v>238</v>
      </c>
      <c r="DT1196" s="5" t="s">
        <v>808</v>
      </c>
      <c r="DU1196" s="5" t="s">
        <v>271</v>
      </c>
      <c r="GL1196" s="5" t="s">
        <v>1989</v>
      </c>
      <c r="HM1196" s="5" t="s">
        <v>313</v>
      </c>
      <c r="HP1196" s="5" t="s">
        <v>272</v>
      </c>
      <c r="HQ1196" s="5" t="s">
        <v>272</v>
      </c>
      <c r="HR1196" s="5" t="s">
        <v>238</v>
      </c>
      <c r="HS1196" s="5" t="s">
        <v>238</v>
      </c>
      <c r="HT1196" s="5" t="s">
        <v>238</v>
      </c>
      <c r="HU1196" s="5" t="s">
        <v>238</v>
      </c>
      <c r="HV1196" s="5" t="s">
        <v>238</v>
      </c>
      <c r="HW1196" s="5" t="s">
        <v>238</v>
      </c>
      <c r="HX1196" s="5" t="s">
        <v>238</v>
      </c>
      <c r="HY1196" s="5" t="s">
        <v>238</v>
      </c>
      <c r="HZ1196" s="5" t="s">
        <v>238</v>
      </c>
      <c r="IA1196" s="5" t="s">
        <v>238</v>
      </c>
      <c r="IB1196" s="5" t="s">
        <v>238</v>
      </c>
      <c r="IC1196" s="5" t="s">
        <v>238</v>
      </c>
      <c r="ID1196" s="5" t="s">
        <v>238</v>
      </c>
    </row>
    <row r="1197" spans="1:238" x14ac:dyDescent="0.4">
      <c r="A1197" s="5">
        <v>1537</v>
      </c>
      <c r="B1197" s="5">
        <v>1</v>
      </c>
      <c r="C1197" s="5">
        <v>4</v>
      </c>
      <c r="D1197" s="5" t="s">
        <v>801</v>
      </c>
      <c r="E1197" s="5" t="s">
        <v>803</v>
      </c>
      <c r="F1197" s="5" t="s">
        <v>282</v>
      </c>
      <c r="G1197" s="5" t="s">
        <v>805</v>
      </c>
      <c r="H1197" s="6" t="s">
        <v>806</v>
      </c>
      <c r="I1197" s="5" t="s">
        <v>800</v>
      </c>
      <c r="J1197" s="7">
        <f>456</f>
        <v>456</v>
      </c>
      <c r="K1197" s="5" t="s">
        <v>270</v>
      </c>
      <c r="L1197" s="8">
        <f>16158360</f>
        <v>16158360</v>
      </c>
      <c r="M1197" s="8">
        <f>43320000</f>
        <v>43320000</v>
      </c>
      <c r="N1197" s="6" t="s">
        <v>804</v>
      </c>
      <c r="O1197" s="5" t="s">
        <v>650</v>
      </c>
      <c r="P1197" s="5" t="s">
        <v>631</v>
      </c>
      <c r="Q1197" s="8">
        <f>1429560</f>
        <v>1429560</v>
      </c>
      <c r="R1197" s="8">
        <f>27161640</f>
        <v>27161640</v>
      </c>
      <c r="S1197" s="5" t="s">
        <v>240</v>
      </c>
      <c r="T1197" s="5" t="s">
        <v>237</v>
      </c>
      <c r="U1197" s="5" t="s">
        <v>238</v>
      </c>
      <c r="V1197" s="5" t="s">
        <v>238</v>
      </c>
      <c r="W1197" s="5" t="s">
        <v>241</v>
      </c>
      <c r="X1197" s="5" t="s">
        <v>802</v>
      </c>
      <c r="Y1197" s="5" t="s">
        <v>238</v>
      </c>
      <c r="AB1197" s="5" t="s">
        <v>238</v>
      </c>
      <c r="AC1197" s="6" t="s">
        <v>238</v>
      </c>
      <c r="AD1197" s="6" t="s">
        <v>238</v>
      </c>
      <c r="AF1197" s="6" t="s">
        <v>238</v>
      </c>
      <c r="AG1197" s="6" t="s">
        <v>246</v>
      </c>
      <c r="AH1197" s="5" t="s">
        <v>247</v>
      </c>
      <c r="AI1197" s="5" t="s">
        <v>248</v>
      </c>
      <c r="AO1197" s="5" t="s">
        <v>238</v>
      </c>
      <c r="AP1197" s="5" t="s">
        <v>238</v>
      </c>
      <c r="AQ1197" s="5" t="s">
        <v>238</v>
      </c>
      <c r="AR1197" s="6" t="s">
        <v>238</v>
      </c>
      <c r="AS1197" s="6" t="s">
        <v>238</v>
      </c>
      <c r="AT1197" s="6" t="s">
        <v>238</v>
      </c>
      <c r="AW1197" s="5" t="s">
        <v>304</v>
      </c>
      <c r="AX1197" s="5" t="s">
        <v>304</v>
      </c>
      <c r="AY1197" s="5" t="s">
        <v>250</v>
      </c>
      <c r="AZ1197" s="5" t="s">
        <v>305</v>
      </c>
      <c r="BA1197" s="5" t="s">
        <v>251</v>
      </c>
      <c r="BB1197" s="5" t="s">
        <v>238</v>
      </c>
      <c r="BC1197" s="5" t="s">
        <v>253</v>
      </c>
      <c r="BD1197" s="5" t="s">
        <v>238</v>
      </c>
      <c r="BF1197" s="5" t="s">
        <v>238</v>
      </c>
      <c r="BH1197" s="5" t="s">
        <v>283</v>
      </c>
      <c r="BI1197" s="6" t="s">
        <v>293</v>
      </c>
      <c r="BJ1197" s="5" t="s">
        <v>294</v>
      </c>
      <c r="BK1197" s="5" t="s">
        <v>294</v>
      </c>
      <c r="BL1197" s="5" t="s">
        <v>238</v>
      </c>
      <c r="BM1197" s="7">
        <f>0</f>
        <v>0</v>
      </c>
      <c r="BN1197" s="8">
        <f>-1429560</f>
        <v>-1429560</v>
      </c>
      <c r="BO1197" s="5" t="s">
        <v>257</v>
      </c>
      <c r="BP1197" s="5" t="s">
        <v>258</v>
      </c>
      <c r="BQ1197" s="5" t="s">
        <v>238</v>
      </c>
      <c r="BR1197" s="5" t="s">
        <v>238</v>
      </c>
      <c r="BS1197" s="5" t="s">
        <v>238</v>
      </c>
      <c r="BT1197" s="5" t="s">
        <v>238</v>
      </c>
      <c r="CC1197" s="5" t="s">
        <v>258</v>
      </c>
      <c r="CD1197" s="5" t="s">
        <v>238</v>
      </c>
      <c r="CE1197" s="5" t="s">
        <v>238</v>
      </c>
      <c r="CI1197" s="5" t="s">
        <v>259</v>
      </c>
      <c r="CJ1197" s="5" t="s">
        <v>260</v>
      </c>
      <c r="CK1197" s="5" t="s">
        <v>238</v>
      </c>
      <c r="CM1197" s="5" t="s">
        <v>807</v>
      </c>
      <c r="CN1197" s="6" t="s">
        <v>262</v>
      </c>
      <c r="CO1197" s="5" t="s">
        <v>263</v>
      </c>
      <c r="CP1197" s="5" t="s">
        <v>264</v>
      </c>
      <c r="CQ1197" s="5" t="s">
        <v>285</v>
      </c>
      <c r="CR1197" s="5" t="s">
        <v>238</v>
      </c>
      <c r="CS1197" s="5">
        <v>3.3000000000000002E-2</v>
      </c>
      <c r="CT1197" s="5" t="s">
        <v>265</v>
      </c>
      <c r="CU1197" s="5" t="s">
        <v>266</v>
      </c>
      <c r="CV1197" s="5" t="s">
        <v>649</v>
      </c>
      <c r="CW1197" s="7">
        <f>0</f>
        <v>0</v>
      </c>
      <c r="CX1197" s="8">
        <f>43320000</f>
        <v>43320000</v>
      </c>
      <c r="CY1197" s="8">
        <f>17587920</f>
        <v>17587920</v>
      </c>
      <c r="DA1197" s="5" t="s">
        <v>238</v>
      </c>
      <c r="DB1197" s="5" t="s">
        <v>238</v>
      </c>
      <c r="DD1197" s="5" t="s">
        <v>238</v>
      </c>
      <c r="DE1197" s="8">
        <f>0</f>
        <v>0</v>
      </c>
      <c r="DG1197" s="5" t="s">
        <v>238</v>
      </c>
      <c r="DH1197" s="5" t="s">
        <v>238</v>
      </c>
      <c r="DI1197" s="5" t="s">
        <v>238</v>
      </c>
      <c r="DJ1197" s="5" t="s">
        <v>238</v>
      </c>
      <c r="DK1197" s="5" t="s">
        <v>271</v>
      </c>
      <c r="DL1197" s="5" t="s">
        <v>272</v>
      </c>
      <c r="DM1197" s="7">
        <f>456</f>
        <v>456</v>
      </c>
      <c r="DN1197" s="5" t="s">
        <v>238</v>
      </c>
      <c r="DO1197" s="5" t="s">
        <v>238</v>
      </c>
      <c r="DP1197" s="5" t="s">
        <v>238</v>
      </c>
      <c r="DQ1197" s="5" t="s">
        <v>238</v>
      </c>
      <c r="DT1197" s="5" t="s">
        <v>808</v>
      </c>
      <c r="DU1197" s="5" t="s">
        <v>274</v>
      </c>
      <c r="GL1197" s="5" t="s">
        <v>809</v>
      </c>
      <c r="HM1197" s="5" t="s">
        <v>313</v>
      </c>
      <c r="HP1197" s="5" t="s">
        <v>272</v>
      </c>
      <c r="HQ1197" s="5" t="s">
        <v>272</v>
      </c>
      <c r="HR1197" s="5" t="s">
        <v>238</v>
      </c>
      <c r="HS1197" s="5" t="s">
        <v>238</v>
      </c>
      <c r="HT1197" s="5" t="s">
        <v>238</v>
      </c>
      <c r="HU1197" s="5" t="s">
        <v>238</v>
      </c>
      <c r="HV1197" s="5" t="s">
        <v>238</v>
      </c>
      <c r="HW1197" s="5" t="s">
        <v>238</v>
      </c>
      <c r="HX1197" s="5" t="s">
        <v>238</v>
      </c>
      <c r="HY1197" s="5" t="s">
        <v>238</v>
      </c>
      <c r="HZ1197" s="5" t="s">
        <v>238</v>
      </c>
      <c r="IA1197" s="5" t="s">
        <v>238</v>
      </c>
      <c r="IB1197" s="5" t="s">
        <v>238</v>
      </c>
      <c r="IC1197" s="5" t="s">
        <v>238</v>
      </c>
      <c r="ID1197" s="5" t="s">
        <v>238</v>
      </c>
    </row>
    <row r="1198" spans="1:238" x14ac:dyDescent="0.4">
      <c r="A1198" s="5">
        <v>1538</v>
      </c>
      <c r="B1198" s="5">
        <v>1</v>
      </c>
      <c r="C1198" s="5">
        <v>1</v>
      </c>
      <c r="D1198" s="5" t="s">
        <v>801</v>
      </c>
      <c r="E1198" s="5" t="s">
        <v>803</v>
      </c>
      <c r="F1198" s="5" t="s">
        <v>282</v>
      </c>
      <c r="G1198" s="5" t="s">
        <v>2366</v>
      </c>
      <c r="H1198" s="6" t="s">
        <v>806</v>
      </c>
      <c r="I1198" s="5" t="s">
        <v>2366</v>
      </c>
      <c r="J1198" s="7">
        <f>2349</f>
        <v>2349</v>
      </c>
      <c r="K1198" s="5" t="s">
        <v>270</v>
      </c>
      <c r="L1198" s="8">
        <f>1</f>
        <v>1</v>
      </c>
      <c r="M1198" s="8">
        <f>382887000</f>
        <v>382887000</v>
      </c>
      <c r="N1198" s="6" t="s">
        <v>804</v>
      </c>
      <c r="O1198" s="5" t="s">
        <v>268</v>
      </c>
      <c r="P1198" s="5" t="s">
        <v>268</v>
      </c>
      <c r="R1198" s="8">
        <f>382886999</f>
        <v>382886999</v>
      </c>
      <c r="S1198" s="5" t="s">
        <v>240</v>
      </c>
      <c r="T1198" s="5" t="s">
        <v>237</v>
      </c>
      <c r="U1198" s="5" t="s">
        <v>238</v>
      </c>
      <c r="V1198" s="5" t="s">
        <v>238</v>
      </c>
      <c r="W1198" s="5" t="s">
        <v>241</v>
      </c>
      <c r="X1198" s="5" t="s">
        <v>802</v>
      </c>
      <c r="Y1198" s="5" t="s">
        <v>238</v>
      </c>
      <c r="AB1198" s="5" t="s">
        <v>238</v>
      </c>
      <c r="AD1198" s="6" t="s">
        <v>238</v>
      </c>
      <c r="AG1198" s="6" t="s">
        <v>246</v>
      </c>
      <c r="AH1198" s="5" t="s">
        <v>247</v>
      </c>
      <c r="AI1198" s="5" t="s">
        <v>248</v>
      </c>
      <c r="AY1198" s="5" t="s">
        <v>250</v>
      </c>
      <c r="AZ1198" s="5" t="s">
        <v>238</v>
      </c>
      <c r="BA1198" s="5" t="s">
        <v>251</v>
      </c>
      <c r="BB1198" s="5" t="s">
        <v>238</v>
      </c>
      <c r="BC1198" s="5" t="s">
        <v>253</v>
      </c>
      <c r="BD1198" s="5" t="s">
        <v>238</v>
      </c>
      <c r="BF1198" s="5" t="s">
        <v>238</v>
      </c>
      <c r="BH1198" s="5" t="s">
        <v>859</v>
      </c>
      <c r="BI1198" s="6" t="s">
        <v>368</v>
      </c>
      <c r="BJ1198" s="5" t="s">
        <v>255</v>
      </c>
      <c r="BK1198" s="5" t="s">
        <v>294</v>
      </c>
      <c r="BL1198" s="5" t="s">
        <v>238</v>
      </c>
      <c r="BM1198" s="7">
        <f>0</f>
        <v>0</v>
      </c>
      <c r="BN1198" s="8">
        <f>0</f>
        <v>0</v>
      </c>
      <c r="BO1198" s="5" t="s">
        <v>257</v>
      </c>
      <c r="BP1198" s="5" t="s">
        <v>258</v>
      </c>
      <c r="CD1198" s="5" t="s">
        <v>238</v>
      </c>
      <c r="CE1198" s="5" t="s">
        <v>238</v>
      </c>
      <c r="CI1198" s="5" t="s">
        <v>259</v>
      </c>
      <c r="CJ1198" s="5" t="s">
        <v>260</v>
      </c>
      <c r="CK1198" s="5" t="s">
        <v>238</v>
      </c>
      <c r="CM1198" s="5" t="s">
        <v>807</v>
      </c>
      <c r="CN1198" s="6" t="s">
        <v>262</v>
      </c>
      <c r="CO1198" s="5" t="s">
        <v>263</v>
      </c>
      <c r="CP1198" s="5" t="s">
        <v>264</v>
      </c>
      <c r="CQ1198" s="5" t="s">
        <v>238</v>
      </c>
      <c r="CR1198" s="5" t="s">
        <v>238</v>
      </c>
      <c r="CS1198" s="5">
        <v>0</v>
      </c>
      <c r="CT1198" s="5" t="s">
        <v>265</v>
      </c>
      <c r="CU1198" s="5" t="s">
        <v>2321</v>
      </c>
      <c r="CV1198" s="5" t="s">
        <v>267</v>
      </c>
      <c r="CX1198" s="8">
        <f>382887000</f>
        <v>382887000</v>
      </c>
      <c r="CY1198" s="8">
        <f>0</f>
        <v>0</v>
      </c>
      <c r="DA1198" s="5" t="s">
        <v>238</v>
      </c>
      <c r="DB1198" s="5" t="s">
        <v>238</v>
      </c>
      <c r="DD1198" s="5" t="s">
        <v>238</v>
      </c>
      <c r="DG1198" s="5" t="s">
        <v>238</v>
      </c>
      <c r="DH1198" s="5" t="s">
        <v>238</v>
      </c>
      <c r="DI1198" s="5" t="s">
        <v>238</v>
      </c>
      <c r="DJ1198" s="5" t="s">
        <v>238</v>
      </c>
      <c r="DK1198" s="5" t="s">
        <v>271</v>
      </c>
      <c r="DL1198" s="5" t="s">
        <v>272</v>
      </c>
      <c r="DM1198" s="7">
        <f>2349</f>
        <v>2349</v>
      </c>
      <c r="DN1198" s="5" t="s">
        <v>238</v>
      </c>
      <c r="DO1198" s="5" t="s">
        <v>238</v>
      </c>
      <c r="DP1198" s="5" t="s">
        <v>238</v>
      </c>
      <c r="DQ1198" s="5" t="s">
        <v>238</v>
      </c>
      <c r="DT1198" s="5" t="s">
        <v>808</v>
      </c>
      <c r="DU1198" s="5" t="s">
        <v>356</v>
      </c>
      <c r="HM1198" s="5" t="s">
        <v>310</v>
      </c>
      <c r="HP1198" s="5" t="s">
        <v>272</v>
      </c>
      <c r="HQ1198" s="5" t="s">
        <v>272</v>
      </c>
    </row>
    <row r="1199" spans="1:238" x14ac:dyDescent="0.4">
      <c r="A1199" s="5">
        <v>1539</v>
      </c>
      <c r="B1199" s="5">
        <v>1</v>
      </c>
      <c r="C1199" s="5">
        <v>4</v>
      </c>
      <c r="D1199" s="5" t="s">
        <v>810</v>
      </c>
      <c r="E1199" s="5" t="s">
        <v>803</v>
      </c>
      <c r="F1199" s="5" t="s">
        <v>282</v>
      </c>
      <c r="G1199" s="5" t="s">
        <v>2319</v>
      </c>
      <c r="H1199" s="6" t="s">
        <v>812</v>
      </c>
      <c r="I1199" s="5" t="s">
        <v>2317</v>
      </c>
      <c r="J1199" s="7">
        <f>2959.03</f>
        <v>2959.03</v>
      </c>
      <c r="K1199" s="5" t="s">
        <v>270</v>
      </c>
      <c r="L1199" s="8">
        <f>75686076</f>
        <v>75686076</v>
      </c>
      <c r="M1199" s="8">
        <f>186418890</f>
        <v>186418890</v>
      </c>
      <c r="N1199" s="6" t="s">
        <v>679</v>
      </c>
      <c r="O1199" s="5" t="s">
        <v>650</v>
      </c>
      <c r="P1199" s="5" t="s">
        <v>269</v>
      </c>
      <c r="Q1199" s="8">
        <f>6151823</f>
        <v>6151823</v>
      </c>
      <c r="R1199" s="8">
        <f>110732814</f>
        <v>110732814</v>
      </c>
      <c r="S1199" s="5" t="s">
        <v>240</v>
      </c>
      <c r="T1199" s="5" t="s">
        <v>237</v>
      </c>
      <c r="U1199" s="5" t="s">
        <v>238</v>
      </c>
      <c r="V1199" s="5" t="s">
        <v>238</v>
      </c>
      <c r="W1199" s="5" t="s">
        <v>241</v>
      </c>
      <c r="X1199" s="5" t="s">
        <v>802</v>
      </c>
      <c r="Y1199" s="5" t="s">
        <v>238</v>
      </c>
      <c r="AB1199" s="5" t="s">
        <v>238</v>
      </c>
      <c r="AC1199" s="6" t="s">
        <v>238</v>
      </c>
      <c r="AD1199" s="6" t="s">
        <v>238</v>
      </c>
      <c r="AF1199" s="6" t="s">
        <v>238</v>
      </c>
      <c r="AG1199" s="6" t="s">
        <v>246</v>
      </c>
      <c r="AH1199" s="5" t="s">
        <v>247</v>
      </c>
      <c r="AI1199" s="5" t="s">
        <v>248</v>
      </c>
      <c r="AO1199" s="5" t="s">
        <v>238</v>
      </c>
      <c r="AP1199" s="5" t="s">
        <v>238</v>
      </c>
      <c r="AQ1199" s="5" t="s">
        <v>238</v>
      </c>
      <c r="AR1199" s="6" t="s">
        <v>238</v>
      </c>
      <c r="AS1199" s="6" t="s">
        <v>238</v>
      </c>
      <c r="AT1199" s="6" t="s">
        <v>238</v>
      </c>
      <c r="AW1199" s="5" t="s">
        <v>304</v>
      </c>
      <c r="AX1199" s="5" t="s">
        <v>304</v>
      </c>
      <c r="AY1199" s="5" t="s">
        <v>250</v>
      </c>
      <c r="AZ1199" s="5" t="s">
        <v>305</v>
      </c>
      <c r="BA1199" s="5" t="s">
        <v>251</v>
      </c>
      <c r="BB1199" s="5" t="s">
        <v>238</v>
      </c>
      <c r="BC1199" s="5" t="s">
        <v>253</v>
      </c>
      <c r="BD1199" s="5" t="s">
        <v>238</v>
      </c>
      <c r="BF1199" s="5" t="s">
        <v>238</v>
      </c>
      <c r="BH1199" s="5" t="s">
        <v>283</v>
      </c>
      <c r="BI1199" s="6" t="s">
        <v>293</v>
      </c>
      <c r="BJ1199" s="5" t="s">
        <v>294</v>
      </c>
      <c r="BK1199" s="5" t="s">
        <v>294</v>
      </c>
      <c r="BL1199" s="5" t="s">
        <v>238</v>
      </c>
      <c r="BM1199" s="7">
        <f>0</f>
        <v>0</v>
      </c>
      <c r="BN1199" s="8">
        <f>-6151823</f>
        <v>-6151823</v>
      </c>
      <c r="BO1199" s="5" t="s">
        <v>257</v>
      </c>
      <c r="BP1199" s="5" t="s">
        <v>258</v>
      </c>
      <c r="BQ1199" s="5" t="s">
        <v>238</v>
      </c>
      <c r="BR1199" s="5" t="s">
        <v>238</v>
      </c>
      <c r="BS1199" s="5" t="s">
        <v>238</v>
      </c>
      <c r="BT1199" s="5" t="s">
        <v>238</v>
      </c>
      <c r="CC1199" s="5" t="s">
        <v>258</v>
      </c>
      <c r="CD1199" s="5" t="s">
        <v>238</v>
      </c>
      <c r="CE1199" s="5" t="s">
        <v>238</v>
      </c>
      <c r="CI1199" s="5" t="s">
        <v>259</v>
      </c>
      <c r="CJ1199" s="5" t="s">
        <v>260</v>
      </c>
      <c r="CK1199" s="5" t="s">
        <v>238</v>
      </c>
      <c r="CM1199" s="5" t="s">
        <v>682</v>
      </c>
      <c r="CN1199" s="6" t="s">
        <v>262</v>
      </c>
      <c r="CO1199" s="5" t="s">
        <v>263</v>
      </c>
      <c r="CP1199" s="5" t="s">
        <v>264</v>
      </c>
      <c r="CQ1199" s="5" t="s">
        <v>285</v>
      </c>
      <c r="CR1199" s="5" t="s">
        <v>238</v>
      </c>
      <c r="CS1199" s="5">
        <v>3.3000000000000002E-2</v>
      </c>
      <c r="CT1199" s="5" t="s">
        <v>265</v>
      </c>
      <c r="CU1199" s="5" t="s">
        <v>2321</v>
      </c>
      <c r="CV1199" s="5" t="s">
        <v>649</v>
      </c>
      <c r="CW1199" s="7">
        <f>0</f>
        <v>0</v>
      </c>
      <c r="CX1199" s="8">
        <f>186418890</f>
        <v>186418890</v>
      </c>
      <c r="CY1199" s="8">
        <f>81837899</f>
        <v>81837899</v>
      </c>
      <c r="DA1199" s="5" t="s">
        <v>238</v>
      </c>
      <c r="DB1199" s="5" t="s">
        <v>238</v>
      </c>
      <c r="DD1199" s="5" t="s">
        <v>238</v>
      </c>
      <c r="DE1199" s="8">
        <f>0</f>
        <v>0</v>
      </c>
      <c r="DG1199" s="5" t="s">
        <v>238</v>
      </c>
      <c r="DH1199" s="5" t="s">
        <v>238</v>
      </c>
      <c r="DI1199" s="5" t="s">
        <v>238</v>
      </c>
      <c r="DJ1199" s="5" t="s">
        <v>238</v>
      </c>
      <c r="DK1199" s="5" t="s">
        <v>271</v>
      </c>
      <c r="DL1199" s="5" t="s">
        <v>272</v>
      </c>
      <c r="DM1199" s="7">
        <f>2959.03</f>
        <v>2959.03</v>
      </c>
      <c r="DN1199" s="5" t="s">
        <v>238</v>
      </c>
      <c r="DO1199" s="5" t="s">
        <v>238</v>
      </c>
      <c r="DP1199" s="5" t="s">
        <v>238</v>
      </c>
      <c r="DQ1199" s="5" t="s">
        <v>238</v>
      </c>
      <c r="DT1199" s="5" t="s">
        <v>813</v>
      </c>
      <c r="DU1199" s="5" t="s">
        <v>271</v>
      </c>
      <c r="GL1199" s="5" t="s">
        <v>2347</v>
      </c>
      <c r="HM1199" s="5" t="s">
        <v>389</v>
      </c>
      <c r="HP1199" s="5" t="s">
        <v>272</v>
      </c>
      <c r="HQ1199" s="5" t="s">
        <v>272</v>
      </c>
      <c r="HR1199" s="5" t="s">
        <v>238</v>
      </c>
      <c r="HS1199" s="5" t="s">
        <v>238</v>
      </c>
      <c r="HT1199" s="5" t="s">
        <v>238</v>
      </c>
      <c r="HU1199" s="5" t="s">
        <v>238</v>
      </c>
      <c r="HV1199" s="5" t="s">
        <v>238</v>
      </c>
      <c r="HW1199" s="5" t="s">
        <v>238</v>
      </c>
      <c r="HX1199" s="5" t="s">
        <v>238</v>
      </c>
      <c r="HY1199" s="5" t="s">
        <v>238</v>
      </c>
      <c r="HZ1199" s="5" t="s">
        <v>238</v>
      </c>
      <c r="IA1199" s="5" t="s">
        <v>238</v>
      </c>
      <c r="IB1199" s="5" t="s">
        <v>238</v>
      </c>
      <c r="IC1199" s="5" t="s">
        <v>238</v>
      </c>
      <c r="ID1199" s="5" t="s">
        <v>238</v>
      </c>
    </row>
    <row r="1200" spans="1:238" x14ac:dyDescent="0.4">
      <c r="A1200" s="5">
        <v>1540</v>
      </c>
      <c r="B1200" s="5">
        <v>1</v>
      </c>
      <c r="C1200" s="5">
        <v>3</v>
      </c>
      <c r="D1200" s="5" t="s">
        <v>810</v>
      </c>
      <c r="E1200" s="5" t="s">
        <v>803</v>
      </c>
      <c r="F1200" s="5" t="s">
        <v>282</v>
      </c>
      <c r="G1200" s="5" t="s">
        <v>1181</v>
      </c>
      <c r="H1200" s="6" t="s">
        <v>812</v>
      </c>
      <c r="I1200" s="5" t="s">
        <v>1181</v>
      </c>
      <c r="J1200" s="7">
        <f>122.4</f>
        <v>122.4</v>
      </c>
      <c r="K1200" s="5" t="s">
        <v>270</v>
      </c>
      <c r="L1200" s="8">
        <f>1</f>
        <v>1</v>
      </c>
      <c r="M1200" s="8">
        <f>9914400</f>
        <v>9914400</v>
      </c>
      <c r="N1200" s="6" t="s">
        <v>679</v>
      </c>
      <c r="O1200" s="5" t="s">
        <v>631</v>
      </c>
      <c r="P1200" s="5" t="s">
        <v>269</v>
      </c>
      <c r="Q1200" s="8">
        <f>555215</f>
        <v>555215</v>
      </c>
      <c r="R1200" s="8">
        <f>9914399</f>
        <v>9914399</v>
      </c>
      <c r="S1200" s="5" t="s">
        <v>240</v>
      </c>
      <c r="T1200" s="5" t="s">
        <v>237</v>
      </c>
      <c r="U1200" s="5" t="s">
        <v>238</v>
      </c>
      <c r="V1200" s="5" t="s">
        <v>238</v>
      </c>
      <c r="W1200" s="5" t="s">
        <v>241</v>
      </c>
      <c r="X1200" s="5" t="s">
        <v>802</v>
      </c>
      <c r="Y1200" s="5" t="s">
        <v>238</v>
      </c>
      <c r="AB1200" s="5" t="s">
        <v>238</v>
      </c>
      <c r="AC1200" s="6" t="s">
        <v>238</v>
      </c>
      <c r="AD1200" s="6" t="s">
        <v>238</v>
      </c>
      <c r="AF1200" s="6" t="s">
        <v>238</v>
      </c>
      <c r="AG1200" s="6" t="s">
        <v>246</v>
      </c>
      <c r="AH1200" s="5" t="s">
        <v>247</v>
      </c>
      <c r="AI1200" s="5" t="s">
        <v>248</v>
      </c>
      <c r="AO1200" s="5" t="s">
        <v>238</v>
      </c>
      <c r="AP1200" s="5" t="s">
        <v>238</v>
      </c>
      <c r="AQ1200" s="5" t="s">
        <v>238</v>
      </c>
      <c r="AR1200" s="6" t="s">
        <v>238</v>
      </c>
      <c r="AS1200" s="6" t="s">
        <v>238</v>
      </c>
      <c r="AT1200" s="6" t="s">
        <v>238</v>
      </c>
      <c r="AW1200" s="5" t="s">
        <v>304</v>
      </c>
      <c r="AX1200" s="5" t="s">
        <v>304</v>
      </c>
      <c r="AY1200" s="5" t="s">
        <v>250</v>
      </c>
      <c r="AZ1200" s="5" t="s">
        <v>305</v>
      </c>
      <c r="BA1200" s="5" t="s">
        <v>251</v>
      </c>
      <c r="BB1200" s="5" t="s">
        <v>238</v>
      </c>
      <c r="BC1200" s="5" t="s">
        <v>253</v>
      </c>
      <c r="BD1200" s="5" t="s">
        <v>238</v>
      </c>
      <c r="BF1200" s="5" t="s">
        <v>238</v>
      </c>
      <c r="BH1200" s="5" t="s">
        <v>1076</v>
      </c>
      <c r="BI1200" s="6" t="s">
        <v>1077</v>
      </c>
      <c r="BJ1200" s="5" t="s">
        <v>294</v>
      </c>
      <c r="BK1200" s="5" t="s">
        <v>294</v>
      </c>
      <c r="BL1200" s="5" t="s">
        <v>238</v>
      </c>
      <c r="BM1200" s="7">
        <f>0</f>
        <v>0</v>
      </c>
      <c r="BN1200" s="8">
        <f>-555215</f>
        <v>-555215</v>
      </c>
      <c r="BO1200" s="5" t="s">
        <v>257</v>
      </c>
      <c r="BP1200" s="5" t="s">
        <v>258</v>
      </c>
      <c r="BQ1200" s="5" t="s">
        <v>238</v>
      </c>
      <c r="BR1200" s="5" t="s">
        <v>238</v>
      </c>
      <c r="BS1200" s="5" t="s">
        <v>238</v>
      </c>
      <c r="BT1200" s="5" t="s">
        <v>238</v>
      </c>
      <c r="CC1200" s="5" t="s">
        <v>258</v>
      </c>
      <c r="CD1200" s="5" t="s">
        <v>238</v>
      </c>
      <c r="CE1200" s="5" t="s">
        <v>238</v>
      </c>
      <c r="CI1200" s="5" t="s">
        <v>259</v>
      </c>
      <c r="CJ1200" s="5" t="s">
        <v>260</v>
      </c>
      <c r="CK1200" s="5" t="s">
        <v>238</v>
      </c>
      <c r="CM1200" s="5" t="s">
        <v>682</v>
      </c>
      <c r="CN1200" s="6" t="s">
        <v>262</v>
      </c>
      <c r="CO1200" s="5" t="s">
        <v>263</v>
      </c>
      <c r="CP1200" s="5" t="s">
        <v>264</v>
      </c>
      <c r="CQ1200" s="5" t="s">
        <v>285</v>
      </c>
      <c r="CR1200" s="5" t="s">
        <v>238</v>
      </c>
      <c r="CS1200" s="5">
        <v>5.8999999999999997E-2</v>
      </c>
      <c r="CT1200" s="5" t="s">
        <v>265</v>
      </c>
      <c r="CU1200" s="5" t="s">
        <v>1187</v>
      </c>
      <c r="CV1200" s="5" t="s">
        <v>267</v>
      </c>
      <c r="CW1200" s="7">
        <f>0</f>
        <v>0</v>
      </c>
      <c r="CX1200" s="8">
        <f>9914400</f>
        <v>9914400</v>
      </c>
      <c r="CY1200" s="8">
        <f>1</f>
        <v>1</v>
      </c>
      <c r="DA1200" s="5" t="s">
        <v>238</v>
      </c>
      <c r="DB1200" s="5" t="s">
        <v>238</v>
      </c>
      <c r="DD1200" s="5" t="s">
        <v>238</v>
      </c>
      <c r="DE1200" s="8">
        <f>0</f>
        <v>0</v>
      </c>
      <c r="DG1200" s="5" t="s">
        <v>238</v>
      </c>
      <c r="DH1200" s="5" t="s">
        <v>238</v>
      </c>
      <c r="DI1200" s="5" t="s">
        <v>238</v>
      </c>
      <c r="DJ1200" s="5" t="s">
        <v>238</v>
      </c>
      <c r="DK1200" s="5" t="s">
        <v>271</v>
      </c>
      <c r="DL1200" s="5" t="s">
        <v>272</v>
      </c>
      <c r="DM1200" s="7">
        <f>122.4</f>
        <v>122.4</v>
      </c>
      <c r="DN1200" s="5" t="s">
        <v>238</v>
      </c>
      <c r="DO1200" s="5" t="s">
        <v>238</v>
      </c>
      <c r="DP1200" s="5" t="s">
        <v>238</v>
      </c>
      <c r="DQ1200" s="5" t="s">
        <v>238</v>
      </c>
      <c r="DT1200" s="5" t="s">
        <v>813</v>
      </c>
      <c r="DU1200" s="5" t="s">
        <v>274</v>
      </c>
      <c r="GL1200" s="5" t="s">
        <v>1229</v>
      </c>
      <c r="HM1200" s="5" t="s">
        <v>389</v>
      </c>
      <c r="HP1200" s="5" t="s">
        <v>272</v>
      </c>
      <c r="HQ1200" s="5" t="s">
        <v>272</v>
      </c>
      <c r="HR1200" s="5" t="s">
        <v>238</v>
      </c>
      <c r="HS1200" s="5" t="s">
        <v>238</v>
      </c>
      <c r="HT1200" s="5" t="s">
        <v>238</v>
      </c>
      <c r="HU1200" s="5" t="s">
        <v>238</v>
      </c>
      <c r="HV1200" s="5" t="s">
        <v>238</v>
      </c>
      <c r="HW1200" s="5" t="s">
        <v>238</v>
      </c>
      <c r="HX1200" s="5" t="s">
        <v>238</v>
      </c>
      <c r="HY1200" s="5" t="s">
        <v>238</v>
      </c>
      <c r="HZ1200" s="5" t="s">
        <v>238</v>
      </c>
      <c r="IA1200" s="5" t="s">
        <v>238</v>
      </c>
      <c r="IB1200" s="5" t="s">
        <v>238</v>
      </c>
      <c r="IC1200" s="5" t="s">
        <v>238</v>
      </c>
      <c r="ID1200" s="5" t="s">
        <v>238</v>
      </c>
    </row>
    <row r="1201" spans="1:238" x14ac:dyDescent="0.4">
      <c r="A1201" s="5">
        <v>1541</v>
      </c>
      <c r="B1201" s="5">
        <v>1</v>
      </c>
      <c r="C1201" s="5">
        <v>4</v>
      </c>
      <c r="D1201" s="5" t="s">
        <v>810</v>
      </c>
      <c r="E1201" s="5" t="s">
        <v>803</v>
      </c>
      <c r="F1201" s="5" t="s">
        <v>282</v>
      </c>
      <c r="G1201" s="5" t="s">
        <v>805</v>
      </c>
      <c r="H1201" s="6" t="s">
        <v>812</v>
      </c>
      <c r="I1201" s="5" t="s">
        <v>800</v>
      </c>
      <c r="J1201" s="7">
        <f>460.8</f>
        <v>460.8</v>
      </c>
      <c r="K1201" s="5" t="s">
        <v>270</v>
      </c>
      <c r="L1201" s="8">
        <f>1</f>
        <v>1</v>
      </c>
      <c r="M1201" s="8">
        <f>13363200</f>
        <v>13363200</v>
      </c>
      <c r="N1201" s="6" t="s">
        <v>811</v>
      </c>
      <c r="O1201" s="5" t="s">
        <v>268</v>
      </c>
      <c r="P1201" s="5" t="s">
        <v>319</v>
      </c>
      <c r="Q1201" s="8">
        <f>895334</f>
        <v>895334</v>
      </c>
      <c r="R1201" s="8">
        <f>13363199</f>
        <v>13363199</v>
      </c>
      <c r="S1201" s="5" t="s">
        <v>240</v>
      </c>
      <c r="T1201" s="5" t="s">
        <v>237</v>
      </c>
      <c r="U1201" s="5" t="s">
        <v>238</v>
      </c>
      <c r="V1201" s="5" t="s">
        <v>238</v>
      </c>
      <c r="W1201" s="5" t="s">
        <v>241</v>
      </c>
      <c r="X1201" s="5" t="s">
        <v>802</v>
      </c>
      <c r="Y1201" s="5" t="s">
        <v>238</v>
      </c>
      <c r="AB1201" s="5" t="s">
        <v>238</v>
      </c>
      <c r="AC1201" s="6" t="s">
        <v>238</v>
      </c>
      <c r="AD1201" s="6" t="s">
        <v>238</v>
      </c>
      <c r="AF1201" s="6" t="s">
        <v>238</v>
      </c>
      <c r="AG1201" s="6" t="s">
        <v>246</v>
      </c>
      <c r="AH1201" s="5" t="s">
        <v>247</v>
      </c>
      <c r="AI1201" s="5" t="s">
        <v>248</v>
      </c>
      <c r="AO1201" s="5" t="s">
        <v>238</v>
      </c>
      <c r="AP1201" s="5" t="s">
        <v>238</v>
      </c>
      <c r="AQ1201" s="5" t="s">
        <v>238</v>
      </c>
      <c r="AR1201" s="6" t="s">
        <v>238</v>
      </c>
      <c r="AS1201" s="6" t="s">
        <v>238</v>
      </c>
      <c r="AT1201" s="6" t="s">
        <v>238</v>
      </c>
      <c r="AW1201" s="5" t="s">
        <v>304</v>
      </c>
      <c r="AX1201" s="5" t="s">
        <v>304</v>
      </c>
      <c r="AY1201" s="5" t="s">
        <v>250</v>
      </c>
      <c r="AZ1201" s="5" t="s">
        <v>305</v>
      </c>
      <c r="BA1201" s="5" t="s">
        <v>251</v>
      </c>
      <c r="BB1201" s="5" t="s">
        <v>238</v>
      </c>
      <c r="BC1201" s="5" t="s">
        <v>253</v>
      </c>
      <c r="BD1201" s="5" t="s">
        <v>238</v>
      </c>
      <c r="BF1201" s="5" t="s">
        <v>238</v>
      </c>
      <c r="BH1201" s="5" t="s">
        <v>283</v>
      </c>
      <c r="BI1201" s="6" t="s">
        <v>293</v>
      </c>
      <c r="BJ1201" s="5" t="s">
        <v>294</v>
      </c>
      <c r="BK1201" s="5" t="s">
        <v>294</v>
      </c>
      <c r="BL1201" s="5" t="s">
        <v>238</v>
      </c>
      <c r="BM1201" s="7">
        <f>0</f>
        <v>0</v>
      </c>
      <c r="BN1201" s="8">
        <f>-828523</f>
        <v>-828523</v>
      </c>
      <c r="BO1201" s="5" t="s">
        <v>257</v>
      </c>
      <c r="BP1201" s="5" t="s">
        <v>258</v>
      </c>
      <c r="BQ1201" s="5" t="s">
        <v>238</v>
      </c>
      <c r="BR1201" s="5" t="s">
        <v>238</v>
      </c>
      <c r="BS1201" s="5" t="s">
        <v>238</v>
      </c>
      <c r="BT1201" s="5" t="s">
        <v>238</v>
      </c>
      <c r="CC1201" s="5" t="s">
        <v>258</v>
      </c>
      <c r="CD1201" s="5" t="s">
        <v>238</v>
      </c>
      <c r="CE1201" s="5" t="s">
        <v>238</v>
      </c>
      <c r="CI1201" s="5" t="s">
        <v>259</v>
      </c>
      <c r="CJ1201" s="5" t="s">
        <v>260</v>
      </c>
      <c r="CK1201" s="5" t="s">
        <v>238</v>
      </c>
      <c r="CM1201" s="5" t="s">
        <v>318</v>
      </c>
      <c r="CN1201" s="6" t="s">
        <v>262</v>
      </c>
      <c r="CO1201" s="5" t="s">
        <v>263</v>
      </c>
      <c r="CP1201" s="5" t="s">
        <v>264</v>
      </c>
      <c r="CQ1201" s="5" t="s">
        <v>285</v>
      </c>
      <c r="CR1201" s="5" t="s">
        <v>238</v>
      </c>
      <c r="CS1201" s="5">
        <v>6.7000000000000004E-2</v>
      </c>
      <c r="CT1201" s="5" t="s">
        <v>265</v>
      </c>
      <c r="CU1201" s="5" t="s">
        <v>266</v>
      </c>
      <c r="CV1201" s="5" t="s">
        <v>267</v>
      </c>
      <c r="CW1201" s="7">
        <f>0</f>
        <v>0</v>
      </c>
      <c r="CX1201" s="8">
        <f>13363200</f>
        <v>13363200</v>
      </c>
      <c r="CY1201" s="8">
        <f>828524</f>
        <v>828524</v>
      </c>
      <c r="DA1201" s="5" t="s">
        <v>238</v>
      </c>
      <c r="DB1201" s="5" t="s">
        <v>238</v>
      </c>
      <c r="DD1201" s="5" t="s">
        <v>238</v>
      </c>
      <c r="DE1201" s="8">
        <f>0</f>
        <v>0</v>
      </c>
      <c r="DG1201" s="5" t="s">
        <v>238</v>
      </c>
      <c r="DH1201" s="5" t="s">
        <v>238</v>
      </c>
      <c r="DI1201" s="5" t="s">
        <v>238</v>
      </c>
      <c r="DJ1201" s="5" t="s">
        <v>238</v>
      </c>
      <c r="DK1201" s="5" t="s">
        <v>271</v>
      </c>
      <c r="DL1201" s="5" t="s">
        <v>272</v>
      </c>
      <c r="DM1201" s="7">
        <f>460.8</f>
        <v>460.8</v>
      </c>
      <c r="DN1201" s="5" t="s">
        <v>238</v>
      </c>
      <c r="DO1201" s="5" t="s">
        <v>238</v>
      </c>
      <c r="DP1201" s="5" t="s">
        <v>238</v>
      </c>
      <c r="DQ1201" s="5" t="s">
        <v>238</v>
      </c>
      <c r="DT1201" s="5" t="s">
        <v>813</v>
      </c>
      <c r="DU1201" s="5" t="s">
        <v>356</v>
      </c>
      <c r="GL1201" s="5" t="s">
        <v>814</v>
      </c>
      <c r="HM1201" s="5" t="s">
        <v>389</v>
      </c>
      <c r="HP1201" s="5" t="s">
        <v>272</v>
      </c>
      <c r="HQ1201" s="5" t="s">
        <v>272</v>
      </c>
      <c r="HR1201" s="5" t="s">
        <v>238</v>
      </c>
      <c r="HS1201" s="5" t="s">
        <v>238</v>
      </c>
      <c r="HT1201" s="5" t="s">
        <v>238</v>
      </c>
      <c r="HU1201" s="5" t="s">
        <v>238</v>
      </c>
      <c r="HV1201" s="5" t="s">
        <v>238</v>
      </c>
      <c r="HW1201" s="5" t="s">
        <v>238</v>
      </c>
      <c r="HX1201" s="5" t="s">
        <v>238</v>
      </c>
      <c r="HY1201" s="5" t="s">
        <v>238</v>
      </c>
      <c r="HZ1201" s="5" t="s">
        <v>238</v>
      </c>
      <c r="IA1201" s="5" t="s">
        <v>238</v>
      </c>
      <c r="IB1201" s="5" t="s">
        <v>238</v>
      </c>
      <c r="IC1201" s="5" t="s">
        <v>238</v>
      </c>
      <c r="ID1201" s="5" t="s">
        <v>238</v>
      </c>
    </row>
    <row r="1202" spans="1:238" x14ac:dyDescent="0.4">
      <c r="A1202" s="5">
        <v>1542</v>
      </c>
      <c r="B1202" s="5">
        <v>1</v>
      </c>
      <c r="C1202" s="5">
        <v>4</v>
      </c>
      <c r="D1202" s="5" t="s">
        <v>815</v>
      </c>
      <c r="E1202" s="5" t="s">
        <v>803</v>
      </c>
      <c r="F1202" s="5" t="s">
        <v>282</v>
      </c>
      <c r="G1202" s="5" t="s">
        <v>1331</v>
      </c>
      <c r="H1202" s="6" t="s">
        <v>817</v>
      </c>
      <c r="I1202" s="5" t="s">
        <v>1334</v>
      </c>
      <c r="J1202" s="7">
        <f>38.88</f>
        <v>38.880000000000003</v>
      </c>
      <c r="K1202" s="5" t="s">
        <v>270</v>
      </c>
      <c r="L1202" s="8">
        <f>167905</f>
        <v>167905</v>
      </c>
      <c r="M1202" s="8">
        <f>4937760</f>
        <v>4937760</v>
      </c>
      <c r="N1202" s="6" t="s">
        <v>816</v>
      </c>
      <c r="O1202" s="5" t="s">
        <v>651</v>
      </c>
      <c r="P1202" s="5" t="s">
        <v>818</v>
      </c>
      <c r="Q1202" s="8">
        <f>207385</f>
        <v>207385</v>
      </c>
      <c r="R1202" s="8">
        <f>4769855</f>
        <v>4769855</v>
      </c>
      <c r="S1202" s="5" t="s">
        <v>240</v>
      </c>
      <c r="T1202" s="5" t="s">
        <v>237</v>
      </c>
      <c r="U1202" s="5" t="s">
        <v>238</v>
      </c>
      <c r="V1202" s="5" t="s">
        <v>238</v>
      </c>
      <c r="W1202" s="5" t="s">
        <v>241</v>
      </c>
      <c r="X1202" s="5" t="s">
        <v>802</v>
      </c>
      <c r="Y1202" s="5" t="s">
        <v>238</v>
      </c>
      <c r="AB1202" s="5" t="s">
        <v>238</v>
      </c>
      <c r="AC1202" s="6" t="s">
        <v>238</v>
      </c>
      <c r="AD1202" s="6" t="s">
        <v>238</v>
      </c>
      <c r="AF1202" s="6" t="s">
        <v>238</v>
      </c>
      <c r="AG1202" s="6" t="s">
        <v>246</v>
      </c>
      <c r="AH1202" s="5" t="s">
        <v>247</v>
      </c>
      <c r="AI1202" s="5" t="s">
        <v>248</v>
      </c>
      <c r="AO1202" s="5" t="s">
        <v>238</v>
      </c>
      <c r="AP1202" s="5" t="s">
        <v>238</v>
      </c>
      <c r="AQ1202" s="5" t="s">
        <v>238</v>
      </c>
      <c r="AR1202" s="6" t="s">
        <v>238</v>
      </c>
      <c r="AS1202" s="6" t="s">
        <v>238</v>
      </c>
      <c r="AT1202" s="6" t="s">
        <v>238</v>
      </c>
      <c r="AW1202" s="5" t="s">
        <v>304</v>
      </c>
      <c r="AX1202" s="5" t="s">
        <v>304</v>
      </c>
      <c r="AY1202" s="5" t="s">
        <v>250</v>
      </c>
      <c r="AZ1202" s="5" t="s">
        <v>305</v>
      </c>
      <c r="BA1202" s="5" t="s">
        <v>251</v>
      </c>
      <c r="BB1202" s="5" t="s">
        <v>238</v>
      </c>
      <c r="BC1202" s="5" t="s">
        <v>253</v>
      </c>
      <c r="BD1202" s="5" t="s">
        <v>238</v>
      </c>
      <c r="BF1202" s="5" t="s">
        <v>238</v>
      </c>
      <c r="BH1202" s="5" t="s">
        <v>283</v>
      </c>
      <c r="BI1202" s="6" t="s">
        <v>293</v>
      </c>
      <c r="BJ1202" s="5" t="s">
        <v>294</v>
      </c>
      <c r="BK1202" s="5" t="s">
        <v>294</v>
      </c>
      <c r="BL1202" s="5" t="s">
        <v>238</v>
      </c>
      <c r="BM1202" s="7">
        <f>0</f>
        <v>0</v>
      </c>
      <c r="BN1202" s="8">
        <f>-207385</f>
        <v>-207385</v>
      </c>
      <c r="BO1202" s="5" t="s">
        <v>257</v>
      </c>
      <c r="BP1202" s="5" t="s">
        <v>258</v>
      </c>
      <c r="BQ1202" s="5" t="s">
        <v>238</v>
      </c>
      <c r="BR1202" s="5" t="s">
        <v>238</v>
      </c>
      <c r="BS1202" s="5" t="s">
        <v>238</v>
      </c>
      <c r="BT1202" s="5" t="s">
        <v>238</v>
      </c>
      <c r="CC1202" s="5" t="s">
        <v>258</v>
      </c>
      <c r="CD1202" s="5" t="s">
        <v>238</v>
      </c>
      <c r="CE1202" s="5" t="s">
        <v>238</v>
      </c>
      <c r="CI1202" s="5" t="s">
        <v>259</v>
      </c>
      <c r="CJ1202" s="5" t="s">
        <v>260</v>
      </c>
      <c r="CK1202" s="5" t="s">
        <v>238</v>
      </c>
      <c r="CM1202" s="5" t="s">
        <v>261</v>
      </c>
      <c r="CN1202" s="6" t="s">
        <v>262</v>
      </c>
      <c r="CO1202" s="5" t="s">
        <v>263</v>
      </c>
      <c r="CP1202" s="5" t="s">
        <v>264</v>
      </c>
      <c r="CQ1202" s="5" t="s">
        <v>285</v>
      </c>
      <c r="CR1202" s="5" t="s">
        <v>238</v>
      </c>
      <c r="CS1202" s="5">
        <v>4.2000000000000003E-2</v>
      </c>
      <c r="CT1202" s="5" t="s">
        <v>265</v>
      </c>
      <c r="CU1202" s="5" t="s">
        <v>1333</v>
      </c>
      <c r="CV1202" s="5" t="s">
        <v>267</v>
      </c>
      <c r="CW1202" s="7">
        <f>0</f>
        <v>0</v>
      </c>
      <c r="CX1202" s="8">
        <f>4937760</f>
        <v>4937760</v>
      </c>
      <c r="CY1202" s="8">
        <f>375290</f>
        <v>375290</v>
      </c>
      <c r="DA1202" s="5" t="s">
        <v>238</v>
      </c>
      <c r="DB1202" s="5" t="s">
        <v>238</v>
      </c>
      <c r="DD1202" s="5" t="s">
        <v>238</v>
      </c>
      <c r="DE1202" s="8">
        <f>0</f>
        <v>0</v>
      </c>
      <c r="DG1202" s="5" t="s">
        <v>238</v>
      </c>
      <c r="DH1202" s="5" t="s">
        <v>238</v>
      </c>
      <c r="DI1202" s="5" t="s">
        <v>238</v>
      </c>
      <c r="DJ1202" s="5" t="s">
        <v>238</v>
      </c>
      <c r="DK1202" s="5" t="s">
        <v>271</v>
      </c>
      <c r="DL1202" s="5" t="s">
        <v>272</v>
      </c>
      <c r="DM1202" s="7">
        <f>38.88</f>
        <v>38.880000000000003</v>
      </c>
      <c r="DN1202" s="5" t="s">
        <v>238</v>
      </c>
      <c r="DO1202" s="5" t="s">
        <v>238</v>
      </c>
      <c r="DP1202" s="5" t="s">
        <v>238</v>
      </c>
      <c r="DQ1202" s="5" t="s">
        <v>238</v>
      </c>
      <c r="DT1202" s="5" t="s">
        <v>819</v>
      </c>
      <c r="DU1202" s="5" t="s">
        <v>271</v>
      </c>
      <c r="GL1202" s="5" t="s">
        <v>1927</v>
      </c>
      <c r="HM1202" s="5" t="s">
        <v>389</v>
      </c>
      <c r="HP1202" s="5" t="s">
        <v>272</v>
      </c>
      <c r="HQ1202" s="5" t="s">
        <v>272</v>
      </c>
      <c r="HR1202" s="5" t="s">
        <v>238</v>
      </c>
      <c r="HS1202" s="5" t="s">
        <v>238</v>
      </c>
      <c r="HT1202" s="5" t="s">
        <v>238</v>
      </c>
      <c r="HU1202" s="5" t="s">
        <v>238</v>
      </c>
      <c r="HV1202" s="5" t="s">
        <v>238</v>
      </c>
      <c r="HW1202" s="5" t="s">
        <v>238</v>
      </c>
      <c r="HX1202" s="5" t="s">
        <v>238</v>
      </c>
      <c r="HY1202" s="5" t="s">
        <v>238</v>
      </c>
      <c r="HZ1202" s="5" t="s">
        <v>238</v>
      </c>
      <c r="IA1202" s="5" t="s">
        <v>238</v>
      </c>
      <c r="IB1202" s="5" t="s">
        <v>238</v>
      </c>
      <c r="IC1202" s="5" t="s">
        <v>238</v>
      </c>
      <c r="ID1202" s="5" t="s">
        <v>238</v>
      </c>
    </row>
    <row r="1203" spans="1:238" x14ac:dyDescent="0.4">
      <c r="A1203" s="5">
        <v>1543</v>
      </c>
      <c r="B1203" s="5">
        <v>1</v>
      </c>
      <c r="C1203" s="5">
        <v>4</v>
      </c>
      <c r="D1203" s="5" t="s">
        <v>815</v>
      </c>
      <c r="E1203" s="5" t="s">
        <v>803</v>
      </c>
      <c r="F1203" s="5" t="s">
        <v>282</v>
      </c>
      <c r="G1203" s="5" t="s">
        <v>2344</v>
      </c>
      <c r="H1203" s="6" t="s">
        <v>817</v>
      </c>
      <c r="I1203" s="5" t="s">
        <v>2343</v>
      </c>
      <c r="J1203" s="7">
        <f>2012</f>
        <v>2012</v>
      </c>
      <c r="K1203" s="5" t="s">
        <v>270</v>
      </c>
      <c r="L1203" s="8">
        <f>92129480</f>
        <v>92129480</v>
      </c>
      <c r="M1203" s="8">
        <f>382280000</f>
        <v>382280000</v>
      </c>
      <c r="N1203" s="6" t="s">
        <v>816</v>
      </c>
      <c r="O1203" s="5" t="s">
        <v>650</v>
      </c>
      <c r="P1203" s="5" t="s">
        <v>818</v>
      </c>
      <c r="Q1203" s="8">
        <f>12615240</f>
        <v>12615240</v>
      </c>
      <c r="R1203" s="8">
        <f>290150520</f>
        <v>290150520</v>
      </c>
      <c r="S1203" s="5" t="s">
        <v>240</v>
      </c>
      <c r="T1203" s="5" t="s">
        <v>237</v>
      </c>
      <c r="U1203" s="5" t="s">
        <v>238</v>
      </c>
      <c r="V1203" s="5" t="s">
        <v>238</v>
      </c>
      <c r="W1203" s="5" t="s">
        <v>241</v>
      </c>
      <c r="X1203" s="5" t="s">
        <v>802</v>
      </c>
      <c r="Y1203" s="5" t="s">
        <v>238</v>
      </c>
      <c r="AB1203" s="5" t="s">
        <v>238</v>
      </c>
      <c r="AC1203" s="6" t="s">
        <v>238</v>
      </c>
      <c r="AD1203" s="6" t="s">
        <v>238</v>
      </c>
      <c r="AF1203" s="6" t="s">
        <v>238</v>
      </c>
      <c r="AG1203" s="6" t="s">
        <v>246</v>
      </c>
      <c r="AH1203" s="5" t="s">
        <v>247</v>
      </c>
      <c r="AI1203" s="5" t="s">
        <v>248</v>
      </c>
      <c r="AO1203" s="5" t="s">
        <v>238</v>
      </c>
      <c r="AP1203" s="5" t="s">
        <v>238</v>
      </c>
      <c r="AQ1203" s="5" t="s">
        <v>238</v>
      </c>
      <c r="AR1203" s="6" t="s">
        <v>238</v>
      </c>
      <c r="AS1203" s="6" t="s">
        <v>238</v>
      </c>
      <c r="AT1203" s="6" t="s">
        <v>238</v>
      </c>
      <c r="AW1203" s="5" t="s">
        <v>304</v>
      </c>
      <c r="AX1203" s="5" t="s">
        <v>304</v>
      </c>
      <c r="AY1203" s="5" t="s">
        <v>250</v>
      </c>
      <c r="AZ1203" s="5" t="s">
        <v>305</v>
      </c>
      <c r="BA1203" s="5" t="s">
        <v>251</v>
      </c>
      <c r="BB1203" s="5" t="s">
        <v>238</v>
      </c>
      <c r="BC1203" s="5" t="s">
        <v>253</v>
      </c>
      <c r="BD1203" s="5" t="s">
        <v>238</v>
      </c>
      <c r="BF1203" s="5" t="s">
        <v>238</v>
      </c>
      <c r="BH1203" s="5" t="s">
        <v>283</v>
      </c>
      <c r="BI1203" s="6" t="s">
        <v>293</v>
      </c>
      <c r="BJ1203" s="5" t="s">
        <v>294</v>
      </c>
      <c r="BK1203" s="5" t="s">
        <v>294</v>
      </c>
      <c r="BL1203" s="5" t="s">
        <v>238</v>
      </c>
      <c r="BM1203" s="7">
        <f>0</f>
        <v>0</v>
      </c>
      <c r="BN1203" s="8">
        <f>-12615240</f>
        <v>-12615240</v>
      </c>
      <c r="BO1203" s="5" t="s">
        <v>257</v>
      </c>
      <c r="BP1203" s="5" t="s">
        <v>258</v>
      </c>
      <c r="BQ1203" s="5" t="s">
        <v>238</v>
      </c>
      <c r="BR1203" s="5" t="s">
        <v>238</v>
      </c>
      <c r="BS1203" s="5" t="s">
        <v>238</v>
      </c>
      <c r="BT1203" s="5" t="s">
        <v>238</v>
      </c>
      <c r="CC1203" s="5" t="s">
        <v>258</v>
      </c>
      <c r="CD1203" s="5" t="s">
        <v>238</v>
      </c>
      <c r="CE1203" s="5" t="s">
        <v>238</v>
      </c>
      <c r="CI1203" s="5" t="s">
        <v>259</v>
      </c>
      <c r="CJ1203" s="5" t="s">
        <v>260</v>
      </c>
      <c r="CK1203" s="5" t="s">
        <v>238</v>
      </c>
      <c r="CM1203" s="5" t="s">
        <v>261</v>
      </c>
      <c r="CN1203" s="6" t="s">
        <v>262</v>
      </c>
      <c r="CO1203" s="5" t="s">
        <v>263</v>
      </c>
      <c r="CP1203" s="5" t="s">
        <v>264</v>
      </c>
      <c r="CQ1203" s="5" t="s">
        <v>285</v>
      </c>
      <c r="CR1203" s="5" t="s">
        <v>238</v>
      </c>
      <c r="CS1203" s="5">
        <v>3.3000000000000002E-2</v>
      </c>
      <c r="CT1203" s="5" t="s">
        <v>265</v>
      </c>
      <c r="CU1203" s="5" t="s">
        <v>2321</v>
      </c>
      <c r="CV1203" s="5" t="s">
        <v>649</v>
      </c>
      <c r="CW1203" s="7">
        <f>0</f>
        <v>0</v>
      </c>
      <c r="CX1203" s="8">
        <f>382280000</f>
        <v>382280000</v>
      </c>
      <c r="CY1203" s="8">
        <f>104744720</f>
        <v>104744720</v>
      </c>
      <c r="DA1203" s="5" t="s">
        <v>238</v>
      </c>
      <c r="DB1203" s="5" t="s">
        <v>238</v>
      </c>
      <c r="DD1203" s="5" t="s">
        <v>238</v>
      </c>
      <c r="DE1203" s="8">
        <f>0</f>
        <v>0</v>
      </c>
      <c r="DG1203" s="5" t="s">
        <v>238</v>
      </c>
      <c r="DH1203" s="5" t="s">
        <v>238</v>
      </c>
      <c r="DI1203" s="5" t="s">
        <v>238</v>
      </c>
      <c r="DJ1203" s="5" t="s">
        <v>238</v>
      </c>
      <c r="DK1203" s="5" t="s">
        <v>271</v>
      </c>
      <c r="DL1203" s="5" t="s">
        <v>272</v>
      </c>
      <c r="DM1203" s="7">
        <f>2012</f>
        <v>2012</v>
      </c>
      <c r="DN1203" s="5" t="s">
        <v>238</v>
      </c>
      <c r="DO1203" s="5" t="s">
        <v>238</v>
      </c>
      <c r="DP1203" s="5" t="s">
        <v>238</v>
      </c>
      <c r="DQ1203" s="5" t="s">
        <v>238</v>
      </c>
      <c r="DT1203" s="5" t="s">
        <v>819</v>
      </c>
      <c r="DU1203" s="5" t="s">
        <v>274</v>
      </c>
      <c r="GL1203" s="5" t="s">
        <v>2345</v>
      </c>
      <c r="HM1203" s="5" t="s">
        <v>389</v>
      </c>
      <c r="HP1203" s="5" t="s">
        <v>272</v>
      </c>
      <c r="HQ1203" s="5" t="s">
        <v>272</v>
      </c>
      <c r="HR1203" s="5" t="s">
        <v>238</v>
      </c>
      <c r="HS1203" s="5" t="s">
        <v>238</v>
      </c>
      <c r="HT1203" s="5" t="s">
        <v>238</v>
      </c>
      <c r="HU1203" s="5" t="s">
        <v>238</v>
      </c>
      <c r="HV1203" s="5" t="s">
        <v>238</v>
      </c>
      <c r="HW1203" s="5" t="s">
        <v>238</v>
      </c>
      <c r="HX1203" s="5" t="s">
        <v>238</v>
      </c>
      <c r="HY1203" s="5" t="s">
        <v>238</v>
      </c>
      <c r="HZ1203" s="5" t="s">
        <v>238</v>
      </c>
      <c r="IA1203" s="5" t="s">
        <v>238</v>
      </c>
      <c r="IB1203" s="5" t="s">
        <v>238</v>
      </c>
      <c r="IC1203" s="5" t="s">
        <v>238</v>
      </c>
      <c r="ID1203" s="5" t="s">
        <v>238</v>
      </c>
    </row>
    <row r="1204" spans="1:238" x14ac:dyDescent="0.4">
      <c r="A1204" s="5">
        <v>1544</v>
      </c>
      <c r="B1204" s="5">
        <v>1</v>
      </c>
      <c r="C1204" s="5">
        <v>4</v>
      </c>
      <c r="D1204" s="5" t="s">
        <v>815</v>
      </c>
      <c r="E1204" s="5" t="s">
        <v>803</v>
      </c>
      <c r="F1204" s="5" t="s">
        <v>282</v>
      </c>
      <c r="G1204" s="5" t="s">
        <v>805</v>
      </c>
      <c r="H1204" s="6" t="s">
        <v>817</v>
      </c>
      <c r="I1204" s="5" t="s">
        <v>800</v>
      </c>
      <c r="J1204" s="7">
        <f>867.25</f>
        <v>867.25</v>
      </c>
      <c r="K1204" s="5" t="s">
        <v>270</v>
      </c>
      <c r="L1204" s="8">
        <f>39711389</f>
        <v>39711389</v>
      </c>
      <c r="M1204" s="8">
        <f>164777500</f>
        <v>164777500</v>
      </c>
      <c r="N1204" s="6" t="s">
        <v>816</v>
      </c>
      <c r="O1204" s="5" t="s">
        <v>650</v>
      </c>
      <c r="P1204" s="5" t="s">
        <v>818</v>
      </c>
      <c r="Q1204" s="8">
        <f>5437657</f>
        <v>5437657</v>
      </c>
      <c r="R1204" s="8">
        <f>125066111</f>
        <v>125066111</v>
      </c>
      <c r="S1204" s="5" t="s">
        <v>240</v>
      </c>
      <c r="T1204" s="5" t="s">
        <v>237</v>
      </c>
      <c r="U1204" s="5" t="s">
        <v>238</v>
      </c>
      <c r="V1204" s="5" t="s">
        <v>238</v>
      </c>
      <c r="W1204" s="5" t="s">
        <v>241</v>
      </c>
      <c r="X1204" s="5" t="s">
        <v>802</v>
      </c>
      <c r="Y1204" s="5" t="s">
        <v>238</v>
      </c>
      <c r="AB1204" s="5" t="s">
        <v>238</v>
      </c>
      <c r="AC1204" s="6" t="s">
        <v>238</v>
      </c>
      <c r="AD1204" s="6" t="s">
        <v>238</v>
      </c>
      <c r="AF1204" s="6" t="s">
        <v>238</v>
      </c>
      <c r="AG1204" s="6" t="s">
        <v>246</v>
      </c>
      <c r="AH1204" s="5" t="s">
        <v>247</v>
      </c>
      <c r="AI1204" s="5" t="s">
        <v>248</v>
      </c>
      <c r="AO1204" s="5" t="s">
        <v>238</v>
      </c>
      <c r="AP1204" s="5" t="s">
        <v>238</v>
      </c>
      <c r="AQ1204" s="5" t="s">
        <v>238</v>
      </c>
      <c r="AR1204" s="6" t="s">
        <v>238</v>
      </c>
      <c r="AS1204" s="6" t="s">
        <v>238</v>
      </c>
      <c r="AT1204" s="6" t="s">
        <v>238</v>
      </c>
      <c r="AW1204" s="5" t="s">
        <v>304</v>
      </c>
      <c r="AX1204" s="5" t="s">
        <v>304</v>
      </c>
      <c r="AY1204" s="5" t="s">
        <v>250</v>
      </c>
      <c r="AZ1204" s="5" t="s">
        <v>305</v>
      </c>
      <c r="BA1204" s="5" t="s">
        <v>251</v>
      </c>
      <c r="BB1204" s="5" t="s">
        <v>238</v>
      </c>
      <c r="BC1204" s="5" t="s">
        <v>253</v>
      </c>
      <c r="BD1204" s="5" t="s">
        <v>238</v>
      </c>
      <c r="BF1204" s="5" t="s">
        <v>238</v>
      </c>
      <c r="BH1204" s="5" t="s">
        <v>283</v>
      </c>
      <c r="BI1204" s="6" t="s">
        <v>293</v>
      </c>
      <c r="BJ1204" s="5" t="s">
        <v>294</v>
      </c>
      <c r="BK1204" s="5" t="s">
        <v>294</v>
      </c>
      <c r="BL1204" s="5" t="s">
        <v>238</v>
      </c>
      <c r="BM1204" s="7">
        <f>0</f>
        <v>0</v>
      </c>
      <c r="BN1204" s="8">
        <f>-5437657</f>
        <v>-5437657</v>
      </c>
      <c r="BO1204" s="5" t="s">
        <v>257</v>
      </c>
      <c r="BP1204" s="5" t="s">
        <v>258</v>
      </c>
      <c r="BQ1204" s="5" t="s">
        <v>238</v>
      </c>
      <c r="BR1204" s="5" t="s">
        <v>238</v>
      </c>
      <c r="BS1204" s="5" t="s">
        <v>238</v>
      </c>
      <c r="BT1204" s="5" t="s">
        <v>238</v>
      </c>
      <c r="CC1204" s="5" t="s">
        <v>258</v>
      </c>
      <c r="CD1204" s="5" t="s">
        <v>238</v>
      </c>
      <c r="CE1204" s="5" t="s">
        <v>238</v>
      </c>
      <c r="CI1204" s="5" t="s">
        <v>259</v>
      </c>
      <c r="CJ1204" s="5" t="s">
        <v>260</v>
      </c>
      <c r="CK1204" s="5" t="s">
        <v>238</v>
      </c>
      <c r="CM1204" s="5" t="s">
        <v>261</v>
      </c>
      <c r="CN1204" s="6" t="s">
        <v>262</v>
      </c>
      <c r="CO1204" s="5" t="s">
        <v>263</v>
      </c>
      <c r="CP1204" s="5" t="s">
        <v>264</v>
      </c>
      <c r="CQ1204" s="5" t="s">
        <v>285</v>
      </c>
      <c r="CR1204" s="5" t="s">
        <v>238</v>
      </c>
      <c r="CS1204" s="5">
        <v>3.3000000000000002E-2</v>
      </c>
      <c r="CT1204" s="5" t="s">
        <v>265</v>
      </c>
      <c r="CU1204" s="5" t="s">
        <v>266</v>
      </c>
      <c r="CV1204" s="5" t="s">
        <v>649</v>
      </c>
      <c r="CW1204" s="7">
        <f>0</f>
        <v>0</v>
      </c>
      <c r="CX1204" s="8">
        <f>164777500</f>
        <v>164777500</v>
      </c>
      <c r="CY1204" s="8">
        <f>45149046</f>
        <v>45149046</v>
      </c>
      <c r="DA1204" s="5" t="s">
        <v>238</v>
      </c>
      <c r="DB1204" s="5" t="s">
        <v>238</v>
      </c>
      <c r="DD1204" s="5" t="s">
        <v>238</v>
      </c>
      <c r="DE1204" s="8">
        <f>0</f>
        <v>0</v>
      </c>
      <c r="DG1204" s="5" t="s">
        <v>238</v>
      </c>
      <c r="DH1204" s="5" t="s">
        <v>238</v>
      </c>
      <c r="DI1204" s="5" t="s">
        <v>238</v>
      </c>
      <c r="DJ1204" s="5" t="s">
        <v>238</v>
      </c>
      <c r="DK1204" s="5" t="s">
        <v>271</v>
      </c>
      <c r="DL1204" s="5" t="s">
        <v>272</v>
      </c>
      <c r="DM1204" s="7">
        <f>867.25</f>
        <v>867.25</v>
      </c>
      <c r="DN1204" s="5" t="s">
        <v>238</v>
      </c>
      <c r="DO1204" s="5" t="s">
        <v>238</v>
      </c>
      <c r="DP1204" s="5" t="s">
        <v>238</v>
      </c>
      <c r="DQ1204" s="5" t="s">
        <v>238</v>
      </c>
      <c r="DT1204" s="5" t="s">
        <v>819</v>
      </c>
      <c r="DU1204" s="5" t="s">
        <v>356</v>
      </c>
      <c r="GL1204" s="5" t="s">
        <v>820</v>
      </c>
      <c r="HM1204" s="5" t="s">
        <v>389</v>
      </c>
      <c r="HP1204" s="5" t="s">
        <v>272</v>
      </c>
      <c r="HQ1204" s="5" t="s">
        <v>272</v>
      </c>
      <c r="HR1204" s="5" t="s">
        <v>238</v>
      </c>
      <c r="HS1204" s="5" t="s">
        <v>238</v>
      </c>
      <c r="HT1204" s="5" t="s">
        <v>238</v>
      </c>
      <c r="HU1204" s="5" t="s">
        <v>238</v>
      </c>
      <c r="HV1204" s="5" t="s">
        <v>238</v>
      </c>
      <c r="HW1204" s="5" t="s">
        <v>238</v>
      </c>
      <c r="HX1204" s="5" t="s">
        <v>238</v>
      </c>
      <c r="HY1204" s="5" t="s">
        <v>238</v>
      </c>
      <c r="HZ1204" s="5" t="s">
        <v>238</v>
      </c>
      <c r="IA1204" s="5" t="s">
        <v>238</v>
      </c>
      <c r="IB1204" s="5" t="s">
        <v>238</v>
      </c>
      <c r="IC1204" s="5" t="s">
        <v>238</v>
      </c>
      <c r="ID1204" s="5" t="s">
        <v>238</v>
      </c>
    </row>
    <row r="1205" spans="1:238" x14ac:dyDescent="0.4">
      <c r="A1205" s="5">
        <v>1545</v>
      </c>
      <c r="B1205" s="5">
        <v>1</v>
      </c>
      <c r="C1205" s="5">
        <v>4</v>
      </c>
      <c r="D1205" s="5" t="s">
        <v>815</v>
      </c>
      <c r="E1205" s="5" t="s">
        <v>803</v>
      </c>
      <c r="F1205" s="5" t="s">
        <v>282</v>
      </c>
      <c r="G1205" s="5" t="s">
        <v>2319</v>
      </c>
      <c r="H1205" s="6" t="s">
        <v>817</v>
      </c>
      <c r="I1205" s="5" t="s">
        <v>2317</v>
      </c>
      <c r="J1205" s="7">
        <f>175.2</f>
        <v>175.2</v>
      </c>
      <c r="K1205" s="5" t="s">
        <v>270</v>
      </c>
      <c r="L1205" s="8">
        <f>8022408</f>
        <v>8022408</v>
      </c>
      <c r="M1205" s="8">
        <f>33288000</f>
        <v>33288000</v>
      </c>
      <c r="N1205" s="6" t="s">
        <v>816</v>
      </c>
      <c r="O1205" s="5" t="s">
        <v>650</v>
      </c>
      <c r="P1205" s="5" t="s">
        <v>818</v>
      </c>
      <c r="Q1205" s="8">
        <f>1098504</f>
        <v>1098504</v>
      </c>
      <c r="R1205" s="8">
        <f>25265592</f>
        <v>25265592</v>
      </c>
      <c r="S1205" s="5" t="s">
        <v>240</v>
      </c>
      <c r="T1205" s="5" t="s">
        <v>237</v>
      </c>
      <c r="U1205" s="5" t="s">
        <v>238</v>
      </c>
      <c r="V1205" s="5" t="s">
        <v>238</v>
      </c>
      <c r="W1205" s="5" t="s">
        <v>241</v>
      </c>
      <c r="X1205" s="5" t="s">
        <v>802</v>
      </c>
      <c r="Y1205" s="5" t="s">
        <v>238</v>
      </c>
      <c r="AB1205" s="5" t="s">
        <v>238</v>
      </c>
      <c r="AC1205" s="6" t="s">
        <v>238</v>
      </c>
      <c r="AD1205" s="6" t="s">
        <v>238</v>
      </c>
      <c r="AF1205" s="6" t="s">
        <v>238</v>
      </c>
      <c r="AG1205" s="6" t="s">
        <v>246</v>
      </c>
      <c r="AH1205" s="5" t="s">
        <v>247</v>
      </c>
      <c r="AI1205" s="5" t="s">
        <v>248</v>
      </c>
      <c r="AO1205" s="5" t="s">
        <v>238</v>
      </c>
      <c r="AP1205" s="5" t="s">
        <v>238</v>
      </c>
      <c r="AQ1205" s="5" t="s">
        <v>238</v>
      </c>
      <c r="AR1205" s="6" t="s">
        <v>238</v>
      </c>
      <c r="AS1205" s="6" t="s">
        <v>238</v>
      </c>
      <c r="AT1205" s="6" t="s">
        <v>238</v>
      </c>
      <c r="AW1205" s="5" t="s">
        <v>304</v>
      </c>
      <c r="AX1205" s="5" t="s">
        <v>304</v>
      </c>
      <c r="AY1205" s="5" t="s">
        <v>250</v>
      </c>
      <c r="AZ1205" s="5" t="s">
        <v>305</v>
      </c>
      <c r="BA1205" s="5" t="s">
        <v>251</v>
      </c>
      <c r="BB1205" s="5" t="s">
        <v>238</v>
      </c>
      <c r="BC1205" s="5" t="s">
        <v>253</v>
      </c>
      <c r="BD1205" s="5" t="s">
        <v>238</v>
      </c>
      <c r="BF1205" s="5" t="s">
        <v>238</v>
      </c>
      <c r="BH1205" s="5" t="s">
        <v>283</v>
      </c>
      <c r="BI1205" s="6" t="s">
        <v>293</v>
      </c>
      <c r="BJ1205" s="5" t="s">
        <v>294</v>
      </c>
      <c r="BK1205" s="5" t="s">
        <v>294</v>
      </c>
      <c r="BL1205" s="5" t="s">
        <v>238</v>
      </c>
      <c r="BM1205" s="7">
        <f>0</f>
        <v>0</v>
      </c>
      <c r="BN1205" s="8">
        <f>-1098504</f>
        <v>-1098504</v>
      </c>
      <c r="BO1205" s="5" t="s">
        <v>257</v>
      </c>
      <c r="BP1205" s="5" t="s">
        <v>258</v>
      </c>
      <c r="BQ1205" s="5" t="s">
        <v>238</v>
      </c>
      <c r="BR1205" s="5" t="s">
        <v>238</v>
      </c>
      <c r="BS1205" s="5" t="s">
        <v>238</v>
      </c>
      <c r="BT1205" s="5" t="s">
        <v>238</v>
      </c>
      <c r="CC1205" s="5" t="s">
        <v>258</v>
      </c>
      <c r="CD1205" s="5" t="s">
        <v>238</v>
      </c>
      <c r="CE1205" s="5" t="s">
        <v>238</v>
      </c>
      <c r="CI1205" s="5" t="s">
        <v>259</v>
      </c>
      <c r="CJ1205" s="5" t="s">
        <v>260</v>
      </c>
      <c r="CK1205" s="5" t="s">
        <v>238</v>
      </c>
      <c r="CM1205" s="5" t="s">
        <v>261</v>
      </c>
      <c r="CN1205" s="6" t="s">
        <v>262</v>
      </c>
      <c r="CO1205" s="5" t="s">
        <v>263</v>
      </c>
      <c r="CP1205" s="5" t="s">
        <v>264</v>
      </c>
      <c r="CQ1205" s="5" t="s">
        <v>285</v>
      </c>
      <c r="CR1205" s="5" t="s">
        <v>238</v>
      </c>
      <c r="CS1205" s="5">
        <v>3.3000000000000002E-2</v>
      </c>
      <c r="CT1205" s="5" t="s">
        <v>265</v>
      </c>
      <c r="CU1205" s="5" t="s">
        <v>2321</v>
      </c>
      <c r="CV1205" s="5" t="s">
        <v>649</v>
      </c>
      <c r="CW1205" s="7">
        <f>0</f>
        <v>0</v>
      </c>
      <c r="CX1205" s="8">
        <f>33288000</f>
        <v>33288000</v>
      </c>
      <c r="CY1205" s="8">
        <f>9120912</f>
        <v>9120912</v>
      </c>
      <c r="DA1205" s="5" t="s">
        <v>238</v>
      </c>
      <c r="DB1205" s="5" t="s">
        <v>238</v>
      </c>
      <c r="DD1205" s="5" t="s">
        <v>238</v>
      </c>
      <c r="DE1205" s="8">
        <f>0</f>
        <v>0</v>
      </c>
      <c r="DG1205" s="5" t="s">
        <v>238</v>
      </c>
      <c r="DH1205" s="5" t="s">
        <v>238</v>
      </c>
      <c r="DI1205" s="5" t="s">
        <v>238</v>
      </c>
      <c r="DJ1205" s="5" t="s">
        <v>238</v>
      </c>
      <c r="DK1205" s="5" t="s">
        <v>271</v>
      </c>
      <c r="DL1205" s="5" t="s">
        <v>272</v>
      </c>
      <c r="DM1205" s="7">
        <f>175.2</f>
        <v>175.2</v>
      </c>
      <c r="DN1205" s="5" t="s">
        <v>238</v>
      </c>
      <c r="DO1205" s="5" t="s">
        <v>238</v>
      </c>
      <c r="DP1205" s="5" t="s">
        <v>238</v>
      </c>
      <c r="DQ1205" s="5" t="s">
        <v>238</v>
      </c>
      <c r="DT1205" s="5" t="s">
        <v>819</v>
      </c>
      <c r="DU1205" s="5" t="s">
        <v>310</v>
      </c>
      <c r="GL1205" s="5" t="s">
        <v>2325</v>
      </c>
      <c r="HM1205" s="5" t="s">
        <v>389</v>
      </c>
      <c r="HP1205" s="5" t="s">
        <v>272</v>
      </c>
      <c r="HQ1205" s="5" t="s">
        <v>272</v>
      </c>
      <c r="HR1205" s="5" t="s">
        <v>238</v>
      </c>
      <c r="HS1205" s="5" t="s">
        <v>238</v>
      </c>
      <c r="HT1205" s="5" t="s">
        <v>238</v>
      </c>
      <c r="HU1205" s="5" t="s">
        <v>238</v>
      </c>
      <c r="HV1205" s="5" t="s">
        <v>238</v>
      </c>
      <c r="HW1205" s="5" t="s">
        <v>238</v>
      </c>
      <c r="HX1205" s="5" t="s">
        <v>238</v>
      </c>
      <c r="HY1205" s="5" t="s">
        <v>238</v>
      </c>
      <c r="HZ1205" s="5" t="s">
        <v>238</v>
      </c>
      <c r="IA1205" s="5" t="s">
        <v>238</v>
      </c>
      <c r="IB1205" s="5" t="s">
        <v>238</v>
      </c>
      <c r="IC1205" s="5" t="s">
        <v>238</v>
      </c>
      <c r="ID1205" s="5" t="s">
        <v>238</v>
      </c>
    </row>
    <row r="1206" spans="1:238" x14ac:dyDescent="0.4">
      <c r="A1206" s="5">
        <v>1546</v>
      </c>
      <c r="B1206" s="5">
        <v>1</v>
      </c>
      <c r="C1206" s="5">
        <v>1</v>
      </c>
      <c r="D1206" s="5" t="s">
        <v>815</v>
      </c>
      <c r="E1206" s="5" t="s">
        <v>803</v>
      </c>
      <c r="F1206" s="5" t="s">
        <v>282</v>
      </c>
      <c r="G1206" s="5" t="s">
        <v>2346</v>
      </c>
      <c r="H1206" s="6" t="s">
        <v>817</v>
      </c>
      <c r="I1206" s="5" t="s">
        <v>2346</v>
      </c>
      <c r="J1206" s="7">
        <f>237.15</f>
        <v>237.15</v>
      </c>
      <c r="K1206" s="5" t="s">
        <v>270</v>
      </c>
      <c r="L1206" s="8">
        <f>1</f>
        <v>1</v>
      </c>
      <c r="M1206" s="8">
        <f>45058500</f>
        <v>45058500</v>
      </c>
      <c r="N1206" s="6" t="s">
        <v>816</v>
      </c>
      <c r="O1206" s="5" t="s">
        <v>268</v>
      </c>
      <c r="P1206" s="5" t="s">
        <v>269</v>
      </c>
      <c r="R1206" s="8">
        <f>45058499</f>
        <v>45058499</v>
      </c>
      <c r="S1206" s="5" t="s">
        <v>240</v>
      </c>
      <c r="T1206" s="5" t="s">
        <v>237</v>
      </c>
      <c r="U1206" s="5" t="s">
        <v>238</v>
      </c>
      <c r="V1206" s="5" t="s">
        <v>238</v>
      </c>
      <c r="W1206" s="5" t="s">
        <v>241</v>
      </c>
      <c r="X1206" s="5" t="s">
        <v>802</v>
      </c>
      <c r="Y1206" s="5" t="s">
        <v>238</v>
      </c>
      <c r="AB1206" s="5" t="s">
        <v>238</v>
      </c>
      <c r="AD1206" s="6" t="s">
        <v>238</v>
      </c>
      <c r="AG1206" s="6" t="s">
        <v>246</v>
      </c>
      <c r="AH1206" s="5" t="s">
        <v>247</v>
      </c>
      <c r="AI1206" s="5" t="s">
        <v>248</v>
      </c>
      <c r="AY1206" s="5" t="s">
        <v>250</v>
      </c>
      <c r="AZ1206" s="5" t="s">
        <v>238</v>
      </c>
      <c r="BA1206" s="5" t="s">
        <v>251</v>
      </c>
      <c r="BB1206" s="5" t="s">
        <v>238</v>
      </c>
      <c r="BC1206" s="5" t="s">
        <v>253</v>
      </c>
      <c r="BD1206" s="5" t="s">
        <v>238</v>
      </c>
      <c r="BF1206" s="5" t="s">
        <v>238</v>
      </c>
      <c r="BH1206" s="5" t="s">
        <v>254</v>
      </c>
      <c r="BI1206" s="6" t="s">
        <v>246</v>
      </c>
      <c r="BJ1206" s="5" t="s">
        <v>255</v>
      </c>
      <c r="BK1206" s="5" t="s">
        <v>256</v>
      </c>
      <c r="BL1206" s="5" t="s">
        <v>238</v>
      </c>
      <c r="BM1206" s="7">
        <f>0</f>
        <v>0</v>
      </c>
      <c r="BN1206" s="8">
        <f>0</f>
        <v>0</v>
      </c>
      <c r="BO1206" s="5" t="s">
        <v>257</v>
      </c>
      <c r="BP1206" s="5" t="s">
        <v>258</v>
      </c>
      <c r="CD1206" s="5" t="s">
        <v>238</v>
      </c>
      <c r="CE1206" s="5" t="s">
        <v>238</v>
      </c>
      <c r="CI1206" s="5" t="s">
        <v>259</v>
      </c>
      <c r="CJ1206" s="5" t="s">
        <v>260</v>
      </c>
      <c r="CK1206" s="5" t="s">
        <v>238</v>
      </c>
      <c r="CM1206" s="5" t="s">
        <v>261</v>
      </c>
      <c r="CN1206" s="6" t="s">
        <v>262</v>
      </c>
      <c r="CO1206" s="5" t="s">
        <v>263</v>
      </c>
      <c r="CP1206" s="5" t="s">
        <v>264</v>
      </c>
      <c r="CQ1206" s="5" t="s">
        <v>238</v>
      </c>
      <c r="CR1206" s="5" t="s">
        <v>238</v>
      </c>
      <c r="CS1206" s="5">
        <v>0</v>
      </c>
      <c r="CT1206" s="5" t="s">
        <v>265</v>
      </c>
      <c r="CU1206" s="5" t="s">
        <v>2321</v>
      </c>
      <c r="CV1206" s="5" t="s">
        <v>267</v>
      </c>
      <c r="CX1206" s="8">
        <f>45058500</f>
        <v>45058500</v>
      </c>
      <c r="CY1206" s="8">
        <f>0</f>
        <v>0</v>
      </c>
      <c r="DA1206" s="5" t="s">
        <v>238</v>
      </c>
      <c r="DB1206" s="5" t="s">
        <v>238</v>
      </c>
      <c r="DD1206" s="5" t="s">
        <v>238</v>
      </c>
      <c r="DG1206" s="5" t="s">
        <v>238</v>
      </c>
      <c r="DH1206" s="5" t="s">
        <v>238</v>
      </c>
      <c r="DI1206" s="5" t="s">
        <v>238</v>
      </c>
      <c r="DJ1206" s="5" t="s">
        <v>238</v>
      </c>
      <c r="DK1206" s="5" t="s">
        <v>271</v>
      </c>
      <c r="DL1206" s="5" t="s">
        <v>272</v>
      </c>
      <c r="DM1206" s="7">
        <f>237.15</f>
        <v>237.15</v>
      </c>
      <c r="DN1206" s="5" t="s">
        <v>238</v>
      </c>
      <c r="DO1206" s="5" t="s">
        <v>238</v>
      </c>
      <c r="DP1206" s="5" t="s">
        <v>238</v>
      </c>
      <c r="DQ1206" s="5" t="s">
        <v>238</v>
      </c>
      <c r="DT1206" s="5" t="s">
        <v>819</v>
      </c>
      <c r="DU1206" s="5" t="s">
        <v>379</v>
      </c>
      <c r="HM1206" s="5" t="s">
        <v>271</v>
      </c>
      <c r="HP1206" s="5" t="s">
        <v>272</v>
      </c>
      <c r="HQ1206" s="5" t="s">
        <v>272</v>
      </c>
    </row>
    <row r="1207" spans="1:238" x14ac:dyDescent="0.4">
      <c r="A1207" s="5">
        <v>1547</v>
      </c>
      <c r="B1207" s="5">
        <v>1</v>
      </c>
      <c r="C1207" s="5">
        <v>1</v>
      </c>
      <c r="D1207" s="5" t="s">
        <v>2318</v>
      </c>
      <c r="E1207" s="5" t="s">
        <v>803</v>
      </c>
      <c r="F1207" s="5" t="s">
        <v>282</v>
      </c>
      <c r="G1207" s="5" t="s">
        <v>2317</v>
      </c>
      <c r="H1207" s="6" t="s">
        <v>2320</v>
      </c>
      <c r="I1207" s="5" t="s">
        <v>2317</v>
      </c>
      <c r="J1207" s="7">
        <f>186.34</f>
        <v>186.34</v>
      </c>
      <c r="K1207" s="5" t="s">
        <v>270</v>
      </c>
      <c r="L1207" s="8">
        <f>1</f>
        <v>1</v>
      </c>
      <c r="M1207" s="8">
        <f>10994060</f>
        <v>10994060</v>
      </c>
      <c r="N1207" s="6" t="s">
        <v>804</v>
      </c>
      <c r="O1207" s="5" t="s">
        <v>268</v>
      </c>
      <c r="P1207" s="5" t="s">
        <v>268</v>
      </c>
      <c r="R1207" s="8">
        <f>10994059</f>
        <v>10994059</v>
      </c>
      <c r="S1207" s="5" t="s">
        <v>240</v>
      </c>
      <c r="T1207" s="5" t="s">
        <v>237</v>
      </c>
      <c r="U1207" s="5" t="s">
        <v>238</v>
      </c>
      <c r="V1207" s="5" t="s">
        <v>238</v>
      </c>
      <c r="W1207" s="5" t="s">
        <v>241</v>
      </c>
      <c r="X1207" s="5" t="s">
        <v>802</v>
      </c>
      <c r="Y1207" s="5" t="s">
        <v>238</v>
      </c>
      <c r="AB1207" s="5" t="s">
        <v>238</v>
      </c>
      <c r="AD1207" s="6" t="s">
        <v>238</v>
      </c>
      <c r="AG1207" s="6" t="s">
        <v>246</v>
      </c>
      <c r="AH1207" s="5" t="s">
        <v>247</v>
      </c>
      <c r="AI1207" s="5" t="s">
        <v>248</v>
      </c>
      <c r="AY1207" s="5" t="s">
        <v>250</v>
      </c>
      <c r="AZ1207" s="5" t="s">
        <v>238</v>
      </c>
      <c r="BA1207" s="5" t="s">
        <v>251</v>
      </c>
      <c r="BB1207" s="5" t="s">
        <v>238</v>
      </c>
      <c r="BC1207" s="5" t="s">
        <v>253</v>
      </c>
      <c r="BD1207" s="5" t="s">
        <v>238</v>
      </c>
      <c r="BF1207" s="5" t="s">
        <v>238</v>
      </c>
      <c r="BH1207" s="5" t="s">
        <v>859</v>
      </c>
      <c r="BI1207" s="6" t="s">
        <v>368</v>
      </c>
      <c r="BJ1207" s="5" t="s">
        <v>255</v>
      </c>
      <c r="BK1207" s="5" t="s">
        <v>294</v>
      </c>
      <c r="BL1207" s="5" t="s">
        <v>238</v>
      </c>
      <c r="BM1207" s="7">
        <f>0</f>
        <v>0</v>
      </c>
      <c r="BN1207" s="8">
        <f>0</f>
        <v>0</v>
      </c>
      <c r="BO1207" s="5" t="s">
        <v>257</v>
      </c>
      <c r="BP1207" s="5" t="s">
        <v>258</v>
      </c>
      <c r="CD1207" s="5" t="s">
        <v>238</v>
      </c>
      <c r="CE1207" s="5" t="s">
        <v>238</v>
      </c>
      <c r="CI1207" s="5" t="s">
        <v>259</v>
      </c>
      <c r="CJ1207" s="5" t="s">
        <v>260</v>
      </c>
      <c r="CK1207" s="5" t="s">
        <v>238</v>
      </c>
      <c r="CM1207" s="5" t="s">
        <v>807</v>
      </c>
      <c r="CN1207" s="6" t="s">
        <v>262</v>
      </c>
      <c r="CO1207" s="5" t="s">
        <v>263</v>
      </c>
      <c r="CP1207" s="5" t="s">
        <v>264</v>
      </c>
      <c r="CQ1207" s="5" t="s">
        <v>238</v>
      </c>
      <c r="CR1207" s="5" t="s">
        <v>238</v>
      </c>
      <c r="CS1207" s="5">
        <v>0</v>
      </c>
      <c r="CT1207" s="5" t="s">
        <v>265</v>
      </c>
      <c r="CU1207" s="5" t="s">
        <v>2321</v>
      </c>
      <c r="CV1207" s="5" t="s">
        <v>267</v>
      </c>
      <c r="CX1207" s="8">
        <f>10994060</f>
        <v>10994060</v>
      </c>
      <c r="CY1207" s="8">
        <f>0</f>
        <v>0</v>
      </c>
      <c r="DA1207" s="5" t="s">
        <v>238</v>
      </c>
      <c r="DB1207" s="5" t="s">
        <v>238</v>
      </c>
      <c r="DD1207" s="5" t="s">
        <v>238</v>
      </c>
      <c r="DG1207" s="5" t="s">
        <v>238</v>
      </c>
      <c r="DH1207" s="5" t="s">
        <v>238</v>
      </c>
      <c r="DI1207" s="5" t="s">
        <v>238</v>
      </c>
      <c r="DJ1207" s="5" t="s">
        <v>238</v>
      </c>
      <c r="DK1207" s="5" t="s">
        <v>271</v>
      </c>
      <c r="DL1207" s="5" t="s">
        <v>272</v>
      </c>
      <c r="DM1207" s="7">
        <f>186.34</f>
        <v>186.34</v>
      </c>
      <c r="DN1207" s="5" t="s">
        <v>238</v>
      </c>
      <c r="DO1207" s="5" t="s">
        <v>238</v>
      </c>
      <c r="DP1207" s="5" t="s">
        <v>238</v>
      </c>
      <c r="DQ1207" s="5" t="s">
        <v>238</v>
      </c>
      <c r="DT1207" s="5" t="s">
        <v>2322</v>
      </c>
      <c r="DU1207" s="5" t="s">
        <v>271</v>
      </c>
      <c r="HM1207" s="5" t="s">
        <v>310</v>
      </c>
      <c r="HP1207" s="5" t="s">
        <v>272</v>
      </c>
      <c r="HQ1207" s="5" t="s">
        <v>272</v>
      </c>
    </row>
    <row r="1208" spans="1:238" x14ac:dyDescent="0.4">
      <c r="A1208" s="5">
        <v>1548</v>
      </c>
      <c r="B1208" s="5">
        <v>1</v>
      </c>
      <c r="C1208" s="5">
        <v>4</v>
      </c>
      <c r="D1208" s="5" t="s">
        <v>2318</v>
      </c>
      <c r="E1208" s="5" t="s">
        <v>803</v>
      </c>
      <c r="F1208" s="5" t="s">
        <v>282</v>
      </c>
      <c r="G1208" s="5" t="s">
        <v>2319</v>
      </c>
      <c r="H1208" s="6" t="s">
        <v>2320</v>
      </c>
      <c r="I1208" s="5" t="s">
        <v>2317</v>
      </c>
      <c r="J1208" s="7">
        <f>3223</f>
        <v>3223</v>
      </c>
      <c r="K1208" s="5" t="s">
        <v>270</v>
      </c>
      <c r="L1208" s="8">
        <f>93769962</f>
        <v>93769962</v>
      </c>
      <c r="M1208" s="8">
        <f>251394000</f>
        <v>251394000</v>
      </c>
      <c r="N1208" s="6" t="s">
        <v>804</v>
      </c>
      <c r="O1208" s="5" t="s">
        <v>650</v>
      </c>
      <c r="P1208" s="5" t="s">
        <v>631</v>
      </c>
      <c r="Q1208" s="8">
        <f>8296002</f>
        <v>8296002</v>
      </c>
      <c r="R1208" s="8">
        <f>157624038</f>
        <v>157624038</v>
      </c>
      <c r="S1208" s="5" t="s">
        <v>240</v>
      </c>
      <c r="T1208" s="5" t="s">
        <v>237</v>
      </c>
      <c r="U1208" s="5" t="s">
        <v>238</v>
      </c>
      <c r="V1208" s="5" t="s">
        <v>238</v>
      </c>
      <c r="W1208" s="5" t="s">
        <v>241</v>
      </c>
      <c r="X1208" s="5" t="s">
        <v>802</v>
      </c>
      <c r="Y1208" s="5" t="s">
        <v>238</v>
      </c>
      <c r="AB1208" s="5" t="s">
        <v>238</v>
      </c>
      <c r="AC1208" s="6" t="s">
        <v>238</v>
      </c>
      <c r="AD1208" s="6" t="s">
        <v>238</v>
      </c>
      <c r="AF1208" s="6" t="s">
        <v>238</v>
      </c>
      <c r="AG1208" s="6" t="s">
        <v>246</v>
      </c>
      <c r="AH1208" s="5" t="s">
        <v>247</v>
      </c>
      <c r="AI1208" s="5" t="s">
        <v>248</v>
      </c>
      <c r="AO1208" s="5" t="s">
        <v>238</v>
      </c>
      <c r="AP1208" s="5" t="s">
        <v>238</v>
      </c>
      <c r="AQ1208" s="5" t="s">
        <v>238</v>
      </c>
      <c r="AR1208" s="6" t="s">
        <v>238</v>
      </c>
      <c r="AS1208" s="6" t="s">
        <v>238</v>
      </c>
      <c r="AT1208" s="6" t="s">
        <v>238</v>
      </c>
      <c r="AW1208" s="5" t="s">
        <v>304</v>
      </c>
      <c r="AX1208" s="5" t="s">
        <v>304</v>
      </c>
      <c r="AY1208" s="5" t="s">
        <v>250</v>
      </c>
      <c r="AZ1208" s="5" t="s">
        <v>305</v>
      </c>
      <c r="BA1208" s="5" t="s">
        <v>251</v>
      </c>
      <c r="BB1208" s="5" t="s">
        <v>238</v>
      </c>
      <c r="BC1208" s="5" t="s">
        <v>253</v>
      </c>
      <c r="BD1208" s="5" t="s">
        <v>238</v>
      </c>
      <c r="BF1208" s="5" t="s">
        <v>238</v>
      </c>
      <c r="BH1208" s="5" t="s">
        <v>283</v>
      </c>
      <c r="BI1208" s="6" t="s">
        <v>293</v>
      </c>
      <c r="BJ1208" s="5" t="s">
        <v>294</v>
      </c>
      <c r="BK1208" s="5" t="s">
        <v>294</v>
      </c>
      <c r="BL1208" s="5" t="s">
        <v>238</v>
      </c>
      <c r="BM1208" s="7">
        <f>0</f>
        <v>0</v>
      </c>
      <c r="BN1208" s="8">
        <f>-8296002</f>
        <v>-8296002</v>
      </c>
      <c r="BO1208" s="5" t="s">
        <v>257</v>
      </c>
      <c r="BP1208" s="5" t="s">
        <v>258</v>
      </c>
      <c r="BQ1208" s="5" t="s">
        <v>238</v>
      </c>
      <c r="BR1208" s="5" t="s">
        <v>238</v>
      </c>
      <c r="BS1208" s="5" t="s">
        <v>238</v>
      </c>
      <c r="BT1208" s="5" t="s">
        <v>238</v>
      </c>
      <c r="CC1208" s="5" t="s">
        <v>258</v>
      </c>
      <c r="CD1208" s="5" t="s">
        <v>238</v>
      </c>
      <c r="CE1208" s="5" t="s">
        <v>238</v>
      </c>
      <c r="CI1208" s="5" t="s">
        <v>259</v>
      </c>
      <c r="CJ1208" s="5" t="s">
        <v>260</v>
      </c>
      <c r="CK1208" s="5" t="s">
        <v>238</v>
      </c>
      <c r="CM1208" s="5" t="s">
        <v>807</v>
      </c>
      <c r="CN1208" s="6" t="s">
        <v>262</v>
      </c>
      <c r="CO1208" s="5" t="s">
        <v>263</v>
      </c>
      <c r="CP1208" s="5" t="s">
        <v>264</v>
      </c>
      <c r="CQ1208" s="5" t="s">
        <v>285</v>
      </c>
      <c r="CR1208" s="5" t="s">
        <v>238</v>
      </c>
      <c r="CS1208" s="5">
        <v>3.3000000000000002E-2</v>
      </c>
      <c r="CT1208" s="5" t="s">
        <v>265</v>
      </c>
      <c r="CU1208" s="5" t="s">
        <v>2321</v>
      </c>
      <c r="CV1208" s="5" t="s">
        <v>649</v>
      </c>
      <c r="CW1208" s="7">
        <f>0</f>
        <v>0</v>
      </c>
      <c r="CX1208" s="8">
        <f>251394000</f>
        <v>251394000</v>
      </c>
      <c r="CY1208" s="8">
        <f>102065964</f>
        <v>102065964</v>
      </c>
      <c r="DA1208" s="5" t="s">
        <v>238</v>
      </c>
      <c r="DB1208" s="5" t="s">
        <v>238</v>
      </c>
      <c r="DD1208" s="5" t="s">
        <v>238</v>
      </c>
      <c r="DE1208" s="8">
        <f>0</f>
        <v>0</v>
      </c>
      <c r="DG1208" s="5" t="s">
        <v>238</v>
      </c>
      <c r="DH1208" s="5" t="s">
        <v>238</v>
      </c>
      <c r="DI1208" s="5" t="s">
        <v>238</v>
      </c>
      <c r="DJ1208" s="5" t="s">
        <v>238</v>
      </c>
      <c r="DK1208" s="5" t="s">
        <v>271</v>
      </c>
      <c r="DL1208" s="5" t="s">
        <v>272</v>
      </c>
      <c r="DM1208" s="7">
        <f>3223</f>
        <v>3223</v>
      </c>
      <c r="DN1208" s="5" t="s">
        <v>238</v>
      </c>
      <c r="DO1208" s="5" t="s">
        <v>238</v>
      </c>
      <c r="DP1208" s="5" t="s">
        <v>238</v>
      </c>
      <c r="DQ1208" s="5" t="s">
        <v>238</v>
      </c>
      <c r="DT1208" s="5" t="s">
        <v>2322</v>
      </c>
      <c r="DU1208" s="5" t="s">
        <v>274</v>
      </c>
      <c r="GL1208" s="5" t="s">
        <v>2323</v>
      </c>
      <c r="HM1208" s="5" t="s">
        <v>389</v>
      </c>
      <c r="HP1208" s="5" t="s">
        <v>272</v>
      </c>
      <c r="HQ1208" s="5" t="s">
        <v>272</v>
      </c>
      <c r="HR1208" s="5" t="s">
        <v>238</v>
      </c>
      <c r="HS1208" s="5" t="s">
        <v>238</v>
      </c>
      <c r="HT1208" s="5" t="s">
        <v>238</v>
      </c>
      <c r="HU1208" s="5" t="s">
        <v>238</v>
      </c>
      <c r="HV1208" s="5" t="s">
        <v>238</v>
      </c>
      <c r="HW1208" s="5" t="s">
        <v>238</v>
      </c>
      <c r="HX1208" s="5" t="s">
        <v>238</v>
      </c>
      <c r="HY1208" s="5" t="s">
        <v>238</v>
      </c>
      <c r="HZ1208" s="5" t="s">
        <v>238</v>
      </c>
      <c r="IA1208" s="5" t="s">
        <v>238</v>
      </c>
      <c r="IB1208" s="5" t="s">
        <v>238</v>
      </c>
      <c r="IC1208" s="5" t="s">
        <v>238</v>
      </c>
      <c r="ID1208" s="5" t="s">
        <v>238</v>
      </c>
    </row>
    <row r="1209" spans="1:238" x14ac:dyDescent="0.4">
      <c r="A1209" s="5">
        <v>1549</v>
      </c>
      <c r="B1209" s="5">
        <v>1</v>
      </c>
      <c r="C1209" s="5">
        <v>1</v>
      </c>
      <c r="D1209" s="5" t="s">
        <v>2362</v>
      </c>
      <c r="E1209" s="5" t="s">
        <v>803</v>
      </c>
      <c r="F1209" s="5" t="s">
        <v>282</v>
      </c>
      <c r="G1209" s="5" t="s">
        <v>2317</v>
      </c>
      <c r="H1209" s="6" t="s">
        <v>2364</v>
      </c>
      <c r="I1209" s="5" t="s">
        <v>2317</v>
      </c>
      <c r="J1209" s="7">
        <f>770</f>
        <v>770</v>
      </c>
      <c r="K1209" s="5" t="s">
        <v>270</v>
      </c>
      <c r="L1209" s="8">
        <f>1</f>
        <v>1</v>
      </c>
      <c r="M1209" s="8">
        <f>167090000</f>
        <v>167090000</v>
      </c>
      <c r="N1209" s="6" t="s">
        <v>2363</v>
      </c>
      <c r="O1209" s="5" t="s">
        <v>650</v>
      </c>
      <c r="P1209" s="5" t="s">
        <v>650</v>
      </c>
      <c r="R1209" s="8">
        <f>167089999</f>
        <v>167089999</v>
      </c>
      <c r="S1209" s="5" t="s">
        <v>240</v>
      </c>
      <c r="T1209" s="5" t="s">
        <v>237</v>
      </c>
      <c r="U1209" s="5" t="s">
        <v>238</v>
      </c>
      <c r="V1209" s="5" t="s">
        <v>238</v>
      </c>
      <c r="W1209" s="5" t="s">
        <v>241</v>
      </c>
      <c r="X1209" s="5" t="s">
        <v>802</v>
      </c>
      <c r="Y1209" s="5" t="s">
        <v>238</v>
      </c>
      <c r="AB1209" s="5" t="s">
        <v>238</v>
      </c>
      <c r="AD1209" s="6" t="s">
        <v>238</v>
      </c>
      <c r="AG1209" s="6" t="s">
        <v>246</v>
      </c>
      <c r="AH1209" s="5" t="s">
        <v>247</v>
      </c>
      <c r="AI1209" s="5" t="s">
        <v>248</v>
      </c>
      <c r="AY1209" s="5" t="s">
        <v>250</v>
      </c>
      <c r="AZ1209" s="5" t="s">
        <v>238</v>
      </c>
      <c r="BA1209" s="5" t="s">
        <v>251</v>
      </c>
      <c r="BB1209" s="5" t="s">
        <v>238</v>
      </c>
      <c r="BC1209" s="5" t="s">
        <v>253</v>
      </c>
      <c r="BD1209" s="5" t="s">
        <v>238</v>
      </c>
      <c r="BF1209" s="5" t="s">
        <v>238</v>
      </c>
      <c r="BH1209" s="5" t="s">
        <v>254</v>
      </c>
      <c r="BI1209" s="6" t="s">
        <v>246</v>
      </c>
      <c r="BJ1209" s="5" t="s">
        <v>255</v>
      </c>
      <c r="BK1209" s="5" t="s">
        <v>294</v>
      </c>
      <c r="BL1209" s="5" t="s">
        <v>238</v>
      </c>
      <c r="BM1209" s="7">
        <f>0</f>
        <v>0</v>
      </c>
      <c r="BN1209" s="8">
        <f>0</f>
        <v>0</v>
      </c>
      <c r="BO1209" s="5" t="s">
        <v>257</v>
      </c>
      <c r="BP1209" s="5" t="s">
        <v>258</v>
      </c>
      <c r="CD1209" s="5" t="s">
        <v>238</v>
      </c>
      <c r="CE1209" s="5" t="s">
        <v>238</v>
      </c>
      <c r="CI1209" s="5" t="s">
        <v>259</v>
      </c>
      <c r="CJ1209" s="5" t="s">
        <v>260</v>
      </c>
      <c r="CK1209" s="5" t="s">
        <v>238</v>
      </c>
      <c r="CM1209" s="5" t="s">
        <v>689</v>
      </c>
      <c r="CN1209" s="6" t="s">
        <v>262</v>
      </c>
      <c r="CO1209" s="5" t="s">
        <v>263</v>
      </c>
      <c r="CP1209" s="5" t="s">
        <v>264</v>
      </c>
      <c r="CQ1209" s="5" t="s">
        <v>238</v>
      </c>
      <c r="CR1209" s="5" t="s">
        <v>238</v>
      </c>
      <c r="CS1209" s="5">
        <v>0</v>
      </c>
      <c r="CT1209" s="5" t="s">
        <v>265</v>
      </c>
      <c r="CU1209" s="5" t="s">
        <v>2321</v>
      </c>
      <c r="CV1209" s="5" t="s">
        <v>649</v>
      </c>
      <c r="CX1209" s="8">
        <f>167090000</f>
        <v>167090000</v>
      </c>
      <c r="CY1209" s="8">
        <f>0</f>
        <v>0</v>
      </c>
      <c r="DA1209" s="5" t="s">
        <v>238</v>
      </c>
      <c r="DB1209" s="5" t="s">
        <v>238</v>
      </c>
      <c r="DD1209" s="5" t="s">
        <v>238</v>
      </c>
      <c r="DG1209" s="5" t="s">
        <v>238</v>
      </c>
      <c r="DH1209" s="5" t="s">
        <v>238</v>
      </c>
      <c r="DI1209" s="5" t="s">
        <v>238</v>
      </c>
      <c r="DJ1209" s="5" t="s">
        <v>238</v>
      </c>
      <c r="DK1209" s="5" t="s">
        <v>271</v>
      </c>
      <c r="DL1209" s="5" t="s">
        <v>272</v>
      </c>
      <c r="DM1209" s="7">
        <f>770</f>
        <v>770</v>
      </c>
      <c r="DN1209" s="5" t="s">
        <v>238</v>
      </c>
      <c r="DO1209" s="5" t="s">
        <v>238</v>
      </c>
      <c r="DP1209" s="5" t="s">
        <v>238</v>
      </c>
      <c r="DQ1209" s="5" t="s">
        <v>238</v>
      </c>
      <c r="DT1209" s="5" t="s">
        <v>2365</v>
      </c>
      <c r="DU1209" s="5" t="s">
        <v>271</v>
      </c>
      <c r="HM1209" s="5" t="s">
        <v>356</v>
      </c>
      <c r="HP1209" s="5" t="s">
        <v>272</v>
      </c>
      <c r="HQ1209" s="5" t="s">
        <v>272</v>
      </c>
    </row>
    <row r="1210" spans="1:238" x14ac:dyDescent="0.4">
      <c r="A1210" s="5">
        <v>1550</v>
      </c>
      <c r="B1210" s="5">
        <v>1</v>
      </c>
      <c r="C1210" s="5">
        <v>4</v>
      </c>
      <c r="D1210" s="5" t="s">
        <v>832</v>
      </c>
      <c r="E1210" s="5" t="s">
        <v>803</v>
      </c>
      <c r="F1210" s="5" t="s">
        <v>282</v>
      </c>
      <c r="G1210" s="5" t="s">
        <v>1331</v>
      </c>
      <c r="H1210" s="6" t="s">
        <v>833</v>
      </c>
      <c r="I1210" s="5" t="s">
        <v>1334</v>
      </c>
      <c r="J1210" s="7">
        <f>39.75</f>
        <v>39.75</v>
      </c>
      <c r="K1210" s="5" t="s">
        <v>270</v>
      </c>
      <c r="L1210" s="8">
        <f>1443808</f>
        <v>1443808</v>
      </c>
      <c r="M1210" s="8">
        <f>5048250</f>
        <v>5048250</v>
      </c>
      <c r="N1210" s="6" t="s">
        <v>843</v>
      </c>
      <c r="O1210" s="5" t="s">
        <v>651</v>
      </c>
      <c r="P1210" s="5" t="s">
        <v>268</v>
      </c>
      <c r="Q1210" s="8">
        <f>212026</f>
        <v>212026</v>
      </c>
      <c r="R1210" s="8">
        <f>3604442</f>
        <v>3604442</v>
      </c>
      <c r="S1210" s="5" t="s">
        <v>240</v>
      </c>
      <c r="T1210" s="5" t="s">
        <v>237</v>
      </c>
      <c r="U1210" s="5" t="s">
        <v>238</v>
      </c>
      <c r="V1210" s="5" t="s">
        <v>238</v>
      </c>
      <c r="W1210" s="5" t="s">
        <v>241</v>
      </c>
      <c r="X1210" s="5" t="s">
        <v>802</v>
      </c>
      <c r="Y1210" s="5" t="s">
        <v>238</v>
      </c>
      <c r="AB1210" s="5" t="s">
        <v>238</v>
      </c>
      <c r="AC1210" s="6" t="s">
        <v>238</v>
      </c>
      <c r="AD1210" s="6" t="s">
        <v>238</v>
      </c>
      <c r="AF1210" s="6" t="s">
        <v>238</v>
      </c>
      <c r="AG1210" s="6" t="s">
        <v>246</v>
      </c>
      <c r="AH1210" s="5" t="s">
        <v>247</v>
      </c>
      <c r="AI1210" s="5" t="s">
        <v>248</v>
      </c>
      <c r="AO1210" s="5" t="s">
        <v>238</v>
      </c>
      <c r="AP1210" s="5" t="s">
        <v>238</v>
      </c>
      <c r="AQ1210" s="5" t="s">
        <v>238</v>
      </c>
      <c r="AR1210" s="6" t="s">
        <v>238</v>
      </c>
      <c r="AS1210" s="6" t="s">
        <v>238</v>
      </c>
      <c r="AT1210" s="6" t="s">
        <v>238</v>
      </c>
      <c r="AW1210" s="5" t="s">
        <v>304</v>
      </c>
      <c r="AX1210" s="5" t="s">
        <v>304</v>
      </c>
      <c r="AY1210" s="5" t="s">
        <v>250</v>
      </c>
      <c r="AZ1210" s="5" t="s">
        <v>305</v>
      </c>
      <c r="BA1210" s="5" t="s">
        <v>251</v>
      </c>
      <c r="BB1210" s="5" t="s">
        <v>238</v>
      </c>
      <c r="BC1210" s="5" t="s">
        <v>253</v>
      </c>
      <c r="BD1210" s="5" t="s">
        <v>238</v>
      </c>
      <c r="BF1210" s="5" t="s">
        <v>238</v>
      </c>
      <c r="BH1210" s="5" t="s">
        <v>283</v>
      </c>
      <c r="BI1210" s="6" t="s">
        <v>293</v>
      </c>
      <c r="BJ1210" s="5" t="s">
        <v>294</v>
      </c>
      <c r="BK1210" s="5" t="s">
        <v>294</v>
      </c>
      <c r="BL1210" s="5" t="s">
        <v>238</v>
      </c>
      <c r="BM1210" s="7">
        <f>0</f>
        <v>0</v>
      </c>
      <c r="BN1210" s="8">
        <f>-212026</f>
        <v>-212026</v>
      </c>
      <c r="BO1210" s="5" t="s">
        <v>257</v>
      </c>
      <c r="BP1210" s="5" t="s">
        <v>258</v>
      </c>
      <c r="BQ1210" s="5" t="s">
        <v>238</v>
      </c>
      <c r="BR1210" s="5" t="s">
        <v>238</v>
      </c>
      <c r="BS1210" s="5" t="s">
        <v>238</v>
      </c>
      <c r="BT1210" s="5" t="s">
        <v>238</v>
      </c>
      <c r="CC1210" s="5" t="s">
        <v>258</v>
      </c>
      <c r="CD1210" s="5" t="s">
        <v>238</v>
      </c>
      <c r="CE1210" s="5" t="s">
        <v>238</v>
      </c>
      <c r="CI1210" s="5" t="s">
        <v>259</v>
      </c>
      <c r="CJ1210" s="5" t="s">
        <v>260</v>
      </c>
      <c r="CK1210" s="5" t="s">
        <v>238</v>
      </c>
      <c r="CM1210" s="5" t="s">
        <v>845</v>
      </c>
      <c r="CN1210" s="6" t="s">
        <v>262</v>
      </c>
      <c r="CO1210" s="5" t="s">
        <v>263</v>
      </c>
      <c r="CP1210" s="5" t="s">
        <v>264</v>
      </c>
      <c r="CQ1210" s="5" t="s">
        <v>285</v>
      </c>
      <c r="CR1210" s="5" t="s">
        <v>238</v>
      </c>
      <c r="CS1210" s="5">
        <v>4.2000000000000003E-2</v>
      </c>
      <c r="CT1210" s="5" t="s">
        <v>265</v>
      </c>
      <c r="CU1210" s="5" t="s">
        <v>1333</v>
      </c>
      <c r="CV1210" s="5" t="s">
        <v>267</v>
      </c>
      <c r="CW1210" s="7">
        <f>0</f>
        <v>0</v>
      </c>
      <c r="CX1210" s="8">
        <f>5048250</f>
        <v>5048250</v>
      </c>
      <c r="CY1210" s="8">
        <f>1655834</f>
        <v>1655834</v>
      </c>
      <c r="DA1210" s="5" t="s">
        <v>238</v>
      </c>
      <c r="DB1210" s="5" t="s">
        <v>238</v>
      </c>
      <c r="DD1210" s="5" t="s">
        <v>238</v>
      </c>
      <c r="DE1210" s="8">
        <f>0</f>
        <v>0</v>
      </c>
      <c r="DG1210" s="5" t="s">
        <v>238</v>
      </c>
      <c r="DH1210" s="5" t="s">
        <v>238</v>
      </c>
      <c r="DI1210" s="5" t="s">
        <v>238</v>
      </c>
      <c r="DJ1210" s="5" t="s">
        <v>238</v>
      </c>
      <c r="DK1210" s="5" t="s">
        <v>271</v>
      </c>
      <c r="DL1210" s="5" t="s">
        <v>272</v>
      </c>
      <c r="DM1210" s="7">
        <f>39.75</f>
        <v>39.75</v>
      </c>
      <c r="DN1210" s="5" t="s">
        <v>238</v>
      </c>
      <c r="DO1210" s="5" t="s">
        <v>238</v>
      </c>
      <c r="DP1210" s="5" t="s">
        <v>238</v>
      </c>
      <c r="DQ1210" s="5" t="s">
        <v>238</v>
      </c>
      <c r="DT1210" s="5" t="s">
        <v>834</v>
      </c>
      <c r="DU1210" s="5" t="s">
        <v>271</v>
      </c>
      <c r="GL1210" s="5" t="s">
        <v>1929</v>
      </c>
      <c r="HM1210" s="5" t="s">
        <v>389</v>
      </c>
      <c r="HP1210" s="5" t="s">
        <v>272</v>
      </c>
      <c r="HQ1210" s="5" t="s">
        <v>272</v>
      </c>
      <c r="HR1210" s="5" t="s">
        <v>238</v>
      </c>
      <c r="HS1210" s="5" t="s">
        <v>238</v>
      </c>
      <c r="HT1210" s="5" t="s">
        <v>238</v>
      </c>
      <c r="HU1210" s="5" t="s">
        <v>238</v>
      </c>
      <c r="HV1210" s="5" t="s">
        <v>238</v>
      </c>
      <c r="HW1210" s="5" t="s">
        <v>238</v>
      </c>
      <c r="HX1210" s="5" t="s">
        <v>238</v>
      </c>
      <c r="HY1210" s="5" t="s">
        <v>238</v>
      </c>
      <c r="HZ1210" s="5" t="s">
        <v>238</v>
      </c>
      <c r="IA1210" s="5" t="s">
        <v>238</v>
      </c>
      <c r="IB1210" s="5" t="s">
        <v>238</v>
      </c>
      <c r="IC1210" s="5" t="s">
        <v>238</v>
      </c>
      <c r="ID1210" s="5" t="s">
        <v>238</v>
      </c>
    </row>
    <row r="1211" spans="1:238" x14ac:dyDescent="0.4">
      <c r="A1211" s="5">
        <v>1551</v>
      </c>
      <c r="B1211" s="5">
        <v>1</v>
      </c>
      <c r="C1211" s="5">
        <v>4</v>
      </c>
      <c r="D1211" s="5" t="s">
        <v>832</v>
      </c>
      <c r="E1211" s="5" t="s">
        <v>803</v>
      </c>
      <c r="F1211" s="5" t="s">
        <v>282</v>
      </c>
      <c r="G1211" s="5" t="s">
        <v>2344</v>
      </c>
      <c r="H1211" s="6" t="s">
        <v>833</v>
      </c>
      <c r="I1211" s="5" t="s">
        <v>2343</v>
      </c>
      <c r="J1211" s="7">
        <f>2805.9</f>
        <v>2805.9</v>
      </c>
      <c r="K1211" s="5" t="s">
        <v>270</v>
      </c>
      <c r="L1211" s="8">
        <f>26922615</f>
        <v>26922615</v>
      </c>
      <c r="M1211" s="8">
        <f>53312100</f>
        <v>53312100</v>
      </c>
      <c r="N1211" s="6" t="s">
        <v>789</v>
      </c>
      <c r="O1211" s="5" t="s">
        <v>650</v>
      </c>
      <c r="P1211" s="5" t="s">
        <v>319</v>
      </c>
      <c r="Q1211" s="8">
        <f>1759299</f>
        <v>1759299</v>
      </c>
      <c r="R1211" s="8">
        <f>26389485</f>
        <v>26389485</v>
      </c>
      <c r="S1211" s="5" t="s">
        <v>240</v>
      </c>
      <c r="T1211" s="5" t="s">
        <v>237</v>
      </c>
      <c r="U1211" s="5" t="s">
        <v>238</v>
      </c>
      <c r="V1211" s="5" t="s">
        <v>238</v>
      </c>
      <c r="W1211" s="5" t="s">
        <v>241</v>
      </c>
      <c r="X1211" s="5" t="s">
        <v>802</v>
      </c>
      <c r="Y1211" s="5" t="s">
        <v>238</v>
      </c>
      <c r="AB1211" s="5" t="s">
        <v>238</v>
      </c>
      <c r="AC1211" s="6" t="s">
        <v>238</v>
      </c>
      <c r="AD1211" s="6" t="s">
        <v>238</v>
      </c>
      <c r="AF1211" s="6" t="s">
        <v>238</v>
      </c>
      <c r="AG1211" s="6" t="s">
        <v>246</v>
      </c>
      <c r="AH1211" s="5" t="s">
        <v>247</v>
      </c>
      <c r="AI1211" s="5" t="s">
        <v>248</v>
      </c>
      <c r="AO1211" s="5" t="s">
        <v>238</v>
      </c>
      <c r="AP1211" s="5" t="s">
        <v>238</v>
      </c>
      <c r="AQ1211" s="5" t="s">
        <v>238</v>
      </c>
      <c r="AR1211" s="6" t="s">
        <v>238</v>
      </c>
      <c r="AS1211" s="6" t="s">
        <v>238</v>
      </c>
      <c r="AT1211" s="6" t="s">
        <v>238</v>
      </c>
      <c r="AW1211" s="5" t="s">
        <v>304</v>
      </c>
      <c r="AX1211" s="5" t="s">
        <v>304</v>
      </c>
      <c r="AY1211" s="5" t="s">
        <v>250</v>
      </c>
      <c r="AZ1211" s="5" t="s">
        <v>305</v>
      </c>
      <c r="BA1211" s="5" t="s">
        <v>251</v>
      </c>
      <c r="BB1211" s="5" t="s">
        <v>238</v>
      </c>
      <c r="BC1211" s="5" t="s">
        <v>253</v>
      </c>
      <c r="BD1211" s="5" t="s">
        <v>238</v>
      </c>
      <c r="BF1211" s="5" t="s">
        <v>238</v>
      </c>
      <c r="BH1211" s="5" t="s">
        <v>283</v>
      </c>
      <c r="BI1211" s="6" t="s">
        <v>293</v>
      </c>
      <c r="BJ1211" s="5" t="s">
        <v>294</v>
      </c>
      <c r="BK1211" s="5" t="s">
        <v>294</v>
      </c>
      <c r="BL1211" s="5" t="s">
        <v>238</v>
      </c>
      <c r="BM1211" s="7">
        <f>0</f>
        <v>0</v>
      </c>
      <c r="BN1211" s="8">
        <f>-1759299</f>
        <v>-1759299</v>
      </c>
      <c r="BO1211" s="5" t="s">
        <v>257</v>
      </c>
      <c r="BP1211" s="5" t="s">
        <v>258</v>
      </c>
      <c r="BQ1211" s="5" t="s">
        <v>238</v>
      </c>
      <c r="BR1211" s="5" t="s">
        <v>238</v>
      </c>
      <c r="BS1211" s="5" t="s">
        <v>238</v>
      </c>
      <c r="BT1211" s="5" t="s">
        <v>238</v>
      </c>
      <c r="CC1211" s="5" t="s">
        <v>258</v>
      </c>
      <c r="CD1211" s="5" t="s">
        <v>238</v>
      </c>
      <c r="CE1211" s="5" t="s">
        <v>238</v>
      </c>
      <c r="CI1211" s="5" t="s">
        <v>259</v>
      </c>
      <c r="CJ1211" s="5" t="s">
        <v>260</v>
      </c>
      <c r="CK1211" s="5" t="s">
        <v>238</v>
      </c>
      <c r="CM1211" s="5" t="s">
        <v>318</v>
      </c>
      <c r="CN1211" s="6" t="s">
        <v>262</v>
      </c>
      <c r="CO1211" s="5" t="s">
        <v>263</v>
      </c>
      <c r="CP1211" s="5" t="s">
        <v>264</v>
      </c>
      <c r="CQ1211" s="5" t="s">
        <v>285</v>
      </c>
      <c r="CR1211" s="5" t="s">
        <v>238</v>
      </c>
      <c r="CS1211" s="5">
        <v>3.3000000000000002E-2</v>
      </c>
      <c r="CT1211" s="5" t="s">
        <v>265</v>
      </c>
      <c r="CU1211" s="5" t="s">
        <v>2321</v>
      </c>
      <c r="CV1211" s="5" t="s">
        <v>649</v>
      </c>
      <c r="CW1211" s="7">
        <f>0</f>
        <v>0</v>
      </c>
      <c r="CX1211" s="8">
        <f>53312100</f>
        <v>53312100</v>
      </c>
      <c r="CY1211" s="8">
        <f>28681914</f>
        <v>28681914</v>
      </c>
      <c r="DA1211" s="5" t="s">
        <v>238</v>
      </c>
      <c r="DB1211" s="5" t="s">
        <v>238</v>
      </c>
      <c r="DD1211" s="5" t="s">
        <v>238</v>
      </c>
      <c r="DE1211" s="8">
        <f>0</f>
        <v>0</v>
      </c>
      <c r="DG1211" s="5" t="s">
        <v>238</v>
      </c>
      <c r="DH1211" s="5" t="s">
        <v>238</v>
      </c>
      <c r="DI1211" s="5" t="s">
        <v>238</v>
      </c>
      <c r="DJ1211" s="5" t="s">
        <v>238</v>
      </c>
      <c r="DK1211" s="5" t="s">
        <v>271</v>
      </c>
      <c r="DL1211" s="5" t="s">
        <v>272</v>
      </c>
      <c r="DM1211" s="7">
        <f>2805.9</f>
        <v>2805.9</v>
      </c>
      <c r="DN1211" s="5" t="s">
        <v>238</v>
      </c>
      <c r="DO1211" s="5" t="s">
        <v>238</v>
      </c>
      <c r="DP1211" s="5" t="s">
        <v>238</v>
      </c>
      <c r="DQ1211" s="5" t="s">
        <v>238</v>
      </c>
      <c r="DT1211" s="5" t="s">
        <v>834</v>
      </c>
      <c r="DU1211" s="5" t="s">
        <v>274</v>
      </c>
      <c r="GL1211" s="5" t="s">
        <v>2375</v>
      </c>
      <c r="HM1211" s="5" t="s">
        <v>389</v>
      </c>
      <c r="HP1211" s="5" t="s">
        <v>272</v>
      </c>
      <c r="HQ1211" s="5" t="s">
        <v>272</v>
      </c>
      <c r="HR1211" s="5" t="s">
        <v>238</v>
      </c>
      <c r="HS1211" s="5" t="s">
        <v>238</v>
      </c>
      <c r="HT1211" s="5" t="s">
        <v>238</v>
      </c>
      <c r="HU1211" s="5" t="s">
        <v>238</v>
      </c>
      <c r="HV1211" s="5" t="s">
        <v>238</v>
      </c>
      <c r="HW1211" s="5" t="s">
        <v>238</v>
      </c>
      <c r="HX1211" s="5" t="s">
        <v>238</v>
      </c>
      <c r="HY1211" s="5" t="s">
        <v>238</v>
      </c>
      <c r="HZ1211" s="5" t="s">
        <v>238</v>
      </c>
      <c r="IA1211" s="5" t="s">
        <v>238</v>
      </c>
      <c r="IB1211" s="5" t="s">
        <v>238</v>
      </c>
      <c r="IC1211" s="5" t="s">
        <v>238</v>
      </c>
      <c r="ID1211" s="5" t="s">
        <v>238</v>
      </c>
    </row>
    <row r="1212" spans="1:238" x14ac:dyDescent="0.4">
      <c r="A1212" s="5">
        <v>1552</v>
      </c>
      <c r="B1212" s="5">
        <v>1</v>
      </c>
      <c r="C1212" s="5">
        <v>4</v>
      </c>
      <c r="D1212" s="5" t="s">
        <v>832</v>
      </c>
      <c r="E1212" s="5" t="s">
        <v>803</v>
      </c>
      <c r="F1212" s="5" t="s">
        <v>282</v>
      </c>
      <c r="G1212" s="5" t="s">
        <v>2344</v>
      </c>
      <c r="H1212" s="6" t="s">
        <v>833</v>
      </c>
      <c r="I1212" s="5" t="s">
        <v>2343</v>
      </c>
      <c r="J1212" s="7">
        <f>1080</f>
        <v>1080</v>
      </c>
      <c r="K1212" s="5" t="s">
        <v>270</v>
      </c>
      <c r="L1212" s="8">
        <f>1</f>
        <v>1</v>
      </c>
      <c r="M1212" s="8">
        <f>176040000</f>
        <v>176040000</v>
      </c>
      <c r="N1212" s="6" t="s">
        <v>789</v>
      </c>
      <c r="O1212" s="5" t="s">
        <v>268</v>
      </c>
      <c r="P1212" s="5" t="s">
        <v>319</v>
      </c>
      <c r="Q1212" s="8">
        <f>11794680</f>
        <v>11794680</v>
      </c>
      <c r="R1212" s="8">
        <f>176039999</f>
        <v>176039999</v>
      </c>
      <c r="S1212" s="5" t="s">
        <v>240</v>
      </c>
      <c r="T1212" s="5" t="s">
        <v>237</v>
      </c>
      <c r="U1212" s="5" t="s">
        <v>238</v>
      </c>
      <c r="V1212" s="5" t="s">
        <v>238</v>
      </c>
      <c r="W1212" s="5" t="s">
        <v>241</v>
      </c>
      <c r="X1212" s="5" t="s">
        <v>802</v>
      </c>
      <c r="Y1212" s="5" t="s">
        <v>238</v>
      </c>
      <c r="AB1212" s="5" t="s">
        <v>238</v>
      </c>
      <c r="AC1212" s="6" t="s">
        <v>238</v>
      </c>
      <c r="AD1212" s="6" t="s">
        <v>238</v>
      </c>
      <c r="AF1212" s="6" t="s">
        <v>238</v>
      </c>
      <c r="AG1212" s="6" t="s">
        <v>246</v>
      </c>
      <c r="AH1212" s="5" t="s">
        <v>247</v>
      </c>
      <c r="AI1212" s="5" t="s">
        <v>248</v>
      </c>
      <c r="AO1212" s="5" t="s">
        <v>238</v>
      </c>
      <c r="AP1212" s="5" t="s">
        <v>238</v>
      </c>
      <c r="AQ1212" s="5" t="s">
        <v>238</v>
      </c>
      <c r="AR1212" s="6" t="s">
        <v>238</v>
      </c>
      <c r="AS1212" s="6" t="s">
        <v>238</v>
      </c>
      <c r="AT1212" s="6" t="s">
        <v>238</v>
      </c>
      <c r="AW1212" s="5" t="s">
        <v>304</v>
      </c>
      <c r="AX1212" s="5" t="s">
        <v>304</v>
      </c>
      <c r="AY1212" s="5" t="s">
        <v>250</v>
      </c>
      <c r="AZ1212" s="5" t="s">
        <v>305</v>
      </c>
      <c r="BA1212" s="5" t="s">
        <v>251</v>
      </c>
      <c r="BB1212" s="5" t="s">
        <v>238</v>
      </c>
      <c r="BC1212" s="5" t="s">
        <v>253</v>
      </c>
      <c r="BD1212" s="5" t="s">
        <v>238</v>
      </c>
      <c r="BF1212" s="5" t="s">
        <v>238</v>
      </c>
      <c r="BH1212" s="5" t="s">
        <v>283</v>
      </c>
      <c r="BI1212" s="6" t="s">
        <v>293</v>
      </c>
      <c r="BJ1212" s="5" t="s">
        <v>294</v>
      </c>
      <c r="BK1212" s="5" t="s">
        <v>294</v>
      </c>
      <c r="BL1212" s="5" t="s">
        <v>238</v>
      </c>
      <c r="BM1212" s="7">
        <f>0</f>
        <v>0</v>
      </c>
      <c r="BN1212" s="8">
        <f>-10914479</f>
        <v>-10914479</v>
      </c>
      <c r="BO1212" s="5" t="s">
        <v>257</v>
      </c>
      <c r="BP1212" s="5" t="s">
        <v>258</v>
      </c>
      <c r="BQ1212" s="5" t="s">
        <v>238</v>
      </c>
      <c r="BR1212" s="5" t="s">
        <v>238</v>
      </c>
      <c r="BS1212" s="5" t="s">
        <v>238</v>
      </c>
      <c r="BT1212" s="5" t="s">
        <v>238</v>
      </c>
      <c r="CC1212" s="5" t="s">
        <v>258</v>
      </c>
      <c r="CD1212" s="5" t="s">
        <v>238</v>
      </c>
      <c r="CE1212" s="5" t="s">
        <v>238</v>
      </c>
      <c r="CI1212" s="5" t="s">
        <v>259</v>
      </c>
      <c r="CJ1212" s="5" t="s">
        <v>260</v>
      </c>
      <c r="CK1212" s="5" t="s">
        <v>238</v>
      </c>
      <c r="CM1212" s="5" t="s">
        <v>318</v>
      </c>
      <c r="CN1212" s="6" t="s">
        <v>262</v>
      </c>
      <c r="CO1212" s="5" t="s">
        <v>263</v>
      </c>
      <c r="CP1212" s="5" t="s">
        <v>264</v>
      </c>
      <c r="CQ1212" s="5" t="s">
        <v>285</v>
      </c>
      <c r="CR1212" s="5" t="s">
        <v>238</v>
      </c>
      <c r="CS1212" s="5">
        <v>6.7000000000000004E-2</v>
      </c>
      <c r="CT1212" s="5" t="s">
        <v>265</v>
      </c>
      <c r="CU1212" s="5" t="s">
        <v>2321</v>
      </c>
      <c r="CV1212" s="5" t="s">
        <v>267</v>
      </c>
      <c r="CW1212" s="7">
        <f>0</f>
        <v>0</v>
      </c>
      <c r="CX1212" s="8">
        <f>176040000</f>
        <v>176040000</v>
      </c>
      <c r="CY1212" s="8">
        <f>10914480</f>
        <v>10914480</v>
      </c>
      <c r="DA1212" s="5" t="s">
        <v>238</v>
      </c>
      <c r="DB1212" s="5" t="s">
        <v>238</v>
      </c>
      <c r="DD1212" s="5" t="s">
        <v>238</v>
      </c>
      <c r="DE1212" s="8">
        <f>0</f>
        <v>0</v>
      </c>
      <c r="DG1212" s="5" t="s">
        <v>238</v>
      </c>
      <c r="DH1212" s="5" t="s">
        <v>238</v>
      </c>
      <c r="DI1212" s="5" t="s">
        <v>238</v>
      </c>
      <c r="DJ1212" s="5" t="s">
        <v>238</v>
      </c>
      <c r="DK1212" s="5" t="s">
        <v>271</v>
      </c>
      <c r="DL1212" s="5" t="s">
        <v>272</v>
      </c>
      <c r="DM1212" s="7">
        <f>1080</f>
        <v>1080</v>
      </c>
      <c r="DN1212" s="5" t="s">
        <v>238</v>
      </c>
      <c r="DO1212" s="5" t="s">
        <v>238</v>
      </c>
      <c r="DP1212" s="5" t="s">
        <v>238</v>
      </c>
      <c r="DQ1212" s="5" t="s">
        <v>238</v>
      </c>
      <c r="DT1212" s="5" t="s">
        <v>834</v>
      </c>
      <c r="DU1212" s="5" t="s">
        <v>356</v>
      </c>
      <c r="GL1212" s="5" t="s">
        <v>2355</v>
      </c>
      <c r="HM1212" s="5" t="s">
        <v>389</v>
      </c>
      <c r="HP1212" s="5" t="s">
        <v>272</v>
      </c>
      <c r="HQ1212" s="5" t="s">
        <v>272</v>
      </c>
      <c r="HR1212" s="5" t="s">
        <v>238</v>
      </c>
      <c r="HS1212" s="5" t="s">
        <v>238</v>
      </c>
      <c r="HT1212" s="5" t="s">
        <v>238</v>
      </c>
      <c r="HU1212" s="5" t="s">
        <v>238</v>
      </c>
      <c r="HV1212" s="5" t="s">
        <v>238</v>
      </c>
      <c r="HW1212" s="5" t="s">
        <v>238</v>
      </c>
      <c r="HX1212" s="5" t="s">
        <v>238</v>
      </c>
      <c r="HY1212" s="5" t="s">
        <v>238</v>
      </c>
      <c r="HZ1212" s="5" t="s">
        <v>238</v>
      </c>
      <c r="IA1212" s="5" t="s">
        <v>238</v>
      </c>
      <c r="IB1212" s="5" t="s">
        <v>238</v>
      </c>
      <c r="IC1212" s="5" t="s">
        <v>238</v>
      </c>
      <c r="ID1212" s="5" t="s">
        <v>238</v>
      </c>
    </row>
    <row r="1213" spans="1:238" x14ac:dyDescent="0.4">
      <c r="A1213" s="5">
        <v>1553</v>
      </c>
      <c r="B1213" s="5">
        <v>1</v>
      </c>
      <c r="C1213" s="5">
        <v>4</v>
      </c>
      <c r="D1213" s="5" t="s">
        <v>832</v>
      </c>
      <c r="E1213" s="5" t="s">
        <v>803</v>
      </c>
      <c r="F1213" s="5" t="s">
        <v>282</v>
      </c>
      <c r="G1213" s="5" t="s">
        <v>805</v>
      </c>
      <c r="H1213" s="6" t="s">
        <v>833</v>
      </c>
      <c r="I1213" s="5" t="s">
        <v>800</v>
      </c>
      <c r="J1213" s="7">
        <f>963.5</f>
        <v>963.5</v>
      </c>
      <c r="K1213" s="5" t="s">
        <v>270</v>
      </c>
      <c r="L1213" s="8">
        <f>46223920</f>
        <v>46223920</v>
      </c>
      <c r="M1213" s="8">
        <f>91532500</f>
        <v>91532500</v>
      </c>
      <c r="N1213" s="6" t="s">
        <v>789</v>
      </c>
      <c r="O1213" s="5" t="s">
        <v>650</v>
      </c>
      <c r="P1213" s="5" t="s">
        <v>319</v>
      </c>
      <c r="Q1213" s="8">
        <f>3020572</f>
        <v>3020572</v>
      </c>
      <c r="R1213" s="8">
        <f>45308580</f>
        <v>45308580</v>
      </c>
      <c r="S1213" s="5" t="s">
        <v>240</v>
      </c>
      <c r="T1213" s="5" t="s">
        <v>237</v>
      </c>
      <c r="U1213" s="5" t="s">
        <v>238</v>
      </c>
      <c r="V1213" s="5" t="s">
        <v>238</v>
      </c>
      <c r="W1213" s="5" t="s">
        <v>241</v>
      </c>
      <c r="X1213" s="5" t="s">
        <v>802</v>
      </c>
      <c r="Y1213" s="5" t="s">
        <v>238</v>
      </c>
      <c r="AB1213" s="5" t="s">
        <v>238</v>
      </c>
      <c r="AC1213" s="6" t="s">
        <v>238</v>
      </c>
      <c r="AD1213" s="6" t="s">
        <v>238</v>
      </c>
      <c r="AF1213" s="6" t="s">
        <v>238</v>
      </c>
      <c r="AG1213" s="6" t="s">
        <v>246</v>
      </c>
      <c r="AH1213" s="5" t="s">
        <v>247</v>
      </c>
      <c r="AI1213" s="5" t="s">
        <v>248</v>
      </c>
      <c r="AO1213" s="5" t="s">
        <v>238</v>
      </c>
      <c r="AP1213" s="5" t="s">
        <v>238</v>
      </c>
      <c r="AQ1213" s="5" t="s">
        <v>238</v>
      </c>
      <c r="AR1213" s="6" t="s">
        <v>238</v>
      </c>
      <c r="AS1213" s="6" t="s">
        <v>238</v>
      </c>
      <c r="AT1213" s="6" t="s">
        <v>238</v>
      </c>
      <c r="AW1213" s="5" t="s">
        <v>304</v>
      </c>
      <c r="AX1213" s="5" t="s">
        <v>304</v>
      </c>
      <c r="AY1213" s="5" t="s">
        <v>250</v>
      </c>
      <c r="AZ1213" s="5" t="s">
        <v>305</v>
      </c>
      <c r="BA1213" s="5" t="s">
        <v>251</v>
      </c>
      <c r="BB1213" s="5" t="s">
        <v>238</v>
      </c>
      <c r="BC1213" s="5" t="s">
        <v>253</v>
      </c>
      <c r="BD1213" s="5" t="s">
        <v>238</v>
      </c>
      <c r="BF1213" s="5" t="s">
        <v>238</v>
      </c>
      <c r="BH1213" s="5" t="s">
        <v>283</v>
      </c>
      <c r="BI1213" s="6" t="s">
        <v>293</v>
      </c>
      <c r="BJ1213" s="5" t="s">
        <v>294</v>
      </c>
      <c r="BK1213" s="5" t="s">
        <v>294</v>
      </c>
      <c r="BL1213" s="5" t="s">
        <v>238</v>
      </c>
      <c r="BM1213" s="7">
        <f>0</f>
        <v>0</v>
      </c>
      <c r="BN1213" s="8">
        <f>-3020572</f>
        <v>-3020572</v>
      </c>
      <c r="BO1213" s="5" t="s">
        <v>257</v>
      </c>
      <c r="BP1213" s="5" t="s">
        <v>258</v>
      </c>
      <c r="BQ1213" s="5" t="s">
        <v>238</v>
      </c>
      <c r="BR1213" s="5" t="s">
        <v>238</v>
      </c>
      <c r="BS1213" s="5" t="s">
        <v>238</v>
      </c>
      <c r="BT1213" s="5" t="s">
        <v>238</v>
      </c>
      <c r="CC1213" s="5" t="s">
        <v>258</v>
      </c>
      <c r="CD1213" s="5" t="s">
        <v>238</v>
      </c>
      <c r="CE1213" s="5" t="s">
        <v>238</v>
      </c>
      <c r="CI1213" s="5" t="s">
        <v>259</v>
      </c>
      <c r="CJ1213" s="5" t="s">
        <v>260</v>
      </c>
      <c r="CK1213" s="5" t="s">
        <v>238</v>
      </c>
      <c r="CM1213" s="5" t="s">
        <v>318</v>
      </c>
      <c r="CN1213" s="6" t="s">
        <v>262</v>
      </c>
      <c r="CO1213" s="5" t="s">
        <v>263</v>
      </c>
      <c r="CP1213" s="5" t="s">
        <v>264</v>
      </c>
      <c r="CQ1213" s="5" t="s">
        <v>285</v>
      </c>
      <c r="CR1213" s="5" t="s">
        <v>238</v>
      </c>
      <c r="CS1213" s="5">
        <v>3.3000000000000002E-2</v>
      </c>
      <c r="CT1213" s="5" t="s">
        <v>265</v>
      </c>
      <c r="CU1213" s="5" t="s">
        <v>266</v>
      </c>
      <c r="CV1213" s="5" t="s">
        <v>649</v>
      </c>
      <c r="CW1213" s="7">
        <f>0</f>
        <v>0</v>
      </c>
      <c r="CX1213" s="8">
        <f>91532500</f>
        <v>91532500</v>
      </c>
      <c r="CY1213" s="8">
        <f>49244492</f>
        <v>49244492</v>
      </c>
      <c r="DA1213" s="5" t="s">
        <v>238</v>
      </c>
      <c r="DB1213" s="5" t="s">
        <v>238</v>
      </c>
      <c r="DD1213" s="5" t="s">
        <v>238</v>
      </c>
      <c r="DE1213" s="8">
        <f>0</f>
        <v>0</v>
      </c>
      <c r="DG1213" s="5" t="s">
        <v>238</v>
      </c>
      <c r="DH1213" s="5" t="s">
        <v>238</v>
      </c>
      <c r="DI1213" s="5" t="s">
        <v>238</v>
      </c>
      <c r="DJ1213" s="5" t="s">
        <v>238</v>
      </c>
      <c r="DK1213" s="5" t="s">
        <v>271</v>
      </c>
      <c r="DL1213" s="5" t="s">
        <v>272</v>
      </c>
      <c r="DM1213" s="7">
        <f>963.5</f>
        <v>963.5</v>
      </c>
      <c r="DN1213" s="5" t="s">
        <v>238</v>
      </c>
      <c r="DO1213" s="5" t="s">
        <v>238</v>
      </c>
      <c r="DP1213" s="5" t="s">
        <v>238</v>
      </c>
      <c r="DQ1213" s="5" t="s">
        <v>238</v>
      </c>
      <c r="DT1213" s="5" t="s">
        <v>834</v>
      </c>
      <c r="DU1213" s="5" t="s">
        <v>310</v>
      </c>
      <c r="GL1213" s="5" t="s">
        <v>835</v>
      </c>
      <c r="HM1213" s="5" t="s">
        <v>389</v>
      </c>
      <c r="HP1213" s="5" t="s">
        <v>272</v>
      </c>
      <c r="HQ1213" s="5" t="s">
        <v>272</v>
      </c>
      <c r="HR1213" s="5" t="s">
        <v>238</v>
      </c>
      <c r="HS1213" s="5" t="s">
        <v>238</v>
      </c>
      <c r="HT1213" s="5" t="s">
        <v>238</v>
      </c>
      <c r="HU1213" s="5" t="s">
        <v>238</v>
      </c>
      <c r="HV1213" s="5" t="s">
        <v>238</v>
      </c>
      <c r="HW1213" s="5" t="s">
        <v>238</v>
      </c>
      <c r="HX1213" s="5" t="s">
        <v>238</v>
      </c>
      <c r="HY1213" s="5" t="s">
        <v>238</v>
      </c>
      <c r="HZ1213" s="5" t="s">
        <v>238</v>
      </c>
      <c r="IA1213" s="5" t="s">
        <v>238</v>
      </c>
      <c r="IB1213" s="5" t="s">
        <v>238</v>
      </c>
      <c r="IC1213" s="5" t="s">
        <v>238</v>
      </c>
      <c r="ID1213" s="5" t="s">
        <v>238</v>
      </c>
    </row>
    <row r="1214" spans="1:238" x14ac:dyDescent="0.4">
      <c r="A1214" s="5">
        <v>1554</v>
      </c>
      <c r="B1214" s="5">
        <v>1</v>
      </c>
      <c r="C1214" s="5">
        <v>4</v>
      </c>
      <c r="D1214" s="5" t="s">
        <v>842</v>
      </c>
      <c r="E1214" s="5" t="s">
        <v>803</v>
      </c>
      <c r="F1214" s="5" t="s">
        <v>282</v>
      </c>
      <c r="G1214" s="5" t="s">
        <v>2319</v>
      </c>
      <c r="H1214" s="6" t="s">
        <v>844</v>
      </c>
      <c r="I1214" s="5" t="s">
        <v>2356</v>
      </c>
      <c r="J1214" s="7">
        <f>1983.14</f>
        <v>1983.14</v>
      </c>
      <c r="K1214" s="5" t="s">
        <v>270</v>
      </c>
      <c r="L1214" s="8">
        <f>33146220</f>
        <v>33146220</v>
      </c>
      <c r="M1214" s="8">
        <f>120971540</f>
        <v>120971540</v>
      </c>
      <c r="N1214" s="6" t="s">
        <v>708</v>
      </c>
      <c r="O1214" s="5" t="s">
        <v>650</v>
      </c>
      <c r="P1214" s="5" t="s">
        <v>712</v>
      </c>
      <c r="Q1214" s="8">
        <f>3992060</f>
        <v>3992060</v>
      </c>
      <c r="R1214" s="8">
        <f>87825320</f>
        <v>87825320</v>
      </c>
      <c r="S1214" s="5" t="s">
        <v>240</v>
      </c>
      <c r="T1214" s="5" t="s">
        <v>237</v>
      </c>
      <c r="U1214" s="5" t="s">
        <v>238</v>
      </c>
      <c r="V1214" s="5" t="s">
        <v>238</v>
      </c>
      <c r="W1214" s="5" t="s">
        <v>241</v>
      </c>
      <c r="X1214" s="5" t="s">
        <v>802</v>
      </c>
      <c r="Y1214" s="5" t="s">
        <v>238</v>
      </c>
      <c r="AB1214" s="5" t="s">
        <v>238</v>
      </c>
      <c r="AC1214" s="6" t="s">
        <v>238</v>
      </c>
      <c r="AD1214" s="6" t="s">
        <v>238</v>
      </c>
      <c r="AF1214" s="6" t="s">
        <v>238</v>
      </c>
      <c r="AG1214" s="6" t="s">
        <v>246</v>
      </c>
      <c r="AH1214" s="5" t="s">
        <v>247</v>
      </c>
      <c r="AI1214" s="5" t="s">
        <v>248</v>
      </c>
      <c r="AO1214" s="5" t="s">
        <v>238</v>
      </c>
      <c r="AP1214" s="5" t="s">
        <v>238</v>
      </c>
      <c r="AQ1214" s="5" t="s">
        <v>238</v>
      </c>
      <c r="AR1214" s="6" t="s">
        <v>238</v>
      </c>
      <c r="AS1214" s="6" t="s">
        <v>238</v>
      </c>
      <c r="AT1214" s="6" t="s">
        <v>238</v>
      </c>
      <c r="AW1214" s="5" t="s">
        <v>304</v>
      </c>
      <c r="AX1214" s="5" t="s">
        <v>304</v>
      </c>
      <c r="AY1214" s="5" t="s">
        <v>250</v>
      </c>
      <c r="AZ1214" s="5" t="s">
        <v>305</v>
      </c>
      <c r="BA1214" s="5" t="s">
        <v>251</v>
      </c>
      <c r="BB1214" s="5" t="s">
        <v>238</v>
      </c>
      <c r="BC1214" s="5" t="s">
        <v>253</v>
      </c>
      <c r="BD1214" s="5" t="s">
        <v>238</v>
      </c>
      <c r="BF1214" s="5" t="s">
        <v>238</v>
      </c>
      <c r="BH1214" s="5" t="s">
        <v>283</v>
      </c>
      <c r="BI1214" s="6" t="s">
        <v>293</v>
      </c>
      <c r="BJ1214" s="5" t="s">
        <v>294</v>
      </c>
      <c r="BK1214" s="5" t="s">
        <v>294</v>
      </c>
      <c r="BL1214" s="5" t="s">
        <v>238</v>
      </c>
      <c r="BM1214" s="7">
        <f>0</f>
        <v>0</v>
      </c>
      <c r="BN1214" s="8">
        <f>-3992060</f>
        <v>-3992060</v>
      </c>
      <c r="BO1214" s="5" t="s">
        <v>257</v>
      </c>
      <c r="BP1214" s="5" t="s">
        <v>258</v>
      </c>
      <c r="BQ1214" s="5" t="s">
        <v>238</v>
      </c>
      <c r="BR1214" s="5" t="s">
        <v>238</v>
      </c>
      <c r="BS1214" s="5" t="s">
        <v>238</v>
      </c>
      <c r="BT1214" s="5" t="s">
        <v>238</v>
      </c>
      <c r="CC1214" s="5" t="s">
        <v>258</v>
      </c>
      <c r="CD1214" s="5" t="s">
        <v>238</v>
      </c>
      <c r="CE1214" s="5" t="s">
        <v>238</v>
      </c>
      <c r="CI1214" s="5" t="s">
        <v>259</v>
      </c>
      <c r="CJ1214" s="5" t="s">
        <v>260</v>
      </c>
      <c r="CK1214" s="5" t="s">
        <v>238</v>
      </c>
      <c r="CM1214" s="5" t="s">
        <v>711</v>
      </c>
      <c r="CN1214" s="6" t="s">
        <v>262</v>
      </c>
      <c r="CO1214" s="5" t="s">
        <v>263</v>
      </c>
      <c r="CP1214" s="5" t="s">
        <v>264</v>
      </c>
      <c r="CQ1214" s="5" t="s">
        <v>285</v>
      </c>
      <c r="CR1214" s="5" t="s">
        <v>238</v>
      </c>
      <c r="CS1214" s="5">
        <v>3.3000000000000002E-2</v>
      </c>
      <c r="CT1214" s="5" t="s">
        <v>265</v>
      </c>
      <c r="CU1214" s="5" t="s">
        <v>2321</v>
      </c>
      <c r="CV1214" s="5" t="s">
        <v>649</v>
      </c>
      <c r="CW1214" s="7">
        <f>0</f>
        <v>0</v>
      </c>
      <c r="CX1214" s="8">
        <f>120971540</f>
        <v>120971540</v>
      </c>
      <c r="CY1214" s="8">
        <f>37138280</f>
        <v>37138280</v>
      </c>
      <c r="DA1214" s="5" t="s">
        <v>238</v>
      </c>
      <c r="DB1214" s="5" t="s">
        <v>238</v>
      </c>
      <c r="DD1214" s="5" t="s">
        <v>238</v>
      </c>
      <c r="DE1214" s="8">
        <f>0</f>
        <v>0</v>
      </c>
      <c r="DG1214" s="5" t="s">
        <v>238</v>
      </c>
      <c r="DH1214" s="5" t="s">
        <v>238</v>
      </c>
      <c r="DI1214" s="5" t="s">
        <v>238</v>
      </c>
      <c r="DJ1214" s="5" t="s">
        <v>238</v>
      </c>
      <c r="DK1214" s="5" t="s">
        <v>271</v>
      </c>
      <c r="DL1214" s="5" t="s">
        <v>272</v>
      </c>
      <c r="DM1214" s="7">
        <f>1983.14</f>
        <v>1983.14</v>
      </c>
      <c r="DN1214" s="5" t="s">
        <v>238</v>
      </c>
      <c r="DO1214" s="5" t="s">
        <v>238</v>
      </c>
      <c r="DP1214" s="5" t="s">
        <v>238</v>
      </c>
      <c r="DQ1214" s="5" t="s">
        <v>238</v>
      </c>
      <c r="DT1214" s="5" t="s">
        <v>846</v>
      </c>
      <c r="DU1214" s="5" t="s">
        <v>271</v>
      </c>
      <c r="GL1214" s="5" t="s">
        <v>2357</v>
      </c>
      <c r="HM1214" s="5" t="s">
        <v>389</v>
      </c>
      <c r="HP1214" s="5" t="s">
        <v>272</v>
      </c>
      <c r="HQ1214" s="5" t="s">
        <v>272</v>
      </c>
      <c r="HR1214" s="5" t="s">
        <v>238</v>
      </c>
      <c r="HS1214" s="5" t="s">
        <v>238</v>
      </c>
      <c r="HT1214" s="5" t="s">
        <v>238</v>
      </c>
      <c r="HU1214" s="5" t="s">
        <v>238</v>
      </c>
      <c r="HV1214" s="5" t="s">
        <v>238</v>
      </c>
      <c r="HW1214" s="5" t="s">
        <v>238</v>
      </c>
      <c r="HX1214" s="5" t="s">
        <v>238</v>
      </c>
      <c r="HY1214" s="5" t="s">
        <v>238</v>
      </c>
      <c r="HZ1214" s="5" t="s">
        <v>238</v>
      </c>
      <c r="IA1214" s="5" t="s">
        <v>238</v>
      </c>
      <c r="IB1214" s="5" t="s">
        <v>238</v>
      </c>
      <c r="IC1214" s="5" t="s">
        <v>238</v>
      </c>
      <c r="ID1214" s="5" t="s">
        <v>238</v>
      </c>
    </row>
    <row r="1215" spans="1:238" x14ac:dyDescent="0.4">
      <c r="A1215" s="5">
        <v>1555</v>
      </c>
      <c r="B1215" s="5">
        <v>1</v>
      </c>
      <c r="C1215" s="5">
        <v>4</v>
      </c>
      <c r="D1215" s="5" t="s">
        <v>842</v>
      </c>
      <c r="E1215" s="5" t="s">
        <v>803</v>
      </c>
      <c r="F1215" s="5" t="s">
        <v>282</v>
      </c>
      <c r="G1215" s="5" t="s">
        <v>1331</v>
      </c>
      <c r="H1215" s="6" t="s">
        <v>844</v>
      </c>
      <c r="I1215" s="5" t="s">
        <v>1327</v>
      </c>
      <c r="J1215" s="7">
        <f>39.74</f>
        <v>39.74</v>
      </c>
      <c r="K1215" s="5" t="s">
        <v>270</v>
      </c>
      <c r="L1215" s="8">
        <f>368486</f>
        <v>368486</v>
      </c>
      <c r="M1215" s="8">
        <f>4848280</f>
        <v>4848280</v>
      </c>
      <c r="N1215" s="6" t="s">
        <v>708</v>
      </c>
      <c r="O1215" s="5" t="s">
        <v>651</v>
      </c>
      <c r="P1215" s="5" t="s">
        <v>712</v>
      </c>
      <c r="Q1215" s="8">
        <f>203627</f>
        <v>203627</v>
      </c>
      <c r="R1215" s="8">
        <f>4479794</f>
        <v>4479794</v>
      </c>
      <c r="S1215" s="5" t="s">
        <v>240</v>
      </c>
      <c r="T1215" s="5" t="s">
        <v>237</v>
      </c>
      <c r="U1215" s="5" t="s">
        <v>238</v>
      </c>
      <c r="V1215" s="5" t="s">
        <v>238</v>
      </c>
      <c r="W1215" s="5" t="s">
        <v>241</v>
      </c>
      <c r="X1215" s="5" t="s">
        <v>802</v>
      </c>
      <c r="Y1215" s="5" t="s">
        <v>238</v>
      </c>
      <c r="AB1215" s="5" t="s">
        <v>238</v>
      </c>
      <c r="AC1215" s="6" t="s">
        <v>238</v>
      </c>
      <c r="AD1215" s="6" t="s">
        <v>238</v>
      </c>
      <c r="AF1215" s="6" t="s">
        <v>238</v>
      </c>
      <c r="AG1215" s="6" t="s">
        <v>246</v>
      </c>
      <c r="AH1215" s="5" t="s">
        <v>247</v>
      </c>
      <c r="AI1215" s="5" t="s">
        <v>248</v>
      </c>
      <c r="AO1215" s="5" t="s">
        <v>238</v>
      </c>
      <c r="AP1215" s="5" t="s">
        <v>238</v>
      </c>
      <c r="AQ1215" s="5" t="s">
        <v>238</v>
      </c>
      <c r="AR1215" s="6" t="s">
        <v>238</v>
      </c>
      <c r="AS1215" s="6" t="s">
        <v>238</v>
      </c>
      <c r="AT1215" s="6" t="s">
        <v>238</v>
      </c>
      <c r="AW1215" s="5" t="s">
        <v>304</v>
      </c>
      <c r="AX1215" s="5" t="s">
        <v>304</v>
      </c>
      <c r="AY1215" s="5" t="s">
        <v>250</v>
      </c>
      <c r="AZ1215" s="5" t="s">
        <v>305</v>
      </c>
      <c r="BA1215" s="5" t="s">
        <v>251</v>
      </c>
      <c r="BB1215" s="5" t="s">
        <v>238</v>
      </c>
      <c r="BC1215" s="5" t="s">
        <v>253</v>
      </c>
      <c r="BD1215" s="5" t="s">
        <v>238</v>
      </c>
      <c r="BF1215" s="5" t="s">
        <v>238</v>
      </c>
      <c r="BH1215" s="5" t="s">
        <v>283</v>
      </c>
      <c r="BI1215" s="6" t="s">
        <v>293</v>
      </c>
      <c r="BJ1215" s="5" t="s">
        <v>294</v>
      </c>
      <c r="BK1215" s="5" t="s">
        <v>294</v>
      </c>
      <c r="BL1215" s="5" t="s">
        <v>238</v>
      </c>
      <c r="BM1215" s="7">
        <f>0</f>
        <v>0</v>
      </c>
      <c r="BN1215" s="8">
        <f>-203627</f>
        <v>-203627</v>
      </c>
      <c r="BO1215" s="5" t="s">
        <v>257</v>
      </c>
      <c r="BP1215" s="5" t="s">
        <v>258</v>
      </c>
      <c r="BQ1215" s="5" t="s">
        <v>238</v>
      </c>
      <c r="BR1215" s="5" t="s">
        <v>238</v>
      </c>
      <c r="BS1215" s="5" t="s">
        <v>238</v>
      </c>
      <c r="BT1215" s="5" t="s">
        <v>238</v>
      </c>
      <c r="CC1215" s="5" t="s">
        <v>258</v>
      </c>
      <c r="CD1215" s="5" t="s">
        <v>238</v>
      </c>
      <c r="CE1215" s="5" t="s">
        <v>238</v>
      </c>
      <c r="CI1215" s="5" t="s">
        <v>259</v>
      </c>
      <c r="CJ1215" s="5" t="s">
        <v>260</v>
      </c>
      <c r="CK1215" s="5" t="s">
        <v>238</v>
      </c>
      <c r="CM1215" s="5" t="s">
        <v>711</v>
      </c>
      <c r="CN1215" s="6" t="s">
        <v>262</v>
      </c>
      <c r="CO1215" s="5" t="s">
        <v>263</v>
      </c>
      <c r="CP1215" s="5" t="s">
        <v>264</v>
      </c>
      <c r="CQ1215" s="5" t="s">
        <v>285</v>
      </c>
      <c r="CR1215" s="5" t="s">
        <v>238</v>
      </c>
      <c r="CS1215" s="5">
        <v>4.2000000000000003E-2</v>
      </c>
      <c r="CT1215" s="5" t="s">
        <v>265</v>
      </c>
      <c r="CU1215" s="5" t="s">
        <v>1333</v>
      </c>
      <c r="CV1215" s="5" t="s">
        <v>267</v>
      </c>
      <c r="CW1215" s="7">
        <f>0</f>
        <v>0</v>
      </c>
      <c r="CX1215" s="8">
        <f>4848280</f>
        <v>4848280</v>
      </c>
      <c r="CY1215" s="8">
        <f>572113</f>
        <v>572113</v>
      </c>
      <c r="DA1215" s="5" t="s">
        <v>238</v>
      </c>
      <c r="DB1215" s="5" t="s">
        <v>238</v>
      </c>
      <c r="DD1215" s="5" t="s">
        <v>238</v>
      </c>
      <c r="DE1215" s="8">
        <f>0</f>
        <v>0</v>
      </c>
      <c r="DG1215" s="5" t="s">
        <v>238</v>
      </c>
      <c r="DH1215" s="5" t="s">
        <v>238</v>
      </c>
      <c r="DI1215" s="5" t="s">
        <v>238</v>
      </c>
      <c r="DJ1215" s="5" t="s">
        <v>238</v>
      </c>
      <c r="DK1215" s="5" t="s">
        <v>271</v>
      </c>
      <c r="DL1215" s="5" t="s">
        <v>272</v>
      </c>
      <c r="DM1215" s="7">
        <f>39.74</f>
        <v>39.74</v>
      </c>
      <c r="DN1215" s="5" t="s">
        <v>238</v>
      </c>
      <c r="DO1215" s="5" t="s">
        <v>238</v>
      </c>
      <c r="DP1215" s="5" t="s">
        <v>238</v>
      </c>
      <c r="DQ1215" s="5" t="s">
        <v>238</v>
      </c>
      <c r="DT1215" s="5" t="s">
        <v>846</v>
      </c>
      <c r="DU1215" s="5" t="s">
        <v>274</v>
      </c>
      <c r="GL1215" s="5" t="s">
        <v>2049</v>
      </c>
      <c r="HM1215" s="5" t="s">
        <v>389</v>
      </c>
      <c r="HP1215" s="5" t="s">
        <v>272</v>
      </c>
      <c r="HQ1215" s="5" t="s">
        <v>272</v>
      </c>
      <c r="HR1215" s="5" t="s">
        <v>238</v>
      </c>
      <c r="HS1215" s="5" t="s">
        <v>238</v>
      </c>
      <c r="HT1215" s="5" t="s">
        <v>238</v>
      </c>
      <c r="HU1215" s="5" t="s">
        <v>238</v>
      </c>
      <c r="HV1215" s="5" t="s">
        <v>238</v>
      </c>
      <c r="HW1215" s="5" t="s">
        <v>238</v>
      </c>
      <c r="HX1215" s="5" t="s">
        <v>238</v>
      </c>
      <c r="HY1215" s="5" t="s">
        <v>238</v>
      </c>
      <c r="HZ1215" s="5" t="s">
        <v>238</v>
      </c>
      <c r="IA1215" s="5" t="s">
        <v>238</v>
      </c>
      <c r="IB1215" s="5" t="s">
        <v>238</v>
      </c>
      <c r="IC1215" s="5" t="s">
        <v>238</v>
      </c>
      <c r="ID1215" s="5" t="s">
        <v>238</v>
      </c>
    </row>
    <row r="1216" spans="1:238" x14ac:dyDescent="0.4">
      <c r="A1216" s="5">
        <v>1556</v>
      </c>
      <c r="B1216" s="5">
        <v>1</v>
      </c>
      <c r="C1216" s="5">
        <v>4</v>
      </c>
      <c r="D1216" s="5" t="s">
        <v>842</v>
      </c>
      <c r="E1216" s="5" t="s">
        <v>803</v>
      </c>
      <c r="F1216" s="5" t="s">
        <v>282</v>
      </c>
      <c r="G1216" s="5" t="s">
        <v>805</v>
      </c>
      <c r="H1216" s="6" t="s">
        <v>844</v>
      </c>
      <c r="I1216" s="5" t="s">
        <v>841</v>
      </c>
      <c r="J1216" s="7">
        <f>289.45</f>
        <v>289.45</v>
      </c>
      <c r="K1216" s="5" t="s">
        <v>270</v>
      </c>
      <c r="L1216" s="8">
        <f>7242915</f>
        <v>7242915</v>
      </c>
      <c r="M1216" s="8">
        <f>16498650</f>
        <v>16498650</v>
      </c>
      <c r="N1216" s="6" t="s">
        <v>843</v>
      </c>
      <c r="O1216" s="5" t="s">
        <v>650</v>
      </c>
      <c r="P1216" s="5" t="s">
        <v>268</v>
      </c>
      <c r="Q1216" s="8">
        <f>544455</f>
        <v>544455</v>
      </c>
      <c r="R1216" s="8">
        <f>9255735</f>
        <v>9255735</v>
      </c>
      <c r="S1216" s="5" t="s">
        <v>240</v>
      </c>
      <c r="T1216" s="5" t="s">
        <v>237</v>
      </c>
      <c r="U1216" s="5" t="s">
        <v>238</v>
      </c>
      <c r="V1216" s="5" t="s">
        <v>238</v>
      </c>
      <c r="W1216" s="5" t="s">
        <v>241</v>
      </c>
      <c r="X1216" s="5" t="s">
        <v>802</v>
      </c>
      <c r="Y1216" s="5" t="s">
        <v>238</v>
      </c>
      <c r="AB1216" s="5" t="s">
        <v>238</v>
      </c>
      <c r="AC1216" s="6" t="s">
        <v>238</v>
      </c>
      <c r="AD1216" s="6" t="s">
        <v>238</v>
      </c>
      <c r="AF1216" s="6" t="s">
        <v>238</v>
      </c>
      <c r="AG1216" s="6" t="s">
        <v>246</v>
      </c>
      <c r="AH1216" s="5" t="s">
        <v>247</v>
      </c>
      <c r="AI1216" s="5" t="s">
        <v>248</v>
      </c>
      <c r="AO1216" s="5" t="s">
        <v>238</v>
      </c>
      <c r="AP1216" s="5" t="s">
        <v>238</v>
      </c>
      <c r="AQ1216" s="5" t="s">
        <v>238</v>
      </c>
      <c r="AR1216" s="6" t="s">
        <v>238</v>
      </c>
      <c r="AS1216" s="6" t="s">
        <v>238</v>
      </c>
      <c r="AT1216" s="6" t="s">
        <v>238</v>
      </c>
      <c r="AW1216" s="5" t="s">
        <v>304</v>
      </c>
      <c r="AX1216" s="5" t="s">
        <v>304</v>
      </c>
      <c r="AY1216" s="5" t="s">
        <v>250</v>
      </c>
      <c r="AZ1216" s="5" t="s">
        <v>305</v>
      </c>
      <c r="BA1216" s="5" t="s">
        <v>251</v>
      </c>
      <c r="BB1216" s="5" t="s">
        <v>238</v>
      </c>
      <c r="BC1216" s="5" t="s">
        <v>253</v>
      </c>
      <c r="BD1216" s="5" t="s">
        <v>238</v>
      </c>
      <c r="BF1216" s="5" t="s">
        <v>238</v>
      </c>
      <c r="BH1216" s="5" t="s">
        <v>283</v>
      </c>
      <c r="BI1216" s="6" t="s">
        <v>293</v>
      </c>
      <c r="BJ1216" s="5" t="s">
        <v>294</v>
      </c>
      <c r="BK1216" s="5" t="s">
        <v>294</v>
      </c>
      <c r="BL1216" s="5" t="s">
        <v>238</v>
      </c>
      <c r="BM1216" s="7">
        <f>0</f>
        <v>0</v>
      </c>
      <c r="BN1216" s="8">
        <f>-544455</f>
        <v>-544455</v>
      </c>
      <c r="BO1216" s="5" t="s">
        <v>257</v>
      </c>
      <c r="BP1216" s="5" t="s">
        <v>258</v>
      </c>
      <c r="BQ1216" s="5" t="s">
        <v>238</v>
      </c>
      <c r="BR1216" s="5" t="s">
        <v>238</v>
      </c>
      <c r="BS1216" s="5" t="s">
        <v>238</v>
      </c>
      <c r="BT1216" s="5" t="s">
        <v>238</v>
      </c>
      <c r="CC1216" s="5" t="s">
        <v>258</v>
      </c>
      <c r="CD1216" s="5" t="s">
        <v>238</v>
      </c>
      <c r="CE1216" s="5" t="s">
        <v>238</v>
      </c>
      <c r="CI1216" s="5" t="s">
        <v>259</v>
      </c>
      <c r="CJ1216" s="5" t="s">
        <v>260</v>
      </c>
      <c r="CK1216" s="5" t="s">
        <v>238</v>
      </c>
      <c r="CM1216" s="5" t="s">
        <v>845</v>
      </c>
      <c r="CN1216" s="6" t="s">
        <v>262</v>
      </c>
      <c r="CO1216" s="5" t="s">
        <v>263</v>
      </c>
      <c r="CP1216" s="5" t="s">
        <v>264</v>
      </c>
      <c r="CQ1216" s="5" t="s">
        <v>285</v>
      </c>
      <c r="CR1216" s="5" t="s">
        <v>238</v>
      </c>
      <c r="CS1216" s="5">
        <v>3.3000000000000002E-2</v>
      </c>
      <c r="CT1216" s="5" t="s">
        <v>265</v>
      </c>
      <c r="CU1216" s="5" t="s">
        <v>266</v>
      </c>
      <c r="CV1216" s="5" t="s">
        <v>649</v>
      </c>
      <c r="CW1216" s="7">
        <f>0</f>
        <v>0</v>
      </c>
      <c r="CX1216" s="8">
        <f>16498650</f>
        <v>16498650</v>
      </c>
      <c r="CY1216" s="8">
        <f>7787370</f>
        <v>7787370</v>
      </c>
      <c r="DA1216" s="5" t="s">
        <v>238</v>
      </c>
      <c r="DB1216" s="5" t="s">
        <v>238</v>
      </c>
      <c r="DD1216" s="5" t="s">
        <v>238</v>
      </c>
      <c r="DE1216" s="8">
        <f>0</f>
        <v>0</v>
      </c>
      <c r="DG1216" s="5" t="s">
        <v>238</v>
      </c>
      <c r="DH1216" s="5" t="s">
        <v>238</v>
      </c>
      <c r="DI1216" s="5" t="s">
        <v>238</v>
      </c>
      <c r="DJ1216" s="5" t="s">
        <v>238</v>
      </c>
      <c r="DK1216" s="5" t="s">
        <v>271</v>
      </c>
      <c r="DL1216" s="5" t="s">
        <v>272</v>
      </c>
      <c r="DM1216" s="7">
        <f>289.45</f>
        <v>289.45</v>
      </c>
      <c r="DN1216" s="5" t="s">
        <v>238</v>
      </c>
      <c r="DO1216" s="5" t="s">
        <v>238</v>
      </c>
      <c r="DP1216" s="5" t="s">
        <v>238</v>
      </c>
      <c r="DQ1216" s="5" t="s">
        <v>238</v>
      </c>
      <c r="DT1216" s="5" t="s">
        <v>846</v>
      </c>
      <c r="DU1216" s="5" t="s">
        <v>356</v>
      </c>
      <c r="GL1216" s="5" t="s">
        <v>847</v>
      </c>
      <c r="HM1216" s="5" t="s">
        <v>389</v>
      </c>
      <c r="HP1216" s="5" t="s">
        <v>272</v>
      </c>
      <c r="HQ1216" s="5" t="s">
        <v>272</v>
      </c>
      <c r="HR1216" s="5" t="s">
        <v>238</v>
      </c>
      <c r="HS1216" s="5" t="s">
        <v>238</v>
      </c>
      <c r="HT1216" s="5" t="s">
        <v>238</v>
      </c>
      <c r="HU1216" s="5" t="s">
        <v>238</v>
      </c>
      <c r="HV1216" s="5" t="s">
        <v>238</v>
      </c>
      <c r="HW1216" s="5" t="s">
        <v>238</v>
      </c>
      <c r="HX1216" s="5" t="s">
        <v>238</v>
      </c>
      <c r="HY1216" s="5" t="s">
        <v>238</v>
      </c>
      <c r="HZ1216" s="5" t="s">
        <v>238</v>
      </c>
      <c r="IA1216" s="5" t="s">
        <v>238</v>
      </c>
      <c r="IB1216" s="5" t="s">
        <v>238</v>
      </c>
      <c r="IC1216" s="5" t="s">
        <v>238</v>
      </c>
      <c r="ID1216" s="5" t="s">
        <v>238</v>
      </c>
    </row>
    <row r="1217" spans="1:238" x14ac:dyDescent="0.4">
      <c r="A1217" s="5">
        <v>1558</v>
      </c>
      <c r="B1217" s="5">
        <v>1</v>
      </c>
      <c r="C1217" s="5">
        <v>4</v>
      </c>
      <c r="D1217" s="5" t="s">
        <v>2970</v>
      </c>
      <c r="E1217" s="5" t="s">
        <v>952</v>
      </c>
      <c r="F1217" s="5" t="s">
        <v>282</v>
      </c>
      <c r="G1217" s="5" t="s">
        <v>607</v>
      </c>
      <c r="H1217" s="6" t="s">
        <v>2972</v>
      </c>
      <c r="I1217" s="5" t="s">
        <v>2969</v>
      </c>
      <c r="J1217" s="7">
        <f>0</f>
        <v>0</v>
      </c>
      <c r="K1217" s="5" t="s">
        <v>270</v>
      </c>
      <c r="L1217" s="8">
        <f>493405</f>
        <v>493405</v>
      </c>
      <c r="M1217" s="8">
        <f>741960</f>
        <v>741960</v>
      </c>
      <c r="N1217" s="6" t="s">
        <v>2971</v>
      </c>
      <c r="O1217" s="5" t="s">
        <v>268</v>
      </c>
      <c r="P1217" s="5" t="s">
        <v>356</v>
      </c>
      <c r="Q1217" s="8">
        <f>49711</f>
        <v>49711</v>
      </c>
      <c r="R1217" s="8">
        <f>248555</f>
        <v>248555</v>
      </c>
      <c r="S1217" s="5" t="s">
        <v>240</v>
      </c>
      <c r="T1217" s="5" t="s">
        <v>287</v>
      </c>
      <c r="U1217" s="5" t="s">
        <v>238</v>
      </c>
      <c r="V1217" s="5" t="s">
        <v>238</v>
      </c>
      <c r="W1217" s="5" t="s">
        <v>241</v>
      </c>
      <c r="X1217" s="5" t="s">
        <v>802</v>
      </c>
      <c r="Y1217" s="5" t="s">
        <v>238</v>
      </c>
      <c r="AB1217" s="5" t="s">
        <v>238</v>
      </c>
      <c r="AC1217" s="6" t="s">
        <v>238</v>
      </c>
      <c r="AD1217" s="6" t="s">
        <v>238</v>
      </c>
      <c r="AF1217" s="6" t="s">
        <v>238</v>
      </c>
      <c r="AG1217" s="6" t="s">
        <v>246</v>
      </c>
      <c r="AH1217" s="5" t="s">
        <v>247</v>
      </c>
      <c r="AI1217" s="5" t="s">
        <v>248</v>
      </c>
      <c r="AO1217" s="5" t="s">
        <v>238</v>
      </c>
      <c r="AP1217" s="5" t="s">
        <v>238</v>
      </c>
      <c r="AQ1217" s="5" t="s">
        <v>238</v>
      </c>
      <c r="AR1217" s="6" t="s">
        <v>238</v>
      </c>
      <c r="AS1217" s="6" t="s">
        <v>238</v>
      </c>
      <c r="AT1217" s="6" t="s">
        <v>238</v>
      </c>
      <c r="AW1217" s="5" t="s">
        <v>304</v>
      </c>
      <c r="AX1217" s="5" t="s">
        <v>304</v>
      </c>
      <c r="AY1217" s="5" t="s">
        <v>250</v>
      </c>
      <c r="AZ1217" s="5" t="s">
        <v>305</v>
      </c>
      <c r="BA1217" s="5" t="s">
        <v>251</v>
      </c>
      <c r="BB1217" s="5" t="s">
        <v>238</v>
      </c>
      <c r="BC1217" s="5" t="s">
        <v>253</v>
      </c>
      <c r="BD1217" s="5" t="s">
        <v>238</v>
      </c>
      <c r="BF1217" s="5" t="s">
        <v>238</v>
      </c>
      <c r="BH1217" s="5" t="s">
        <v>283</v>
      </c>
      <c r="BI1217" s="6" t="s">
        <v>293</v>
      </c>
      <c r="BJ1217" s="5" t="s">
        <v>294</v>
      </c>
      <c r="BK1217" s="5" t="s">
        <v>294</v>
      </c>
      <c r="BL1217" s="5" t="s">
        <v>238</v>
      </c>
      <c r="BM1217" s="7">
        <f>0</f>
        <v>0</v>
      </c>
      <c r="BN1217" s="8">
        <f>-49711</f>
        <v>-49711</v>
      </c>
      <c r="BO1217" s="5" t="s">
        <v>257</v>
      </c>
      <c r="BP1217" s="5" t="s">
        <v>258</v>
      </c>
      <c r="BQ1217" s="5" t="s">
        <v>238</v>
      </c>
      <c r="BR1217" s="5" t="s">
        <v>238</v>
      </c>
      <c r="BS1217" s="5" t="s">
        <v>238</v>
      </c>
      <c r="BT1217" s="5" t="s">
        <v>238</v>
      </c>
      <c r="CC1217" s="5" t="s">
        <v>258</v>
      </c>
      <c r="CD1217" s="5" t="s">
        <v>238</v>
      </c>
      <c r="CE1217" s="5" t="s">
        <v>238</v>
      </c>
      <c r="CI1217" s="5" t="s">
        <v>259</v>
      </c>
      <c r="CJ1217" s="5" t="s">
        <v>260</v>
      </c>
      <c r="CK1217" s="5" t="s">
        <v>238</v>
      </c>
      <c r="CM1217" s="5" t="s">
        <v>376</v>
      </c>
      <c r="CN1217" s="6" t="s">
        <v>262</v>
      </c>
      <c r="CO1217" s="5" t="s">
        <v>263</v>
      </c>
      <c r="CP1217" s="5" t="s">
        <v>264</v>
      </c>
      <c r="CQ1217" s="5" t="s">
        <v>285</v>
      </c>
      <c r="CR1217" s="5" t="s">
        <v>238</v>
      </c>
      <c r="CS1217" s="5">
        <v>6.7000000000000004E-2</v>
      </c>
      <c r="CT1217" s="5" t="s">
        <v>265</v>
      </c>
      <c r="CU1217" s="5" t="s">
        <v>351</v>
      </c>
      <c r="CV1217" s="5" t="s">
        <v>365</v>
      </c>
      <c r="CW1217" s="7">
        <f>0</f>
        <v>0</v>
      </c>
      <c r="CX1217" s="8">
        <f>741960</f>
        <v>741960</v>
      </c>
      <c r="CY1217" s="8">
        <f>543116</f>
        <v>543116</v>
      </c>
      <c r="DA1217" s="5" t="s">
        <v>238</v>
      </c>
      <c r="DB1217" s="5" t="s">
        <v>238</v>
      </c>
      <c r="DD1217" s="5" t="s">
        <v>238</v>
      </c>
      <c r="DE1217" s="8">
        <f>0</f>
        <v>0</v>
      </c>
      <c r="DG1217" s="5" t="s">
        <v>238</v>
      </c>
      <c r="DH1217" s="5" t="s">
        <v>238</v>
      </c>
      <c r="DI1217" s="5" t="s">
        <v>238</v>
      </c>
      <c r="DJ1217" s="5" t="s">
        <v>238</v>
      </c>
      <c r="DK1217" s="5" t="s">
        <v>272</v>
      </c>
      <c r="DL1217" s="5" t="s">
        <v>272</v>
      </c>
      <c r="DM1217" s="8" t="s">
        <v>238</v>
      </c>
      <c r="DN1217" s="5" t="s">
        <v>238</v>
      </c>
      <c r="DO1217" s="5" t="s">
        <v>238</v>
      </c>
      <c r="DP1217" s="5" t="s">
        <v>238</v>
      </c>
      <c r="DQ1217" s="5" t="s">
        <v>238</v>
      </c>
      <c r="DT1217" s="5" t="s">
        <v>2973</v>
      </c>
      <c r="DU1217" s="5" t="s">
        <v>274</v>
      </c>
      <c r="GL1217" s="5" t="s">
        <v>2974</v>
      </c>
      <c r="HM1217" s="5" t="s">
        <v>313</v>
      </c>
      <c r="HP1217" s="5" t="s">
        <v>272</v>
      </c>
      <c r="HQ1217" s="5" t="s">
        <v>272</v>
      </c>
      <c r="HR1217" s="5" t="s">
        <v>238</v>
      </c>
      <c r="HS1217" s="5" t="s">
        <v>238</v>
      </c>
      <c r="HT1217" s="5" t="s">
        <v>238</v>
      </c>
      <c r="HU1217" s="5" t="s">
        <v>238</v>
      </c>
      <c r="HV1217" s="5" t="s">
        <v>238</v>
      </c>
      <c r="HW1217" s="5" t="s">
        <v>238</v>
      </c>
      <c r="HX1217" s="5" t="s">
        <v>238</v>
      </c>
      <c r="HY1217" s="5" t="s">
        <v>238</v>
      </c>
      <c r="HZ1217" s="5" t="s">
        <v>238</v>
      </c>
      <c r="IA1217" s="5" t="s">
        <v>238</v>
      </c>
      <c r="IB1217" s="5" t="s">
        <v>238</v>
      </c>
      <c r="IC1217" s="5" t="s">
        <v>238</v>
      </c>
      <c r="ID1217" s="5" t="s">
        <v>238</v>
      </c>
    </row>
    <row r="1218" spans="1:238" x14ac:dyDescent="0.4">
      <c r="A1218" s="5">
        <v>1559</v>
      </c>
      <c r="B1218" s="5">
        <v>1</v>
      </c>
      <c r="C1218" s="5">
        <v>4</v>
      </c>
      <c r="D1218" s="5" t="s">
        <v>1396</v>
      </c>
      <c r="E1218" s="5" t="s">
        <v>440</v>
      </c>
      <c r="F1218" s="5" t="s">
        <v>282</v>
      </c>
      <c r="G1218" s="5" t="s">
        <v>1398</v>
      </c>
      <c r="H1218" s="6" t="s">
        <v>1399</v>
      </c>
      <c r="I1218" s="5" t="s">
        <v>1402</v>
      </c>
      <c r="J1218" s="7">
        <f>119.24</f>
        <v>119.24</v>
      </c>
      <c r="K1218" s="5" t="s">
        <v>270</v>
      </c>
      <c r="L1218" s="8">
        <f>4178180</f>
        <v>4178180</v>
      </c>
      <c r="M1218" s="8">
        <f>26113560</f>
        <v>26113560</v>
      </c>
      <c r="N1218" s="6" t="s">
        <v>1356</v>
      </c>
      <c r="O1218" s="5" t="s">
        <v>651</v>
      </c>
      <c r="P1218" s="5" t="s">
        <v>611</v>
      </c>
      <c r="Q1218" s="8">
        <f>1096769</f>
        <v>1096769</v>
      </c>
      <c r="R1218" s="8">
        <f>21935380</f>
        <v>21935380</v>
      </c>
      <c r="S1218" s="5" t="s">
        <v>240</v>
      </c>
      <c r="T1218" s="5" t="s">
        <v>237</v>
      </c>
      <c r="U1218" s="5" t="s">
        <v>238</v>
      </c>
      <c r="V1218" s="5" t="s">
        <v>238</v>
      </c>
      <c r="W1218" s="5" t="s">
        <v>241</v>
      </c>
      <c r="X1218" s="5" t="s">
        <v>951</v>
      </c>
      <c r="Y1218" s="5" t="s">
        <v>238</v>
      </c>
      <c r="AB1218" s="5" t="s">
        <v>238</v>
      </c>
      <c r="AC1218" s="6" t="s">
        <v>238</v>
      </c>
      <c r="AD1218" s="6" t="s">
        <v>238</v>
      </c>
      <c r="AF1218" s="6" t="s">
        <v>238</v>
      </c>
      <c r="AG1218" s="6" t="s">
        <v>246</v>
      </c>
      <c r="AH1218" s="5" t="s">
        <v>247</v>
      </c>
      <c r="AI1218" s="5" t="s">
        <v>248</v>
      </c>
      <c r="AO1218" s="5" t="s">
        <v>238</v>
      </c>
      <c r="AP1218" s="5" t="s">
        <v>238</v>
      </c>
      <c r="AQ1218" s="5" t="s">
        <v>238</v>
      </c>
      <c r="AR1218" s="6" t="s">
        <v>238</v>
      </c>
      <c r="AS1218" s="6" t="s">
        <v>238</v>
      </c>
      <c r="AT1218" s="6" t="s">
        <v>238</v>
      </c>
      <c r="AW1218" s="5" t="s">
        <v>304</v>
      </c>
      <c r="AX1218" s="5" t="s">
        <v>304</v>
      </c>
      <c r="AY1218" s="5" t="s">
        <v>250</v>
      </c>
      <c r="AZ1218" s="5" t="s">
        <v>305</v>
      </c>
      <c r="BA1218" s="5" t="s">
        <v>251</v>
      </c>
      <c r="BB1218" s="5" t="s">
        <v>238</v>
      </c>
      <c r="BC1218" s="5" t="s">
        <v>253</v>
      </c>
      <c r="BD1218" s="5" t="s">
        <v>238</v>
      </c>
      <c r="BF1218" s="5" t="s">
        <v>238</v>
      </c>
      <c r="BH1218" s="5" t="s">
        <v>283</v>
      </c>
      <c r="BI1218" s="6" t="s">
        <v>293</v>
      </c>
      <c r="BJ1218" s="5" t="s">
        <v>294</v>
      </c>
      <c r="BK1218" s="5" t="s">
        <v>294</v>
      </c>
      <c r="BL1218" s="5" t="s">
        <v>238</v>
      </c>
      <c r="BM1218" s="7">
        <f>0</f>
        <v>0</v>
      </c>
      <c r="BN1218" s="8">
        <f>-1096769</f>
        <v>-1096769</v>
      </c>
      <c r="BO1218" s="5" t="s">
        <v>257</v>
      </c>
      <c r="BP1218" s="5" t="s">
        <v>258</v>
      </c>
      <c r="BQ1218" s="5" t="s">
        <v>238</v>
      </c>
      <c r="BR1218" s="5" t="s">
        <v>238</v>
      </c>
      <c r="BS1218" s="5" t="s">
        <v>238</v>
      </c>
      <c r="BT1218" s="5" t="s">
        <v>238</v>
      </c>
      <c r="CC1218" s="5" t="s">
        <v>258</v>
      </c>
      <c r="CD1218" s="5" t="s">
        <v>238</v>
      </c>
      <c r="CE1218" s="5" t="s">
        <v>238</v>
      </c>
      <c r="CI1218" s="5" t="s">
        <v>259</v>
      </c>
      <c r="CJ1218" s="5" t="s">
        <v>260</v>
      </c>
      <c r="CK1218" s="5" t="s">
        <v>238</v>
      </c>
      <c r="CM1218" s="5" t="s">
        <v>1357</v>
      </c>
      <c r="CN1218" s="6" t="s">
        <v>262</v>
      </c>
      <c r="CO1218" s="5" t="s">
        <v>263</v>
      </c>
      <c r="CP1218" s="5" t="s">
        <v>264</v>
      </c>
      <c r="CQ1218" s="5" t="s">
        <v>285</v>
      </c>
      <c r="CR1218" s="5" t="s">
        <v>238</v>
      </c>
      <c r="CS1218" s="5">
        <v>4.2000000000000003E-2</v>
      </c>
      <c r="CT1218" s="5" t="s">
        <v>265</v>
      </c>
      <c r="CU1218" s="5" t="s">
        <v>1325</v>
      </c>
      <c r="CV1218" s="5" t="s">
        <v>267</v>
      </c>
      <c r="CW1218" s="7">
        <f>0</f>
        <v>0</v>
      </c>
      <c r="CX1218" s="8">
        <f>26113560</f>
        <v>26113560</v>
      </c>
      <c r="CY1218" s="8">
        <f>5274949</f>
        <v>5274949</v>
      </c>
      <c r="DA1218" s="5" t="s">
        <v>238</v>
      </c>
      <c r="DB1218" s="5" t="s">
        <v>238</v>
      </c>
      <c r="DD1218" s="5" t="s">
        <v>238</v>
      </c>
      <c r="DE1218" s="8">
        <f>0</f>
        <v>0</v>
      </c>
      <c r="DG1218" s="5" t="s">
        <v>238</v>
      </c>
      <c r="DH1218" s="5" t="s">
        <v>238</v>
      </c>
      <c r="DI1218" s="5" t="s">
        <v>238</v>
      </c>
      <c r="DJ1218" s="5" t="s">
        <v>238</v>
      </c>
      <c r="DK1218" s="5" t="s">
        <v>271</v>
      </c>
      <c r="DL1218" s="5" t="s">
        <v>272</v>
      </c>
      <c r="DM1218" s="7">
        <f>119.24</f>
        <v>119.24</v>
      </c>
      <c r="DN1218" s="5" t="s">
        <v>238</v>
      </c>
      <c r="DO1218" s="5" t="s">
        <v>238</v>
      </c>
      <c r="DP1218" s="5" t="s">
        <v>238</v>
      </c>
      <c r="DQ1218" s="5" t="s">
        <v>238</v>
      </c>
      <c r="DT1218" s="5" t="s">
        <v>1400</v>
      </c>
      <c r="DU1218" s="5" t="s">
        <v>271</v>
      </c>
      <c r="GL1218" s="5" t="s">
        <v>1403</v>
      </c>
      <c r="HM1218" s="5" t="s">
        <v>389</v>
      </c>
      <c r="HP1218" s="5" t="s">
        <v>272</v>
      </c>
      <c r="HQ1218" s="5" t="s">
        <v>272</v>
      </c>
      <c r="HR1218" s="5" t="s">
        <v>238</v>
      </c>
      <c r="HS1218" s="5" t="s">
        <v>238</v>
      </c>
      <c r="HT1218" s="5" t="s">
        <v>238</v>
      </c>
      <c r="HU1218" s="5" t="s">
        <v>238</v>
      </c>
      <c r="HV1218" s="5" t="s">
        <v>238</v>
      </c>
      <c r="HW1218" s="5" t="s">
        <v>238</v>
      </c>
      <c r="HX1218" s="5" t="s">
        <v>238</v>
      </c>
      <c r="HY1218" s="5" t="s">
        <v>238</v>
      </c>
      <c r="HZ1218" s="5" t="s">
        <v>238</v>
      </c>
      <c r="IA1218" s="5" t="s">
        <v>238</v>
      </c>
      <c r="IB1218" s="5" t="s">
        <v>238</v>
      </c>
      <c r="IC1218" s="5" t="s">
        <v>238</v>
      </c>
      <c r="ID1218" s="5" t="s">
        <v>238</v>
      </c>
    </row>
    <row r="1219" spans="1:238" x14ac:dyDescent="0.4">
      <c r="A1219" s="5">
        <v>1560</v>
      </c>
      <c r="B1219" s="5">
        <v>1</v>
      </c>
      <c r="C1219" s="5">
        <v>4</v>
      </c>
      <c r="D1219" s="5" t="s">
        <v>1396</v>
      </c>
      <c r="E1219" s="5" t="s">
        <v>440</v>
      </c>
      <c r="F1219" s="5" t="s">
        <v>282</v>
      </c>
      <c r="G1219" s="5" t="s">
        <v>1398</v>
      </c>
      <c r="H1219" s="6" t="s">
        <v>1399</v>
      </c>
      <c r="I1219" s="5" t="s">
        <v>1395</v>
      </c>
      <c r="J1219" s="7">
        <f>39.74</f>
        <v>39.74</v>
      </c>
      <c r="K1219" s="5" t="s">
        <v>270</v>
      </c>
      <c r="L1219" s="8">
        <f>6739561</f>
        <v>6739561</v>
      </c>
      <c r="M1219" s="8">
        <f>9546120</f>
        <v>9546120</v>
      </c>
      <c r="N1219" s="6" t="s">
        <v>1397</v>
      </c>
      <c r="O1219" s="5" t="s">
        <v>651</v>
      </c>
      <c r="P1219" s="5" t="s">
        <v>379</v>
      </c>
      <c r="Q1219" s="8">
        <f>400937</f>
        <v>400937</v>
      </c>
      <c r="R1219" s="8">
        <f>2806559</f>
        <v>2806559</v>
      </c>
      <c r="S1219" s="5" t="s">
        <v>240</v>
      </c>
      <c r="T1219" s="5" t="s">
        <v>287</v>
      </c>
      <c r="U1219" s="5" t="s">
        <v>238</v>
      </c>
      <c r="V1219" s="5" t="s">
        <v>238</v>
      </c>
      <c r="W1219" s="5" t="s">
        <v>241</v>
      </c>
      <c r="X1219" s="5" t="s">
        <v>951</v>
      </c>
      <c r="Y1219" s="5" t="s">
        <v>238</v>
      </c>
      <c r="AB1219" s="5" t="s">
        <v>238</v>
      </c>
      <c r="AC1219" s="6" t="s">
        <v>238</v>
      </c>
      <c r="AD1219" s="6" t="s">
        <v>238</v>
      </c>
      <c r="AF1219" s="6" t="s">
        <v>238</v>
      </c>
      <c r="AG1219" s="6" t="s">
        <v>246</v>
      </c>
      <c r="AH1219" s="5" t="s">
        <v>247</v>
      </c>
      <c r="AI1219" s="5" t="s">
        <v>248</v>
      </c>
      <c r="AO1219" s="5" t="s">
        <v>238</v>
      </c>
      <c r="AP1219" s="5" t="s">
        <v>238</v>
      </c>
      <c r="AQ1219" s="5" t="s">
        <v>238</v>
      </c>
      <c r="AR1219" s="6" t="s">
        <v>238</v>
      </c>
      <c r="AS1219" s="6" t="s">
        <v>238</v>
      </c>
      <c r="AT1219" s="6" t="s">
        <v>238</v>
      </c>
      <c r="AW1219" s="5" t="s">
        <v>304</v>
      </c>
      <c r="AX1219" s="5" t="s">
        <v>304</v>
      </c>
      <c r="AY1219" s="5" t="s">
        <v>250</v>
      </c>
      <c r="AZ1219" s="5" t="s">
        <v>305</v>
      </c>
      <c r="BA1219" s="5" t="s">
        <v>251</v>
      </c>
      <c r="BB1219" s="5" t="s">
        <v>238</v>
      </c>
      <c r="BC1219" s="5" t="s">
        <v>253</v>
      </c>
      <c r="BD1219" s="5" t="s">
        <v>238</v>
      </c>
      <c r="BF1219" s="5" t="s">
        <v>238</v>
      </c>
      <c r="BH1219" s="5" t="s">
        <v>283</v>
      </c>
      <c r="BI1219" s="6" t="s">
        <v>293</v>
      </c>
      <c r="BJ1219" s="5" t="s">
        <v>294</v>
      </c>
      <c r="BK1219" s="5" t="s">
        <v>294</v>
      </c>
      <c r="BL1219" s="5" t="s">
        <v>238</v>
      </c>
      <c r="BM1219" s="7">
        <f>0</f>
        <v>0</v>
      </c>
      <c r="BN1219" s="8">
        <f>-400937</f>
        <v>-400937</v>
      </c>
      <c r="BO1219" s="5" t="s">
        <v>257</v>
      </c>
      <c r="BP1219" s="5" t="s">
        <v>258</v>
      </c>
      <c r="BQ1219" s="5" t="s">
        <v>238</v>
      </c>
      <c r="BR1219" s="5" t="s">
        <v>238</v>
      </c>
      <c r="BS1219" s="5" t="s">
        <v>238</v>
      </c>
      <c r="BT1219" s="5" t="s">
        <v>238</v>
      </c>
      <c r="CC1219" s="5" t="s">
        <v>258</v>
      </c>
      <c r="CD1219" s="5" t="s">
        <v>238</v>
      </c>
      <c r="CE1219" s="5" t="s">
        <v>238</v>
      </c>
      <c r="CI1219" s="5" t="s">
        <v>259</v>
      </c>
      <c r="CJ1219" s="5" t="s">
        <v>260</v>
      </c>
      <c r="CK1219" s="5" t="s">
        <v>238</v>
      </c>
      <c r="CM1219" s="5" t="s">
        <v>1358</v>
      </c>
      <c r="CN1219" s="6" t="s">
        <v>262</v>
      </c>
      <c r="CO1219" s="5" t="s">
        <v>263</v>
      </c>
      <c r="CP1219" s="5" t="s">
        <v>264</v>
      </c>
      <c r="CQ1219" s="5" t="s">
        <v>285</v>
      </c>
      <c r="CR1219" s="5" t="s">
        <v>238</v>
      </c>
      <c r="CS1219" s="5">
        <v>4.2000000000000003E-2</v>
      </c>
      <c r="CT1219" s="5" t="s">
        <v>265</v>
      </c>
      <c r="CU1219" s="5" t="s">
        <v>1325</v>
      </c>
      <c r="CV1219" s="5" t="s">
        <v>267</v>
      </c>
      <c r="CW1219" s="7">
        <f>0</f>
        <v>0</v>
      </c>
      <c r="CX1219" s="8">
        <f>9546120</f>
        <v>9546120</v>
      </c>
      <c r="CY1219" s="8">
        <f>7140498</f>
        <v>7140498</v>
      </c>
      <c r="DA1219" s="5" t="s">
        <v>238</v>
      </c>
      <c r="DB1219" s="5" t="s">
        <v>238</v>
      </c>
      <c r="DD1219" s="5" t="s">
        <v>238</v>
      </c>
      <c r="DE1219" s="8">
        <f>0</f>
        <v>0</v>
      </c>
      <c r="DG1219" s="5" t="s">
        <v>238</v>
      </c>
      <c r="DH1219" s="5" t="s">
        <v>238</v>
      </c>
      <c r="DI1219" s="5" t="s">
        <v>238</v>
      </c>
      <c r="DJ1219" s="5" t="s">
        <v>238</v>
      </c>
      <c r="DK1219" s="5" t="s">
        <v>272</v>
      </c>
      <c r="DL1219" s="5" t="s">
        <v>272</v>
      </c>
      <c r="DM1219" s="7">
        <f>39.74</f>
        <v>39.74</v>
      </c>
      <c r="DN1219" s="5" t="s">
        <v>238</v>
      </c>
      <c r="DO1219" s="5" t="s">
        <v>238</v>
      </c>
      <c r="DP1219" s="5" t="s">
        <v>238</v>
      </c>
      <c r="DQ1219" s="5" t="s">
        <v>238</v>
      </c>
      <c r="DT1219" s="5" t="s">
        <v>1400</v>
      </c>
      <c r="DU1219" s="5" t="s">
        <v>274</v>
      </c>
      <c r="GL1219" s="5" t="s">
        <v>1401</v>
      </c>
      <c r="HM1219" s="5" t="s">
        <v>389</v>
      </c>
      <c r="HP1219" s="5" t="s">
        <v>272</v>
      </c>
      <c r="HQ1219" s="5" t="s">
        <v>272</v>
      </c>
      <c r="HR1219" s="5" t="s">
        <v>238</v>
      </c>
      <c r="HS1219" s="5" t="s">
        <v>238</v>
      </c>
      <c r="HT1219" s="5" t="s">
        <v>238</v>
      </c>
      <c r="HU1219" s="5" t="s">
        <v>238</v>
      </c>
      <c r="HV1219" s="5" t="s">
        <v>238</v>
      </c>
      <c r="HW1219" s="5" t="s">
        <v>238</v>
      </c>
      <c r="HX1219" s="5" t="s">
        <v>238</v>
      </c>
      <c r="HY1219" s="5" t="s">
        <v>238</v>
      </c>
      <c r="HZ1219" s="5" t="s">
        <v>238</v>
      </c>
      <c r="IA1219" s="5" t="s">
        <v>238</v>
      </c>
      <c r="IB1219" s="5" t="s">
        <v>238</v>
      </c>
      <c r="IC1219" s="5" t="s">
        <v>238</v>
      </c>
      <c r="ID1219" s="5" t="s">
        <v>238</v>
      </c>
    </row>
    <row r="1220" spans="1:238" x14ac:dyDescent="0.4">
      <c r="A1220" s="5">
        <v>1561</v>
      </c>
      <c r="B1220" s="5">
        <v>1</v>
      </c>
      <c r="C1220" s="5">
        <v>4</v>
      </c>
      <c r="D1220" s="5" t="s">
        <v>1396</v>
      </c>
      <c r="E1220" s="5" t="s">
        <v>440</v>
      </c>
      <c r="F1220" s="5" t="s">
        <v>282</v>
      </c>
      <c r="G1220" s="5" t="s">
        <v>349</v>
      </c>
      <c r="H1220" s="6" t="s">
        <v>1399</v>
      </c>
      <c r="I1220" s="5" t="s">
        <v>2975</v>
      </c>
      <c r="J1220" s="7">
        <f>0</f>
        <v>0</v>
      </c>
      <c r="K1220" s="5" t="s">
        <v>270</v>
      </c>
      <c r="L1220" s="8">
        <f>2614373</f>
        <v>2614373</v>
      </c>
      <c r="M1220" s="8">
        <f>3142273</f>
        <v>3142273</v>
      </c>
      <c r="N1220" s="6" t="s">
        <v>2976</v>
      </c>
      <c r="O1220" s="5" t="s">
        <v>395</v>
      </c>
      <c r="P1220" s="5" t="s">
        <v>272</v>
      </c>
      <c r="Q1220" s="8">
        <f>3142272</f>
        <v>3142272</v>
      </c>
      <c r="R1220" s="8">
        <f>527900</f>
        <v>527900</v>
      </c>
      <c r="S1220" s="5" t="s">
        <v>240</v>
      </c>
      <c r="T1220" s="5" t="s">
        <v>287</v>
      </c>
      <c r="U1220" s="5" t="s">
        <v>238</v>
      </c>
      <c r="V1220" s="5" t="s">
        <v>238</v>
      </c>
      <c r="W1220" s="5" t="s">
        <v>241</v>
      </c>
      <c r="X1220" s="5" t="s">
        <v>238</v>
      </c>
      <c r="Y1220" s="5" t="s">
        <v>238</v>
      </c>
      <c r="AB1220" s="5" t="s">
        <v>238</v>
      </c>
      <c r="AC1220" s="6" t="s">
        <v>238</v>
      </c>
      <c r="AD1220" s="6" t="s">
        <v>238</v>
      </c>
      <c r="AF1220" s="6" t="s">
        <v>238</v>
      </c>
      <c r="AG1220" s="6" t="s">
        <v>246</v>
      </c>
      <c r="AH1220" s="5" t="s">
        <v>247</v>
      </c>
      <c r="AI1220" s="5" t="s">
        <v>248</v>
      </c>
      <c r="AO1220" s="5" t="s">
        <v>238</v>
      </c>
      <c r="AP1220" s="5" t="s">
        <v>238</v>
      </c>
      <c r="AQ1220" s="5" t="s">
        <v>238</v>
      </c>
      <c r="AR1220" s="6" t="s">
        <v>238</v>
      </c>
      <c r="AS1220" s="6" t="s">
        <v>238</v>
      </c>
      <c r="AT1220" s="6" t="s">
        <v>238</v>
      </c>
      <c r="AW1220" s="5" t="s">
        <v>304</v>
      </c>
      <c r="AX1220" s="5" t="s">
        <v>304</v>
      </c>
      <c r="AY1220" s="5" t="s">
        <v>250</v>
      </c>
      <c r="AZ1220" s="5" t="s">
        <v>305</v>
      </c>
      <c r="BA1220" s="5" t="s">
        <v>251</v>
      </c>
      <c r="BB1220" s="5" t="s">
        <v>238</v>
      </c>
      <c r="BC1220" s="5" t="s">
        <v>253</v>
      </c>
      <c r="BD1220" s="5" t="s">
        <v>238</v>
      </c>
      <c r="BF1220" s="5" t="s">
        <v>238</v>
      </c>
      <c r="BH1220" s="5" t="s">
        <v>283</v>
      </c>
      <c r="BI1220" s="6" t="s">
        <v>293</v>
      </c>
      <c r="BJ1220" s="5" t="s">
        <v>294</v>
      </c>
      <c r="BK1220" s="5" t="s">
        <v>294</v>
      </c>
      <c r="BL1220" s="5" t="s">
        <v>238</v>
      </c>
      <c r="BM1220" s="7">
        <f>0</f>
        <v>0</v>
      </c>
      <c r="BN1220" s="8">
        <f>-263950</f>
        <v>-263950</v>
      </c>
      <c r="BO1220" s="5" t="s">
        <v>257</v>
      </c>
      <c r="BP1220" s="5" t="s">
        <v>258</v>
      </c>
      <c r="BQ1220" s="5" t="s">
        <v>238</v>
      </c>
      <c r="BR1220" s="5" t="s">
        <v>238</v>
      </c>
      <c r="BS1220" s="5" t="s">
        <v>238</v>
      </c>
      <c r="BT1220" s="5" t="s">
        <v>238</v>
      </c>
      <c r="CC1220" s="5" t="s">
        <v>258</v>
      </c>
      <c r="CD1220" s="5" t="s">
        <v>238</v>
      </c>
      <c r="CE1220" s="5" t="s">
        <v>238</v>
      </c>
      <c r="CI1220" s="5" t="s">
        <v>259</v>
      </c>
      <c r="CJ1220" s="5" t="s">
        <v>260</v>
      </c>
      <c r="CK1220" s="5" t="s">
        <v>238</v>
      </c>
      <c r="CM1220" s="5" t="s">
        <v>408</v>
      </c>
      <c r="CN1220" s="6" t="s">
        <v>262</v>
      </c>
      <c r="CO1220" s="5" t="s">
        <v>263</v>
      </c>
      <c r="CP1220" s="5" t="s">
        <v>264</v>
      </c>
      <c r="CQ1220" s="5" t="s">
        <v>285</v>
      </c>
      <c r="CR1220" s="5" t="s">
        <v>238</v>
      </c>
      <c r="CS1220" s="5">
        <v>8.4000000000000005E-2</v>
      </c>
      <c r="CT1220" s="5" t="s">
        <v>265</v>
      </c>
      <c r="CU1220" s="5" t="s">
        <v>351</v>
      </c>
      <c r="CV1220" s="5" t="s">
        <v>2977</v>
      </c>
      <c r="CW1220" s="7">
        <f>0</f>
        <v>0</v>
      </c>
      <c r="CX1220" s="8">
        <f>3142273</f>
        <v>3142273</v>
      </c>
      <c r="CY1220" s="8">
        <f>2878323</f>
        <v>2878323</v>
      </c>
      <c r="DA1220" s="5" t="s">
        <v>238</v>
      </c>
      <c r="DB1220" s="5" t="s">
        <v>238</v>
      </c>
      <c r="DD1220" s="5" t="s">
        <v>238</v>
      </c>
      <c r="DE1220" s="8">
        <f>0</f>
        <v>0</v>
      </c>
      <c r="DG1220" s="5" t="s">
        <v>238</v>
      </c>
      <c r="DH1220" s="5" t="s">
        <v>238</v>
      </c>
      <c r="DI1220" s="5" t="s">
        <v>238</v>
      </c>
      <c r="DJ1220" s="5" t="s">
        <v>238</v>
      </c>
      <c r="DK1220" s="5" t="s">
        <v>272</v>
      </c>
      <c r="DL1220" s="5" t="s">
        <v>272</v>
      </c>
      <c r="DM1220" s="8" t="s">
        <v>238</v>
      </c>
      <c r="DN1220" s="5" t="s">
        <v>238</v>
      </c>
      <c r="DO1220" s="5" t="s">
        <v>238</v>
      </c>
      <c r="DP1220" s="5" t="s">
        <v>238</v>
      </c>
      <c r="DQ1220" s="5" t="s">
        <v>238</v>
      </c>
      <c r="DT1220" s="5" t="s">
        <v>1400</v>
      </c>
      <c r="DU1220" s="5" t="s">
        <v>356</v>
      </c>
      <c r="GL1220" s="5" t="s">
        <v>2978</v>
      </c>
      <c r="HM1220" s="5" t="s">
        <v>274</v>
      </c>
      <c r="HP1220" s="5" t="s">
        <v>272</v>
      </c>
      <c r="HQ1220" s="5" t="s">
        <v>272</v>
      </c>
      <c r="HR1220" s="5" t="s">
        <v>238</v>
      </c>
      <c r="HS1220" s="5" t="s">
        <v>238</v>
      </c>
      <c r="HT1220" s="5" t="s">
        <v>238</v>
      </c>
      <c r="HU1220" s="5" t="s">
        <v>238</v>
      </c>
      <c r="HV1220" s="5" t="s">
        <v>238</v>
      </c>
      <c r="HW1220" s="5" t="s">
        <v>238</v>
      </c>
      <c r="HX1220" s="5" t="s">
        <v>238</v>
      </c>
      <c r="HY1220" s="5" t="s">
        <v>238</v>
      </c>
      <c r="HZ1220" s="5" t="s">
        <v>238</v>
      </c>
      <c r="IA1220" s="5" t="s">
        <v>238</v>
      </c>
      <c r="IB1220" s="5" t="s">
        <v>238</v>
      </c>
      <c r="IC1220" s="5" t="s">
        <v>238</v>
      </c>
      <c r="ID1220" s="5" t="s">
        <v>238</v>
      </c>
    </row>
    <row r="1221" spans="1:238" x14ac:dyDescent="0.4">
      <c r="A1221" s="5">
        <v>1562</v>
      </c>
      <c r="B1221" s="5">
        <v>1</v>
      </c>
      <c r="C1221" s="5">
        <v>1</v>
      </c>
      <c r="D1221" s="5" t="s">
        <v>1838</v>
      </c>
      <c r="E1221" s="5" t="s">
        <v>491</v>
      </c>
      <c r="F1221" s="5" t="s">
        <v>282</v>
      </c>
      <c r="G1221" s="5" t="s">
        <v>863</v>
      </c>
      <c r="H1221" s="6" t="s">
        <v>1839</v>
      </c>
      <c r="I1221" s="5" t="s">
        <v>1837</v>
      </c>
      <c r="J1221" s="7">
        <f>305.98</f>
        <v>305.98</v>
      </c>
      <c r="K1221" s="5" t="s">
        <v>270</v>
      </c>
      <c r="L1221" s="8">
        <f>1</f>
        <v>1</v>
      </c>
      <c r="M1221" s="8">
        <f>29068100</f>
        <v>29068100</v>
      </c>
      <c r="N1221" s="6" t="s">
        <v>1131</v>
      </c>
      <c r="O1221" s="5" t="s">
        <v>286</v>
      </c>
      <c r="P1221" s="5" t="s">
        <v>991</v>
      </c>
      <c r="R1221" s="8">
        <f>29068099</f>
        <v>29068099</v>
      </c>
      <c r="S1221" s="5" t="s">
        <v>240</v>
      </c>
      <c r="T1221" s="5" t="s">
        <v>237</v>
      </c>
      <c r="U1221" s="5" t="s">
        <v>238</v>
      </c>
      <c r="V1221" s="5" t="s">
        <v>238</v>
      </c>
      <c r="W1221" s="5" t="s">
        <v>241</v>
      </c>
      <c r="X1221" s="5" t="s">
        <v>337</v>
      </c>
      <c r="Y1221" s="5" t="s">
        <v>238</v>
      </c>
      <c r="AB1221" s="5" t="s">
        <v>238</v>
      </c>
      <c r="AD1221" s="6" t="s">
        <v>238</v>
      </c>
      <c r="AG1221" s="6" t="s">
        <v>246</v>
      </c>
      <c r="AH1221" s="5" t="s">
        <v>247</v>
      </c>
      <c r="AI1221" s="5" t="s">
        <v>248</v>
      </c>
      <c r="AY1221" s="5" t="s">
        <v>250</v>
      </c>
      <c r="AZ1221" s="5" t="s">
        <v>238</v>
      </c>
      <c r="BA1221" s="5" t="s">
        <v>251</v>
      </c>
      <c r="BB1221" s="5" t="s">
        <v>238</v>
      </c>
      <c r="BC1221" s="5" t="s">
        <v>253</v>
      </c>
      <c r="BD1221" s="5" t="s">
        <v>238</v>
      </c>
      <c r="BF1221" s="5" t="s">
        <v>238</v>
      </c>
      <c r="BH1221" s="5" t="s">
        <v>254</v>
      </c>
      <c r="BI1221" s="6" t="s">
        <v>246</v>
      </c>
      <c r="BJ1221" s="5" t="s">
        <v>255</v>
      </c>
      <c r="BK1221" s="5" t="s">
        <v>256</v>
      </c>
      <c r="BL1221" s="5" t="s">
        <v>238</v>
      </c>
      <c r="BM1221" s="7">
        <f>0</f>
        <v>0</v>
      </c>
      <c r="BN1221" s="8">
        <f>0</f>
        <v>0</v>
      </c>
      <c r="BO1221" s="5" t="s">
        <v>257</v>
      </c>
      <c r="BP1221" s="5" t="s">
        <v>258</v>
      </c>
      <c r="CD1221" s="5" t="s">
        <v>238</v>
      </c>
      <c r="CE1221" s="5" t="s">
        <v>238</v>
      </c>
      <c r="CI1221" s="5" t="s">
        <v>527</v>
      </c>
      <c r="CJ1221" s="5" t="s">
        <v>260</v>
      </c>
      <c r="CK1221" s="5" t="s">
        <v>238</v>
      </c>
      <c r="CM1221" s="5" t="s">
        <v>990</v>
      </c>
      <c r="CN1221" s="6" t="s">
        <v>262</v>
      </c>
      <c r="CO1221" s="5" t="s">
        <v>263</v>
      </c>
      <c r="CP1221" s="5" t="s">
        <v>264</v>
      </c>
      <c r="CQ1221" s="5" t="s">
        <v>238</v>
      </c>
      <c r="CR1221" s="5" t="s">
        <v>238</v>
      </c>
      <c r="CS1221" s="5">
        <v>0</v>
      </c>
      <c r="CT1221" s="5" t="s">
        <v>265</v>
      </c>
      <c r="CU1221" s="5" t="s">
        <v>1803</v>
      </c>
      <c r="CV1221" s="5" t="s">
        <v>267</v>
      </c>
      <c r="CX1221" s="8">
        <f>29068100</f>
        <v>29068100</v>
      </c>
      <c r="CY1221" s="8">
        <f>0</f>
        <v>0</v>
      </c>
      <c r="DA1221" s="5" t="s">
        <v>238</v>
      </c>
      <c r="DB1221" s="5" t="s">
        <v>238</v>
      </c>
      <c r="DD1221" s="5" t="s">
        <v>238</v>
      </c>
      <c r="DG1221" s="5" t="s">
        <v>238</v>
      </c>
      <c r="DH1221" s="5" t="s">
        <v>238</v>
      </c>
      <c r="DI1221" s="5" t="s">
        <v>238</v>
      </c>
      <c r="DJ1221" s="5" t="s">
        <v>238</v>
      </c>
      <c r="DK1221" s="5" t="s">
        <v>271</v>
      </c>
      <c r="DL1221" s="5" t="s">
        <v>272</v>
      </c>
      <c r="DM1221" s="7">
        <f>305.98</f>
        <v>305.98</v>
      </c>
      <c r="DN1221" s="5" t="s">
        <v>238</v>
      </c>
      <c r="DO1221" s="5" t="s">
        <v>238</v>
      </c>
      <c r="DP1221" s="5" t="s">
        <v>238</v>
      </c>
      <c r="DQ1221" s="5" t="s">
        <v>238</v>
      </c>
      <c r="DT1221" s="5" t="s">
        <v>1840</v>
      </c>
      <c r="DU1221" s="5" t="s">
        <v>271</v>
      </c>
      <c r="HM1221" s="5" t="s">
        <v>271</v>
      </c>
      <c r="HP1221" s="5" t="s">
        <v>272</v>
      </c>
      <c r="HQ1221" s="5" t="s">
        <v>272</v>
      </c>
    </row>
    <row r="1222" spans="1:238" x14ac:dyDescent="0.4">
      <c r="A1222" s="5">
        <v>1563</v>
      </c>
      <c r="B1222" s="5">
        <v>1</v>
      </c>
      <c r="C1222" s="5">
        <v>4</v>
      </c>
      <c r="D1222" s="5" t="s">
        <v>1679</v>
      </c>
      <c r="E1222" s="5" t="s">
        <v>952</v>
      </c>
      <c r="F1222" s="5" t="s">
        <v>282</v>
      </c>
      <c r="G1222" s="5" t="s">
        <v>1807</v>
      </c>
      <c r="H1222" s="6" t="s">
        <v>1681</v>
      </c>
      <c r="I1222" s="5" t="s">
        <v>1809</v>
      </c>
      <c r="J1222" s="7">
        <f>499.19</f>
        <v>499.19</v>
      </c>
      <c r="K1222" s="5" t="s">
        <v>270</v>
      </c>
      <c r="L1222" s="8">
        <f>13328400</f>
        <v>13328400</v>
      </c>
      <c r="M1222" s="8">
        <f>133283730</f>
        <v>133283730</v>
      </c>
      <c r="N1222" s="6" t="s">
        <v>1810</v>
      </c>
      <c r="O1222" s="5" t="s">
        <v>755</v>
      </c>
      <c r="P1222" s="5" t="s">
        <v>1091</v>
      </c>
      <c r="Q1222" s="8">
        <f>3998511</f>
        <v>3998511</v>
      </c>
      <c r="R1222" s="8">
        <f>119955330</f>
        <v>119955330</v>
      </c>
      <c r="S1222" s="5" t="s">
        <v>240</v>
      </c>
      <c r="T1222" s="5" t="s">
        <v>237</v>
      </c>
      <c r="U1222" s="5" t="s">
        <v>238</v>
      </c>
      <c r="V1222" s="5" t="s">
        <v>238</v>
      </c>
      <c r="W1222" s="5" t="s">
        <v>241</v>
      </c>
      <c r="X1222" s="5" t="s">
        <v>337</v>
      </c>
      <c r="Y1222" s="5" t="s">
        <v>238</v>
      </c>
      <c r="AB1222" s="5" t="s">
        <v>238</v>
      </c>
      <c r="AC1222" s="6" t="s">
        <v>238</v>
      </c>
      <c r="AD1222" s="6" t="s">
        <v>238</v>
      </c>
      <c r="AF1222" s="6" t="s">
        <v>238</v>
      </c>
      <c r="AG1222" s="6" t="s">
        <v>246</v>
      </c>
      <c r="AH1222" s="5" t="s">
        <v>247</v>
      </c>
      <c r="AI1222" s="5" t="s">
        <v>248</v>
      </c>
      <c r="AO1222" s="5" t="s">
        <v>238</v>
      </c>
      <c r="AP1222" s="5" t="s">
        <v>238</v>
      </c>
      <c r="AQ1222" s="5" t="s">
        <v>238</v>
      </c>
      <c r="AR1222" s="6" t="s">
        <v>238</v>
      </c>
      <c r="AS1222" s="6" t="s">
        <v>238</v>
      </c>
      <c r="AT1222" s="6" t="s">
        <v>238</v>
      </c>
      <c r="AW1222" s="5" t="s">
        <v>304</v>
      </c>
      <c r="AX1222" s="5" t="s">
        <v>304</v>
      </c>
      <c r="AY1222" s="5" t="s">
        <v>250</v>
      </c>
      <c r="AZ1222" s="5" t="s">
        <v>305</v>
      </c>
      <c r="BA1222" s="5" t="s">
        <v>251</v>
      </c>
      <c r="BB1222" s="5" t="s">
        <v>238</v>
      </c>
      <c r="BC1222" s="5" t="s">
        <v>253</v>
      </c>
      <c r="BD1222" s="5" t="s">
        <v>238</v>
      </c>
      <c r="BF1222" s="5" t="s">
        <v>238</v>
      </c>
      <c r="BH1222" s="5" t="s">
        <v>283</v>
      </c>
      <c r="BI1222" s="6" t="s">
        <v>293</v>
      </c>
      <c r="BJ1222" s="5" t="s">
        <v>294</v>
      </c>
      <c r="BK1222" s="5" t="s">
        <v>294</v>
      </c>
      <c r="BL1222" s="5" t="s">
        <v>238</v>
      </c>
      <c r="BM1222" s="7">
        <f>0</f>
        <v>0</v>
      </c>
      <c r="BN1222" s="8">
        <f>-3998511</f>
        <v>-3998511</v>
      </c>
      <c r="BO1222" s="5" t="s">
        <v>257</v>
      </c>
      <c r="BP1222" s="5" t="s">
        <v>258</v>
      </c>
      <c r="BQ1222" s="5" t="s">
        <v>238</v>
      </c>
      <c r="BR1222" s="5" t="s">
        <v>238</v>
      </c>
      <c r="BS1222" s="5" t="s">
        <v>238</v>
      </c>
      <c r="BT1222" s="5" t="s">
        <v>238</v>
      </c>
      <c r="CC1222" s="5" t="s">
        <v>258</v>
      </c>
      <c r="CD1222" s="5" t="s">
        <v>238</v>
      </c>
      <c r="CE1222" s="5" t="s">
        <v>238</v>
      </c>
      <c r="CI1222" s="5" t="s">
        <v>259</v>
      </c>
      <c r="CJ1222" s="5" t="s">
        <v>260</v>
      </c>
      <c r="CK1222" s="5" t="s">
        <v>238</v>
      </c>
      <c r="CM1222" s="5" t="s">
        <v>958</v>
      </c>
      <c r="CN1222" s="6" t="s">
        <v>262</v>
      </c>
      <c r="CO1222" s="5" t="s">
        <v>263</v>
      </c>
      <c r="CP1222" s="5" t="s">
        <v>264</v>
      </c>
      <c r="CQ1222" s="5" t="s">
        <v>285</v>
      </c>
      <c r="CR1222" s="5" t="s">
        <v>238</v>
      </c>
      <c r="CS1222" s="5">
        <v>0.03</v>
      </c>
      <c r="CT1222" s="5" t="s">
        <v>265</v>
      </c>
      <c r="CU1222" s="5" t="s">
        <v>1803</v>
      </c>
      <c r="CV1222" s="5" t="s">
        <v>649</v>
      </c>
      <c r="CW1222" s="7">
        <f>0</f>
        <v>0</v>
      </c>
      <c r="CX1222" s="8">
        <f>133283730</f>
        <v>133283730</v>
      </c>
      <c r="CY1222" s="8">
        <f>17326911</f>
        <v>17326911</v>
      </c>
      <c r="DA1222" s="5" t="s">
        <v>238</v>
      </c>
      <c r="DB1222" s="5" t="s">
        <v>238</v>
      </c>
      <c r="DD1222" s="5" t="s">
        <v>238</v>
      </c>
      <c r="DE1222" s="8">
        <f>0</f>
        <v>0</v>
      </c>
      <c r="DG1222" s="5" t="s">
        <v>238</v>
      </c>
      <c r="DH1222" s="5" t="s">
        <v>238</v>
      </c>
      <c r="DI1222" s="5" t="s">
        <v>238</v>
      </c>
      <c r="DJ1222" s="5" t="s">
        <v>238</v>
      </c>
      <c r="DK1222" s="5" t="s">
        <v>271</v>
      </c>
      <c r="DL1222" s="5" t="s">
        <v>272</v>
      </c>
      <c r="DM1222" s="7">
        <f>499.19</f>
        <v>499.19</v>
      </c>
      <c r="DN1222" s="5" t="s">
        <v>238</v>
      </c>
      <c r="DO1222" s="5" t="s">
        <v>238</v>
      </c>
      <c r="DP1222" s="5" t="s">
        <v>238</v>
      </c>
      <c r="DQ1222" s="5" t="s">
        <v>238</v>
      </c>
      <c r="DT1222" s="5" t="s">
        <v>1811</v>
      </c>
      <c r="DU1222" s="5" t="s">
        <v>271</v>
      </c>
      <c r="GL1222" s="5" t="s">
        <v>1812</v>
      </c>
      <c r="HM1222" s="5" t="s">
        <v>389</v>
      </c>
      <c r="HP1222" s="5" t="s">
        <v>272</v>
      </c>
      <c r="HQ1222" s="5" t="s">
        <v>272</v>
      </c>
      <c r="HR1222" s="5" t="s">
        <v>238</v>
      </c>
      <c r="HS1222" s="5" t="s">
        <v>238</v>
      </c>
      <c r="HT1222" s="5" t="s">
        <v>238</v>
      </c>
      <c r="HU1222" s="5" t="s">
        <v>238</v>
      </c>
      <c r="HV1222" s="5" t="s">
        <v>238</v>
      </c>
      <c r="HW1222" s="5" t="s">
        <v>238</v>
      </c>
      <c r="HX1222" s="5" t="s">
        <v>238</v>
      </c>
      <c r="HY1222" s="5" t="s">
        <v>238</v>
      </c>
      <c r="HZ1222" s="5" t="s">
        <v>238</v>
      </c>
      <c r="IA1222" s="5" t="s">
        <v>238</v>
      </c>
      <c r="IB1222" s="5" t="s">
        <v>238</v>
      </c>
      <c r="IC1222" s="5" t="s">
        <v>238</v>
      </c>
      <c r="ID1222" s="5" t="s">
        <v>238</v>
      </c>
    </row>
    <row r="1223" spans="1:238" x14ac:dyDescent="0.4">
      <c r="A1223" s="5">
        <v>1564</v>
      </c>
      <c r="B1223" s="5">
        <v>1</v>
      </c>
      <c r="C1223" s="5">
        <v>4</v>
      </c>
      <c r="D1223" s="5" t="s">
        <v>238</v>
      </c>
      <c r="E1223" s="5" t="s">
        <v>338</v>
      </c>
      <c r="F1223" s="5" t="s">
        <v>282</v>
      </c>
      <c r="G1223" s="5" t="s">
        <v>3903</v>
      </c>
      <c r="H1223" s="6" t="s">
        <v>989</v>
      </c>
      <c r="I1223" s="5" t="s">
        <v>3902</v>
      </c>
      <c r="J1223" s="7">
        <f>1257.8</f>
        <v>1257.8</v>
      </c>
      <c r="K1223" s="5" t="s">
        <v>270</v>
      </c>
      <c r="L1223" s="8">
        <f>37356660</f>
        <v>37356660</v>
      </c>
      <c r="M1223" s="8">
        <f>169803000</f>
        <v>169803000</v>
      </c>
      <c r="N1223" s="6" t="s">
        <v>988</v>
      </c>
      <c r="O1223" s="5" t="s">
        <v>279</v>
      </c>
      <c r="P1223" s="5" t="s">
        <v>971</v>
      </c>
      <c r="Q1223" s="8">
        <f>3396060</f>
        <v>3396060</v>
      </c>
      <c r="R1223" s="8">
        <f>132446340</f>
        <v>132446340</v>
      </c>
      <c r="S1223" s="5" t="s">
        <v>240</v>
      </c>
      <c r="T1223" s="5" t="s">
        <v>237</v>
      </c>
      <c r="W1223" s="5" t="s">
        <v>241</v>
      </c>
      <c r="X1223" s="5" t="s">
        <v>951</v>
      </c>
      <c r="Y1223" s="5" t="s">
        <v>238</v>
      </c>
      <c r="AB1223" s="5" t="s">
        <v>238</v>
      </c>
      <c r="AC1223" s="6" t="s">
        <v>238</v>
      </c>
      <c r="AD1223" s="6" t="s">
        <v>238</v>
      </c>
      <c r="AE1223" s="5" t="s">
        <v>238</v>
      </c>
      <c r="AF1223" s="6" t="s">
        <v>238</v>
      </c>
      <c r="AG1223" s="6" t="s">
        <v>246</v>
      </c>
      <c r="AH1223" s="5" t="s">
        <v>247</v>
      </c>
      <c r="AI1223" s="5" t="s">
        <v>248</v>
      </c>
      <c r="AO1223" s="5" t="s">
        <v>238</v>
      </c>
      <c r="AP1223" s="5" t="s">
        <v>238</v>
      </c>
      <c r="AQ1223" s="5" t="s">
        <v>238</v>
      </c>
      <c r="AR1223" s="6" t="s">
        <v>238</v>
      </c>
      <c r="AS1223" s="6" t="s">
        <v>238</v>
      </c>
      <c r="AT1223" s="6" t="s">
        <v>238</v>
      </c>
      <c r="AW1223" s="5" t="s">
        <v>304</v>
      </c>
      <c r="AX1223" s="5" t="s">
        <v>304</v>
      </c>
      <c r="AY1223" s="5" t="s">
        <v>250</v>
      </c>
      <c r="AZ1223" s="5" t="s">
        <v>305</v>
      </c>
      <c r="BA1223" s="5" t="s">
        <v>251</v>
      </c>
      <c r="BB1223" s="5" t="s">
        <v>238</v>
      </c>
      <c r="BC1223" s="5" t="s">
        <v>253</v>
      </c>
      <c r="BD1223" s="5" t="s">
        <v>3170</v>
      </c>
      <c r="BF1223" s="5" t="s">
        <v>710</v>
      </c>
      <c r="BH1223" s="5" t="s">
        <v>283</v>
      </c>
      <c r="BI1223" s="6" t="s">
        <v>293</v>
      </c>
      <c r="BJ1223" s="5" t="s">
        <v>294</v>
      </c>
      <c r="BK1223" s="5" t="s">
        <v>294</v>
      </c>
      <c r="BL1223" s="5" t="s">
        <v>238</v>
      </c>
      <c r="BM1223" s="7">
        <f>0</f>
        <v>0</v>
      </c>
      <c r="BN1223" s="8">
        <f>-3396060</f>
        <v>-3396060</v>
      </c>
      <c r="BO1223" s="5" t="s">
        <v>257</v>
      </c>
      <c r="BP1223" s="5" t="s">
        <v>258</v>
      </c>
      <c r="BQ1223" s="5" t="s">
        <v>238</v>
      </c>
      <c r="BR1223" s="5" t="s">
        <v>238</v>
      </c>
      <c r="BS1223" s="5" t="s">
        <v>238</v>
      </c>
      <c r="BT1223" s="5" t="s">
        <v>238</v>
      </c>
      <c r="BY1223" s="6" t="s">
        <v>3904</v>
      </c>
      <c r="BZ1223" s="5" t="s">
        <v>257</v>
      </c>
      <c r="CA1223" s="5" t="s">
        <v>238</v>
      </c>
      <c r="CB1223" s="5" t="s">
        <v>238</v>
      </c>
      <c r="CC1223" s="5" t="s">
        <v>258</v>
      </c>
      <c r="CD1223" s="5" t="s">
        <v>238</v>
      </c>
      <c r="CE1223" s="5" t="s">
        <v>238</v>
      </c>
      <c r="CI1223" s="5" t="s">
        <v>527</v>
      </c>
      <c r="CJ1223" s="5" t="s">
        <v>260</v>
      </c>
      <c r="CK1223" s="5" t="s">
        <v>272</v>
      </c>
      <c r="CM1223" s="5" t="s">
        <v>990</v>
      </c>
      <c r="CN1223" s="6" t="s">
        <v>262</v>
      </c>
      <c r="CO1223" s="5" t="s">
        <v>263</v>
      </c>
      <c r="CP1223" s="5" t="s">
        <v>264</v>
      </c>
      <c r="CQ1223" s="5" t="s">
        <v>285</v>
      </c>
      <c r="CR1223" s="5" t="s">
        <v>238</v>
      </c>
      <c r="CS1223" s="5">
        <v>0.02</v>
      </c>
      <c r="CT1223" s="5" t="s">
        <v>265</v>
      </c>
      <c r="CU1223" s="5" t="s">
        <v>1333</v>
      </c>
      <c r="CV1223" s="5" t="s">
        <v>308</v>
      </c>
      <c r="CW1223" s="7">
        <f>0</f>
        <v>0</v>
      </c>
      <c r="CX1223" s="8">
        <f>169803000</f>
        <v>169803000</v>
      </c>
      <c r="CY1223" s="8">
        <f>40752720</f>
        <v>40752720</v>
      </c>
      <c r="CZ1223" s="8" t="s">
        <v>238</v>
      </c>
      <c r="DA1223" s="5" t="s">
        <v>238</v>
      </c>
      <c r="DB1223" s="5" t="s">
        <v>238</v>
      </c>
      <c r="DD1223" s="5" t="s">
        <v>238</v>
      </c>
      <c r="DE1223" s="8">
        <f>0</f>
        <v>0</v>
      </c>
      <c r="DF1223" s="6" t="s">
        <v>238</v>
      </c>
      <c r="DG1223" s="5" t="s">
        <v>238</v>
      </c>
      <c r="DH1223" s="5" t="s">
        <v>238</v>
      </c>
      <c r="DI1223" s="5" t="s">
        <v>238</v>
      </c>
      <c r="DJ1223" s="5" t="s">
        <v>238</v>
      </c>
      <c r="DK1223" s="5" t="s">
        <v>271</v>
      </c>
      <c r="DL1223" s="5" t="s">
        <v>272</v>
      </c>
      <c r="DM1223" s="7">
        <f>1257.8</f>
        <v>1257.8</v>
      </c>
      <c r="DN1223" s="5" t="s">
        <v>238</v>
      </c>
      <c r="DO1223" s="5" t="s">
        <v>247</v>
      </c>
      <c r="DP1223" s="5" t="s">
        <v>3170</v>
      </c>
      <c r="DQ1223" s="5" t="s">
        <v>3170</v>
      </c>
      <c r="DR1223" s="5" t="s">
        <v>238</v>
      </c>
      <c r="DS1223" s="5" t="s">
        <v>238</v>
      </c>
      <c r="DT1223" s="5" t="s">
        <v>992</v>
      </c>
      <c r="DU1223" s="5" t="s">
        <v>271</v>
      </c>
      <c r="GL1223" s="5" t="s">
        <v>3905</v>
      </c>
      <c r="HP1223" s="5" t="s">
        <v>272</v>
      </c>
      <c r="HQ1223" s="5" t="s">
        <v>272</v>
      </c>
      <c r="HR1223" s="5" t="s">
        <v>238</v>
      </c>
      <c r="HS1223" s="5" t="s">
        <v>238</v>
      </c>
      <c r="HT1223" s="5" t="s">
        <v>238</v>
      </c>
      <c r="HU1223" s="5" t="s">
        <v>238</v>
      </c>
      <c r="HV1223" s="5" t="s">
        <v>238</v>
      </c>
      <c r="HW1223" s="5" t="s">
        <v>238</v>
      </c>
      <c r="HX1223" s="5" t="s">
        <v>238</v>
      </c>
      <c r="HY1223" s="5" t="s">
        <v>238</v>
      </c>
      <c r="HZ1223" s="5" t="s">
        <v>238</v>
      </c>
      <c r="IA1223" s="5" t="s">
        <v>238</v>
      </c>
      <c r="IB1223" s="5" t="s">
        <v>238</v>
      </c>
      <c r="IC1223" s="5" t="s">
        <v>238</v>
      </c>
      <c r="ID1223" s="5" t="s">
        <v>238</v>
      </c>
    </row>
    <row r="1224" spans="1:238" x14ac:dyDescent="0.4">
      <c r="A1224" s="5">
        <v>1565</v>
      </c>
      <c r="B1224" s="5">
        <v>1</v>
      </c>
      <c r="C1224" s="5">
        <v>1</v>
      </c>
      <c r="D1224" s="5" t="s">
        <v>987</v>
      </c>
      <c r="E1224" s="5" t="s">
        <v>338</v>
      </c>
      <c r="F1224" s="5" t="s">
        <v>282</v>
      </c>
      <c r="G1224" s="5" t="s">
        <v>1181</v>
      </c>
      <c r="H1224" s="6" t="s">
        <v>989</v>
      </c>
      <c r="I1224" s="5" t="s">
        <v>1181</v>
      </c>
      <c r="J1224" s="7">
        <f>82.81</f>
        <v>82.81</v>
      </c>
      <c r="K1224" s="5" t="s">
        <v>270</v>
      </c>
      <c r="L1224" s="8">
        <f>1</f>
        <v>1</v>
      </c>
      <c r="M1224" s="8">
        <f>4968600</f>
        <v>4968600</v>
      </c>
      <c r="N1224" s="6" t="s">
        <v>988</v>
      </c>
      <c r="O1224" s="5" t="s">
        <v>640</v>
      </c>
      <c r="P1224" s="5" t="s">
        <v>991</v>
      </c>
      <c r="R1224" s="8">
        <f>4968599</f>
        <v>4968599</v>
      </c>
      <c r="S1224" s="5" t="s">
        <v>240</v>
      </c>
      <c r="T1224" s="5" t="s">
        <v>237</v>
      </c>
      <c r="U1224" s="5" t="s">
        <v>238</v>
      </c>
      <c r="V1224" s="5" t="s">
        <v>238</v>
      </c>
      <c r="W1224" s="5" t="s">
        <v>241</v>
      </c>
      <c r="X1224" s="5" t="s">
        <v>951</v>
      </c>
      <c r="Y1224" s="5" t="s">
        <v>238</v>
      </c>
      <c r="AB1224" s="5" t="s">
        <v>238</v>
      </c>
      <c r="AD1224" s="6" t="s">
        <v>238</v>
      </c>
      <c r="AG1224" s="6" t="s">
        <v>246</v>
      </c>
      <c r="AH1224" s="5" t="s">
        <v>247</v>
      </c>
      <c r="AI1224" s="5" t="s">
        <v>248</v>
      </c>
      <c r="AY1224" s="5" t="s">
        <v>250</v>
      </c>
      <c r="AZ1224" s="5" t="s">
        <v>238</v>
      </c>
      <c r="BA1224" s="5" t="s">
        <v>251</v>
      </c>
      <c r="BB1224" s="5" t="s">
        <v>238</v>
      </c>
      <c r="BC1224" s="5" t="s">
        <v>253</v>
      </c>
      <c r="BD1224" s="5" t="s">
        <v>238</v>
      </c>
      <c r="BF1224" s="5" t="s">
        <v>238</v>
      </c>
      <c r="BH1224" s="5" t="s">
        <v>859</v>
      </c>
      <c r="BI1224" s="6" t="s">
        <v>368</v>
      </c>
      <c r="BJ1224" s="5" t="s">
        <v>255</v>
      </c>
      <c r="BK1224" s="5" t="s">
        <v>256</v>
      </c>
      <c r="BL1224" s="5" t="s">
        <v>238</v>
      </c>
      <c r="BM1224" s="7">
        <f>0</f>
        <v>0</v>
      </c>
      <c r="BN1224" s="8">
        <f>0</f>
        <v>0</v>
      </c>
      <c r="BO1224" s="5" t="s">
        <v>257</v>
      </c>
      <c r="BP1224" s="5" t="s">
        <v>258</v>
      </c>
      <c r="CD1224" s="5" t="s">
        <v>238</v>
      </c>
      <c r="CE1224" s="5" t="s">
        <v>238</v>
      </c>
      <c r="CI1224" s="5" t="s">
        <v>527</v>
      </c>
      <c r="CJ1224" s="5" t="s">
        <v>260</v>
      </c>
      <c r="CK1224" s="5" t="s">
        <v>238</v>
      </c>
      <c r="CM1224" s="5" t="s">
        <v>990</v>
      </c>
      <c r="CN1224" s="6" t="s">
        <v>262</v>
      </c>
      <c r="CO1224" s="5" t="s">
        <v>263</v>
      </c>
      <c r="CP1224" s="5" t="s">
        <v>264</v>
      </c>
      <c r="CQ1224" s="5" t="s">
        <v>238</v>
      </c>
      <c r="CR1224" s="5" t="s">
        <v>238</v>
      </c>
      <c r="CS1224" s="5">
        <v>0</v>
      </c>
      <c r="CT1224" s="5" t="s">
        <v>265</v>
      </c>
      <c r="CU1224" s="5" t="s">
        <v>1187</v>
      </c>
      <c r="CV1224" s="5" t="s">
        <v>331</v>
      </c>
      <c r="CX1224" s="8">
        <f>4968600</f>
        <v>4968600</v>
      </c>
      <c r="CY1224" s="8">
        <f>0</f>
        <v>0</v>
      </c>
      <c r="DA1224" s="5" t="s">
        <v>238</v>
      </c>
      <c r="DB1224" s="5" t="s">
        <v>238</v>
      </c>
      <c r="DD1224" s="5" t="s">
        <v>238</v>
      </c>
      <c r="DG1224" s="5" t="s">
        <v>238</v>
      </c>
      <c r="DH1224" s="5" t="s">
        <v>238</v>
      </c>
      <c r="DI1224" s="5" t="s">
        <v>238</v>
      </c>
      <c r="DJ1224" s="5" t="s">
        <v>238</v>
      </c>
      <c r="DK1224" s="5" t="s">
        <v>271</v>
      </c>
      <c r="DL1224" s="5" t="s">
        <v>272</v>
      </c>
      <c r="DM1224" s="7">
        <f>82.81</f>
        <v>82.81</v>
      </c>
      <c r="DN1224" s="5" t="s">
        <v>238</v>
      </c>
      <c r="DO1224" s="5" t="s">
        <v>238</v>
      </c>
      <c r="DP1224" s="5" t="s">
        <v>238</v>
      </c>
      <c r="DQ1224" s="5" t="s">
        <v>238</v>
      </c>
      <c r="DT1224" s="5" t="s">
        <v>992</v>
      </c>
      <c r="DU1224" s="5" t="s">
        <v>274</v>
      </c>
      <c r="HM1224" s="5" t="s">
        <v>271</v>
      </c>
      <c r="HP1224" s="5" t="s">
        <v>272</v>
      </c>
      <c r="HQ1224" s="5" t="s">
        <v>272</v>
      </c>
    </row>
    <row r="1225" spans="1:238" x14ac:dyDescent="0.4">
      <c r="A1225" s="5">
        <v>1566</v>
      </c>
      <c r="B1225" s="5">
        <v>1</v>
      </c>
      <c r="C1225" s="5">
        <v>1</v>
      </c>
      <c r="D1225" s="5" t="s">
        <v>987</v>
      </c>
      <c r="E1225" s="5" t="s">
        <v>338</v>
      </c>
      <c r="F1225" s="5" t="s">
        <v>282</v>
      </c>
      <c r="G1225" s="5" t="s">
        <v>239</v>
      </c>
      <c r="H1225" s="6" t="s">
        <v>989</v>
      </c>
      <c r="I1225" s="5" t="s">
        <v>239</v>
      </c>
      <c r="J1225" s="7">
        <f>19.87</f>
        <v>19.87</v>
      </c>
      <c r="K1225" s="5" t="s">
        <v>270</v>
      </c>
      <c r="L1225" s="8">
        <f>1</f>
        <v>1</v>
      </c>
      <c r="M1225" s="8">
        <f>1192200</f>
        <v>1192200</v>
      </c>
      <c r="N1225" s="6" t="s">
        <v>988</v>
      </c>
      <c r="O1225" s="5" t="s">
        <v>651</v>
      </c>
      <c r="P1225" s="5" t="s">
        <v>991</v>
      </c>
      <c r="R1225" s="8">
        <f>1192199</f>
        <v>1192199</v>
      </c>
      <c r="S1225" s="5" t="s">
        <v>240</v>
      </c>
      <c r="T1225" s="5" t="s">
        <v>237</v>
      </c>
      <c r="U1225" s="5" t="s">
        <v>238</v>
      </c>
      <c r="V1225" s="5" t="s">
        <v>238</v>
      </c>
      <c r="W1225" s="5" t="s">
        <v>241</v>
      </c>
      <c r="X1225" s="5" t="s">
        <v>951</v>
      </c>
      <c r="Y1225" s="5" t="s">
        <v>238</v>
      </c>
      <c r="AB1225" s="5" t="s">
        <v>238</v>
      </c>
      <c r="AD1225" s="6" t="s">
        <v>238</v>
      </c>
      <c r="AG1225" s="6" t="s">
        <v>246</v>
      </c>
      <c r="AH1225" s="5" t="s">
        <v>247</v>
      </c>
      <c r="AI1225" s="5" t="s">
        <v>248</v>
      </c>
      <c r="AY1225" s="5" t="s">
        <v>250</v>
      </c>
      <c r="AZ1225" s="5" t="s">
        <v>238</v>
      </c>
      <c r="BA1225" s="5" t="s">
        <v>251</v>
      </c>
      <c r="BB1225" s="5" t="s">
        <v>238</v>
      </c>
      <c r="BC1225" s="5" t="s">
        <v>253</v>
      </c>
      <c r="BD1225" s="5" t="s">
        <v>238</v>
      </c>
      <c r="BF1225" s="5" t="s">
        <v>238</v>
      </c>
      <c r="BH1225" s="5" t="s">
        <v>254</v>
      </c>
      <c r="BI1225" s="6" t="s">
        <v>246</v>
      </c>
      <c r="BJ1225" s="5" t="s">
        <v>255</v>
      </c>
      <c r="BK1225" s="5" t="s">
        <v>256</v>
      </c>
      <c r="BL1225" s="5" t="s">
        <v>238</v>
      </c>
      <c r="BM1225" s="7">
        <f>0</f>
        <v>0</v>
      </c>
      <c r="BN1225" s="8">
        <f>0</f>
        <v>0</v>
      </c>
      <c r="BO1225" s="5" t="s">
        <v>257</v>
      </c>
      <c r="BP1225" s="5" t="s">
        <v>258</v>
      </c>
      <c r="CD1225" s="5" t="s">
        <v>238</v>
      </c>
      <c r="CE1225" s="5" t="s">
        <v>238</v>
      </c>
      <c r="CI1225" s="5" t="s">
        <v>527</v>
      </c>
      <c r="CJ1225" s="5" t="s">
        <v>260</v>
      </c>
      <c r="CK1225" s="5" t="s">
        <v>238</v>
      </c>
      <c r="CM1225" s="5" t="s">
        <v>990</v>
      </c>
      <c r="CN1225" s="6" t="s">
        <v>262</v>
      </c>
      <c r="CO1225" s="5" t="s">
        <v>263</v>
      </c>
      <c r="CP1225" s="5" t="s">
        <v>264</v>
      </c>
      <c r="CQ1225" s="5" t="s">
        <v>238</v>
      </c>
      <c r="CR1225" s="5" t="s">
        <v>238</v>
      </c>
      <c r="CS1225" s="5">
        <v>0</v>
      </c>
      <c r="CT1225" s="5" t="s">
        <v>265</v>
      </c>
      <c r="CU1225" s="5" t="s">
        <v>266</v>
      </c>
      <c r="CV1225" s="5" t="s">
        <v>331</v>
      </c>
      <c r="CX1225" s="8">
        <f>1192200</f>
        <v>1192200</v>
      </c>
      <c r="CY1225" s="8">
        <f>0</f>
        <v>0</v>
      </c>
      <c r="DA1225" s="5" t="s">
        <v>238</v>
      </c>
      <c r="DB1225" s="5" t="s">
        <v>238</v>
      </c>
      <c r="DD1225" s="5" t="s">
        <v>238</v>
      </c>
      <c r="DG1225" s="5" t="s">
        <v>238</v>
      </c>
      <c r="DH1225" s="5" t="s">
        <v>238</v>
      </c>
      <c r="DI1225" s="5" t="s">
        <v>238</v>
      </c>
      <c r="DJ1225" s="5" t="s">
        <v>238</v>
      </c>
      <c r="DK1225" s="5" t="s">
        <v>271</v>
      </c>
      <c r="DL1225" s="5" t="s">
        <v>272</v>
      </c>
      <c r="DM1225" s="7">
        <f>19.87</f>
        <v>19.87</v>
      </c>
      <c r="DN1225" s="5" t="s">
        <v>238</v>
      </c>
      <c r="DO1225" s="5" t="s">
        <v>238</v>
      </c>
      <c r="DP1225" s="5" t="s">
        <v>238</v>
      </c>
      <c r="DQ1225" s="5" t="s">
        <v>238</v>
      </c>
      <c r="DT1225" s="5" t="s">
        <v>992</v>
      </c>
      <c r="DU1225" s="5" t="s">
        <v>356</v>
      </c>
      <c r="HM1225" s="5" t="s">
        <v>271</v>
      </c>
      <c r="HP1225" s="5" t="s">
        <v>272</v>
      </c>
      <c r="HQ1225" s="5" t="s">
        <v>272</v>
      </c>
    </row>
    <row r="1226" spans="1:238" x14ac:dyDescent="0.4">
      <c r="A1226" s="5">
        <v>1567</v>
      </c>
      <c r="B1226" s="5">
        <v>1</v>
      </c>
      <c r="C1226" s="5">
        <v>1</v>
      </c>
      <c r="D1226" s="5" t="s">
        <v>2326</v>
      </c>
      <c r="E1226" s="5" t="s">
        <v>440</v>
      </c>
      <c r="F1226" s="5" t="s">
        <v>282</v>
      </c>
      <c r="G1226" s="5" t="s">
        <v>1268</v>
      </c>
      <c r="H1226" s="6" t="s">
        <v>2328</v>
      </c>
      <c r="I1226" s="5" t="s">
        <v>1268</v>
      </c>
      <c r="J1226" s="7">
        <f>140.77</f>
        <v>140.77000000000001</v>
      </c>
      <c r="K1226" s="5" t="s">
        <v>270</v>
      </c>
      <c r="L1226" s="8">
        <f>1</f>
        <v>1</v>
      </c>
      <c r="M1226" s="8">
        <f>12669300</f>
        <v>12669300</v>
      </c>
      <c r="N1226" s="6" t="s">
        <v>2327</v>
      </c>
      <c r="O1226" s="5" t="s">
        <v>268</v>
      </c>
      <c r="P1226" s="5" t="s">
        <v>269</v>
      </c>
      <c r="R1226" s="8">
        <f>12669299</f>
        <v>12669299</v>
      </c>
      <c r="S1226" s="5" t="s">
        <v>240</v>
      </c>
      <c r="T1226" s="5" t="s">
        <v>237</v>
      </c>
      <c r="U1226" s="5" t="s">
        <v>238</v>
      </c>
      <c r="V1226" s="5" t="s">
        <v>238</v>
      </c>
      <c r="W1226" s="5" t="s">
        <v>241</v>
      </c>
      <c r="X1226" s="5" t="s">
        <v>951</v>
      </c>
      <c r="Y1226" s="5" t="s">
        <v>238</v>
      </c>
      <c r="AB1226" s="5" t="s">
        <v>238</v>
      </c>
      <c r="AD1226" s="6" t="s">
        <v>238</v>
      </c>
      <c r="AG1226" s="6" t="s">
        <v>246</v>
      </c>
      <c r="AH1226" s="5" t="s">
        <v>247</v>
      </c>
      <c r="AI1226" s="5" t="s">
        <v>248</v>
      </c>
      <c r="AY1226" s="5" t="s">
        <v>250</v>
      </c>
      <c r="AZ1226" s="5" t="s">
        <v>238</v>
      </c>
      <c r="BA1226" s="5" t="s">
        <v>251</v>
      </c>
      <c r="BB1226" s="5" t="s">
        <v>238</v>
      </c>
      <c r="BC1226" s="5" t="s">
        <v>253</v>
      </c>
      <c r="BD1226" s="5" t="s">
        <v>238</v>
      </c>
      <c r="BF1226" s="5" t="s">
        <v>238</v>
      </c>
      <c r="BH1226" s="5" t="s">
        <v>859</v>
      </c>
      <c r="BI1226" s="6" t="s">
        <v>368</v>
      </c>
      <c r="BJ1226" s="5" t="s">
        <v>255</v>
      </c>
      <c r="BK1226" s="5" t="s">
        <v>256</v>
      </c>
      <c r="BL1226" s="5" t="s">
        <v>238</v>
      </c>
      <c r="BM1226" s="7">
        <f>0</f>
        <v>0</v>
      </c>
      <c r="BN1226" s="8">
        <f>0</f>
        <v>0</v>
      </c>
      <c r="BO1226" s="5" t="s">
        <v>257</v>
      </c>
      <c r="BP1226" s="5" t="s">
        <v>258</v>
      </c>
      <c r="CD1226" s="5" t="s">
        <v>238</v>
      </c>
      <c r="CE1226" s="5" t="s">
        <v>238</v>
      </c>
      <c r="CI1226" s="5" t="s">
        <v>259</v>
      </c>
      <c r="CJ1226" s="5" t="s">
        <v>260</v>
      </c>
      <c r="CK1226" s="5" t="s">
        <v>238</v>
      </c>
      <c r="CM1226" s="5" t="s">
        <v>261</v>
      </c>
      <c r="CN1226" s="6" t="s">
        <v>262</v>
      </c>
      <c r="CO1226" s="5" t="s">
        <v>263</v>
      </c>
      <c r="CP1226" s="5" t="s">
        <v>264</v>
      </c>
      <c r="CQ1226" s="5" t="s">
        <v>238</v>
      </c>
      <c r="CR1226" s="5" t="s">
        <v>238</v>
      </c>
      <c r="CS1226" s="5">
        <v>0</v>
      </c>
      <c r="CT1226" s="5" t="s">
        <v>265</v>
      </c>
      <c r="CU1226" s="5" t="s">
        <v>2321</v>
      </c>
      <c r="CV1226" s="5" t="s">
        <v>267</v>
      </c>
      <c r="CX1226" s="8">
        <f>12669300</f>
        <v>12669300</v>
      </c>
      <c r="CY1226" s="8">
        <f>0</f>
        <v>0</v>
      </c>
      <c r="DA1226" s="5" t="s">
        <v>238</v>
      </c>
      <c r="DB1226" s="5" t="s">
        <v>238</v>
      </c>
      <c r="DD1226" s="5" t="s">
        <v>238</v>
      </c>
      <c r="DG1226" s="5" t="s">
        <v>238</v>
      </c>
      <c r="DH1226" s="5" t="s">
        <v>238</v>
      </c>
      <c r="DI1226" s="5" t="s">
        <v>238</v>
      </c>
      <c r="DJ1226" s="5" t="s">
        <v>238</v>
      </c>
      <c r="DK1226" s="5" t="s">
        <v>271</v>
      </c>
      <c r="DL1226" s="5" t="s">
        <v>272</v>
      </c>
      <c r="DM1226" s="7">
        <f>140.77</f>
        <v>140.77000000000001</v>
      </c>
      <c r="DN1226" s="5" t="s">
        <v>238</v>
      </c>
      <c r="DO1226" s="5" t="s">
        <v>238</v>
      </c>
      <c r="DP1226" s="5" t="s">
        <v>238</v>
      </c>
      <c r="DQ1226" s="5" t="s">
        <v>238</v>
      </c>
      <c r="DT1226" s="5" t="s">
        <v>2329</v>
      </c>
      <c r="DU1226" s="5" t="s">
        <v>271</v>
      </c>
      <c r="HM1226" s="5" t="s">
        <v>271</v>
      </c>
      <c r="HP1226" s="5" t="s">
        <v>272</v>
      </c>
      <c r="HQ1226" s="5" t="s">
        <v>272</v>
      </c>
    </row>
    <row r="1227" spans="1:238" x14ac:dyDescent="0.4">
      <c r="A1227" s="5">
        <v>1568</v>
      </c>
      <c r="B1227" s="5">
        <v>1</v>
      </c>
      <c r="C1227" s="5">
        <v>1</v>
      </c>
      <c r="D1227" s="5" t="s">
        <v>1269</v>
      </c>
      <c r="E1227" s="5" t="s">
        <v>803</v>
      </c>
      <c r="F1227" s="5" t="s">
        <v>282</v>
      </c>
      <c r="G1227" s="5" t="s">
        <v>1268</v>
      </c>
      <c r="H1227" s="6" t="s">
        <v>516</v>
      </c>
      <c r="I1227" s="5" t="s">
        <v>1268</v>
      </c>
      <c r="J1227" s="7">
        <f>230.09</f>
        <v>230.09</v>
      </c>
      <c r="K1227" s="5" t="s">
        <v>270</v>
      </c>
      <c r="L1227" s="8">
        <f>1</f>
        <v>1</v>
      </c>
      <c r="M1227" s="8">
        <f>13805400</f>
        <v>13805400</v>
      </c>
      <c r="N1227" s="6" t="s">
        <v>1273</v>
      </c>
      <c r="O1227" s="5" t="s">
        <v>712</v>
      </c>
      <c r="P1227" s="5" t="s">
        <v>1271</v>
      </c>
      <c r="R1227" s="8">
        <f>13805399</f>
        <v>13805399</v>
      </c>
      <c r="S1227" s="5" t="s">
        <v>240</v>
      </c>
      <c r="T1227" s="5" t="s">
        <v>237</v>
      </c>
      <c r="U1227" s="5" t="s">
        <v>238</v>
      </c>
      <c r="V1227" s="5" t="s">
        <v>238</v>
      </c>
      <c r="W1227" s="5" t="s">
        <v>241</v>
      </c>
      <c r="X1227" s="5" t="s">
        <v>951</v>
      </c>
      <c r="Y1227" s="5" t="s">
        <v>238</v>
      </c>
      <c r="AB1227" s="5" t="s">
        <v>238</v>
      </c>
      <c r="AD1227" s="6" t="s">
        <v>238</v>
      </c>
      <c r="AG1227" s="6" t="s">
        <v>246</v>
      </c>
      <c r="AH1227" s="5" t="s">
        <v>247</v>
      </c>
      <c r="AI1227" s="5" t="s">
        <v>248</v>
      </c>
      <c r="AY1227" s="5" t="s">
        <v>250</v>
      </c>
      <c r="AZ1227" s="5" t="s">
        <v>238</v>
      </c>
      <c r="BA1227" s="5" t="s">
        <v>251</v>
      </c>
      <c r="BB1227" s="5" t="s">
        <v>238</v>
      </c>
      <c r="BC1227" s="5" t="s">
        <v>253</v>
      </c>
      <c r="BD1227" s="5" t="s">
        <v>238</v>
      </c>
      <c r="BF1227" s="5" t="s">
        <v>710</v>
      </c>
      <c r="BH1227" s="5" t="s">
        <v>254</v>
      </c>
      <c r="BI1227" s="6" t="s">
        <v>246</v>
      </c>
      <c r="BJ1227" s="5" t="s">
        <v>255</v>
      </c>
      <c r="BK1227" s="5" t="s">
        <v>256</v>
      </c>
      <c r="BL1227" s="5" t="s">
        <v>238</v>
      </c>
      <c r="BM1227" s="7">
        <f>0</f>
        <v>0</v>
      </c>
      <c r="BN1227" s="8">
        <f>0</f>
        <v>0</v>
      </c>
      <c r="BO1227" s="5" t="s">
        <v>257</v>
      </c>
      <c r="BP1227" s="5" t="s">
        <v>258</v>
      </c>
      <c r="CD1227" s="5" t="s">
        <v>238</v>
      </c>
      <c r="CE1227" s="5" t="s">
        <v>238</v>
      </c>
      <c r="CI1227" s="5" t="s">
        <v>527</v>
      </c>
      <c r="CJ1227" s="5" t="s">
        <v>260</v>
      </c>
      <c r="CK1227" s="5" t="s">
        <v>238</v>
      </c>
      <c r="CM1227" s="5" t="s">
        <v>871</v>
      </c>
      <c r="CN1227" s="6" t="s">
        <v>262</v>
      </c>
      <c r="CO1227" s="5" t="s">
        <v>263</v>
      </c>
      <c r="CP1227" s="5" t="s">
        <v>264</v>
      </c>
      <c r="CQ1227" s="5" t="s">
        <v>238</v>
      </c>
      <c r="CR1227" s="5" t="s">
        <v>238</v>
      </c>
      <c r="CS1227" s="5">
        <v>0</v>
      </c>
      <c r="CT1227" s="5" t="s">
        <v>265</v>
      </c>
      <c r="CU1227" s="5" t="s">
        <v>1266</v>
      </c>
      <c r="CV1227" s="5" t="s">
        <v>267</v>
      </c>
      <c r="CX1227" s="8">
        <f>13805400</f>
        <v>13805400</v>
      </c>
      <c r="CY1227" s="8">
        <f>0</f>
        <v>0</v>
      </c>
      <c r="DA1227" s="5" t="s">
        <v>238</v>
      </c>
      <c r="DB1227" s="5" t="s">
        <v>238</v>
      </c>
      <c r="DD1227" s="5" t="s">
        <v>238</v>
      </c>
      <c r="DG1227" s="5" t="s">
        <v>238</v>
      </c>
      <c r="DH1227" s="5" t="s">
        <v>238</v>
      </c>
      <c r="DI1227" s="5" t="s">
        <v>238</v>
      </c>
      <c r="DJ1227" s="5" t="s">
        <v>238</v>
      </c>
      <c r="DK1227" s="5" t="s">
        <v>271</v>
      </c>
      <c r="DL1227" s="5" t="s">
        <v>272</v>
      </c>
      <c r="DM1227" s="7">
        <f>230.09</f>
        <v>230.09</v>
      </c>
      <c r="DN1227" s="5" t="s">
        <v>238</v>
      </c>
      <c r="DO1227" s="5" t="s">
        <v>238</v>
      </c>
      <c r="DP1227" s="5" t="s">
        <v>238</v>
      </c>
      <c r="DQ1227" s="5" t="s">
        <v>238</v>
      </c>
      <c r="DT1227" s="5" t="s">
        <v>1272</v>
      </c>
      <c r="DU1227" s="5" t="s">
        <v>271</v>
      </c>
      <c r="HM1227" s="5" t="s">
        <v>271</v>
      </c>
      <c r="HP1227" s="5" t="s">
        <v>272</v>
      </c>
      <c r="HQ1227" s="5" t="s">
        <v>272</v>
      </c>
    </row>
    <row r="1228" spans="1:238" x14ac:dyDescent="0.4">
      <c r="A1228" s="5">
        <v>1569</v>
      </c>
      <c r="B1228" s="5">
        <v>1</v>
      </c>
      <c r="C1228" s="5">
        <v>1</v>
      </c>
      <c r="D1228" s="5" t="s">
        <v>1269</v>
      </c>
      <c r="E1228" s="5" t="s">
        <v>803</v>
      </c>
      <c r="F1228" s="5" t="s">
        <v>282</v>
      </c>
      <c r="G1228" s="5" t="s">
        <v>1268</v>
      </c>
      <c r="H1228" s="6" t="s">
        <v>516</v>
      </c>
      <c r="I1228" s="5" t="s">
        <v>1268</v>
      </c>
      <c r="J1228" s="7">
        <f>73</f>
        <v>73</v>
      </c>
      <c r="K1228" s="5" t="s">
        <v>270</v>
      </c>
      <c r="L1228" s="8">
        <f>1</f>
        <v>1</v>
      </c>
      <c r="M1228" s="8">
        <f>4380000</f>
        <v>4380000</v>
      </c>
      <c r="N1228" s="6" t="s">
        <v>1270</v>
      </c>
      <c r="O1228" s="5" t="s">
        <v>712</v>
      </c>
      <c r="P1228" s="5" t="s">
        <v>1271</v>
      </c>
      <c r="R1228" s="8">
        <f>4379999</f>
        <v>4379999</v>
      </c>
      <c r="S1228" s="5" t="s">
        <v>240</v>
      </c>
      <c r="T1228" s="5" t="s">
        <v>237</v>
      </c>
      <c r="U1228" s="5" t="s">
        <v>238</v>
      </c>
      <c r="V1228" s="5" t="s">
        <v>238</v>
      </c>
      <c r="W1228" s="5" t="s">
        <v>241</v>
      </c>
      <c r="X1228" s="5" t="s">
        <v>951</v>
      </c>
      <c r="Y1228" s="5" t="s">
        <v>238</v>
      </c>
      <c r="AB1228" s="5" t="s">
        <v>238</v>
      </c>
      <c r="AD1228" s="6" t="s">
        <v>238</v>
      </c>
      <c r="AG1228" s="6" t="s">
        <v>246</v>
      </c>
      <c r="AH1228" s="5" t="s">
        <v>247</v>
      </c>
      <c r="AI1228" s="5" t="s">
        <v>248</v>
      </c>
      <c r="AY1228" s="5" t="s">
        <v>250</v>
      </c>
      <c r="AZ1228" s="5" t="s">
        <v>238</v>
      </c>
      <c r="BA1228" s="5" t="s">
        <v>251</v>
      </c>
      <c r="BB1228" s="5" t="s">
        <v>238</v>
      </c>
      <c r="BC1228" s="5" t="s">
        <v>253</v>
      </c>
      <c r="BD1228" s="5" t="s">
        <v>238</v>
      </c>
      <c r="BF1228" s="5" t="s">
        <v>238</v>
      </c>
      <c r="BH1228" s="5" t="s">
        <v>859</v>
      </c>
      <c r="BI1228" s="6" t="s">
        <v>368</v>
      </c>
      <c r="BJ1228" s="5" t="s">
        <v>255</v>
      </c>
      <c r="BK1228" s="5" t="s">
        <v>256</v>
      </c>
      <c r="BL1228" s="5" t="s">
        <v>238</v>
      </c>
      <c r="BM1228" s="7">
        <f>0</f>
        <v>0</v>
      </c>
      <c r="BN1228" s="8">
        <f>0</f>
        <v>0</v>
      </c>
      <c r="BO1228" s="5" t="s">
        <v>257</v>
      </c>
      <c r="BP1228" s="5" t="s">
        <v>258</v>
      </c>
      <c r="CD1228" s="5" t="s">
        <v>238</v>
      </c>
      <c r="CE1228" s="5" t="s">
        <v>238</v>
      </c>
      <c r="CI1228" s="5" t="s">
        <v>527</v>
      </c>
      <c r="CJ1228" s="5" t="s">
        <v>260</v>
      </c>
      <c r="CK1228" s="5" t="s">
        <v>238</v>
      </c>
      <c r="CM1228" s="5" t="s">
        <v>871</v>
      </c>
      <c r="CN1228" s="6" t="s">
        <v>262</v>
      </c>
      <c r="CO1228" s="5" t="s">
        <v>263</v>
      </c>
      <c r="CP1228" s="5" t="s">
        <v>264</v>
      </c>
      <c r="CQ1228" s="5" t="s">
        <v>238</v>
      </c>
      <c r="CR1228" s="5" t="s">
        <v>238</v>
      </c>
      <c r="CS1228" s="5">
        <v>0</v>
      </c>
      <c r="CT1228" s="5" t="s">
        <v>265</v>
      </c>
      <c r="CU1228" s="5" t="s">
        <v>1266</v>
      </c>
      <c r="CV1228" s="5" t="s">
        <v>267</v>
      </c>
      <c r="CX1228" s="8">
        <f>4380000</f>
        <v>4380000</v>
      </c>
      <c r="CY1228" s="8">
        <f>0</f>
        <v>0</v>
      </c>
      <c r="DA1228" s="5" t="s">
        <v>238</v>
      </c>
      <c r="DB1228" s="5" t="s">
        <v>238</v>
      </c>
      <c r="DD1228" s="5" t="s">
        <v>238</v>
      </c>
      <c r="DG1228" s="5" t="s">
        <v>238</v>
      </c>
      <c r="DH1228" s="5" t="s">
        <v>238</v>
      </c>
      <c r="DI1228" s="5" t="s">
        <v>238</v>
      </c>
      <c r="DJ1228" s="5" t="s">
        <v>238</v>
      </c>
      <c r="DK1228" s="5" t="s">
        <v>271</v>
      </c>
      <c r="DL1228" s="5" t="s">
        <v>272</v>
      </c>
      <c r="DM1228" s="7">
        <f>73</f>
        <v>73</v>
      </c>
      <c r="DN1228" s="5" t="s">
        <v>238</v>
      </c>
      <c r="DO1228" s="5" t="s">
        <v>238</v>
      </c>
      <c r="DP1228" s="5" t="s">
        <v>238</v>
      </c>
      <c r="DQ1228" s="5" t="s">
        <v>238</v>
      </c>
      <c r="DT1228" s="5" t="s">
        <v>1272</v>
      </c>
      <c r="DU1228" s="5" t="s">
        <v>274</v>
      </c>
      <c r="HM1228" s="5" t="s">
        <v>271</v>
      </c>
      <c r="HP1228" s="5" t="s">
        <v>272</v>
      </c>
      <c r="HQ1228" s="5" t="s">
        <v>272</v>
      </c>
    </row>
    <row r="1229" spans="1:238" x14ac:dyDescent="0.4">
      <c r="A1229" s="5">
        <v>1570</v>
      </c>
      <c r="B1229" s="5">
        <v>1</v>
      </c>
      <c r="C1229" s="5">
        <v>1</v>
      </c>
      <c r="D1229" s="5" t="s">
        <v>1269</v>
      </c>
      <c r="E1229" s="5" t="s">
        <v>803</v>
      </c>
      <c r="F1229" s="5" t="s">
        <v>282</v>
      </c>
      <c r="G1229" s="5" t="s">
        <v>1268</v>
      </c>
      <c r="H1229" s="6" t="s">
        <v>516</v>
      </c>
      <c r="I1229" s="5" t="s">
        <v>1268</v>
      </c>
      <c r="J1229" s="7">
        <f>116</f>
        <v>116</v>
      </c>
      <c r="K1229" s="5" t="s">
        <v>270</v>
      </c>
      <c r="L1229" s="8">
        <f>1</f>
        <v>1</v>
      </c>
      <c r="M1229" s="8">
        <f>6960000</f>
        <v>6960000</v>
      </c>
      <c r="N1229" s="6" t="s">
        <v>1270</v>
      </c>
      <c r="O1229" s="5" t="s">
        <v>650</v>
      </c>
      <c r="P1229" s="5" t="s">
        <v>1271</v>
      </c>
      <c r="R1229" s="8">
        <f>6959999</f>
        <v>6959999</v>
      </c>
      <c r="S1229" s="5" t="s">
        <v>240</v>
      </c>
      <c r="T1229" s="5" t="s">
        <v>237</v>
      </c>
      <c r="U1229" s="5" t="s">
        <v>238</v>
      </c>
      <c r="V1229" s="5" t="s">
        <v>238</v>
      </c>
      <c r="W1229" s="5" t="s">
        <v>241</v>
      </c>
      <c r="X1229" s="5" t="s">
        <v>951</v>
      </c>
      <c r="Y1229" s="5" t="s">
        <v>238</v>
      </c>
      <c r="AB1229" s="5" t="s">
        <v>238</v>
      </c>
      <c r="AD1229" s="6" t="s">
        <v>238</v>
      </c>
      <c r="AG1229" s="6" t="s">
        <v>246</v>
      </c>
      <c r="AH1229" s="5" t="s">
        <v>247</v>
      </c>
      <c r="AI1229" s="5" t="s">
        <v>248</v>
      </c>
      <c r="AY1229" s="5" t="s">
        <v>250</v>
      </c>
      <c r="AZ1229" s="5" t="s">
        <v>238</v>
      </c>
      <c r="BA1229" s="5" t="s">
        <v>251</v>
      </c>
      <c r="BB1229" s="5" t="s">
        <v>238</v>
      </c>
      <c r="BC1229" s="5" t="s">
        <v>253</v>
      </c>
      <c r="BD1229" s="5" t="s">
        <v>238</v>
      </c>
      <c r="BF1229" s="5" t="s">
        <v>238</v>
      </c>
      <c r="BH1229" s="5" t="s">
        <v>254</v>
      </c>
      <c r="BI1229" s="6" t="s">
        <v>246</v>
      </c>
      <c r="BJ1229" s="5" t="s">
        <v>255</v>
      </c>
      <c r="BK1229" s="5" t="s">
        <v>256</v>
      </c>
      <c r="BL1229" s="5" t="s">
        <v>238</v>
      </c>
      <c r="BM1229" s="7">
        <f>0</f>
        <v>0</v>
      </c>
      <c r="BN1229" s="8">
        <f>0</f>
        <v>0</v>
      </c>
      <c r="BO1229" s="5" t="s">
        <v>257</v>
      </c>
      <c r="BP1229" s="5" t="s">
        <v>258</v>
      </c>
      <c r="CD1229" s="5" t="s">
        <v>238</v>
      </c>
      <c r="CE1229" s="5" t="s">
        <v>238</v>
      </c>
      <c r="CI1229" s="5" t="s">
        <v>527</v>
      </c>
      <c r="CJ1229" s="5" t="s">
        <v>260</v>
      </c>
      <c r="CK1229" s="5" t="s">
        <v>238</v>
      </c>
      <c r="CM1229" s="5" t="s">
        <v>871</v>
      </c>
      <c r="CN1229" s="6" t="s">
        <v>262</v>
      </c>
      <c r="CO1229" s="5" t="s">
        <v>263</v>
      </c>
      <c r="CP1229" s="5" t="s">
        <v>264</v>
      </c>
      <c r="CQ1229" s="5" t="s">
        <v>238</v>
      </c>
      <c r="CR1229" s="5" t="s">
        <v>238</v>
      </c>
      <c r="CS1229" s="5">
        <v>0</v>
      </c>
      <c r="CT1229" s="5" t="s">
        <v>265</v>
      </c>
      <c r="CU1229" s="5" t="s">
        <v>1266</v>
      </c>
      <c r="CV1229" s="5" t="s">
        <v>649</v>
      </c>
      <c r="CX1229" s="8">
        <f>6960000</f>
        <v>6960000</v>
      </c>
      <c r="CY1229" s="8">
        <f>0</f>
        <v>0</v>
      </c>
      <c r="DA1229" s="5" t="s">
        <v>238</v>
      </c>
      <c r="DB1229" s="5" t="s">
        <v>238</v>
      </c>
      <c r="DD1229" s="5" t="s">
        <v>238</v>
      </c>
      <c r="DG1229" s="5" t="s">
        <v>238</v>
      </c>
      <c r="DH1229" s="5" t="s">
        <v>238</v>
      </c>
      <c r="DI1229" s="5" t="s">
        <v>238</v>
      </c>
      <c r="DJ1229" s="5" t="s">
        <v>238</v>
      </c>
      <c r="DK1229" s="5" t="s">
        <v>271</v>
      </c>
      <c r="DL1229" s="5" t="s">
        <v>272</v>
      </c>
      <c r="DM1229" s="7">
        <f>116</f>
        <v>116</v>
      </c>
      <c r="DN1229" s="5" t="s">
        <v>238</v>
      </c>
      <c r="DO1229" s="5" t="s">
        <v>238</v>
      </c>
      <c r="DP1229" s="5" t="s">
        <v>238</v>
      </c>
      <c r="DQ1229" s="5" t="s">
        <v>238</v>
      </c>
      <c r="DT1229" s="5" t="s">
        <v>1272</v>
      </c>
      <c r="DU1229" s="5" t="s">
        <v>356</v>
      </c>
      <c r="HM1229" s="5" t="s">
        <v>271</v>
      </c>
      <c r="HP1229" s="5" t="s">
        <v>272</v>
      </c>
      <c r="HQ1229" s="5" t="s">
        <v>272</v>
      </c>
    </row>
    <row r="1230" spans="1:238" x14ac:dyDescent="0.4">
      <c r="A1230" s="5">
        <v>1571</v>
      </c>
      <c r="B1230" s="5">
        <v>1</v>
      </c>
      <c r="C1230" s="5">
        <v>4</v>
      </c>
      <c r="D1230" s="5" t="s">
        <v>1000</v>
      </c>
      <c r="E1230" s="5" t="s">
        <v>338</v>
      </c>
      <c r="F1230" s="5" t="s">
        <v>282</v>
      </c>
      <c r="G1230" s="5" t="s">
        <v>1807</v>
      </c>
      <c r="H1230" s="6" t="s">
        <v>1002</v>
      </c>
      <c r="I1230" s="5" t="s">
        <v>1806</v>
      </c>
      <c r="J1230" s="7">
        <f>1091.38</f>
        <v>1091.3800000000001</v>
      </c>
      <c r="K1230" s="5" t="s">
        <v>270</v>
      </c>
      <c r="L1230" s="8">
        <f>59851460</f>
        <v>59851460</v>
      </c>
      <c r="M1230" s="8">
        <f>321781860</f>
        <v>321781860</v>
      </c>
      <c r="N1230" s="6" t="s">
        <v>1001</v>
      </c>
      <c r="O1230" s="5" t="s">
        <v>898</v>
      </c>
      <c r="P1230" s="5" t="s">
        <v>1042</v>
      </c>
      <c r="Q1230" s="8">
        <f>7079200</f>
        <v>7079200</v>
      </c>
      <c r="R1230" s="8">
        <f>261930400</f>
        <v>261930400</v>
      </c>
      <c r="S1230" s="5" t="s">
        <v>240</v>
      </c>
      <c r="T1230" s="5" t="s">
        <v>237</v>
      </c>
      <c r="U1230" s="5" t="s">
        <v>238</v>
      </c>
      <c r="V1230" s="5" t="s">
        <v>238</v>
      </c>
      <c r="W1230" s="5" t="s">
        <v>241</v>
      </c>
      <c r="X1230" s="5" t="s">
        <v>951</v>
      </c>
      <c r="Y1230" s="5" t="s">
        <v>238</v>
      </c>
      <c r="AB1230" s="5" t="s">
        <v>238</v>
      </c>
      <c r="AC1230" s="6" t="s">
        <v>238</v>
      </c>
      <c r="AD1230" s="6" t="s">
        <v>238</v>
      </c>
      <c r="AF1230" s="6" t="s">
        <v>238</v>
      </c>
      <c r="AG1230" s="6" t="s">
        <v>246</v>
      </c>
      <c r="AH1230" s="5" t="s">
        <v>247</v>
      </c>
      <c r="AI1230" s="5" t="s">
        <v>248</v>
      </c>
      <c r="AO1230" s="5" t="s">
        <v>238</v>
      </c>
      <c r="AP1230" s="5" t="s">
        <v>238</v>
      </c>
      <c r="AQ1230" s="5" t="s">
        <v>238</v>
      </c>
      <c r="AR1230" s="6" t="s">
        <v>238</v>
      </c>
      <c r="AS1230" s="6" t="s">
        <v>238</v>
      </c>
      <c r="AT1230" s="6" t="s">
        <v>238</v>
      </c>
      <c r="AW1230" s="5" t="s">
        <v>304</v>
      </c>
      <c r="AX1230" s="5" t="s">
        <v>304</v>
      </c>
      <c r="AY1230" s="5" t="s">
        <v>250</v>
      </c>
      <c r="AZ1230" s="5" t="s">
        <v>305</v>
      </c>
      <c r="BA1230" s="5" t="s">
        <v>251</v>
      </c>
      <c r="BB1230" s="5" t="s">
        <v>238</v>
      </c>
      <c r="BC1230" s="5" t="s">
        <v>253</v>
      </c>
      <c r="BD1230" s="5" t="s">
        <v>238</v>
      </c>
      <c r="BF1230" s="5" t="s">
        <v>710</v>
      </c>
      <c r="BH1230" s="5" t="s">
        <v>283</v>
      </c>
      <c r="BI1230" s="6" t="s">
        <v>293</v>
      </c>
      <c r="BJ1230" s="5" t="s">
        <v>294</v>
      </c>
      <c r="BK1230" s="5" t="s">
        <v>294</v>
      </c>
      <c r="BL1230" s="5" t="s">
        <v>238</v>
      </c>
      <c r="BM1230" s="7">
        <f>0</f>
        <v>0</v>
      </c>
      <c r="BN1230" s="8">
        <f>-7079200</f>
        <v>-7079200</v>
      </c>
      <c r="BO1230" s="5" t="s">
        <v>257</v>
      </c>
      <c r="BP1230" s="5" t="s">
        <v>258</v>
      </c>
      <c r="BQ1230" s="5" t="s">
        <v>238</v>
      </c>
      <c r="BR1230" s="5" t="s">
        <v>238</v>
      </c>
      <c r="BS1230" s="5" t="s">
        <v>238</v>
      </c>
      <c r="BT1230" s="5" t="s">
        <v>238</v>
      </c>
      <c r="CC1230" s="5" t="s">
        <v>258</v>
      </c>
      <c r="CD1230" s="5" t="s">
        <v>238</v>
      </c>
      <c r="CE1230" s="5" t="s">
        <v>238</v>
      </c>
      <c r="CI1230" s="5" t="s">
        <v>259</v>
      </c>
      <c r="CJ1230" s="5" t="s">
        <v>260</v>
      </c>
      <c r="CK1230" s="5" t="s">
        <v>238</v>
      </c>
      <c r="CM1230" s="5" t="s">
        <v>882</v>
      </c>
      <c r="CN1230" s="6" t="s">
        <v>262</v>
      </c>
      <c r="CO1230" s="5" t="s">
        <v>263</v>
      </c>
      <c r="CP1230" s="5" t="s">
        <v>264</v>
      </c>
      <c r="CQ1230" s="5" t="s">
        <v>285</v>
      </c>
      <c r="CR1230" s="5" t="s">
        <v>238</v>
      </c>
      <c r="CS1230" s="5">
        <v>2.1999999999999999E-2</v>
      </c>
      <c r="CT1230" s="5" t="s">
        <v>265</v>
      </c>
      <c r="CU1230" s="5" t="s">
        <v>1803</v>
      </c>
      <c r="CV1230" s="5" t="s">
        <v>308</v>
      </c>
      <c r="CW1230" s="7">
        <f>0</f>
        <v>0</v>
      </c>
      <c r="CX1230" s="8">
        <f>321781860</f>
        <v>321781860</v>
      </c>
      <c r="CY1230" s="8">
        <f>66930660</f>
        <v>66930660</v>
      </c>
      <c r="DA1230" s="5" t="s">
        <v>238</v>
      </c>
      <c r="DB1230" s="5" t="s">
        <v>238</v>
      </c>
      <c r="DD1230" s="5" t="s">
        <v>238</v>
      </c>
      <c r="DE1230" s="8">
        <f>0</f>
        <v>0</v>
      </c>
      <c r="DG1230" s="5" t="s">
        <v>238</v>
      </c>
      <c r="DH1230" s="5" t="s">
        <v>238</v>
      </c>
      <c r="DI1230" s="5" t="s">
        <v>238</v>
      </c>
      <c r="DJ1230" s="5" t="s">
        <v>238</v>
      </c>
      <c r="DK1230" s="5" t="s">
        <v>271</v>
      </c>
      <c r="DL1230" s="5" t="s">
        <v>272</v>
      </c>
      <c r="DM1230" s="7">
        <f>1091.38</f>
        <v>1091.3800000000001</v>
      </c>
      <c r="DN1230" s="5" t="s">
        <v>238</v>
      </c>
      <c r="DO1230" s="5" t="s">
        <v>238</v>
      </c>
      <c r="DP1230" s="5" t="s">
        <v>238</v>
      </c>
      <c r="DQ1230" s="5" t="s">
        <v>238</v>
      </c>
      <c r="DT1230" s="5" t="s">
        <v>1003</v>
      </c>
      <c r="DU1230" s="5" t="s">
        <v>271</v>
      </c>
      <c r="GL1230" s="5" t="s">
        <v>1808</v>
      </c>
      <c r="HM1230" s="5" t="s">
        <v>389</v>
      </c>
      <c r="HP1230" s="5" t="s">
        <v>272</v>
      </c>
      <c r="HQ1230" s="5" t="s">
        <v>272</v>
      </c>
      <c r="HR1230" s="5" t="s">
        <v>238</v>
      </c>
      <c r="HS1230" s="5" t="s">
        <v>238</v>
      </c>
      <c r="HT1230" s="5" t="s">
        <v>238</v>
      </c>
      <c r="HU1230" s="5" t="s">
        <v>238</v>
      </c>
      <c r="HV1230" s="5" t="s">
        <v>238</v>
      </c>
      <c r="HW1230" s="5" t="s">
        <v>238</v>
      </c>
      <c r="HX1230" s="5" t="s">
        <v>238</v>
      </c>
      <c r="HY1230" s="5" t="s">
        <v>238</v>
      </c>
      <c r="HZ1230" s="5" t="s">
        <v>238</v>
      </c>
      <c r="IA1230" s="5" t="s">
        <v>238</v>
      </c>
      <c r="IB1230" s="5" t="s">
        <v>238</v>
      </c>
      <c r="IC1230" s="5" t="s">
        <v>238</v>
      </c>
      <c r="ID1230" s="5" t="s">
        <v>238</v>
      </c>
    </row>
    <row r="1231" spans="1:238" x14ac:dyDescent="0.4">
      <c r="A1231" s="5">
        <v>1572</v>
      </c>
      <c r="B1231" s="5">
        <v>1</v>
      </c>
      <c r="C1231" s="5">
        <v>1</v>
      </c>
      <c r="D1231" s="5" t="s">
        <v>1000</v>
      </c>
      <c r="E1231" s="5" t="s">
        <v>338</v>
      </c>
      <c r="F1231" s="5" t="s">
        <v>282</v>
      </c>
      <c r="G1231" s="5" t="s">
        <v>239</v>
      </c>
      <c r="H1231" s="6" t="s">
        <v>1002</v>
      </c>
      <c r="I1231" s="5" t="s">
        <v>239</v>
      </c>
      <c r="J1231" s="7">
        <f>36</f>
        <v>36</v>
      </c>
      <c r="K1231" s="5" t="s">
        <v>270</v>
      </c>
      <c r="L1231" s="8">
        <f>1</f>
        <v>1</v>
      </c>
      <c r="M1231" s="8">
        <f>3276000</f>
        <v>3276000</v>
      </c>
      <c r="N1231" s="6" t="s">
        <v>1001</v>
      </c>
      <c r="O1231" s="5" t="s">
        <v>651</v>
      </c>
      <c r="P1231" s="5" t="s">
        <v>332</v>
      </c>
      <c r="R1231" s="8">
        <f>3275999</f>
        <v>3275999</v>
      </c>
      <c r="S1231" s="5" t="s">
        <v>240</v>
      </c>
      <c r="T1231" s="5" t="s">
        <v>237</v>
      </c>
      <c r="U1231" s="5" t="s">
        <v>238</v>
      </c>
      <c r="V1231" s="5" t="s">
        <v>238</v>
      </c>
      <c r="W1231" s="5" t="s">
        <v>241</v>
      </c>
      <c r="X1231" s="5" t="s">
        <v>951</v>
      </c>
      <c r="Y1231" s="5" t="s">
        <v>238</v>
      </c>
      <c r="AB1231" s="5" t="s">
        <v>238</v>
      </c>
      <c r="AD1231" s="6" t="s">
        <v>238</v>
      </c>
      <c r="AG1231" s="6" t="s">
        <v>246</v>
      </c>
      <c r="AH1231" s="5" t="s">
        <v>247</v>
      </c>
      <c r="AI1231" s="5" t="s">
        <v>248</v>
      </c>
      <c r="AY1231" s="5" t="s">
        <v>250</v>
      </c>
      <c r="AZ1231" s="5" t="s">
        <v>238</v>
      </c>
      <c r="BA1231" s="5" t="s">
        <v>251</v>
      </c>
      <c r="BB1231" s="5" t="s">
        <v>238</v>
      </c>
      <c r="BC1231" s="5" t="s">
        <v>253</v>
      </c>
      <c r="BD1231" s="5" t="s">
        <v>238</v>
      </c>
      <c r="BF1231" s="5" t="s">
        <v>238</v>
      </c>
      <c r="BH1231" s="5" t="s">
        <v>254</v>
      </c>
      <c r="BI1231" s="6" t="s">
        <v>246</v>
      </c>
      <c r="BJ1231" s="5" t="s">
        <v>255</v>
      </c>
      <c r="BK1231" s="5" t="s">
        <v>256</v>
      </c>
      <c r="BL1231" s="5" t="s">
        <v>238</v>
      </c>
      <c r="BM1231" s="7">
        <f>0</f>
        <v>0</v>
      </c>
      <c r="BN1231" s="8">
        <f>0</f>
        <v>0</v>
      </c>
      <c r="BO1231" s="5" t="s">
        <v>257</v>
      </c>
      <c r="BP1231" s="5" t="s">
        <v>258</v>
      </c>
      <c r="CD1231" s="5" t="s">
        <v>238</v>
      </c>
      <c r="CE1231" s="5" t="s">
        <v>238</v>
      </c>
      <c r="CI1231" s="5" t="s">
        <v>259</v>
      </c>
      <c r="CJ1231" s="5" t="s">
        <v>260</v>
      </c>
      <c r="CK1231" s="5" t="s">
        <v>238</v>
      </c>
      <c r="CM1231" s="5" t="s">
        <v>882</v>
      </c>
      <c r="CN1231" s="6" t="s">
        <v>262</v>
      </c>
      <c r="CO1231" s="5" t="s">
        <v>263</v>
      </c>
      <c r="CP1231" s="5" t="s">
        <v>264</v>
      </c>
      <c r="CQ1231" s="5" t="s">
        <v>238</v>
      </c>
      <c r="CR1231" s="5" t="s">
        <v>238</v>
      </c>
      <c r="CS1231" s="5">
        <v>0</v>
      </c>
      <c r="CT1231" s="5" t="s">
        <v>265</v>
      </c>
      <c r="CU1231" s="5" t="s">
        <v>266</v>
      </c>
      <c r="CV1231" s="5" t="s">
        <v>331</v>
      </c>
      <c r="CX1231" s="8">
        <f>3276000</f>
        <v>3276000</v>
      </c>
      <c r="CY1231" s="8">
        <f>0</f>
        <v>0</v>
      </c>
      <c r="DA1231" s="5" t="s">
        <v>238</v>
      </c>
      <c r="DB1231" s="5" t="s">
        <v>238</v>
      </c>
      <c r="DD1231" s="5" t="s">
        <v>238</v>
      </c>
      <c r="DG1231" s="5" t="s">
        <v>238</v>
      </c>
      <c r="DH1231" s="5" t="s">
        <v>238</v>
      </c>
      <c r="DI1231" s="5" t="s">
        <v>238</v>
      </c>
      <c r="DJ1231" s="5" t="s">
        <v>238</v>
      </c>
      <c r="DK1231" s="5" t="s">
        <v>271</v>
      </c>
      <c r="DL1231" s="5" t="s">
        <v>272</v>
      </c>
      <c r="DM1231" s="7">
        <f>36</f>
        <v>36</v>
      </c>
      <c r="DN1231" s="5" t="s">
        <v>238</v>
      </c>
      <c r="DO1231" s="5" t="s">
        <v>238</v>
      </c>
      <c r="DP1231" s="5" t="s">
        <v>238</v>
      </c>
      <c r="DQ1231" s="5" t="s">
        <v>238</v>
      </c>
      <c r="DT1231" s="5" t="s">
        <v>1003</v>
      </c>
      <c r="DU1231" s="5" t="s">
        <v>274</v>
      </c>
      <c r="HM1231" s="5" t="s">
        <v>271</v>
      </c>
      <c r="HP1231" s="5" t="s">
        <v>272</v>
      </c>
      <c r="HQ1231" s="5" t="s">
        <v>272</v>
      </c>
    </row>
    <row r="1232" spans="1:238" x14ac:dyDescent="0.4">
      <c r="A1232" s="5">
        <v>1573</v>
      </c>
      <c r="B1232" s="5">
        <v>1</v>
      </c>
      <c r="C1232" s="5">
        <v>4</v>
      </c>
      <c r="D1232" s="5" t="s">
        <v>1952</v>
      </c>
      <c r="E1232" s="5" t="s">
        <v>440</v>
      </c>
      <c r="F1232" s="5" t="s">
        <v>282</v>
      </c>
      <c r="G1232" s="5" t="s">
        <v>2358</v>
      </c>
      <c r="H1232" s="6" t="s">
        <v>2359</v>
      </c>
      <c r="I1232" s="5" t="s">
        <v>1268</v>
      </c>
      <c r="J1232" s="7">
        <f>270.08</f>
        <v>270.08</v>
      </c>
      <c r="K1232" s="5" t="s">
        <v>270</v>
      </c>
      <c r="L1232" s="8">
        <f>34705280</f>
        <v>34705280</v>
      </c>
      <c r="M1232" s="8">
        <f>67520000</f>
        <v>67520000</v>
      </c>
      <c r="N1232" s="6" t="s">
        <v>679</v>
      </c>
      <c r="O1232" s="5" t="s">
        <v>639</v>
      </c>
      <c r="P1232" s="5" t="s">
        <v>269</v>
      </c>
      <c r="Q1232" s="8">
        <f>1823040</f>
        <v>1823040</v>
      </c>
      <c r="R1232" s="8">
        <f>32814720</f>
        <v>32814720</v>
      </c>
      <c r="S1232" s="5" t="s">
        <v>240</v>
      </c>
      <c r="T1232" s="5" t="s">
        <v>237</v>
      </c>
      <c r="U1232" s="5" t="s">
        <v>238</v>
      </c>
      <c r="V1232" s="5" t="s">
        <v>238</v>
      </c>
      <c r="W1232" s="5" t="s">
        <v>241</v>
      </c>
      <c r="X1232" s="5" t="s">
        <v>951</v>
      </c>
      <c r="Y1232" s="5" t="s">
        <v>238</v>
      </c>
      <c r="AB1232" s="5" t="s">
        <v>238</v>
      </c>
      <c r="AC1232" s="6" t="s">
        <v>238</v>
      </c>
      <c r="AD1232" s="6" t="s">
        <v>238</v>
      </c>
      <c r="AF1232" s="6" t="s">
        <v>238</v>
      </c>
      <c r="AG1232" s="6" t="s">
        <v>246</v>
      </c>
      <c r="AH1232" s="5" t="s">
        <v>247</v>
      </c>
      <c r="AI1232" s="5" t="s">
        <v>248</v>
      </c>
      <c r="AO1232" s="5" t="s">
        <v>238</v>
      </c>
      <c r="AP1232" s="5" t="s">
        <v>238</v>
      </c>
      <c r="AQ1232" s="5" t="s">
        <v>238</v>
      </c>
      <c r="AR1232" s="6" t="s">
        <v>238</v>
      </c>
      <c r="AS1232" s="6" t="s">
        <v>238</v>
      </c>
      <c r="AT1232" s="6" t="s">
        <v>238</v>
      </c>
      <c r="AW1232" s="5" t="s">
        <v>304</v>
      </c>
      <c r="AX1232" s="5" t="s">
        <v>304</v>
      </c>
      <c r="AY1232" s="5" t="s">
        <v>250</v>
      </c>
      <c r="AZ1232" s="5" t="s">
        <v>305</v>
      </c>
      <c r="BA1232" s="5" t="s">
        <v>251</v>
      </c>
      <c r="BB1232" s="5" t="s">
        <v>238</v>
      </c>
      <c r="BC1232" s="5" t="s">
        <v>253</v>
      </c>
      <c r="BD1232" s="5" t="s">
        <v>238</v>
      </c>
      <c r="BF1232" s="5" t="s">
        <v>710</v>
      </c>
      <c r="BH1232" s="5" t="s">
        <v>283</v>
      </c>
      <c r="BI1232" s="6" t="s">
        <v>293</v>
      </c>
      <c r="BJ1232" s="5" t="s">
        <v>294</v>
      </c>
      <c r="BK1232" s="5" t="s">
        <v>294</v>
      </c>
      <c r="BL1232" s="5" t="s">
        <v>238</v>
      </c>
      <c r="BM1232" s="7">
        <f>0</f>
        <v>0</v>
      </c>
      <c r="BN1232" s="8">
        <f>-1823040</f>
        <v>-1823040</v>
      </c>
      <c r="BO1232" s="5" t="s">
        <v>257</v>
      </c>
      <c r="BP1232" s="5" t="s">
        <v>258</v>
      </c>
      <c r="BQ1232" s="5" t="s">
        <v>238</v>
      </c>
      <c r="BR1232" s="5" t="s">
        <v>238</v>
      </c>
      <c r="BS1232" s="5" t="s">
        <v>238</v>
      </c>
      <c r="BT1232" s="5" t="s">
        <v>238</v>
      </c>
      <c r="CC1232" s="5" t="s">
        <v>258</v>
      </c>
      <c r="CD1232" s="5" t="s">
        <v>238</v>
      </c>
      <c r="CE1232" s="5" t="s">
        <v>238</v>
      </c>
      <c r="CI1232" s="5" t="s">
        <v>259</v>
      </c>
      <c r="CJ1232" s="5" t="s">
        <v>260</v>
      </c>
      <c r="CK1232" s="5" t="s">
        <v>238</v>
      </c>
      <c r="CM1232" s="5" t="s">
        <v>682</v>
      </c>
      <c r="CN1232" s="6" t="s">
        <v>262</v>
      </c>
      <c r="CO1232" s="5" t="s">
        <v>263</v>
      </c>
      <c r="CP1232" s="5" t="s">
        <v>264</v>
      </c>
      <c r="CQ1232" s="5" t="s">
        <v>285</v>
      </c>
      <c r="CR1232" s="5" t="s">
        <v>238</v>
      </c>
      <c r="CS1232" s="5">
        <v>2.7E-2</v>
      </c>
      <c r="CT1232" s="5" t="s">
        <v>265</v>
      </c>
      <c r="CU1232" s="5" t="s">
        <v>2321</v>
      </c>
      <c r="CV1232" s="5" t="s">
        <v>308</v>
      </c>
      <c r="CW1232" s="7">
        <f>0</f>
        <v>0</v>
      </c>
      <c r="CX1232" s="8">
        <f>67520000</f>
        <v>67520000</v>
      </c>
      <c r="CY1232" s="8">
        <f>36528320</f>
        <v>36528320</v>
      </c>
      <c r="DA1232" s="5" t="s">
        <v>238</v>
      </c>
      <c r="DB1232" s="5" t="s">
        <v>238</v>
      </c>
      <c r="DD1232" s="5" t="s">
        <v>238</v>
      </c>
      <c r="DE1232" s="8">
        <f>0</f>
        <v>0</v>
      </c>
      <c r="DG1232" s="5" t="s">
        <v>238</v>
      </c>
      <c r="DH1232" s="5" t="s">
        <v>238</v>
      </c>
      <c r="DI1232" s="5" t="s">
        <v>238</v>
      </c>
      <c r="DJ1232" s="5" t="s">
        <v>238</v>
      </c>
      <c r="DK1232" s="5" t="s">
        <v>271</v>
      </c>
      <c r="DL1232" s="5" t="s">
        <v>272</v>
      </c>
      <c r="DM1232" s="7">
        <f>270.08</f>
        <v>270.08</v>
      </c>
      <c r="DN1232" s="5" t="s">
        <v>238</v>
      </c>
      <c r="DO1232" s="5" t="s">
        <v>238</v>
      </c>
      <c r="DP1232" s="5" t="s">
        <v>238</v>
      </c>
      <c r="DQ1232" s="5" t="s">
        <v>238</v>
      </c>
      <c r="DT1232" s="5" t="s">
        <v>2360</v>
      </c>
      <c r="DU1232" s="5" t="s">
        <v>271</v>
      </c>
      <c r="GL1232" s="5" t="s">
        <v>2361</v>
      </c>
      <c r="HM1232" s="5" t="s">
        <v>354</v>
      </c>
      <c r="HP1232" s="5" t="s">
        <v>272</v>
      </c>
      <c r="HQ1232" s="5" t="s">
        <v>272</v>
      </c>
      <c r="HR1232" s="5" t="s">
        <v>238</v>
      </c>
      <c r="HS1232" s="5" t="s">
        <v>238</v>
      </c>
      <c r="HT1232" s="5" t="s">
        <v>238</v>
      </c>
      <c r="HU1232" s="5" t="s">
        <v>238</v>
      </c>
      <c r="HV1232" s="5" t="s">
        <v>238</v>
      </c>
      <c r="HW1232" s="5" t="s">
        <v>238</v>
      </c>
      <c r="HX1232" s="5" t="s">
        <v>238</v>
      </c>
      <c r="HY1232" s="5" t="s">
        <v>238</v>
      </c>
      <c r="HZ1232" s="5" t="s">
        <v>238</v>
      </c>
      <c r="IA1232" s="5" t="s">
        <v>238</v>
      </c>
      <c r="IB1232" s="5" t="s">
        <v>238</v>
      </c>
      <c r="IC1232" s="5" t="s">
        <v>238</v>
      </c>
      <c r="ID1232" s="5" t="s">
        <v>238</v>
      </c>
    </row>
    <row r="1233" spans="1:238" x14ac:dyDescent="0.4">
      <c r="A1233" s="5">
        <v>1574</v>
      </c>
      <c r="B1233" s="5">
        <v>1</v>
      </c>
      <c r="C1233" s="5">
        <v>1</v>
      </c>
      <c r="D1233" s="5" t="s">
        <v>2295</v>
      </c>
      <c r="E1233" s="5" t="s">
        <v>338</v>
      </c>
      <c r="F1233" s="5" t="s">
        <v>282</v>
      </c>
      <c r="G1233" s="5" t="s">
        <v>2271</v>
      </c>
      <c r="H1233" s="6" t="s">
        <v>907</v>
      </c>
      <c r="I1233" s="5" t="s">
        <v>2263</v>
      </c>
      <c r="J1233" s="7">
        <f>67.48</f>
        <v>67.48</v>
      </c>
      <c r="K1233" s="5" t="s">
        <v>270</v>
      </c>
      <c r="L1233" s="8">
        <f>1</f>
        <v>1</v>
      </c>
      <c r="M1233" s="8">
        <f>4048800</f>
        <v>4048800</v>
      </c>
      <c r="N1233" s="6" t="s">
        <v>906</v>
      </c>
      <c r="O1233" s="5" t="s">
        <v>651</v>
      </c>
      <c r="P1233" s="5" t="s">
        <v>909</v>
      </c>
      <c r="R1233" s="8">
        <f>4048799</f>
        <v>4048799</v>
      </c>
      <c r="S1233" s="5" t="s">
        <v>240</v>
      </c>
      <c r="T1233" s="5" t="s">
        <v>237</v>
      </c>
      <c r="U1233" s="5" t="s">
        <v>238</v>
      </c>
      <c r="V1233" s="5" t="s">
        <v>238</v>
      </c>
      <c r="W1233" s="5" t="s">
        <v>241</v>
      </c>
      <c r="X1233" s="5" t="s">
        <v>951</v>
      </c>
      <c r="Y1233" s="5" t="s">
        <v>238</v>
      </c>
      <c r="AB1233" s="5" t="s">
        <v>238</v>
      </c>
      <c r="AD1233" s="6" t="s">
        <v>238</v>
      </c>
      <c r="AG1233" s="6" t="s">
        <v>246</v>
      </c>
      <c r="AH1233" s="5" t="s">
        <v>247</v>
      </c>
      <c r="AI1233" s="5" t="s">
        <v>248</v>
      </c>
      <c r="AY1233" s="5" t="s">
        <v>250</v>
      </c>
      <c r="AZ1233" s="5" t="s">
        <v>238</v>
      </c>
      <c r="BA1233" s="5" t="s">
        <v>251</v>
      </c>
      <c r="BB1233" s="5" t="s">
        <v>238</v>
      </c>
      <c r="BC1233" s="5" t="s">
        <v>253</v>
      </c>
      <c r="BD1233" s="5" t="s">
        <v>238</v>
      </c>
      <c r="BF1233" s="5" t="s">
        <v>710</v>
      </c>
      <c r="BH1233" s="5" t="s">
        <v>254</v>
      </c>
      <c r="BI1233" s="6" t="s">
        <v>246</v>
      </c>
      <c r="BJ1233" s="5" t="s">
        <v>255</v>
      </c>
      <c r="BK1233" s="5" t="s">
        <v>256</v>
      </c>
      <c r="BL1233" s="5" t="s">
        <v>238</v>
      </c>
      <c r="BM1233" s="7">
        <f>0</f>
        <v>0</v>
      </c>
      <c r="BN1233" s="8">
        <f>0</f>
        <v>0</v>
      </c>
      <c r="BO1233" s="5" t="s">
        <v>257</v>
      </c>
      <c r="BP1233" s="5" t="s">
        <v>258</v>
      </c>
      <c r="CD1233" s="5" t="s">
        <v>238</v>
      </c>
      <c r="CE1233" s="5" t="s">
        <v>238</v>
      </c>
      <c r="CI1233" s="5" t="s">
        <v>527</v>
      </c>
      <c r="CJ1233" s="5" t="s">
        <v>260</v>
      </c>
      <c r="CK1233" s="5" t="s">
        <v>238</v>
      </c>
      <c r="CM1233" s="5" t="s">
        <v>908</v>
      </c>
      <c r="CN1233" s="6" t="s">
        <v>262</v>
      </c>
      <c r="CO1233" s="5" t="s">
        <v>263</v>
      </c>
      <c r="CP1233" s="5" t="s">
        <v>264</v>
      </c>
      <c r="CQ1233" s="5" t="s">
        <v>238</v>
      </c>
      <c r="CR1233" s="5" t="s">
        <v>238</v>
      </c>
      <c r="CS1233" s="5">
        <v>0</v>
      </c>
      <c r="CT1233" s="5" t="s">
        <v>265</v>
      </c>
      <c r="CU1233" s="5" t="s">
        <v>2254</v>
      </c>
      <c r="CV1233" s="5" t="s">
        <v>331</v>
      </c>
      <c r="CX1233" s="8">
        <f>4048800</f>
        <v>4048800</v>
      </c>
      <c r="CY1233" s="8">
        <f>0</f>
        <v>0</v>
      </c>
      <c r="DA1233" s="5" t="s">
        <v>238</v>
      </c>
      <c r="DB1233" s="5" t="s">
        <v>238</v>
      </c>
      <c r="DD1233" s="5" t="s">
        <v>238</v>
      </c>
      <c r="DG1233" s="5" t="s">
        <v>238</v>
      </c>
      <c r="DH1233" s="5" t="s">
        <v>238</v>
      </c>
      <c r="DI1233" s="5" t="s">
        <v>238</v>
      </c>
      <c r="DJ1233" s="5" t="s">
        <v>238</v>
      </c>
      <c r="DK1233" s="5" t="s">
        <v>271</v>
      </c>
      <c r="DL1233" s="5" t="s">
        <v>272</v>
      </c>
      <c r="DM1233" s="7">
        <f>67.48</f>
        <v>67.48</v>
      </c>
      <c r="DN1233" s="5" t="s">
        <v>238</v>
      </c>
      <c r="DO1233" s="5" t="s">
        <v>238</v>
      </c>
      <c r="DP1233" s="5" t="s">
        <v>238</v>
      </c>
      <c r="DQ1233" s="5" t="s">
        <v>238</v>
      </c>
      <c r="DT1233" s="5" t="s">
        <v>2296</v>
      </c>
      <c r="DU1233" s="5" t="s">
        <v>271</v>
      </c>
      <c r="HM1233" s="5" t="s">
        <v>271</v>
      </c>
      <c r="HP1233" s="5" t="s">
        <v>272</v>
      </c>
      <c r="HQ1233" s="5" t="s">
        <v>272</v>
      </c>
    </row>
    <row r="1234" spans="1:238" x14ac:dyDescent="0.4">
      <c r="A1234" s="5">
        <v>1575</v>
      </c>
      <c r="B1234" s="5">
        <v>1</v>
      </c>
      <c r="C1234" s="5">
        <v>4</v>
      </c>
      <c r="D1234" s="5" t="s">
        <v>1898</v>
      </c>
      <c r="E1234" s="5" t="s">
        <v>952</v>
      </c>
      <c r="F1234" s="5" t="s">
        <v>282</v>
      </c>
      <c r="G1234" s="5" t="s">
        <v>1802</v>
      </c>
      <c r="H1234" s="6" t="s">
        <v>303</v>
      </c>
      <c r="I1234" s="5" t="s">
        <v>1800</v>
      </c>
      <c r="J1234" s="7">
        <f>1506.29</f>
        <v>1506.29</v>
      </c>
      <c r="K1234" s="5" t="s">
        <v>270</v>
      </c>
      <c r="L1234" s="8">
        <f>66960584</f>
        <v>66960584</v>
      </c>
      <c r="M1234" s="8">
        <f>360003100</f>
        <v>360003100</v>
      </c>
      <c r="N1234" s="6" t="s">
        <v>1899</v>
      </c>
      <c r="O1234" s="5" t="s">
        <v>898</v>
      </c>
      <c r="P1234" s="5" t="s">
        <v>1042</v>
      </c>
      <c r="Q1234" s="8">
        <f>7920068</f>
        <v>7920068</v>
      </c>
      <c r="R1234" s="8">
        <f>293042516</f>
        <v>293042516</v>
      </c>
      <c r="S1234" s="5" t="s">
        <v>240</v>
      </c>
      <c r="T1234" s="5" t="s">
        <v>237</v>
      </c>
      <c r="U1234" s="5" t="s">
        <v>238</v>
      </c>
      <c r="V1234" s="5" t="s">
        <v>238</v>
      </c>
      <c r="W1234" s="5" t="s">
        <v>241</v>
      </c>
      <c r="X1234" s="5" t="s">
        <v>337</v>
      </c>
      <c r="Y1234" s="5" t="s">
        <v>238</v>
      </c>
      <c r="AB1234" s="5" t="s">
        <v>238</v>
      </c>
      <c r="AC1234" s="6" t="s">
        <v>238</v>
      </c>
      <c r="AD1234" s="6" t="s">
        <v>238</v>
      </c>
      <c r="AF1234" s="6" t="s">
        <v>238</v>
      </c>
      <c r="AG1234" s="6" t="s">
        <v>246</v>
      </c>
      <c r="AH1234" s="5" t="s">
        <v>247</v>
      </c>
      <c r="AI1234" s="5" t="s">
        <v>248</v>
      </c>
      <c r="AO1234" s="5" t="s">
        <v>238</v>
      </c>
      <c r="AP1234" s="5" t="s">
        <v>238</v>
      </c>
      <c r="AQ1234" s="5" t="s">
        <v>238</v>
      </c>
      <c r="AR1234" s="6" t="s">
        <v>238</v>
      </c>
      <c r="AS1234" s="6" t="s">
        <v>238</v>
      </c>
      <c r="AT1234" s="6" t="s">
        <v>238</v>
      </c>
      <c r="AW1234" s="5" t="s">
        <v>304</v>
      </c>
      <c r="AX1234" s="5" t="s">
        <v>304</v>
      </c>
      <c r="AY1234" s="5" t="s">
        <v>250</v>
      </c>
      <c r="AZ1234" s="5" t="s">
        <v>305</v>
      </c>
      <c r="BA1234" s="5" t="s">
        <v>251</v>
      </c>
      <c r="BB1234" s="5" t="s">
        <v>238</v>
      </c>
      <c r="BC1234" s="5" t="s">
        <v>253</v>
      </c>
      <c r="BD1234" s="5" t="s">
        <v>238</v>
      </c>
      <c r="BF1234" s="5" t="s">
        <v>710</v>
      </c>
      <c r="BH1234" s="5" t="s">
        <v>283</v>
      </c>
      <c r="BI1234" s="6" t="s">
        <v>293</v>
      </c>
      <c r="BJ1234" s="5" t="s">
        <v>294</v>
      </c>
      <c r="BK1234" s="5" t="s">
        <v>294</v>
      </c>
      <c r="BL1234" s="5" t="s">
        <v>238</v>
      </c>
      <c r="BM1234" s="7">
        <f>0</f>
        <v>0</v>
      </c>
      <c r="BN1234" s="8">
        <f>-7920068</f>
        <v>-7920068</v>
      </c>
      <c r="BO1234" s="5" t="s">
        <v>257</v>
      </c>
      <c r="BP1234" s="5" t="s">
        <v>258</v>
      </c>
      <c r="BQ1234" s="5" t="s">
        <v>238</v>
      </c>
      <c r="BR1234" s="5" t="s">
        <v>238</v>
      </c>
      <c r="BS1234" s="5" t="s">
        <v>238</v>
      </c>
      <c r="BT1234" s="5" t="s">
        <v>238</v>
      </c>
      <c r="CC1234" s="5" t="s">
        <v>258</v>
      </c>
      <c r="CD1234" s="5" t="s">
        <v>238</v>
      </c>
      <c r="CE1234" s="5" t="s">
        <v>238</v>
      </c>
      <c r="CI1234" s="5" t="s">
        <v>259</v>
      </c>
      <c r="CJ1234" s="5" t="s">
        <v>260</v>
      </c>
      <c r="CK1234" s="5" t="s">
        <v>238</v>
      </c>
      <c r="CM1234" s="5" t="s">
        <v>882</v>
      </c>
      <c r="CN1234" s="6" t="s">
        <v>262</v>
      </c>
      <c r="CO1234" s="5" t="s">
        <v>263</v>
      </c>
      <c r="CP1234" s="5" t="s">
        <v>264</v>
      </c>
      <c r="CQ1234" s="5" t="s">
        <v>285</v>
      </c>
      <c r="CR1234" s="5" t="s">
        <v>238</v>
      </c>
      <c r="CS1234" s="5">
        <v>2.1999999999999999E-2</v>
      </c>
      <c r="CT1234" s="5" t="s">
        <v>265</v>
      </c>
      <c r="CU1234" s="5" t="s">
        <v>1803</v>
      </c>
      <c r="CV1234" s="5" t="s">
        <v>308</v>
      </c>
      <c r="CW1234" s="7">
        <f>0</f>
        <v>0</v>
      </c>
      <c r="CX1234" s="8">
        <f>360003100</f>
        <v>360003100</v>
      </c>
      <c r="CY1234" s="8">
        <f>74880652</f>
        <v>74880652</v>
      </c>
      <c r="DA1234" s="5" t="s">
        <v>238</v>
      </c>
      <c r="DB1234" s="5" t="s">
        <v>238</v>
      </c>
      <c r="DD1234" s="5" t="s">
        <v>238</v>
      </c>
      <c r="DE1234" s="8">
        <f>0</f>
        <v>0</v>
      </c>
      <c r="DG1234" s="5" t="s">
        <v>238</v>
      </c>
      <c r="DH1234" s="5" t="s">
        <v>238</v>
      </c>
      <c r="DI1234" s="5" t="s">
        <v>238</v>
      </c>
      <c r="DJ1234" s="5" t="s">
        <v>238</v>
      </c>
      <c r="DK1234" s="5" t="s">
        <v>271</v>
      </c>
      <c r="DL1234" s="5" t="s">
        <v>272</v>
      </c>
      <c r="DM1234" s="7">
        <f>1506.29</f>
        <v>1506.29</v>
      </c>
      <c r="DN1234" s="5" t="s">
        <v>238</v>
      </c>
      <c r="DO1234" s="5" t="s">
        <v>238</v>
      </c>
      <c r="DP1234" s="5" t="s">
        <v>238</v>
      </c>
      <c r="DQ1234" s="5" t="s">
        <v>238</v>
      </c>
      <c r="DT1234" s="5" t="s">
        <v>1900</v>
      </c>
      <c r="DU1234" s="5" t="s">
        <v>271</v>
      </c>
      <c r="GL1234" s="5" t="s">
        <v>1901</v>
      </c>
      <c r="HM1234" s="5" t="s">
        <v>389</v>
      </c>
      <c r="HP1234" s="5" t="s">
        <v>272</v>
      </c>
      <c r="HQ1234" s="5" t="s">
        <v>272</v>
      </c>
      <c r="HR1234" s="5" t="s">
        <v>238</v>
      </c>
      <c r="HS1234" s="5" t="s">
        <v>238</v>
      </c>
      <c r="HT1234" s="5" t="s">
        <v>238</v>
      </c>
      <c r="HU1234" s="5" t="s">
        <v>238</v>
      </c>
      <c r="HV1234" s="5" t="s">
        <v>238</v>
      </c>
      <c r="HW1234" s="5" t="s">
        <v>238</v>
      </c>
      <c r="HX1234" s="5" t="s">
        <v>238</v>
      </c>
      <c r="HY1234" s="5" t="s">
        <v>238</v>
      </c>
      <c r="HZ1234" s="5" t="s">
        <v>238</v>
      </c>
      <c r="IA1234" s="5" t="s">
        <v>238</v>
      </c>
      <c r="IB1234" s="5" t="s">
        <v>238</v>
      </c>
      <c r="IC1234" s="5" t="s">
        <v>238</v>
      </c>
      <c r="ID1234" s="5" t="s">
        <v>238</v>
      </c>
    </row>
    <row r="1235" spans="1:238" x14ac:dyDescent="0.4">
      <c r="A1235" s="5">
        <v>1576</v>
      </c>
      <c r="B1235" s="5">
        <v>1</v>
      </c>
      <c r="C1235" s="5">
        <v>4</v>
      </c>
      <c r="D1235" s="5" t="s">
        <v>1801</v>
      </c>
      <c r="E1235" s="5" t="s">
        <v>338</v>
      </c>
      <c r="F1235" s="5" t="s">
        <v>282</v>
      </c>
      <c r="G1235" s="5" t="s">
        <v>1802</v>
      </c>
      <c r="H1235" s="6" t="s">
        <v>1260</v>
      </c>
      <c r="I1235" s="5" t="s">
        <v>1800</v>
      </c>
      <c r="J1235" s="7">
        <f>1437.81</f>
        <v>1437.81</v>
      </c>
      <c r="K1235" s="5" t="s">
        <v>270</v>
      </c>
      <c r="L1235" s="8">
        <f>10481665</f>
        <v>10481665</v>
      </c>
      <c r="M1235" s="8">
        <f>194104350</f>
        <v>194104350</v>
      </c>
      <c r="N1235" s="6" t="s">
        <v>953</v>
      </c>
      <c r="O1235" s="5" t="s">
        <v>898</v>
      </c>
      <c r="P1235" s="5" t="s">
        <v>965</v>
      </c>
      <c r="Q1235" s="8">
        <f>4270295</f>
        <v>4270295</v>
      </c>
      <c r="R1235" s="8">
        <f>183622685</f>
        <v>183622685</v>
      </c>
      <c r="S1235" s="5" t="s">
        <v>240</v>
      </c>
      <c r="T1235" s="5" t="s">
        <v>237</v>
      </c>
      <c r="U1235" s="5" t="s">
        <v>238</v>
      </c>
      <c r="V1235" s="5" t="s">
        <v>238</v>
      </c>
      <c r="W1235" s="5" t="s">
        <v>241</v>
      </c>
      <c r="X1235" s="5" t="s">
        <v>337</v>
      </c>
      <c r="Y1235" s="5" t="s">
        <v>238</v>
      </c>
      <c r="AB1235" s="5" t="s">
        <v>238</v>
      </c>
      <c r="AC1235" s="6" t="s">
        <v>238</v>
      </c>
      <c r="AD1235" s="6" t="s">
        <v>238</v>
      </c>
      <c r="AF1235" s="6" t="s">
        <v>238</v>
      </c>
      <c r="AG1235" s="6" t="s">
        <v>246</v>
      </c>
      <c r="AH1235" s="5" t="s">
        <v>247</v>
      </c>
      <c r="AI1235" s="5" t="s">
        <v>248</v>
      </c>
      <c r="AO1235" s="5" t="s">
        <v>238</v>
      </c>
      <c r="AP1235" s="5" t="s">
        <v>238</v>
      </c>
      <c r="AQ1235" s="5" t="s">
        <v>238</v>
      </c>
      <c r="AR1235" s="6" t="s">
        <v>238</v>
      </c>
      <c r="AS1235" s="6" t="s">
        <v>238</v>
      </c>
      <c r="AT1235" s="6" t="s">
        <v>238</v>
      </c>
      <c r="AW1235" s="5" t="s">
        <v>304</v>
      </c>
      <c r="AX1235" s="5" t="s">
        <v>304</v>
      </c>
      <c r="AY1235" s="5" t="s">
        <v>250</v>
      </c>
      <c r="AZ1235" s="5" t="s">
        <v>305</v>
      </c>
      <c r="BA1235" s="5" t="s">
        <v>251</v>
      </c>
      <c r="BB1235" s="5" t="s">
        <v>238</v>
      </c>
      <c r="BC1235" s="5" t="s">
        <v>253</v>
      </c>
      <c r="BD1235" s="5" t="s">
        <v>238</v>
      </c>
      <c r="BF1235" s="5" t="s">
        <v>710</v>
      </c>
      <c r="BH1235" s="5" t="s">
        <v>283</v>
      </c>
      <c r="BI1235" s="6" t="s">
        <v>293</v>
      </c>
      <c r="BJ1235" s="5" t="s">
        <v>294</v>
      </c>
      <c r="BK1235" s="5" t="s">
        <v>294</v>
      </c>
      <c r="BL1235" s="5" t="s">
        <v>238</v>
      </c>
      <c r="BM1235" s="7">
        <f>0</f>
        <v>0</v>
      </c>
      <c r="BN1235" s="8">
        <f>-4270295</f>
        <v>-4270295</v>
      </c>
      <c r="BO1235" s="5" t="s">
        <v>257</v>
      </c>
      <c r="BP1235" s="5" t="s">
        <v>258</v>
      </c>
      <c r="BQ1235" s="5" t="s">
        <v>238</v>
      </c>
      <c r="BR1235" s="5" t="s">
        <v>238</v>
      </c>
      <c r="BS1235" s="5" t="s">
        <v>238</v>
      </c>
      <c r="BT1235" s="5" t="s">
        <v>238</v>
      </c>
      <c r="CC1235" s="5" t="s">
        <v>258</v>
      </c>
      <c r="CD1235" s="5" t="s">
        <v>238</v>
      </c>
      <c r="CE1235" s="5" t="s">
        <v>238</v>
      </c>
      <c r="CI1235" s="5" t="s">
        <v>527</v>
      </c>
      <c r="CJ1235" s="5" t="s">
        <v>260</v>
      </c>
      <c r="CK1235" s="5" t="s">
        <v>238</v>
      </c>
      <c r="CM1235" s="5" t="s">
        <v>865</v>
      </c>
      <c r="CN1235" s="6" t="s">
        <v>262</v>
      </c>
      <c r="CO1235" s="5" t="s">
        <v>263</v>
      </c>
      <c r="CP1235" s="5" t="s">
        <v>264</v>
      </c>
      <c r="CQ1235" s="5" t="s">
        <v>285</v>
      </c>
      <c r="CR1235" s="5" t="s">
        <v>238</v>
      </c>
      <c r="CS1235" s="5">
        <v>2.1999999999999999E-2</v>
      </c>
      <c r="CT1235" s="5" t="s">
        <v>265</v>
      </c>
      <c r="CU1235" s="5" t="s">
        <v>1803</v>
      </c>
      <c r="CV1235" s="5" t="s">
        <v>308</v>
      </c>
      <c r="CW1235" s="7">
        <f>0</f>
        <v>0</v>
      </c>
      <c r="CX1235" s="8">
        <f>194104350</f>
        <v>194104350</v>
      </c>
      <c r="CY1235" s="8">
        <f>14751960</f>
        <v>14751960</v>
      </c>
      <c r="DA1235" s="5" t="s">
        <v>238</v>
      </c>
      <c r="DB1235" s="5" t="s">
        <v>238</v>
      </c>
      <c r="DD1235" s="5" t="s">
        <v>238</v>
      </c>
      <c r="DE1235" s="8">
        <f>0</f>
        <v>0</v>
      </c>
      <c r="DG1235" s="5" t="s">
        <v>238</v>
      </c>
      <c r="DH1235" s="5" t="s">
        <v>238</v>
      </c>
      <c r="DI1235" s="5" t="s">
        <v>238</v>
      </c>
      <c r="DJ1235" s="5" t="s">
        <v>238</v>
      </c>
      <c r="DK1235" s="5" t="s">
        <v>271</v>
      </c>
      <c r="DL1235" s="5" t="s">
        <v>272</v>
      </c>
      <c r="DM1235" s="7">
        <f>1437.81</f>
        <v>1437.81</v>
      </c>
      <c r="DN1235" s="5" t="s">
        <v>238</v>
      </c>
      <c r="DO1235" s="5" t="s">
        <v>238</v>
      </c>
      <c r="DP1235" s="5" t="s">
        <v>238</v>
      </c>
      <c r="DQ1235" s="5" t="s">
        <v>238</v>
      </c>
      <c r="DT1235" s="5" t="s">
        <v>1804</v>
      </c>
      <c r="DU1235" s="5" t="s">
        <v>271</v>
      </c>
      <c r="GL1235" s="5" t="s">
        <v>1805</v>
      </c>
      <c r="HM1235" s="5" t="s">
        <v>313</v>
      </c>
      <c r="HP1235" s="5" t="s">
        <v>272</v>
      </c>
      <c r="HQ1235" s="5" t="s">
        <v>272</v>
      </c>
      <c r="HR1235" s="5" t="s">
        <v>238</v>
      </c>
      <c r="HS1235" s="5" t="s">
        <v>238</v>
      </c>
      <c r="HT1235" s="5" t="s">
        <v>238</v>
      </c>
      <c r="HU1235" s="5" t="s">
        <v>238</v>
      </c>
      <c r="HV1235" s="5" t="s">
        <v>238</v>
      </c>
      <c r="HW1235" s="5" t="s">
        <v>238</v>
      </c>
      <c r="HX1235" s="5" t="s">
        <v>238</v>
      </c>
      <c r="HY1235" s="5" t="s">
        <v>238</v>
      </c>
      <c r="HZ1235" s="5" t="s">
        <v>238</v>
      </c>
      <c r="IA1235" s="5" t="s">
        <v>238</v>
      </c>
      <c r="IB1235" s="5" t="s">
        <v>238</v>
      </c>
      <c r="IC1235" s="5" t="s">
        <v>238</v>
      </c>
      <c r="ID1235" s="5" t="s">
        <v>238</v>
      </c>
    </row>
    <row r="1236" spans="1:238" x14ac:dyDescent="0.4">
      <c r="A1236" s="5">
        <v>1577</v>
      </c>
      <c r="B1236" s="5">
        <v>1</v>
      </c>
      <c r="C1236" s="5">
        <v>4</v>
      </c>
      <c r="D1236" s="5" t="s">
        <v>1893</v>
      </c>
      <c r="E1236" s="5" t="s">
        <v>338</v>
      </c>
      <c r="F1236" s="5" t="s">
        <v>282</v>
      </c>
      <c r="G1236" s="5" t="s">
        <v>1802</v>
      </c>
      <c r="H1236" s="6" t="s">
        <v>1895</v>
      </c>
      <c r="I1236" s="5" t="s">
        <v>1800</v>
      </c>
      <c r="J1236" s="7">
        <f>1367.91</f>
        <v>1367.91</v>
      </c>
      <c r="K1236" s="5" t="s">
        <v>270</v>
      </c>
      <c r="L1236" s="8">
        <f>1846710</f>
        <v>1846710</v>
      </c>
      <c r="M1236" s="8">
        <f>184667850</f>
        <v>184667850</v>
      </c>
      <c r="N1236" s="6" t="s">
        <v>1894</v>
      </c>
      <c r="O1236" s="5" t="s">
        <v>898</v>
      </c>
      <c r="P1236" s="5" t="s">
        <v>1017</v>
      </c>
      <c r="Q1236" s="8">
        <f>4062692</f>
        <v>4062692</v>
      </c>
      <c r="R1236" s="8">
        <f>182821140</f>
        <v>182821140</v>
      </c>
      <c r="S1236" s="5" t="s">
        <v>240</v>
      </c>
      <c r="T1236" s="5" t="s">
        <v>237</v>
      </c>
      <c r="U1236" s="5" t="s">
        <v>238</v>
      </c>
      <c r="V1236" s="5" t="s">
        <v>238</v>
      </c>
      <c r="W1236" s="5" t="s">
        <v>241</v>
      </c>
      <c r="X1236" s="5" t="s">
        <v>337</v>
      </c>
      <c r="Y1236" s="5" t="s">
        <v>238</v>
      </c>
      <c r="AB1236" s="5" t="s">
        <v>238</v>
      </c>
      <c r="AC1236" s="6" t="s">
        <v>238</v>
      </c>
      <c r="AD1236" s="6" t="s">
        <v>238</v>
      </c>
      <c r="AF1236" s="6" t="s">
        <v>238</v>
      </c>
      <c r="AG1236" s="6" t="s">
        <v>246</v>
      </c>
      <c r="AH1236" s="5" t="s">
        <v>247</v>
      </c>
      <c r="AI1236" s="5" t="s">
        <v>248</v>
      </c>
      <c r="AO1236" s="5" t="s">
        <v>238</v>
      </c>
      <c r="AP1236" s="5" t="s">
        <v>238</v>
      </c>
      <c r="AQ1236" s="5" t="s">
        <v>238</v>
      </c>
      <c r="AR1236" s="6" t="s">
        <v>238</v>
      </c>
      <c r="AS1236" s="6" t="s">
        <v>238</v>
      </c>
      <c r="AT1236" s="6" t="s">
        <v>238</v>
      </c>
      <c r="AW1236" s="5" t="s">
        <v>304</v>
      </c>
      <c r="AX1236" s="5" t="s">
        <v>304</v>
      </c>
      <c r="AY1236" s="5" t="s">
        <v>250</v>
      </c>
      <c r="AZ1236" s="5" t="s">
        <v>305</v>
      </c>
      <c r="BA1236" s="5" t="s">
        <v>251</v>
      </c>
      <c r="BB1236" s="5" t="s">
        <v>238</v>
      </c>
      <c r="BC1236" s="5" t="s">
        <v>253</v>
      </c>
      <c r="BD1236" s="5" t="s">
        <v>238</v>
      </c>
      <c r="BF1236" s="5" t="s">
        <v>238</v>
      </c>
      <c r="BH1236" s="5" t="s">
        <v>283</v>
      </c>
      <c r="BI1236" s="6" t="s">
        <v>293</v>
      </c>
      <c r="BJ1236" s="5" t="s">
        <v>294</v>
      </c>
      <c r="BK1236" s="5" t="s">
        <v>294</v>
      </c>
      <c r="BL1236" s="5" t="s">
        <v>238</v>
      </c>
      <c r="BM1236" s="7">
        <f>0</f>
        <v>0</v>
      </c>
      <c r="BN1236" s="8">
        <f>-4062692</f>
        <v>-4062692</v>
      </c>
      <c r="BO1236" s="5" t="s">
        <v>257</v>
      </c>
      <c r="BP1236" s="5" t="s">
        <v>258</v>
      </c>
      <c r="BQ1236" s="5" t="s">
        <v>238</v>
      </c>
      <c r="BR1236" s="5" t="s">
        <v>238</v>
      </c>
      <c r="BS1236" s="5" t="s">
        <v>238</v>
      </c>
      <c r="BT1236" s="5" t="s">
        <v>238</v>
      </c>
      <c r="CC1236" s="5" t="s">
        <v>258</v>
      </c>
      <c r="CD1236" s="5" t="s">
        <v>238</v>
      </c>
      <c r="CE1236" s="5" t="s">
        <v>238</v>
      </c>
      <c r="CI1236" s="5" t="s">
        <v>527</v>
      </c>
      <c r="CJ1236" s="5" t="s">
        <v>260</v>
      </c>
      <c r="CK1236" s="5" t="s">
        <v>238</v>
      </c>
      <c r="CM1236" s="5" t="s">
        <v>1095</v>
      </c>
      <c r="CN1236" s="6" t="s">
        <v>262</v>
      </c>
      <c r="CO1236" s="5" t="s">
        <v>263</v>
      </c>
      <c r="CP1236" s="5" t="s">
        <v>264</v>
      </c>
      <c r="CQ1236" s="5" t="s">
        <v>285</v>
      </c>
      <c r="CR1236" s="5" t="s">
        <v>238</v>
      </c>
      <c r="CS1236" s="5">
        <v>2.1999999999999999E-2</v>
      </c>
      <c r="CT1236" s="5" t="s">
        <v>265</v>
      </c>
      <c r="CU1236" s="5" t="s">
        <v>1803</v>
      </c>
      <c r="CV1236" s="5" t="s">
        <v>308</v>
      </c>
      <c r="CW1236" s="7">
        <f>0</f>
        <v>0</v>
      </c>
      <c r="CX1236" s="8">
        <f>184667850</f>
        <v>184667850</v>
      </c>
      <c r="CY1236" s="8">
        <f>5909402</f>
        <v>5909402</v>
      </c>
      <c r="DA1236" s="5" t="s">
        <v>238</v>
      </c>
      <c r="DB1236" s="5" t="s">
        <v>238</v>
      </c>
      <c r="DD1236" s="5" t="s">
        <v>238</v>
      </c>
      <c r="DE1236" s="8">
        <f>0</f>
        <v>0</v>
      </c>
      <c r="DG1236" s="5" t="s">
        <v>238</v>
      </c>
      <c r="DH1236" s="5" t="s">
        <v>238</v>
      </c>
      <c r="DI1236" s="5" t="s">
        <v>238</v>
      </c>
      <c r="DJ1236" s="5" t="s">
        <v>238</v>
      </c>
      <c r="DK1236" s="5" t="s">
        <v>274</v>
      </c>
      <c r="DL1236" s="5" t="s">
        <v>272</v>
      </c>
      <c r="DM1236" s="7">
        <f>1367.91</f>
        <v>1367.91</v>
      </c>
      <c r="DN1236" s="5" t="s">
        <v>238</v>
      </c>
      <c r="DO1236" s="5" t="s">
        <v>238</v>
      </c>
      <c r="DP1236" s="5" t="s">
        <v>238</v>
      </c>
      <c r="DQ1236" s="5" t="s">
        <v>238</v>
      </c>
      <c r="DT1236" s="5" t="s">
        <v>1896</v>
      </c>
      <c r="DU1236" s="5" t="s">
        <v>271</v>
      </c>
      <c r="GL1236" s="5" t="s">
        <v>1897</v>
      </c>
      <c r="HM1236" s="5" t="s">
        <v>313</v>
      </c>
      <c r="HP1236" s="5" t="s">
        <v>272</v>
      </c>
      <c r="HQ1236" s="5" t="s">
        <v>272</v>
      </c>
      <c r="HR1236" s="5" t="s">
        <v>238</v>
      </c>
      <c r="HS1236" s="5" t="s">
        <v>238</v>
      </c>
      <c r="HT1236" s="5" t="s">
        <v>238</v>
      </c>
      <c r="HU1236" s="5" t="s">
        <v>238</v>
      </c>
      <c r="HV1236" s="5" t="s">
        <v>238</v>
      </c>
      <c r="HW1236" s="5" t="s">
        <v>238</v>
      </c>
      <c r="HX1236" s="5" t="s">
        <v>238</v>
      </c>
      <c r="HY1236" s="5" t="s">
        <v>238</v>
      </c>
      <c r="HZ1236" s="5" t="s">
        <v>238</v>
      </c>
      <c r="IA1236" s="5" t="s">
        <v>238</v>
      </c>
      <c r="IB1236" s="5" t="s">
        <v>238</v>
      </c>
      <c r="IC1236" s="5" t="s">
        <v>238</v>
      </c>
      <c r="ID1236" s="5" t="s">
        <v>238</v>
      </c>
    </row>
    <row r="1237" spans="1:238" x14ac:dyDescent="0.4">
      <c r="A1237" s="5">
        <v>1578</v>
      </c>
      <c r="B1237" s="5">
        <v>1</v>
      </c>
      <c r="C1237" s="5">
        <v>1</v>
      </c>
      <c r="D1237" s="5" t="s">
        <v>1893</v>
      </c>
      <c r="E1237" s="5" t="s">
        <v>338</v>
      </c>
      <c r="F1237" s="5" t="s">
        <v>282</v>
      </c>
      <c r="G1237" s="5" t="s">
        <v>695</v>
      </c>
      <c r="H1237" s="6" t="s">
        <v>1895</v>
      </c>
      <c r="I1237" s="5" t="s">
        <v>695</v>
      </c>
      <c r="J1237" s="7">
        <f>29.56</f>
        <v>29.56</v>
      </c>
      <c r="K1237" s="5" t="s">
        <v>270</v>
      </c>
      <c r="L1237" s="8">
        <f>1</f>
        <v>1</v>
      </c>
      <c r="M1237" s="8">
        <f>1773600</f>
        <v>1773600</v>
      </c>
      <c r="N1237" s="6" t="s">
        <v>1894</v>
      </c>
      <c r="O1237" s="5" t="s">
        <v>268</v>
      </c>
      <c r="P1237" s="5" t="s">
        <v>639</v>
      </c>
      <c r="R1237" s="8">
        <f>1773599</f>
        <v>1773599</v>
      </c>
      <c r="S1237" s="5" t="s">
        <v>240</v>
      </c>
      <c r="T1237" s="5" t="s">
        <v>237</v>
      </c>
      <c r="U1237" s="5" t="s">
        <v>238</v>
      </c>
      <c r="V1237" s="5" t="s">
        <v>238</v>
      </c>
      <c r="W1237" s="5" t="s">
        <v>241</v>
      </c>
      <c r="X1237" s="5" t="s">
        <v>337</v>
      </c>
      <c r="Y1237" s="5" t="s">
        <v>238</v>
      </c>
      <c r="AB1237" s="5" t="s">
        <v>238</v>
      </c>
      <c r="AD1237" s="6" t="s">
        <v>238</v>
      </c>
      <c r="AG1237" s="6" t="s">
        <v>246</v>
      </c>
      <c r="AH1237" s="5" t="s">
        <v>247</v>
      </c>
      <c r="AI1237" s="5" t="s">
        <v>248</v>
      </c>
      <c r="AY1237" s="5" t="s">
        <v>250</v>
      </c>
      <c r="AZ1237" s="5" t="s">
        <v>238</v>
      </c>
      <c r="BA1237" s="5" t="s">
        <v>251</v>
      </c>
      <c r="BB1237" s="5" t="s">
        <v>238</v>
      </c>
      <c r="BC1237" s="5" t="s">
        <v>253</v>
      </c>
      <c r="BD1237" s="5" t="s">
        <v>238</v>
      </c>
      <c r="BF1237" s="5" t="s">
        <v>238</v>
      </c>
      <c r="BH1237" s="5" t="s">
        <v>254</v>
      </c>
      <c r="BI1237" s="6" t="s">
        <v>246</v>
      </c>
      <c r="BJ1237" s="5" t="s">
        <v>255</v>
      </c>
      <c r="BK1237" s="5" t="s">
        <v>256</v>
      </c>
      <c r="BL1237" s="5" t="s">
        <v>238</v>
      </c>
      <c r="BM1237" s="7">
        <f>0</f>
        <v>0</v>
      </c>
      <c r="BN1237" s="8">
        <f>0</f>
        <v>0</v>
      </c>
      <c r="BO1237" s="5" t="s">
        <v>257</v>
      </c>
      <c r="BP1237" s="5" t="s">
        <v>258</v>
      </c>
      <c r="CD1237" s="5" t="s">
        <v>238</v>
      </c>
      <c r="CE1237" s="5" t="s">
        <v>238</v>
      </c>
      <c r="CI1237" s="5" t="s">
        <v>527</v>
      </c>
      <c r="CJ1237" s="5" t="s">
        <v>260</v>
      </c>
      <c r="CK1237" s="5" t="s">
        <v>238</v>
      </c>
      <c r="CM1237" s="5" t="s">
        <v>1095</v>
      </c>
      <c r="CN1237" s="6" t="s">
        <v>262</v>
      </c>
      <c r="CO1237" s="5" t="s">
        <v>263</v>
      </c>
      <c r="CP1237" s="5" t="s">
        <v>264</v>
      </c>
      <c r="CQ1237" s="5" t="s">
        <v>238</v>
      </c>
      <c r="CR1237" s="5" t="s">
        <v>238</v>
      </c>
      <c r="CS1237" s="5">
        <v>0</v>
      </c>
      <c r="CT1237" s="5" t="s">
        <v>265</v>
      </c>
      <c r="CU1237" s="5" t="s">
        <v>351</v>
      </c>
      <c r="CV1237" s="5" t="s">
        <v>394</v>
      </c>
      <c r="CX1237" s="8">
        <f>1773600</f>
        <v>1773600</v>
      </c>
      <c r="CY1237" s="8">
        <f>0</f>
        <v>0</v>
      </c>
      <c r="DA1237" s="5" t="s">
        <v>238</v>
      </c>
      <c r="DB1237" s="5" t="s">
        <v>238</v>
      </c>
      <c r="DD1237" s="5" t="s">
        <v>238</v>
      </c>
      <c r="DG1237" s="5" t="s">
        <v>238</v>
      </c>
      <c r="DH1237" s="5" t="s">
        <v>238</v>
      </c>
      <c r="DI1237" s="5" t="s">
        <v>238</v>
      </c>
      <c r="DJ1237" s="5" t="s">
        <v>238</v>
      </c>
      <c r="DK1237" s="5" t="s">
        <v>271</v>
      </c>
      <c r="DL1237" s="5" t="s">
        <v>272</v>
      </c>
      <c r="DM1237" s="7">
        <f>29.56</f>
        <v>29.56</v>
      </c>
      <c r="DN1237" s="5" t="s">
        <v>238</v>
      </c>
      <c r="DO1237" s="5" t="s">
        <v>238</v>
      </c>
      <c r="DP1237" s="5" t="s">
        <v>238</v>
      </c>
      <c r="DQ1237" s="5" t="s">
        <v>238</v>
      </c>
      <c r="DT1237" s="5" t="s">
        <v>1896</v>
      </c>
      <c r="DU1237" s="5" t="s">
        <v>274</v>
      </c>
      <c r="HM1237" s="5" t="s">
        <v>271</v>
      </c>
      <c r="HP1237" s="5" t="s">
        <v>272</v>
      </c>
      <c r="HQ1237" s="5" t="s">
        <v>272</v>
      </c>
    </row>
    <row r="1238" spans="1:238" x14ac:dyDescent="0.4">
      <c r="A1238" s="5">
        <v>1579</v>
      </c>
      <c r="B1238" s="5">
        <v>1</v>
      </c>
      <c r="C1238" s="5">
        <v>1</v>
      </c>
      <c r="D1238" s="5" t="s">
        <v>1893</v>
      </c>
      <c r="E1238" s="5" t="s">
        <v>338</v>
      </c>
      <c r="F1238" s="5" t="s">
        <v>282</v>
      </c>
      <c r="G1238" s="5" t="s">
        <v>2324</v>
      </c>
      <c r="H1238" s="6" t="s">
        <v>1895</v>
      </c>
      <c r="I1238" s="5" t="s">
        <v>2324</v>
      </c>
      <c r="J1238" s="7">
        <f>45.13</f>
        <v>45.13</v>
      </c>
      <c r="K1238" s="5" t="s">
        <v>270</v>
      </c>
      <c r="L1238" s="8">
        <f>1</f>
        <v>1</v>
      </c>
      <c r="M1238" s="8">
        <f>2707800</f>
        <v>2707800</v>
      </c>
      <c r="N1238" s="6" t="s">
        <v>1894</v>
      </c>
      <c r="O1238" s="5" t="s">
        <v>268</v>
      </c>
      <c r="P1238" s="5" t="s">
        <v>639</v>
      </c>
      <c r="R1238" s="8">
        <f>2707799</f>
        <v>2707799</v>
      </c>
      <c r="S1238" s="5" t="s">
        <v>240</v>
      </c>
      <c r="T1238" s="5" t="s">
        <v>237</v>
      </c>
      <c r="U1238" s="5" t="s">
        <v>238</v>
      </c>
      <c r="V1238" s="5" t="s">
        <v>238</v>
      </c>
      <c r="W1238" s="5" t="s">
        <v>241</v>
      </c>
      <c r="X1238" s="5" t="s">
        <v>337</v>
      </c>
      <c r="Y1238" s="5" t="s">
        <v>238</v>
      </c>
      <c r="AB1238" s="5" t="s">
        <v>238</v>
      </c>
      <c r="AD1238" s="6" t="s">
        <v>238</v>
      </c>
      <c r="AG1238" s="6" t="s">
        <v>246</v>
      </c>
      <c r="AH1238" s="5" t="s">
        <v>247</v>
      </c>
      <c r="AI1238" s="5" t="s">
        <v>248</v>
      </c>
      <c r="AY1238" s="5" t="s">
        <v>250</v>
      </c>
      <c r="AZ1238" s="5" t="s">
        <v>238</v>
      </c>
      <c r="BA1238" s="5" t="s">
        <v>251</v>
      </c>
      <c r="BB1238" s="5" t="s">
        <v>238</v>
      </c>
      <c r="BC1238" s="5" t="s">
        <v>253</v>
      </c>
      <c r="BD1238" s="5" t="s">
        <v>238</v>
      </c>
      <c r="BF1238" s="5" t="s">
        <v>238</v>
      </c>
      <c r="BH1238" s="5" t="s">
        <v>254</v>
      </c>
      <c r="BI1238" s="6" t="s">
        <v>246</v>
      </c>
      <c r="BJ1238" s="5" t="s">
        <v>255</v>
      </c>
      <c r="BK1238" s="5" t="s">
        <v>256</v>
      </c>
      <c r="BL1238" s="5" t="s">
        <v>238</v>
      </c>
      <c r="BM1238" s="7">
        <f>0</f>
        <v>0</v>
      </c>
      <c r="BN1238" s="8">
        <f>0</f>
        <v>0</v>
      </c>
      <c r="BO1238" s="5" t="s">
        <v>257</v>
      </c>
      <c r="BP1238" s="5" t="s">
        <v>258</v>
      </c>
      <c r="CD1238" s="5" t="s">
        <v>238</v>
      </c>
      <c r="CE1238" s="5" t="s">
        <v>238</v>
      </c>
      <c r="CI1238" s="5" t="s">
        <v>527</v>
      </c>
      <c r="CJ1238" s="5" t="s">
        <v>260</v>
      </c>
      <c r="CK1238" s="5" t="s">
        <v>238</v>
      </c>
      <c r="CM1238" s="5" t="s">
        <v>1095</v>
      </c>
      <c r="CN1238" s="6" t="s">
        <v>262</v>
      </c>
      <c r="CO1238" s="5" t="s">
        <v>263</v>
      </c>
      <c r="CP1238" s="5" t="s">
        <v>264</v>
      </c>
      <c r="CQ1238" s="5" t="s">
        <v>238</v>
      </c>
      <c r="CR1238" s="5" t="s">
        <v>238</v>
      </c>
      <c r="CS1238" s="5">
        <v>0</v>
      </c>
      <c r="CT1238" s="5" t="s">
        <v>265</v>
      </c>
      <c r="CU1238" s="5" t="s">
        <v>2321</v>
      </c>
      <c r="CV1238" s="5" t="s">
        <v>267</v>
      </c>
      <c r="CX1238" s="8">
        <f>2707800</f>
        <v>2707800</v>
      </c>
      <c r="CY1238" s="8">
        <f>0</f>
        <v>0</v>
      </c>
      <c r="DA1238" s="5" t="s">
        <v>238</v>
      </c>
      <c r="DB1238" s="5" t="s">
        <v>238</v>
      </c>
      <c r="DD1238" s="5" t="s">
        <v>238</v>
      </c>
      <c r="DG1238" s="5" t="s">
        <v>238</v>
      </c>
      <c r="DH1238" s="5" t="s">
        <v>238</v>
      </c>
      <c r="DI1238" s="5" t="s">
        <v>238</v>
      </c>
      <c r="DJ1238" s="5" t="s">
        <v>238</v>
      </c>
      <c r="DK1238" s="5" t="s">
        <v>271</v>
      </c>
      <c r="DL1238" s="5" t="s">
        <v>272</v>
      </c>
      <c r="DM1238" s="7">
        <f>45.13</f>
        <v>45.13</v>
      </c>
      <c r="DN1238" s="5" t="s">
        <v>238</v>
      </c>
      <c r="DO1238" s="5" t="s">
        <v>238</v>
      </c>
      <c r="DP1238" s="5" t="s">
        <v>238</v>
      </c>
      <c r="DQ1238" s="5" t="s">
        <v>238</v>
      </c>
      <c r="DT1238" s="5" t="s">
        <v>1896</v>
      </c>
      <c r="DU1238" s="5" t="s">
        <v>356</v>
      </c>
      <c r="HM1238" s="5" t="s">
        <v>271</v>
      </c>
      <c r="HP1238" s="5" t="s">
        <v>272</v>
      </c>
      <c r="HQ1238" s="5" t="s">
        <v>272</v>
      </c>
    </row>
    <row r="1239" spans="1:238" x14ac:dyDescent="0.4">
      <c r="A1239" s="5">
        <v>1580</v>
      </c>
      <c r="B1239" s="5">
        <v>1</v>
      </c>
      <c r="C1239" s="5">
        <v>4</v>
      </c>
      <c r="D1239" s="5" t="s">
        <v>1893</v>
      </c>
      <c r="E1239" s="5" t="s">
        <v>338</v>
      </c>
      <c r="F1239" s="5" t="s">
        <v>282</v>
      </c>
      <c r="G1239" s="5" t="s">
        <v>544</v>
      </c>
      <c r="H1239" s="6" t="s">
        <v>1895</v>
      </c>
      <c r="I1239" s="5" t="s">
        <v>2979</v>
      </c>
      <c r="J1239" s="7">
        <f>0</f>
        <v>0</v>
      </c>
      <c r="K1239" s="5" t="s">
        <v>270</v>
      </c>
      <c r="L1239" s="8">
        <f>465300</f>
        <v>465300</v>
      </c>
      <c r="M1239" s="8">
        <f>550000</f>
        <v>550000</v>
      </c>
      <c r="N1239" s="6" t="s">
        <v>572</v>
      </c>
      <c r="O1239" s="5" t="s">
        <v>319</v>
      </c>
      <c r="P1239" s="5" t="s">
        <v>272</v>
      </c>
      <c r="Q1239" s="8">
        <f>549999</f>
        <v>549999</v>
      </c>
      <c r="R1239" s="8">
        <f>84700</f>
        <v>84700</v>
      </c>
      <c r="S1239" s="5" t="s">
        <v>240</v>
      </c>
      <c r="T1239" s="5" t="s">
        <v>287</v>
      </c>
      <c r="U1239" s="5" t="s">
        <v>238</v>
      </c>
      <c r="V1239" s="5" t="s">
        <v>238</v>
      </c>
      <c r="W1239" s="5" t="s">
        <v>241</v>
      </c>
      <c r="X1239" s="5" t="s">
        <v>238</v>
      </c>
      <c r="Y1239" s="5" t="s">
        <v>238</v>
      </c>
      <c r="AB1239" s="5" t="s">
        <v>238</v>
      </c>
      <c r="AC1239" s="6" t="s">
        <v>238</v>
      </c>
      <c r="AD1239" s="6" t="s">
        <v>238</v>
      </c>
      <c r="AF1239" s="6" t="s">
        <v>238</v>
      </c>
      <c r="AG1239" s="6" t="s">
        <v>246</v>
      </c>
      <c r="AH1239" s="5" t="s">
        <v>247</v>
      </c>
      <c r="AI1239" s="5" t="s">
        <v>248</v>
      </c>
      <c r="AO1239" s="5" t="s">
        <v>238</v>
      </c>
      <c r="AP1239" s="5" t="s">
        <v>238</v>
      </c>
      <c r="AQ1239" s="5" t="s">
        <v>238</v>
      </c>
      <c r="AR1239" s="6" t="s">
        <v>238</v>
      </c>
      <c r="AS1239" s="6" t="s">
        <v>238</v>
      </c>
      <c r="AT1239" s="6" t="s">
        <v>238</v>
      </c>
      <c r="AW1239" s="5" t="s">
        <v>304</v>
      </c>
      <c r="AX1239" s="5" t="s">
        <v>304</v>
      </c>
      <c r="AY1239" s="5" t="s">
        <v>250</v>
      </c>
      <c r="AZ1239" s="5" t="s">
        <v>305</v>
      </c>
      <c r="BA1239" s="5" t="s">
        <v>251</v>
      </c>
      <c r="BB1239" s="5" t="s">
        <v>238</v>
      </c>
      <c r="BC1239" s="5" t="s">
        <v>253</v>
      </c>
      <c r="BD1239" s="5" t="s">
        <v>238</v>
      </c>
      <c r="BF1239" s="5" t="s">
        <v>238</v>
      </c>
      <c r="BH1239" s="5" t="s">
        <v>283</v>
      </c>
      <c r="BI1239" s="6" t="s">
        <v>293</v>
      </c>
      <c r="BJ1239" s="5" t="s">
        <v>294</v>
      </c>
      <c r="BK1239" s="5" t="s">
        <v>294</v>
      </c>
      <c r="BL1239" s="5" t="s">
        <v>238</v>
      </c>
      <c r="BM1239" s="7">
        <f>0</f>
        <v>0</v>
      </c>
      <c r="BN1239" s="8">
        <f>-42350</f>
        <v>-42350</v>
      </c>
      <c r="BO1239" s="5" t="s">
        <v>257</v>
      </c>
      <c r="BP1239" s="5" t="s">
        <v>258</v>
      </c>
      <c r="BQ1239" s="5" t="s">
        <v>238</v>
      </c>
      <c r="BR1239" s="5" t="s">
        <v>238</v>
      </c>
      <c r="BS1239" s="5" t="s">
        <v>238</v>
      </c>
      <c r="BT1239" s="5" t="s">
        <v>238</v>
      </c>
      <c r="CC1239" s="5" t="s">
        <v>258</v>
      </c>
      <c r="CD1239" s="5" t="s">
        <v>238</v>
      </c>
      <c r="CE1239" s="5" t="s">
        <v>238</v>
      </c>
      <c r="CI1239" s="5" t="s">
        <v>259</v>
      </c>
      <c r="CJ1239" s="5" t="s">
        <v>260</v>
      </c>
      <c r="CK1239" s="5" t="s">
        <v>238</v>
      </c>
      <c r="CM1239" s="5" t="s">
        <v>408</v>
      </c>
      <c r="CN1239" s="6" t="s">
        <v>262</v>
      </c>
      <c r="CO1239" s="5" t="s">
        <v>263</v>
      </c>
      <c r="CP1239" s="5" t="s">
        <v>264</v>
      </c>
      <c r="CQ1239" s="5" t="s">
        <v>285</v>
      </c>
      <c r="CR1239" s="5" t="s">
        <v>238</v>
      </c>
      <c r="CS1239" s="5">
        <v>7.6999999999999999E-2</v>
      </c>
      <c r="CT1239" s="5" t="s">
        <v>265</v>
      </c>
      <c r="CU1239" s="5" t="s">
        <v>351</v>
      </c>
      <c r="CV1239" s="5" t="s">
        <v>352</v>
      </c>
      <c r="CW1239" s="7">
        <f>0</f>
        <v>0</v>
      </c>
      <c r="CX1239" s="8">
        <f>550000</f>
        <v>550000</v>
      </c>
      <c r="CY1239" s="8">
        <f>507650</f>
        <v>507650</v>
      </c>
      <c r="DA1239" s="5" t="s">
        <v>238</v>
      </c>
      <c r="DB1239" s="5" t="s">
        <v>238</v>
      </c>
      <c r="DD1239" s="5" t="s">
        <v>238</v>
      </c>
      <c r="DE1239" s="8">
        <f>0</f>
        <v>0</v>
      </c>
      <c r="DG1239" s="5" t="s">
        <v>238</v>
      </c>
      <c r="DH1239" s="5" t="s">
        <v>238</v>
      </c>
      <c r="DI1239" s="5" t="s">
        <v>238</v>
      </c>
      <c r="DJ1239" s="5" t="s">
        <v>238</v>
      </c>
      <c r="DK1239" s="5" t="s">
        <v>272</v>
      </c>
      <c r="DL1239" s="5" t="s">
        <v>272</v>
      </c>
      <c r="DM1239" s="8" t="s">
        <v>238</v>
      </c>
      <c r="DN1239" s="5" t="s">
        <v>238</v>
      </c>
      <c r="DO1239" s="5" t="s">
        <v>238</v>
      </c>
      <c r="DP1239" s="5" t="s">
        <v>238</v>
      </c>
      <c r="DQ1239" s="5" t="s">
        <v>238</v>
      </c>
      <c r="DT1239" s="5" t="s">
        <v>1896</v>
      </c>
      <c r="DU1239" s="5" t="s">
        <v>310</v>
      </c>
      <c r="GL1239" s="5" t="s">
        <v>2980</v>
      </c>
      <c r="HM1239" s="5" t="s">
        <v>274</v>
      </c>
      <c r="HP1239" s="5" t="s">
        <v>272</v>
      </c>
      <c r="HQ1239" s="5" t="s">
        <v>272</v>
      </c>
      <c r="HR1239" s="5" t="s">
        <v>238</v>
      </c>
      <c r="HS1239" s="5" t="s">
        <v>238</v>
      </c>
      <c r="HT1239" s="5" t="s">
        <v>238</v>
      </c>
      <c r="HU1239" s="5" t="s">
        <v>238</v>
      </c>
      <c r="HV1239" s="5" t="s">
        <v>238</v>
      </c>
      <c r="HW1239" s="5" t="s">
        <v>238</v>
      </c>
      <c r="HX1239" s="5" t="s">
        <v>238</v>
      </c>
      <c r="HY1239" s="5" t="s">
        <v>238</v>
      </c>
      <c r="HZ1239" s="5" t="s">
        <v>238</v>
      </c>
      <c r="IA1239" s="5" t="s">
        <v>238</v>
      </c>
      <c r="IB1239" s="5" t="s">
        <v>238</v>
      </c>
      <c r="IC1239" s="5" t="s">
        <v>238</v>
      </c>
      <c r="ID1239" s="5" t="s">
        <v>238</v>
      </c>
    </row>
    <row r="1240" spans="1:238" x14ac:dyDescent="0.4">
      <c r="A1240" s="5">
        <v>1581</v>
      </c>
      <c r="B1240" s="5">
        <v>1</v>
      </c>
      <c r="C1240" s="5">
        <v>1</v>
      </c>
      <c r="D1240" s="5" t="s">
        <v>967</v>
      </c>
      <c r="E1240" s="5" t="s">
        <v>338</v>
      </c>
      <c r="F1240" s="5" t="s">
        <v>282</v>
      </c>
      <c r="G1240" s="5" t="s">
        <v>239</v>
      </c>
      <c r="H1240" s="6" t="s">
        <v>969</v>
      </c>
      <c r="I1240" s="5" t="s">
        <v>239</v>
      </c>
      <c r="J1240" s="7">
        <f>33.12</f>
        <v>33.119999999999997</v>
      </c>
      <c r="K1240" s="5" t="s">
        <v>270</v>
      </c>
      <c r="L1240" s="8">
        <f>1</f>
        <v>1</v>
      </c>
      <c r="M1240" s="8">
        <f>1987200</f>
        <v>1987200</v>
      </c>
      <c r="N1240" s="6" t="s">
        <v>968</v>
      </c>
      <c r="O1240" s="5" t="s">
        <v>651</v>
      </c>
      <c r="P1240" s="5" t="s">
        <v>971</v>
      </c>
      <c r="R1240" s="8">
        <f>1987199</f>
        <v>1987199</v>
      </c>
      <c r="S1240" s="5" t="s">
        <v>240</v>
      </c>
      <c r="T1240" s="5" t="s">
        <v>237</v>
      </c>
      <c r="U1240" s="5" t="s">
        <v>238</v>
      </c>
      <c r="V1240" s="5" t="s">
        <v>238</v>
      </c>
      <c r="W1240" s="5" t="s">
        <v>241</v>
      </c>
      <c r="X1240" s="5" t="s">
        <v>951</v>
      </c>
      <c r="Y1240" s="5" t="s">
        <v>238</v>
      </c>
      <c r="AB1240" s="5" t="s">
        <v>238</v>
      </c>
      <c r="AD1240" s="6" t="s">
        <v>238</v>
      </c>
      <c r="AG1240" s="6" t="s">
        <v>246</v>
      </c>
      <c r="AH1240" s="5" t="s">
        <v>247</v>
      </c>
      <c r="AI1240" s="5" t="s">
        <v>248</v>
      </c>
      <c r="AY1240" s="5" t="s">
        <v>250</v>
      </c>
      <c r="AZ1240" s="5" t="s">
        <v>238</v>
      </c>
      <c r="BA1240" s="5" t="s">
        <v>251</v>
      </c>
      <c r="BB1240" s="5" t="s">
        <v>238</v>
      </c>
      <c r="BC1240" s="5" t="s">
        <v>253</v>
      </c>
      <c r="BD1240" s="5" t="s">
        <v>238</v>
      </c>
      <c r="BF1240" s="5" t="s">
        <v>238</v>
      </c>
      <c r="BH1240" s="5" t="s">
        <v>254</v>
      </c>
      <c r="BI1240" s="6" t="s">
        <v>246</v>
      </c>
      <c r="BJ1240" s="5" t="s">
        <v>255</v>
      </c>
      <c r="BK1240" s="5" t="s">
        <v>256</v>
      </c>
      <c r="BL1240" s="5" t="s">
        <v>238</v>
      </c>
      <c r="BM1240" s="7">
        <f>0</f>
        <v>0</v>
      </c>
      <c r="BN1240" s="8">
        <f>0</f>
        <v>0</v>
      </c>
      <c r="BO1240" s="5" t="s">
        <v>257</v>
      </c>
      <c r="BP1240" s="5" t="s">
        <v>258</v>
      </c>
      <c r="CD1240" s="5" t="s">
        <v>238</v>
      </c>
      <c r="CE1240" s="5" t="s">
        <v>238</v>
      </c>
      <c r="CI1240" s="5" t="s">
        <v>527</v>
      </c>
      <c r="CJ1240" s="5" t="s">
        <v>260</v>
      </c>
      <c r="CK1240" s="5" t="s">
        <v>238</v>
      </c>
      <c r="CM1240" s="5" t="s">
        <v>970</v>
      </c>
      <c r="CN1240" s="6" t="s">
        <v>262</v>
      </c>
      <c r="CO1240" s="5" t="s">
        <v>263</v>
      </c>
      <c r="CP1240" s="5" t="s">
        <v>264</v>
      </c>
      <c r="CQ1240" s="5" t="s">
        <v>238</v>
      </c>
      <c r="CR1240" s="5" t="s">
        <v>238</v>
      </c>
      <c r="CS1240" s="5">
        <v>0</v>
      </c>
      <c r="CT1240" s="5" t="s">
        <v>265</v>
      </c>
      <c r="CU1240" s="5" t="s">
        <v>266</v>
      </c>
      <c r="CV1240" s="5" t="s">
        <v>331</v>
      </c>
      <c r="CX1240" s="8">
        <f>1987200</f>
        <v>1987200</v>
      </c>
      <c r="CY1240" s="8">
        <f>0</f>
        <v>0</v>
      </c>
      <c r="DA1240" s="5" t="s">
        <v>238</v>
      </c>
      <c r="DB1240" s="5" t="s">
        <v>238</v>
      </c>
      <c r="DD1240" s="5" t="s">
        <v>238</v>
      </c>
      <c r="DG1240" s="5" t="s">
        <v>238</v>
      </c>
      <c r="DH1240" s="5" t="s">
        <v>238</v>
      </c>
      <c r="DI1240" s="5" t="s">
        <v>238</v>
      </c>
      <c r="DJ1240" s="5" t="s">
        <v>238</v>
      </c>
      <c r="DK1240" s="5" t="s">
        <v>271</v>
      </c>
      <c r="DL1240" s="5" t="s">
        <v>272</v>
      </c>
      <c r="DM1240" s="7">
        <f>33.12</f>
        <v>33.119999999999997</v>
      </c>
      <c r="DN1240" s="5" t="s">
        <v>238</v>
      </c>
      <c r="DO1240" s="5" t="s">
        <v>238</v>
      </c>
      <c r="DP1240" s="5" t="s">
        <v>238</v>
      </c>
      <c r="DQ1240" s="5" t="s">
        <v>238</v>
      </c>
      <c r="DT1240" s="5" t="s">
        <v>972</v>
      </c>
      <c r="DU1240" s="5" t="s">
        <v>271</v>
      </c>
      <c r="HM1240" s="5" t="s">
        <v>271</v>
      </c>
      <c r="HP1240" s="5" t="s">
        <v>272</v>
      </c>
      <c r="HQ1240" s="5" t="s">
        <v>272</v>
      </c>
    </row>
    <row r="1241" spans="1:238" x14ac:dyDescent="0.4">
      <c r="A1241" s="5">
        <v>1582</v>
      </c>
      <c r="B1241" s="5">
        <v>1</v>
      </c>
      <c r="C1241" s="5">
        <v>4</v>
      </c>
      <c r="D1241" s="5" t="s">
        <v>967</v>
      </c>
      <c r="E1241" s="5" t="s">
        <v>338</v>
      </c>
      <c r="F1241" s="5" t="s">
        <v>282</v>
      </c>
      <c r="G1241" s="5" t="s">
        <v>2283</v>
      </c>
      <c r="H1241" s="6" t="s">
        <v>969</v>
      </c>
      <c r="I1241" s="5" t="s">
        <v>2282</v>
      </c>
      <c r="J1241" s="7">
        <f>650.6</f>
        <v>650.6</v>
      </c>
      <c r="K1241" s="5" t="s">
        <v>270</v>
      </c>
      <c r="L1241" s="8">
        <f>12786738</f>
        <v>12786738</v>
      </c>
      <c r="M1241" s="8">
        <f>99122000</f>
        <v>99122000</v>
      </c>
      <c r="N1241" s="6" t="s">
        <v>731</v>
      </c>
      <c r="O1241" s="5" t="s">
        <v>268</v>
      </c>
      <c r="P1241" s="5" t="s">
        <v>371</v>
      </c>
      <c r="Q1241" s="8">
        <f>6641174</f>
        <v>6641174</v>
      </c>
      <c r="R1241" s="8">
        <f>86335262</f>
        <v>86335262</v>
      </c>
      <c r="S1241" s="5" t="s">
        <v>240</v>
      </c>
      <c r="T1241" s="5" t="s">
        <v>237</v>
      </c>
      <c r="U1241" s="5" t="s">
        <v>238</v>
      </c>
      <c r="V1241" s="5" t="s">
        <v>238</v>
      </c>
      <c r="W1241" s="5" t="s">
        <v>241</v>
      </c>
      <c r="X1241" s="5" t="s">
        <v>951</v>
      </c>
      <c r="Y1241" s="5" t="s">
        <v>238</v>
      </c>
      <c r="AB1241" s="5" t="s">
        <v>238</v>
      </c>
      <c r="AC1241" s="6" t="s">
        <v>238</v>
      </c>
      <c r="AD1241" s="6" t="s">
        <v>238</v>
      </c>
      <c r="AF1241" s="6" t="s">
        <v>238</v>
      </c>
      <c r="AG1241" s="6" t="s">
        <v>246</v>
      </c>
      <c r="AH1241" s="5" t="s">
        <v>247</v>
      </c>
      <c r="AI1241" s="5" t="s">
        <v>248</v>
      </c>
      <c r="AO1241" s="5" t="s">
        <v>238</v>
      </c>
      <c r="AP1241" s="5" t="s">
        <v>238</v>
      </c>
      <c r="AQ1241" s="5" t="s">
        <v>238</v>
      </c>
      <c r="AR1241" s="6" t="s">
        <v>238</v>
      </c>
      <c r="AS1241" s="6" t="s">
        <v>238</v>
      </c>
      <c r="AT1241" s="6" t="s">
        <v>238</v>
      </c>
      <c r="AW1241" s="5" t="s">
        <v>304</v>
      </c>
      <c r="AX1241" s="5" t="s">
        <v>304</v>
      </c>
      <c r="AY1241" s="5" t="s">
        <v>250</v>
      </c>
      <c r="AZ1241" s="5" t="s">
        <v>305</v>
      </c>
      <c r="BA1241" s="5" t="s">
        <v>251</v>
      </c>
      <c r="BB1241" s="5" t="s">
        <v>238</v>
      </c>
      <c r="BC1241" s="5" t="s">
        <v>253</v>
      </c>
      <c r="BD1241" s="5" t="s">
        <v>238</v>
      </c>
      <c r="BF1241" s="5" t="s">
        <v>238</v>
      </c>
      <c r="BH1241" s="5" t="s">
        <v>283</v>
      </c>
      <c r="BI1241" s="6" t="s">
        <v>293</v>
      </c>
      <c r="BJ1241" s="5" t="s">
        <v>294</v>
      </c>
      <c r="BK1241" s="5" t="s">
        <v>294</v>
      </c>
      <c r="BL1241" s="5" t="s">
        <v>238</v>
      </c>
      <c r="BM1241" s="7">
        <f>0</f>
        <v>0</v>
      </c>
      <c r="BN1241" s="8">
        <f>-6641174</f>
        <v>-6641174</v>
      </c>
      <c r="BO1241" s="5" t="s">
        <v>257</v>
      </c>
      <c r="BP1241" s="5" t="s">
        <v>258</v>
      </c>
      <c r="BQ1241" s="5" t="s">
        <v>238</v>
      </c>
      <c r="BR1241" s="5" t="s">
        <v>238</v>
      </c>
      <c r="BS1241" s="5" t="s">
        <v>238</v>
      </c>
      <c r="BT1241" s="5" t="s">
        <v>238</v>
      </c>
      <c r="CC1241" s="5" t="s">
        <v>258</v>
      </c>
      <c r="CD1241" s="5" t="s">
        <v>238</v>
      </c>
      <c r="CE1241" s="5" t="s">
        <v>238</v>
      </c>
      <c r="CI1241" s="5" t="s">
        <v>259</v>
      </c>
      <c r="CJ1241" s="5" t="s">
        <v>260</v>
      </c>
      <c r="CK1241" s="5" t="s">
        <v>238</v>
      </c>
      <c r="CM1241" s="5" t="s">
        <v>732</v>
      </c>
      <c r="CN1241" s="6" t="s">
        <v>262</v>
      </c>
      <c r="CO1241" s="5" t="s">
        <v>263</v>
      </c>
      <c r="CP1241" s="5" t="s">
        <v>264</v>
      </c>
      <c r="CQ1241" s="5" t="s">
        <v>285</v>
      </c>
      <c r="CR1241" s="5" t="s">
        <v>238</v>
      </c>
      <c r="CS1241" s="5">
        <v>6.7000000000000004E-2</v>
      </c>
      <c r="CT1241" s="5" t="s">
        <v>265</v>
      </c>
      <c r="CU1241" s="5" t="s">
        <v>2254</v>
      </c>
      <c r="CV1241" s="5" t="s">
        <v>267</v>
      </c>
      <c r="CW1241" s="7">
        <f>0</f>
        <v>0</v>
      </c>
      <c r="CX1241" s="8">
        <f>99122000</f>
        <v>99122000</v>
      </c>
      <c r="CY1241" s="8">
        <f>19427912</f>
        <v>19427912</v>
      </c>
      <c r="DA1241" s="5" t="s">
        <v>238</v>
      </c>
      <c r="DB1241" s="5" t="s">
        <v>238</v>
      </c>
      <c r="DD1241" s="5" t="s">
        <v>238</v>
      </c>
      <c r="DE1241" s="8">
        <f>0</f>
        <v>0</v>
      </c>
      <c r="DG1241" s="5" t="s">
        <v>238</v>
      </c>
      <c r="DH1241" s="5" t="s">
        <v>238</v>
      </c>
      <c r="DI1241" s="5" t="s">
        <v>238</v>
      </c>
      <c r="DJ1241" s="5" t="s">
        <v>238</v>
      </c>
      <c r="DK1241" s="5" t="s">
        <v>271</v>
      </c>
      <c r="DL1241" s="5" t="s">
        <v>272</v>
      </c>
      <c r="DM1241" s="7">
        <f>650.6</f>
        <v>650.6</v>
      </c>
      <c r="DN1241" s="5" t="s">
        <v>238</v>
      </c>
      <c r="DO1241" s="5" t="s">
        <v>238</v>
      </c>
      <c r="DP1241" s="5" t="s">
        <v>238</v>
      </c>
      <c r="DQ1241" s="5" t="s">
        <v>238</v>
      </c>
      <c r="DT1241" s="5" t="s">
        <v>972</v>
      </c>
      <c r="DU1241" s="5" t="s">
        <v>274</v>
      </c>
      <c r="GL1241" s="5" t="s">
        <v>2284</v>
      </c>
      <c r="HM1241" s="5" t="s">
        <v>313</v>
      </c>
      <c r="HP1241" s="5" t="s">
        <v>272</v>
      </c>
      <c r="HQ1241" s="5" t="s">
        <v>272</v>
      </c>
      <c r="HR1241" s="5" t="s">
        <v>238</v>
      </c>
      <c r="HS1241" s="5" t="s">
        <v>238</v>
      </c>
      <c r="HT1241" s="5" t="s">
        <v>238</v>
      </c>
      <c r="HU1241" s="5" t="s">
        <v>238</v>
      </c>
      <c r="HV1241" s="5" t="s">
        <v>238</v>
      </c>
      <c r="HW1241" s="5" t="s">
        <v>238</v>
      </c>
      <c r="HX1241" s="5" t="s">
        <v>238</v>
      </c>
      <c r="HY1241" s="5" t="s">
        <v>238</v>
      </c>
      <c r="HZ1241" s="5" t="s">
        <v>238</v>
      </c>
      <c r="IA1241" s="5" t="s">
        <v>238</v>
      </c>
      <c r="IB1241" s="5" t="s">
        <v>238</v>
      </c>
      <c r="IC1241" s="5" t="s">
        <v>238</v>
      </c>
      <c r="ID1241" s="5" t="s">
        <v>238</v>
      </c>
    </row>
    <row r="1242" spans="1:238" x14ac:dyDescent="0.4">
      <c r="A1242" s="5">
        <v>1583</v>
      </c>
      <c r="B1242" s="5">
        <v>1</v>
      </c>
      <c r="C1242" s="5">
        <v>1</v>
      </c>
      <c r="D1242" s="5" t="s">
        <v>1388</v>
      </c>
      <c r="E1242" s="5" t="s">
        <v>440</v>
      </c>
      <c r="F1242" s="5" t="s">
        <v>282</v>
      </c>
      <c r="G1242" s="5" t="s">
        <v>1309</v>
      </c>
      <c r="H1242" s="6" t="s">
        <v>1390</v>
      </c>
      <c r="I1242" s="5" t="s">
        <v>1309</v>
      </c>
      <c r="J1242" s="7">
        <f>58.52</f>
        <v>58.52</v>
      </c>
      <c r="K1242" s="5" t="s">
        <v>270</v>
      </c>
      <c r="L1242" s="8">
        <f>1</f>
        <v>1</v>
      </c>
      <c r="M1242" s="8">
        <f>20716080</f>
        <v>20716080</v>
      </c>
      <c r="N1242" s="6" t="s">
        <v>1389</v>
      </c>
      <c r="O1242" s="5" t="s">
        <v>268</v>
      </c>
      <c r="P1242" s="5" t="s">
        <v>658</v>
      </c>
      <c r="R1242" s="8">
        <f>20716079</f>
        <v>20716079</v>
      </c>
      <c r="S1242" s="5" t="s">
        <v>240</v>
      </c>
      <c r="T1242" s="5" t="s">
        <v>237</v>
      </c>
      <c r="U1242" s="5" t="s">
        <v>238</v>
      </c>
      <c r="V1242" s="5" t="s">
        <v>238</v>
      </c>
      <c r="W1242" s="5" t="s">
        <v>241</v>
      </c>
      <c r="X1242" s="5" t="s">
        <v>951</v>
      </c>
      <c r="Y1242" s="5" t="s">
        <v>238</v>
      </c>
      <c r="AB1242" s="5" t="s">
        <v>238</v>
      </c>
      <c r="AD1242" s="6" t="s">
        <v>238</v>
      </c>
      <c r="AG1242" s="6" t="s">
        <v>246</v>
      </c>
      <c r="AH1242" s="5" t="s">
        <v>247</v>
      </c>
      <c r="AI1242" s="5" t="s">
        <v>248</v>
      </c>
      <c r="AY1242" s="5" t="s">
        <v>250</v>
      </c>
      <c r="AZ1242" s="5" t="s">
        <v>238</v>
      </c>
      <c r="BA1242" s="5" t="s">
        <v>251</v>
      </c>
      <c r="BB1242" s="5" t="s">
        <v>238</v>
      </c>
      <c r="BC1242" s="5" t="s">
        <v>253</v>
      </c>
      <c r="BD1242" s="5" t="s">
        <v>238</v>
      </c>
      <c r="BF1242" s="5" t="s">
        <v>238</v>
      </c>
      <c r="BH1242" s="5" t="s">
        <v>254</v>
      </c>
      <c r="BI1242" s="6" t="s">
        <v>246</v>
      </c>
      <c r="BJ1242" s="5" t="s">
        <v>255</v>
      </c>
      <c r="BK1242" s="5" t="s">
        <v>256</v>
      </c>
      <c r="BL1242" s="5" t="s">
        <v>238</v>
      </c>
      <c r="BM1242" s="7">
        <f>0</f>
        <v>0</v>
      </c>
      <c r="BN1242" s="8">
        <f>0</f>
        <v>0</v>
      </c>
      <c r="BO1242" s="5" t="s">
        <v>257</v>
      </c>
      <c r="BP1242" s="5" t="s">
        <v>258</v>
      </c>
      <c r="CD1242" s="5" t="s">
        <v>238</v>
      </c>
      <c r="CE1242" s="5" t="s">
        <v>238</v>
      </c>
      <c r="CI1242" s="5" t="s">
        <v>259</v>
      </c>
      <c r="CJ1242" s="5" t="s">
        <v>260</v>
      </c>
      <c r="CK1242" s="5" t="s">
        <v>238</v>
      </c>
      <c r="CM1242" s="5" t="s">
        <v>648</v>
      </c>
      <c r="CN1242" s="6" t="s">
        <v>262</v>
      </c>
      <c r="CO1242" s="5" t="s">
        <v>263</v>
      </c>
      <c r="CP1242" s="5" t="s">
        <v>264</v>
      </c>
      <c r="CQ1242" s="5" t="s">
        <v>238</v>
      </c>
      <c r="CR1242" s="5" t="s">
        <v>238</v>
      </c>
      <c r="CS1242" s="5">
        <v>0</v>
      </c>
      <c r="CT1242" s="5" t="s">
        <v>265</v>
      </c>
      <c r="CU1242" s="5" t="s">
        <v>1342</v>
      </c>
      <c r="CV1242" s="5" t="s">
        <v>267</v>
      </c>
      <c r="CX1242" s="8">
        <f>20716080</f>
        <v>20716080</v>
      </c>
      <c r="CY1242" s="8">
        <f>0</f>
        <v>0</v>
      </c>
      <c r="DA1242" s="5" t="s">
        <v>238</v>
      </c>
      <c r="DB1242" s="5" t="s">
        <v>238</v>
      </c>
      <c r="DD1242" s="5" t="s">
        <v>238</v>
      </c>
      <c r="DG1242" s="5" t="s">
        <v>238</v>
      </c>
      <c r="DH1242" s="5" t="s">
        <v>238</v>
      </c>
      <c r="DI1242" s="5" t="s">
        <v>238</v>
      </c>
      <c r="DJ1242" s="5" t="s">
        <v>238</v>
      </c>
      <c r="DK1242" s="5" t="s">
        <v>271</v>
      </c>
      <c r="DL1242" s="5" t="s">
        <v>272</v>
      </c>
      <c r="DM1242" s="7">
        <f>58.52</f>
        <v>58.52</v>
      </c>
      <c r="DN1242" s="5" t="s">
        <v>238</v>
      </c>
      <c r="DO1242" s="5" t="s">
        <v>238</v>
      </c>
      <c r="DP1242" s="5" t="s">
        <v>238</v>
      </c>
      <c r="DQ1242" s="5" t="s">
        <v>238</v>
      </c>
      <c r="DT1242" s="5" t="s">
        <v>1391</v>
      </c>
      <c r="DU1242" s="5" t="s">
        <v>271</v>
      </c>
      <c r="HM1242" s="5" t="s">
        <v>271</v>
      </c>
      <c r="HP1242" s="5" t="s">
        <v>272</v>
      </c>
      <c r="HQ1242" s="5" t="s">
        <v>272</v>
      </c>
    </row>
    <row r="1243" spans="1:238" x14ac:dyDescent="0.4">
      <c r="A1243" s="5">
        <v>1584</v>
      </c>
      <c r="B1243" s="5">
        <v>1</v>
      </c>
      <c r="C1243" s="5">
        <v>1</v>
      </c>
      <c r="D1243" s="5" t="s">
        <v>1388</v>
      </c>
      <c r="E1243" s="5" t="s">
        <v>440</v>
      </c>
      <c r="F1243" s="5" t="s">
        <v>282</v>
      </c>
      <c r="G1243" s="5" t="s">
        <v>1387</v>
      </c>
      <c r="H1243" s="6" t="s">
        <v>1390</v>
      </c>
      <c r="I1243" s="5" t="s">
        <v>1387</v>
      </c>
      <c r="J1243" s="7">
        <f>316.8</f>
        <v>316.8</v>
      </c>
      <c r="K1243" s="5" t="s">
        <v>270</v>
      </c>
      <c r="L1243" s="8">
        <f>1</f>
        <v>1</v>
      </c>
      <c r="M1243" s="8">
        <f>76348800</f>
        <v>76348800</v>
      </c>
      <c r="N1243" s="6" t="s">
        <v>1389</v>
      </c>
      <c r="O1243" s="5" t="s">
        <v>651</v>
      </c>
      <c r="P1243" s="5" t="s">
        <v>651</v>
      </c>
      <c r="R1243" s="8">
        <f>76348799</f>
        <v>76348799</v>
      </c>
      <c r="S1243" s="5" t="s">
        <v>240</v>
      </c>
      <c r="T1243" s="5" t="s">
        <v>237</v>
      </c>
      <c r="U1243" s="5" t="s">
        <v>238</v>
      </c>
      <c r="V1243" s="5" t="s">
        <v>238</v>
      </c>
      <c r="W1243" s="5" t="s">
        <v>241</v>
      </c>
      <c r="X1243" s="5" t="s">
        <v>951</v>
      </c>
      <c r="Y1243" s="5" t="s">
        <v>238</v>
      </c>
      <c r="AB1243" s="5" t="s">
        <v>238</v>
      </c>
      <c r="AD1243" s="6" t="s">
        <v>238</v>
      </c>
      <c r="AG1243" s="6" t="s">
        <v>246</v>
      </c>
      <c r="AH1243" s="5" t="s">
        <v>247</v>
      </c>
      <c r="AI1243" s="5" t="s">
        <v>248</v>
      </c>
      <c r="AY1243" s="5" t="s">
        <v>250</v>
      </c>
      <c r="AZ1243" s="5" t="s">
        <v>238</v>
      </c>
      <c r="BA1243" s="5" t="s">
        <v>251</v>
      </c>
      <c r="BB1243" s="5" t="s">
        <v>238</v>
      </c>
      <c r="BC1243" s="5" t="s">
        <v>253</v>
      </c>
      <c r="BD1243" s="5" t="s">
        <v>238</v>
      </c>
      <c r="BF1243" s="5" t="s">
        <v>238</v>
      </c>
      <c r="BH1243" s="5" t="s">
        <v>254</v>
      </c>
      <c r="BI1243" s="6" t="s">
        <v>246</v>
      </c>
      <c r="BJ1243" s="5" t="s">
        <v>255</v>
      </c>
      <c r="BK1243" s="5" t="s">
        <v>294</v>
      </c>
      <c r="BL1243" s="5" t="s">
        <v>238</v>
      </c>
      <c r="BM1243" s="7">
        <f>0</f>
        <v>0</v>
      </c>
      <c r="BN1243" s="8">
        <f>0</f>
        <v>0</v>
      </c>
      <c r="BO1243" s="5" t="s">
        <v>257</v>
      </c>
      <c r="BP1243" s="5" t="s">
        <v>258</v>
      </c>
      <c r="CD1243" s="5" t="s">
        <v>238</v>
      </c>
      <c r="CE1243" s="5" t="s">
        <v>238</v>
      </c>
      <c r="CI1243" s="5" t="s">
        <v>259</v>
      </c>
      <c r="CJ1243" s="5" t="s">
        <v>260</v>
      </c>
      <c r="CK1243" s="5" t="s">
        <v>238</v>
      </c>
      <c r="CM1243" s="5" t="s">
        <v>648</v>
      </c>
      <c r="CN1243" s="6" t="s">
        <v>262</v>
      </c>
      <c r="CO1243" s="5" t="s">
        <v>263</v>
      </c>
      <c r="CP1243" s="5" t="s">
        <v>264</v>
      </c>
      <c r="CQ1243" s="5" t="s">
        <v>238</v>
      </c>
      <c r="CR1243" s="5" t="s">
        <v>238</v>
      </c>
      <c r="CS1243" s="5">
        <v>0</v>
      </c>
      <c r="CT1243" s="5" t="s">
        <v>265</v>
      </c>
      <c r="CU1243" s="5" t="s">
        <v>1325</v>
      </c>
      <c r="CV1243" s="5" t="s">
        <v>267</v>
      </c>
      <c r="CX1243" s="8">
        <f>76348800</f>
        <v>76348800</v>
      </c>
      <c r="CY1243" s="8">
        <f>0</f>
        <v>0</v>
      </c>
      <c r="DA1243" s="5" t="s">
        <v>238</v>
      </c>
      <c r="DB1243" s="5" t="s">
        <v>238</v>
      </c>
      <c r="DD1243" s="5" t="s">
        <v>238</v>
      </c>
      <c r="DG1243" s="5" t="s">
        <v>238</v>
      </c>
      <c r="DH1243" s="5" t="s">
        <v>238</v>
      </c>
      <c r="DI1243" s="5" t="s">
        <v>238</v>
      </c>
      <c r="DJ1243" s="5" t="s">
        <v>238</v>
      </c>
      <c r="DK1243" s="5" t="s">
        <v>271</v>
      </c>
      <c r="DL1243" s="5" t="s">
        <v>272</v>
      </c>
      <c r="DM1243" s="7">
        <f>316.8</f>
        <v>316.8</v>
      </c>
      <c r="DN1243" s="5" t="s">
        <v>238</v>
      </c>
      <c r="DO1243" s="5" t="s">
        <v>238</v>
      </c>
      <c r="DP1243" s="5" t="s">
        <v>238</v>
      </c>
      <c r="DQ1243" s="5" t="s">
        <v>238</v>
      </c>
      <c r="DT1243" s="5" t="s">
        <v>1391</v>
      </c>
      <c r="DU1243" s="5" t="s">
        <v>274</v>
      </c>
      <c r="HM1243" s="5" t="s">
        <v>313</v>
      </c>
      <c r="HP1243" s="5" t="s">
        <v>272</v>
      </c>
      <c r="HQ1243" s="5" t="s">
        <v>272</v>
      </c>
    </row>
    <row r="1244" spans="1:238" x14ac:dyDescent="0.4">
      <c r="A1244" s="5">
        <v>1585</v>
      </c>
      <c r="B1244" s="5">
        <v>1</v>
      </c>
      <c r="C1244" s="5">
        <v>1</v>
      </c>
      <c r="D1244" s="5" t="s">
        <v>1388</v>
      </c>
      <c r="E1244" s="5" t="s">
        <v>440</v>
      </c>
      <c r="F1244" s="5" t="s">
        <v>282</v>
      </c>
      <c r="G1244" s="5" t="s">
        <v>1309</v>
      </c>
      <c r="H1244" s="6" t="s">
        <v>1390</v>
      </c>
      <c r="I1244" s="5" t="s">
        <v>1309</v>
      </c>
      <c r="J1244" s="7">
        <f>14.6</f>
        <v>14.6</v>
      </c>
      <c r="K1244" s="5" t="s">
        <v>270</v>
      </c>
      <c r="L1244" s="8">
        <f>1</f>
        <v>1</v>
      </c>
      <c r="M1244" s="8">
        <f>10424400</f>
        <v>10424400</v>
      </c>
      <c r="N1244" s="6" t="s">
        <v>1389</v>
      </c>
      <c r="O1244" s="5" t="s">
        <v>268</v>
      </c>
      <c r="P1244" s="5" t="s">
        <v>658</v>
      </c>
      <c r="R1244" s="8">
        <f>10424399</f>
        <v>10424399</v>
      </c>
      <c r="S1244" s="5" t="s">
        <v>240</v>
      </c>
      <c r="T1244" s="5" t="s">
        <v>237</v>
      </c>
      <c r="U1244" s="5" t="s">
        <v>238</v>
      </c>
      <c r="V1244" s="5" t="s">
        <v>238</v>
      </c>
      <c r="W1244" s="5" t="s">
        <v>241</v>
      </c>
      <c r="X1244" s="5" t="s">
        <v>951</v>
      </c>
      <c r="Y1244" s="5" t="s">
        <v>238</v>
      </c>
      <c r="AB1244" s="5" t="s">
        <v>238</v>
      </c>
      <c r="AD1244" s="6" t="s">
        <v>238</v>
      </c>
      <c r="AG1244" s="6" t="s">
        <v>246</v>
      </c>
      <c r="AH1244" s="5" t="s">
        <v>247</v>
      </c>
      <c r="AI1244" s="5" t="s">
        <v>248</v>
      </c>
      <c r="AY1244" s="5" t="s">
        <v>250</v>
      </c>
      <c r="AZ1244" s="5" t="s">
        <v>238</v>
      </c>
      <c r="BA1244" s="5" t="s">
        <v>251</v>
      </c>
      <c r="BB1244" s="5" t="s">
        <v>238</v>
      </c>
      <c r="BC1244" s="5" t="s">
        <v>253</v>
      </c>
      <c r="BD1244" s="5" t="s">
        <v>238</v>
      </c>
      <c r="BF1244" s="5" t="s">
        <v>238</v>
      </c>
      <c r="BH1244" s="5" t="s">
        <v>254</v>
      </c>
      <c r="BI1244" s="6" t="s">
        <v>246</v>
      </c>
      <c r="BJ1244" s="5" t="s">
        <v>255</v>
      </c>
      <c r="BK1244" s="5" t="s">
        <v>256</v>
      </c>
      <c r="BL1244" s="5" t="s">
        <v>238</v>
      </c>
      <c r="BM1244" s="7">
        <f>0</f>
        <v>0</v>
      </c>
      <c r="BN1244" s="8">
        <f>0</f>
        <v>0</v>
      </c>
      <c r="BO1244" s="5" t="s">
        <v>257</v>
      </c>
      <c r="BP1244" s="5" t="s">
        <v>258</v>
      </c>
      <c r="CD1244" s="5" t="s">
        <v>238</v>
      </c>
      <c r="CE1244" s="5" t="s">
        <v>238</v>
      </c>
      <c r="CI1244" s="5" t="s">
        <v>259</v>
      </c>
      <c r="CJ1244" s="5" t="s">
        <v>260</v>
      </c>
      <c r="CK1244" s="5" t="s">
        <v>238</v>
      </c>
      <c r="CM1244" s="5" t="s">
        <v>648</v>
      </c>
      <c r="CN1244" s="6" t="s">
        <v>262</v>
      </c>
      <c r="CO1244" s="5" t="s">
        <v>263</v>
      </c>
      <c r="CP1244" s="5" t="s">
        <v>264</v>
      </c>
      <c r="CQ1244" s="5" t="s">
        <v>238</v>
      </c>
      <c r="CR1244" s="5" t="s">
        <v>238</v>
      </c>
      <c r="CS1244" s="5">
        <v>0</v>
      </c>
      <c r="CT1244" s="5" t="s">
        <v>265</v>
      </c>
      <c r="CU1244" s="5" t="s">
        <v>1342</v>
      </c>
      <c r="CV1244" s="5" t="s">
        <v>267</v>
      </c>
      <c r="CX1244" s="8">
        <f>10424400</f>
        <v>10424400</v>
      </c>
      <c r="CY1244" s="8">
        <f>0</f>
        <v>0</v>
      </c>
      <c r="DA1244" s="5" t="s">
        <v>238</v>
      </c>
      <c r="DB1244" s="5" t="s">
        <v>238</v>
      </c>
      <c r="DD1244" s="5" t="s">
        <v>238</v>
      </c>
      <c r="DG1244" s="5" t="s">
        <v>238</v>
      </c>
      <c r="DH1244" s="5" t="s">
        <v>238</v>
      </c>
      <c r="DI1244" s="5" t="s">
        <v>238</v>
      </c>
      <c r="DJ1244" s="5" t="s">
        <v>238</v>
      </c>
      <c r="DK1244" s="5" t="s">
        <v>271</v>
      </c>
      <c r="DL1244" s="5" t="s">
        <v>272</v>
      </c>
      <c r="DM1244" s="7">
        <f>14.6</f>
        <v>14.6</v>
      </c>
      <c r="DN1244" s="5" t="s">
        <v>238</v>
      </c>
      <c r="DO1244" s="5" t="s">
        <v>238</v>
      </c>
      <c r="DP1244" s="5" t="s">
        <v>238</v>
      </c>
      <c r="DQ1244" s="5" t="s">
        <v>238</v>
      </c>
      <c r="DT1244" s="5" t="s">
        <v>1391</v>
      </c>
      <c r="DU1244" s="5" t="s">
        <v>356</v>
      </c>
      <c r="HM1244" s="5" t="s">
        <v>271</v>
      </c>
      <c r="HP1244" s="5" t="s">
        <v>272</v>
      </c>
      <c r="HQ1244" s="5" t="s">
        <v>272</v>
      </c>
    </row>
    <row r="1245" spans="1:238" x14ac:dyDescent="0.4">
      <c r="A1245" s="5">
        <v>1586</v>
      </c>
      <c r="B1245" s="5">
        <v>1</v>
      </c>
      <c r="C1245" s="5">
        <v>1</v>
      </c>
      <c r="D1245" s="5" t="s">
        <v>1388</v>
      </c>
      <c r="E1245" s="5" t="s">
        <v>440</v>
      </c>
      <c r="F1245" s="5" t="s">
        <v>282</v>
      </c>
      <c r="G1245" s="5" t="s">
        <v>1309</v>
      </c>
      <c r="H1245" s="6" t="s">
        <v>1390</v>
      </c>
      <c r="I1245" s="5" t="s">
        <v>1309</v>
      </c>
      <c r="J1245" s="7">
        <f>29.16</f>
        <v>29.16</v>
      </c>
      <c r="K1245" s="5" t="s">
        <v>270</v>
      </c>
      <c r="L1245" s="8">
        <f>1</f>
        <v>1</v>
      </c>
      <c r="M1245" s="8">
        <f>10410120</f>
        <v>10410120</v>
      </c>
      <c r="N1245" s="6" t="s">
        <v>1389</v>
      </c>
      <c r="O1245" s="5" t="s">
        <v>268</v>
      </c>
      <c r="P1245" s="5" t="s">
        <v>658</v>
      </c>
      <c r="R1245" s="8">
        <f>10410119</f>
        <v>10410119</v>
      </c>
      <c r="S1245" s="5" t="s">
        <v>240</v>
      </c>
      <c r="T1245" s="5" t="s">
        <v>237</v>
      </c>
      <c r="U1245" s="5" t="s">
        <v>238</v>
      </c>
      <c r="V1245" s="5" t="s">
        <v>238</v>
      </c>
      <c r="W1245" s="5" t="s">
        <v>241</v>
      </c>
      <c r="X1245" s="5" t="s">
        <v>951</v>
      </c>
      <c r="Y1245" s="5" t="s">
        <v>238</v>
      </c>
      <c r="AB1245" s="5" t="s">
        <v>238</v>
      </c>
      <c r="AD1245" s="6" t="s">
        <v>238</v>
      </c>
      <c r="AG1245" s="6" t="s">
        <v>246</v>
      </c>
      <c r="AH1245" s="5" t="s">
        <v>247</v>
      </c>
      <c r="AI1245" s="5" t="s">
        <v>248</v>
      </c>
      <c r="AY1245" s="5" t="s">
        <v>250</v>
      </c>
      <c r="AZ1245" s="5" t="s">
        <v>238</v>
      </c>
      <c r="BA1245" s="5" t="s">
        <v>251</v>
      </c>
      <c r="BB1245" s="5" t="s">
        <v>238</v>
      </c>
      <c r="BC1245" s="5" t="s">
        <v>253</v>
      </c>
      <c r="BD1245" s="5" t="s">
        <v>238</v>
      </c>
      <c r="BF1245" s="5" t="s">
        <v>238</v>
      </c>
      <c r="BH1245" s="5" t="s">
        <v>254</v>
      </c>
      <c r="BI1245" s="6" t="s">
        <v>246</v>
      </c>
      <c r="BJ1245" s="5" t="s">
        <v>255</v>
      </c>
      <c r="BK1245" s="5" t="s">
        <v>256</v>
      </c>
      <c r="BL1245" s="5" t="s">
        <v>238</v>
      </c>
      <c r="BM1245" s="7">
        <f>0</f>
        <v>0</v>
      </c>
      <c r="BN1245" s="8">
        <f>0</f>
        <v>0</v>
      </c>
      <c r="BO1245" s="5" t="s">
        <v>257</v>
      </c>
      <c r="BP1245" s="5" t="s">
        <v>258</v>
      </c>
      <c r="CD1245" s="5" t="s">
        <v>238</v>
      </c>
      <c r="CE1245" s="5" t="s">
        <v>238</v>
      </c>
      <c r="CI1245" s="5" t="s">
        <v>259</v>
      </c>
      <c r="CJ1245" s="5" t="s">
        <v>260</v>
      </c>
      <c r="CK1245" s="5" t="s">
        <v>238</v>
      </c>
      <c r="CM1245" s="5" t="s">
        <v>648</v>
      </c>
      <c r="CN1245" s="6" t="s">
        <v>262</v>
      </c>
      <c r="CO1245" s="5" t="s">
        <v>263</v>
      </c>
      <c r="CP1245" s="5" t="s">
        <v>264</v>
      </c>
      <c r="CQ1245" s="5" t="s">
        <v>238</v>
      </c>
      <c r="CR1245" s="5" t="s">
        <v>238</v>
      </c>
      <c r="CS1245" s="5">
        <v>0</v>
      </c>
      <c r="CT1245" s="5" t="s">
        <v>265</v>
      </c>
      <c r="CU1245" s="5" t="s">
        <v>1342</v>
      </c>
      <c r="CV1245" s="5" t="s">
        <v>267</v>
      </c>
      <c r="CX1245" s="8">
        <f>10410120</f>
        <v>10410120</v>
      </c>
      <c r="CY1245" s="8">
        <f>0</f>
        <v>0</v>
      </c>
      <c r="DA1245" s="5" t="s">
        <v>238</v>
      </c>
      <c r="DB1245" s="5" t="s">
        <v>238</v>
      </c>
      <c r="DD1245" s="5" t="s">
        <v>238</v>
      </c>
      <c r="DG1245" s="5" t="s">
        <v>238</v>
      </c>
      <c r="DH1245" s="5" t="s">
        <v>238</v>
      </c>
      <c r="DI1245" s="5" t="s">
        <v>238</v>
      </c>
      <c r="DJ1245" s="5" t="s">
        <v>238</v>
      </c>
      <c r="DK1245" s="5" t="s">
        <v>271</v>
      </c>
      <c r="DL1245" s="5" t="s">
        <v>272</v>
      </c>
      <c r="DM1245" s="7">
        <f>29.16</f>
        <v>29.16</v>
      </c>
      <c r="DN1245" s="5" t="s">
        <v>238</v>
      </c>
      <c r="DO1245" s="5" t="s">
        <v>238</v>
      </c>
      <c r="DP1245" s="5" t="s">
        <v>238</v>
      </c>
      <c r="DQ1245" s="5" t="s">
        <v>238</v>
      </c>
      <c r="DT1245" s="5" t="s">
        <v>1391</v>
      </c>
      <c r="DU1245" s="5" t="s">
        <v>310</v>
      </c>
      <c r="HM1245" s="5" t="s">
        <v>271</v>
      </c>
      <c r="HP1245" s="5" t="s">
        <v>272</v>
      </c>
      <c r="HQ1245" s="5" t="s">
        <v>272</v>
      </c>
    </row>
    <row r="1246" spans="1:238" x14ac:dyDescent="0.4">
      <c r="A1246" s="5">
        <v>1587</v>
      </c>
      <c r="B1246" s="5">
        <v>1</v>
      </c>
      <c r="C1246" s="5">
        <v>4</v>
      </c>
      <c r="D1246" s="5" t="s">
        <v>1388</v>
      </c>
      <c r="E1246" s="5" t="s">
        <v>440</v>
      </c>
      <c r="F1246" s="5" t="s">
        <v>282</v>
      </c>
      <c r="G1246" s="5" t="s">
        <v>1412</v>
      </c>
      <c r="H1246" s="6" t="s">
        <v>1390</v>
      </c>
      <c r="I1246" s="5" t="s">
        <v>1387</v>
      </c>
      <c r="J1246" s="7">
        <f>750.16</f>
        <v>750.16</v>
      </c>
      <c r="K1246" s="5" t="s">
        <v>270</v>
      </c>
      <c r="L1246" s="8">
        <f>82478634</f>
        <v>82478634</v>
      </c>
      <c r="M1246" s="8">
        <f>181671000</f>
        <v>181671000</v>
      </c>
      <c r="N1246" s="6" t="s">
        <v>393</v>
      </c>
      <c r="O1246" s="5" t="s">
        <v>651</v>
      </c>
      <c r="P1246" s="5" t="s">
        <v>371</v>
      </c>
      <c r="Q1246" s="8">
        <f>7630182</f>
        <v>7630182</v>
      </c>
      <c r="R1246" s="8">
        <f>99192366</f>
        <v>99192366</v>
      </c>
      <c r="S1246" s="5" t="s">
        <v>240</v>
      </c>
      <c r="T1246" s="5" t="s">
        <v>287</v>
      </c>
      <c r="U1246" s="5" t="s">
        <v>238</v>
      </c>
      <c r="V1246" s="5" t="s">
        <v>238</v>
      </c>
      <c r="W1246" s="5" t="s">
        <v>241</v>
      </c>
      <c r="X1246" s="5" t="s">
        <v>951</v>
      </c>
      <c r="Y1246" s="5" t="s">
        <v>238</v>
      </c>
      <c r="AB1246" s="5" t="s">
        <v>238</v>
      </c>
      <c r="AC1246" s="6" t="s">
        <v>238</v>
      </c>
      <c r="AD1246" s="6" t="s">
        <v>238</v>
      </c>
      <c r="AF1246" s="6" t="s">
        <v>238</v>
      </c>
      <c r="AG1246" s="6" t="s">
        <v>246</v>
      </c>
      <c r="AH1246" s="5" t="s">
        <v>247</v>
      </c>
      <c r="AI1246" s="5" t="s">
        <v>248</v>
      </c>
      <c r="AO1246" s="5" t="s">
        <v>238</v>
      </c>
      <c r="AP1246" s="5" t="s">
        <v>238</v>
      </c>
      <c r="AQ1246" s="5" t="s">
        <v>238</v>
      </c>
      <c r="AR1246" s="6" t="s">
        <v>238</v>
      </c>
      <c r="AS1246" s="6" t="s">
        <v>238</v>
      </c>
      <c r="AT1246" s="6" t="s">
        <v>238</v>
      </c>
      <c r="AW1246" s="5" t="s">
        <v>304</v>
      </c>
      <c r="AX1246" s="5" t="s">
        <v>304</v>
      </c>
      <c r="AY1246" s="5" t="s">
        <v>250</v>
      </c>
      <c r="AZ1246" s="5" t="s">
        <v>305</v>
      </c>
      <c r="BA1246" s="5" t="s">
        <v>251</v>
      </c>
      <c r="BB1246" s="5" t="s">
        <v>238</v>
      </c>
      <c r="BC1246" s="5" t="s">
        <v>253</v>
      </c>
      <c r="BD1246" s="5" t="s">
        <v>238</v>
      </c>
      <c r="BF1246" s="5" t="s">
        <v>238</v>
      </c>
      <c r="BH1246" s="5" t="s">
        <v>283</v>
      </c>
      <c r="BI1246" s="6" t="s">
        <v>293</v>
      </c>
      <c r="BJ1246" s="5" t="s">
        <v>294</v>
      </c>
      <c r="BK1246" s="5" t="s">
        <v>294</v>
      </c>
      <c r="BL1246" s="5" t="s">
        <v>238</v>
      </c>
      <c r="BM1246" s="7">
        <f>0</f>
        <v>0</v>
      </c>
      <c r="BN1246" s="8">
        <f>-7630182</f>
        <v>-7630182</v>
      </c>
      <c r="BO1246" s="5" t="s">
        <v>257</v>
      </c>
      <c r="BP1246" s="5" t="s">
        <v>258</v>
      </c>
      <c r="BQ1246" s="5" t="s">
        <v>238</v>
      </c>
      <c r="BR1246" s="5" t="s">
        <v>238</v>
      </c>
      <c r="BS1246" s="5" t="s">
        <v>238</v>
      </c>
      <c r="BT1246" s="5" t="s">
        <v>238</v>
      </c>
      <c r="CC1246" s="5" t="s">
        <v>258</v>
      </c>
      <c r="CD1246" s="5" t="s">
        <v>238</v>
      </c>
      <c r="CE1246" s="5" t="s">
        <v>238</v>
      </c>
      <c r="CI1246" s="5" t="s">
        <v>259</v>
      </c>
      <c r="CJ1246" s="5" t="s">
        <v>260</v>
      </c>
      <c r="CK1246" s="5" t="s">
        <v>238</v>
      </c>
      <c r="CM1246" s="5" t="s">
        <v>732</v>
      </c>
      <c r="CN1246" s="6" t="s">
        <v>262</v>
      </c>
      <c r="CO1246" s="5" t="s">
        <v>263</v>
      </c>
      <c r="CP1246" s="5" t="s">
        <v>264</v>
      </c>
      <c r="CQ1246" s="5" t="s">
        <v>285</v>
      </c>
      <c r="CR1246" s="5" t="s">
        <v>238</v>
      </c>
      <c r="CS1246" s="5">
        <v>4.2000000000000003E-2</v>
      </c>
      <c r="CT1246" s="5" t="s">
        <v>265</v>
      </c>
      <c r="CU1246" s="5" t="s">
        <v>1325</v>
      </c>
      <c r="CV1246" s="5" t="s">
        <v>267</v>
      </c>
      <c r="CW1246" s="7">
        <f>0</f>
        <v>0</v>
      </c>
      <c r="CX1246" s="8">
        <f>181671000</f>
        <v>181671000</v>
      </c>
      <c r="CY1246" s="8">
        <f>90108816</f>
        <v>90108816</v>
      </c>
      <c r="DA1246" s="5" t="s">
        <v>238</v>
      </c>
      <c r="DB1246" s="5" t="s">
        <v>238</v>
      </c>
      <c r="DD1246" s="5" t="s">
        <v>238</v>
      </c>
      <c r="DE1246" s="8">
        <f>0</f>
        <v>0</v>
      </c>
      <c r="DG1246" s="5" t="s">
        <v>238</v>
      </c>
      <c r="DH1246" s="5" t="s">
        <v>238</v>
      </c>
      <c r="DI1246" s="5" t="s">
        <v>238</v>
      </c>
      <c r="DJ1246" s="5" t="s">
        <v>238</v>
      </c>
      <c r="DK1246" s="5" t="s">
        <v>272</v>
      </c>
      <c r="DL1246" s="5" t="s">
        <v>272</v>
      </c>
      <c r="DM1246" s="7">
        <f>750.16</f>
        <v>750.16</v>
      </c>
      <c r="DN1246" s="5" t="s">
        <v>238</v>
      </c>
      <c r="DO1246" s="5" t="s">
        <v>238</v>
      </c>
      <c r="DP1246" s="5" t="s">
        <v>238</v>
      </c>
      <c r="DQ1246" s="5" t="s">
        <v>238</v>
      </c>
      <c r="DT1246" s="5" t="s">
        <v>1391</v>
      </c>
      <c r="DU1246" s="5" t="s">
        <v>379</v>
      </c>
      <c r="GL1246" s="5" t="s">
        <v>1413</v>
      </c>
      <c r="HM1246" s="5" t="s">
        <v>313</v>
      </c>
      <c r="HP1246" s="5" t="s">
        <v>272</v>
      </c>
      <c r="HQ1246" s="5" t="s">
        <v>272</v>
      </c>
      <c r="HR1246" s="5" t="s">
        <v>238</v>
      </c>
      <c r="HS1246" s="5" t="s">
        <v>238</v>
      </c>
      <c r="HT1246" s="5" t="s">
        <v>238</v>
      </c>
      <c r="HU1246" s="5" t="s">
        <v>238</v>
      </c>
      <c r="HV1246" s="5" t="s">
        <v>238</v>
      </c>
      <c r="HW1246" s="5" t="s">
        <v>238</v>
      </c>
      <c r="HX1246" s="5" t="s">
        <v>238</v>
      </c>
      <c r="HY1246" s="5" t="s">
        <v>238</v>
      </c>
      <c r="HZ1246" s="5" t="s">
        <v>238</v>
      </c>
      <c r="IA1246" s="5" t="s">
        <v>238</v>
      </c>
      <c r="IB1246" s="5" t="s">
        <v>238</v>
      </c>
      <c r="IC1246" s="5" t="s">
        <v>238</v>
      </c>
      <c r="ID1246" s="5" t="s">
        <v>238</v>
      </c>
    </row>
    <row r="1247" spans="1:238" x14ac:dyDescent="0.4">
      <c r="A1247" s="5">
        <v>1588</v>
      </c>
      <c r="B1247" s="5">
        <v>1</v>
      </c>
      <c r="C1247" s="5">
        <v>4</v>
      </c>
      <c r="D1247" s="5" t="s">
        <v>1388</v>
      </c>
      <c r="E1247" s="5" t="s">
        <v>440</v>
      </c>
      <c r="F1247" s="5" t="s">
        <v>282</v>
      </c>
      <c r="G1247" s="5" t="s">
        <v>349</v>
      </c>
      <c r="H1247" s="6" t="s">
        <v>1390</v>
      </c>
      <c r="I1247" s="5" t="s">
        <v>2981</v>
      </c>
      <c r="J1247" s="7">
        <f>0</f>
        <v>0</v>
      </c>
      <c r="K1247" s="5" t="s">
        <v>270</v>
      </c>
      <c r="L1247" s="8">
        <f>923438</f>
        <v>923438</v>
      </c>
      <c r="M1247" s="8">
        <f>1109900</f>
        <v>1109900</v>
      </c>
      <c r="N1247" s="6" t="s">
        <v>2982</v>
      </c>
      <c r="O1247" s="5" t="s">
        <v>395</v>
      </c>
      <c r="P1247" s="5" t="s">
        <v>272</v>
      </c>
      <c r="Q1247" s="8">
        <f>93231</f>
        <v>93231</v>
      </c>
      <c r="R1247" s="8">
        <f>186462</f>
        <v>186462</v>
      </c>
      <c r="S1247" s="5" t="s">
        <v>240</v>
      </c>
      <c r="T1247" s="5" t="s">
        <v>287</v>
      </c>
      <c r="U1247" s="5" t="s">
        <v>238</v>
      </c>
      <c r="V1247" s="5" t="s">
        <v>238</v>
      </c>
      <c r="W1247" s="5" t="s">
        <v>241</v>
      </c>
      <c r="X1247" s="5" t="s">
        <v>238</v>
      </c>
      <c r="Y1247" s="5" t="s">
        <v>238</v>
      </c>
      <c r="AB1247" s="5" t="s">
        <v>238</v>
      </c>
      <c r="AC1247" s="6" t="s">
        <v>238</v>
      </c>
      <c r="AD1247" s="6" t="s">
        <v>238</v>
      </c>
      <c r="AF1247" s="6" t="s">
        <v>238</v>
      </c>
      <c r="AG1247" s="6" t="s">
        <v>1474</v>
      </c>
      <c r="AH1247" s="5" t="s">
        <v>247</v>
      </c>
      <c r="AI1247" s="5" t="s">
        <v>248</v>
      </c>
      <c r="AO1247" s="5" t="s">
        <v>238</v>
      </c>
      <c r="AP1247" s="5" t="s">
        <v>238</v>
      </c>
      <c r="AQ1247" s="5" t="s">
        <v>238</v>
      </c>
      <c r="AR1247" s="6" t="s">
        <v>238</v>
      </c>
      <c r="AS1247" s="6" t="s">
        <v>238</v>
      </c>
      <c r="AT1247" s="6" t="s">
        <v>238</v>
      </c>
      <c r="AW1247" s="5" t="s">
        <v>304</v>
      </c>
      <c r="AX1247" s="5" t="s">
        <v>304</v>
      </c>
      <c r="AY1247" s="5" t="s">
        <v>250</v>
      </c>
      <c r="AZ1247" s="5" t="s">
        <v>305</v>
      </c>
      <c r="BA1247" s="5" t="s">
        <v>251</v>
      </c>
      <c r="BB1247" s="5" t="s">
        <v>238</v>
      </c>
      <c r="BC1247" s="5" t="s">
        <v>253</v>
      </c>
      <c r="BD1247" s="5" t="s">
        <v>238</v>
      </c>
      <c r="BF1247" s="5" t="s">
        <v>238</v>
      </c>
      <c r="BH1247" s="5" t="s">
        <v>283</v>
      </c>
      <c r="BI1247" s="6" t="s">
        <v>293</v>
      </c>
      <c r="BJ1247" s="5" t="s">
        <v>294</v>
      </c>
      <c r="BK1247" s="5" t="s">
        <v>294</v>
      </c>
      <c r="BL1247" s="5" t="s">
        <v>238</v>
      </c>
      <c r="BM1247" s="7">
        <f>0</f>
        <v>0</v>
      </c>
      <c r="BN1247" s="8">
        <f>-93231</f>
        <v>-93231</v>
      </c>
      <c r="BO1247" s="5" t="s">
        <v>257</v>
      </c>
      <c r="BP1247" s="5" t="s">
        <v>258</v>
      </c>
      <c r="BQ1247" s="5" t="s">
        <v>238</v>
      </c>
      <c r="BR1247" s="5" t="s">
        <v>238</v>
      </c>
      <c r="BS1247" s="5" t="s">
        <v>238</v>
      </c>
      <c r="BT1247" s="5" t="s">
        <v>238</v>
      </c>
      <c r="CC1247" s="5" t="s">
        <v>258</v>
      </c>
      <c r="CD1247" s="5" t="s">
        <v>238</v>
      </c>
      <c r="CE1247" s="5" t="s">
        <v>238</v>
      </c>
      <c r="CI1247" s="5" t="s">
        <v>259</v>
      </c>
      <c r="CJ1247" s="5" t="s">
        <v>260</v>
      </c>
      <c r="CK1247" s="5" t="s">
        <v>238</v>
      </c>
      <c r="CM1247" s="5" t="s">
        <v>408</v>
      </c>
      <c r="CN1247" s="6" t="s">
        <v>262</v>
      </c>
      <c r="CO1247" s="5" t="s">
        <v>263</v>
      </c>
      <c r="CP1247" s="5" t="s">
        <v>264</v>
      </c>
      <c r="CQ1247" s="5" t="s">
        <v>285</v>
      </c>
      <c r="CR1247" s="5" t="s">
        <v>238</v>
      </c>
      <c r="CS1247" s="5">
        <v>8.4000000000000005E-2</v>
      </c>
      <c r="CT1247" s="5" t="s">
        <v>265</v>
      </c>
      <c r="CU1247" s="5" t="s">
        <v>351</v>
      </c>
      <c r="CV1247" s="5" t="s">
        <v>2977</v>
      </c>
      <c r="CW1247" s="7">
        <f>0</f>
        <v>0</v>
      </c>
      <c r="CX1247" s="8">
        <f>1109900</f>
        <v>1109900</v>
      </c>
      <c r="CY1247" s="8">
        <f>1016669</f>
        <v>1016669</v>
      </c>
      <c r="DA1247" s="5" t="s">
        <v>238</v>
      </c>
      <c r="DB1247" s="5" t="s">
        <v>238</v>
      </c>
      <c r="DD1247" s="5" t="s">
        <v>238</v>
      </c>
      <c r="DE1247" s="8">
        <f>0</f>
        <v>0</v>
      </c>
      <c r="DG1247" s="5" t="s">
        <v>238</v>
      </c>
      <c r="DH1247" s="5" t="s">
        <v>238</v>
      </c>
      <c r="DI1247" s="5" t="s">
        <v>238</v>
      </c>
      <c r="DJ1247" s="5" t="s">
        <v>238</v>
      </c>
      <c r="DK1247" s="5" t="s">
        <v>272</v>
      </c>
      <c r="DL1247" s="5" t="s">
        <v>272</v>
      </c>
      <c r="DM1247" s="8" t="s">
        <v>238</v>
      </c>
      <c r="DN1247" s="5" t="s">
        <v>238</v>
      </c>
      <c r="DO1247" s="5" t="s">
        <v>238</v>
      </c>
      <c r="DP1247" s="5" t="s">
        <v>238</v>
      </c>
      <c r="DQ1247" s="5" t="s">
        <v>238</v>
      </c>
      <c r="DT1247" s="5" t="s">
        <v>1391</v>
      </c>
      <c r="DU1247" s="5" t="s">
        <v>313</v>
      </c>
      <c r="GL1247" s="5" t="s">
        <v>2983</v>
      </c>
      <c r="HM1247" s="5" t="s">
        <v>274</v>
      </c>
      <c r="HP1247" s="5" t="s">
        <v>272</v>
      </c>
      <c r="HQ1247" s="5" t="s">
        <v>272</v>
      </c>
      <c r="HR1247" s="5" t="s">
        <v>238</v>
      </c>
      <c r="HS1247" s="5" t="s">
        <v>238</v>
      </c>
      <c r="HT1247" s="5" t="s">
        <v>238</v>
      </c>
      <c r="HU1247" s="5" t="s">
        <v>238</v>
      </c>
      <c r="HV1247" s="5" t="s">
        <v>238</v>
      </c>
      <c r="HW1247" s="5" t="s">
        <v>238</v>
      </c>
      <c r="HX1247" s="5" t="s">
        <v>238</v>
      </c>
      <c r="HY1247" s="5" t="s">
        <v>238</v>
      </c>
      <c r="HZ1247" s="5" t="s">
        <v>238</v>
      </c>
      <c r="IA1247" s="5" t="s">
        <v>238</v>
      </c>
      <c r="IB1247" s="5" t="s">
        <v>238</v>
      </c>
      <c r="IC1247" s="5" t="s">
        <v>238</v>
      </c>
      <c r="ID1247" s="5" t="s">
        <v>238</v>
      </c>
    </row>
    <row r="1248" spans="1:238" x14ac:dyDescent="0.4">
      <c r="A1248" s="5">
        <v>1589</v>
      </c>
      <c r="B1248" s="5">
        <v>1</v>
      </c>
      <c r="C1248" s="5">
        <v>4</v>
      </c>
      <c r="D1248" s="5" t="s">
        <v>1472</v>
      </c>
      <c r="E1248" s="5" t="s">
        <v>440</v>
      </c>
      <c r="F1248" s="5" t="s">
        <v>282</v>
      </c>
      <c r="G1248" s="5" t="s">
        <v>1412</v>
      </c>
      <c r="H1248" s="6" t="s">
        <v>1475</v>
      </c>
      <c r="I1248" s="5" t="s">
        <v>1387</v>
      </c>
      <c r="J1248" s="7">
        <f>861.13</f>
        <v>861.13</v>
      </c>
      <c r="K1248" s="5" t="s">
        <v>270</v>
      </c>
      <c r="L1248" s="8">
        <f>43073728</f>
        <v>43073728</v>
      </c>
      <c r="M1248" s="8">
        <f>176531650</f>
        <v>176531650</v>
      </c>
      <c r="N1248" s="6" t="s">
        <v>1473</v>
      </c>
      <c r="O1248" s="5" t="s">
        <v>651</v>
      </c>
      <c r="P1248" s="5" t="s">
        <v>269</v>
      </c>
      <c r="Q1248" s="8">
        <f>7414329</f>
        <v>7414329</v>
      </c>
      <c r="R1248" s="8">
        <f>133457922</f>
        <v>133457922</v>
      </c>
      <c r="S1248" s="5" t="s">
        <v>240</v>
      </c>
      <c r="T1248" s="5" t="s">
        <v>237</v>
      </c>
      <c r="U1248" s="5" t="s">
        <v>238</v>
      </c>
      <c r="V1248" s="5" t="s">
        <v>238</v>
      </c>
      <c r="W1248" s="5" t="s">
        <v>241</v>
      </c>
      <c r="X1248" s="5" t="s">
        <v>951</v>
      </c>
      <c r="Y1248" s="5" t="s">
        <v>238</v>
      </c>
      <c r="AB1248" s="5" t="s">
        <v>238</v>
      </c>
      <c r="AC1248" s="6" t="s">
        <v>238</v>
      </c>
      <c r="AD1248" s="6" t="s">
        <v>238</v>
      </c>
      <c r="AF1248" s="6" t="s">
        <v>238</v>
      </c>
      <c r="AG1248" s="6" t="s">
        <v>1474</v>
      </c>
      <c r="AH1248" s="5" t="s">
        <v>247</v>
      </c>
      <c r="AI1248" s="5" t="s">
        <v>248</v>
      </c>
      <c r="AO1248" s="5" t="s">
        <v>238</v>
      </c>
      <c r="AP1248" s="5" t="s">
        <v>238</v>
      </c>
      <c r="AQ1248" s="5" t="s">
        <v>238</v>
      </c>
      <c r="AR1248" s="6" t="s">
        <v>238</v>
      </c>
      <c r="AS1248" s="6" t="s">
        <v>238</v>
      </c>
      <c r="AT1248" s="6" t="s">
        <v>238</v>
      </c>
      <c r="AW1248" s="5" t="s">
        <v>304</v>
      </c>
      <c r="AX1248" s="5" t="s">
        <v>304</v>
      </c>
      <c r="AY1248" s="5" t="s">
        <v>250</v>
      </c>
      <c r="AZ1248" s="5" t="s">
        <v>305</v>
      </c>
      <c r="BA1248" s="5" t="s">
        <v>251</v>
      </c>
      <c r="BB1248" s="5" t="s">
        <v>238</v>
      </c>
      <c r="BC1248" s="5" t="s">
        <v>253</v>
      </c>
      <c r="BD1248" s="5" t="s">
        <v>238</v>
      </c>
      <c r="BF1248" s="5" t="s">
        <v>238</v>
      </c>
      <c r="BH1248" s="5" t="s">
        <v>283</v>
      </c>
      <c r="BI1248" s="6" t="s">
        <v>293</v>
      </c>
      <c r="BJ1248" s="5" t="s">
        <v>294</v>
      </c>
      <c r="BK1248" s="5" t="s">
        <v>294</v>
      </c>
      <c r="BL1248" s="5" t="s">
        <v>238</v>
      </c>
      <c r="BM1248" s="7">
        <f>0</f>
        <v>0</v>
      </c>
      <c r="BN1248" s="8">
        <f>-7414329</f>
        <v>-7414329</v>
      </c>
      <c r="BO1248" s="5" t="s">
        <v>257</v>
      </c>
      <c r="BP1248" s="5" t="s">
        <v>258</v>
      </c>
      <c r="BQ1248" s="5" t="s">
        <v>238</v>
      </c>
      <c r="BR1248" s="5" t="s">
        <v>238</v>
      </c>
      <c r="BS1248" s="5" t="s">
        <v>238</v>
      </c>
      <c r="BT1248" s="5" t="s">
        <v>238</v>
      </c>
      <c r="CC1248" s="5" t="s">
        <v>258</v>
      </c>
      <c r="CD1248" s="5" t="s">
        <v>238</v>
      </c>
      <c r="CE1248" s="5" t="s">
        <v>238</v>
      </c>
      <c r="CI1248" s="5" t="s">
        <v>259</v>
      </c>
      <c r="CJ1248" s="5" t="s">
        <v>260</v>
      </c>
      <c r="CK1248" s="5" t="s">
        <v>238</v>
      </c>
      <c r="CM1248" s="5" t="s">
        <v>682</v>
      </c>
      <c r="CN1248" s="6" t="s">
        <v>262</v>
      </c>
      <c r="CO1248" s="5" t="s">
        <v>263</v>
      </c>
      <c r="CP1248" s="5" t="s">
        <v>264</v>
      </c>
      <c r="CQ1248" s="5" t="s">
        <v>285</v>
      </c>
      <c r="CR1248" s="5" t="s">
        <v>238</v>
      </c>
      <c r="CS1248" s="5">
        <v>4.2000000000000003E-2</v>
      </c>
      <c r="CT1248" s="5" t="s">
        <v>265</v>
      </c>
      <c r="CU1248" s="5" t="s">
        <v>1325</v>
      </c>
      <c r="CV1248" s="5" t="s">
        <v>267</v>
      </c>
      <c r="CW1248" s="7">
        <f>0</f>
        <v>0</v>
      </c>
      <c r="CX1248" s="8">
        <f>176531650</f>
        <v>176531650</v>
      </c>
      <c r="CY1248" s="8">
        <f>50488057</f>
        <v>50488057</v>
      </c>
      <c r="DA1248" s="5" t="s">
        <v>238</v>
      </c>
      <c r="DB1248" s="5" t="s">
        <v>238</v>
      </c>
      <c r="DD1248" s="5" t="s">
        <v>238</v>
      </c>
      <c r="DE1248" s="8">
        <f>0</f>
        <v>0</v>
      </c>
      <c r="DG1248" s="5" t="s">
        <v>238</v>
      </c>
      <c r="DH1248" s="5" t="s">
        <v>238</v>
      </c>
      <c r="DI1248" s="5" t="s">
        <v>238</v>
      </c>
      <c r="DJ1248" s="5" t="s">
        <v>238</v>
      </c>
      <c r="DK1248" s="5" t="s">
        <v>271</v>
      </c>
      <c r="DL1248" s="5" t="s">
        <v>272</v>
      </c>
      <c r="DM1248" s="7">
        <f>861.13</f>
        <v>861.13</v>
      </c>
      <c r="DN1248" s="5" t="s">
        <v>238</v>
      </c>
      <c r="DO1248" s="5" t="s">
        <v>238</v>
      </c>
      <c r="DP1248" s="5" t="s">
        <v>238</v>
      </c>
      <c r="DQ1248" s="5" t="s">
        <v>238</v>
      </c>
      <c r="DT1248" s="5" t="s">
        <v>1476</v>
      </c>
      <c r="DU1248" s="5" t="s">
        <v>271</v>
      </c>
      <c r="GL1248" s="5" t="s">
        <v>1477</v>
      </c>
      <c r="HM1248" s="5" t="s">
        <v>313</v>
      </c>
      <c r="HP1248" s="5" t="s">
        <v>272</v>
      </c>
      <c r="HQ1248" s="5" t="s">
        <v>272</v>
      </c>
      <c r="HR1248" s="5" t="s">
        <v>238</v>
      </c>
      <c r="HS1248" s="5" t="s">
        <v>238</v>
      </c>
      <c r="HT1248" s="5" t="s">
        <v>238</v>
      </c>
      <c r="HU1248" s="5" t="s">
        <v>238</v>
      </c>
      <c r="HV1248" s="5" t="s">
        <v>238</v>
      </c>
      <c r="HW1248" s="5" t="s">
        <v>238</v>
      </c>
      <c r="HX1248" s="5" t="s">
        <v>238</v>
      </c>
      <c r="HY1248" s="5" t="s">
        <v>238</v>
      </c>
      <c r="HZ1248" s="5" t="s">
        <v>238</v>
      </c>
      <c r="IA1248" s="5" t="s">
        <v>238</v>
      </c>
      <c r="IB1248" s="5" t="s">
        <v>238</v>
      </c>
      <c r="IC1248" s="5" t="s">
        <v>238</v>
      </c>
      <c r="ID1248" s="5" t="s">
        <v>238</v>
      </c>
    </row>
    <row r="1249" spans="1:238" x14ac:dyDescent="0.4">
      <c r="A1249" s="5">
        <v>1590</v>
      </c>
      <c r="B1249" s="5">
        <v>1</v>
      </c>
      <c r="C1249" s="5">
        <v>1</v>
      </c>
      <c r="D1249" s="5" t="s">
        <v>1472</v>
      </c>
      <c r="E1249" s="5" t="s">
        <v>440</v>
      </c>
      <c r="F1249" s="5" t="s">
        <v>282</v>
      </c>
      <c r="G1249" s="5" t="s">
        <v>1309</v>
      </c>
      <c r="H1249" s="6" t="s">
        <v>1475</v>
      </c>
      <c r="I1249" s="5" t="s">
        <v>1387</v>
      </c>
      <c r="J1249" s="7">
        <f>122.4</f>
        <v>122.4</v>
      </c>
      <c r="K1249" s="5" t="s">
        <v>270</v>
      </c>
      <c r="L1249" s="8">
        <f>1</f>
        <v>1</v>
      </c>
      <c r="M1249" s="8">
        <f>5018400</f>
        <v>5018400</v>
      </c>
      <c r="N1249" s="6" t="s">
        <v>1473</v>
      </c>
      <c r="O1249" s="5" t="s">
        <v>268</v>
      </c>
      <c r="P1249" s="5" t="s">
        <v>268</v>
      </c>
      <c r="R1249" s="8">
        <f>5018399</f>
        <v>5018399</v>
      </c>
      <c r="S1249" s="5" t="s">
        <v>240</v>
      </c>
      <c r="T1249" s="5" t="s">
        <v>237</v>
      </c>
      <c r="U1249" s="5" t="s">
        <v>238</v>
      </c>
      <c r="V1249" s="5" t="s">
        <v>238</v>
      </c>
      <c r="W1249" s="5" t="s">
        <v>241</v>
      </c>
      <c r="X1249" s="5" t="s">
        <v>951</v>
      </c>
      <c r="Y1249" s="5" t="s">
        <v>238</v>
      </c>
      <c r="AB1249" s="5" t="s">
        <v>238</v>
      </c>
      <c r="AD1249" s="6" t="s">
        <v>238</v>
      </c>
      <c r="AG1249" s="6" t="s">
        <v>1474</v>
      </c>
      <c r="AH1249" s="5" t="s">
        <v>247</v>
      </c>
      <c r="AI1249" s="5" t="s">
        <v>248</v>
      </c>
      <c r="AY1249" s="5" t="s">
        <v>250</v>
      </c>
      <c r="AZ1249" s="5" t="s">
        <v>238</v>
      </c>
      <c r="BA1249" s="5" t="s">
        <v>251</v>
      </c>
      <c r="BB1249" s="5" t="s">
        <v>238</v>
      </c>
      <c r="BC1249" s="5" t="s">
        <v>253</v>
      </c>
      <c r="BD1249" s="5" t="s">
        <v>238</v>
      </c>
      <c r="BF1249" s="5" t="s">
        <v>238</v>
      </c>
      <c r="BH1249" s="5" t="s">
        <v>798</v>
      </c>
      <c r="BI1249" s="6" t="s">
        <v>799</v>
      </c>
      <c r="BJ1249" s="5" t="s">
        <v>255</v>
      </c>
      <c r="BK1249" s="5" t="s">
        <v>294</v>
      </c>
      <c r="BL1249" s="5" t="s">
        <v>238</v>
      </c>
      <c r="BM1249" s="7">
        <f>0</f>
        <v>0</v>
      </c>
      <c r="BN1249" s="8">
        <f>0</f>
        <v>0</v>
      </c>
      <c r="BO1249" s="5" t="s">
        <v>257</v>
      </c>
      <c r="BP1249" s="5" t="s">
        <v>258</v>
      </c>
      <c r="CD1249" s="5" t="s">
        <v>238</v>
      </c>
      <c r="CE1249" s="5" t="s">
        <v>238</v>
      </c>
      <c r="CI1249" s="5" t="s">
        <v>259</v>
      </c>
      <c r="CJ1249" s="5" t="s">
        <v>260</v>
      </c>
      <c r="CK1249" s="5" t="s">
        <v>238</v>
      </c>
      <c r="CM1249" s="5" t="s">
        <v>682</v>
      </c>
      <c r="CN1249" s="6" t="s">
        <v>262</v>
      </c>
      <c r="CO1249" s="5" t="s">
        <v>263</v>
      </c>
      <c r="CP1249" s="5" t="s">
        <v>264</v>
      </c>
      <c r="CQ1249" s="5" t="s">
        <v>238</v>
      </c>
      <c r="CR1249" s="5" t="s">
        <v>238</v>
      </c>
      <c r="CS1249" s="5">
        <v>0</v>
      </c>
      <c r="CT1249" s="5" t="s">
        <v>265</v>
      </c>
      <c r="CU1249" s="5" t="s">
        <v>1342</v>
      </c>
      <c r="CV1249" s="5" t="s">
        <v>267</v>
      </c>
      <c r="CX1249" s="8">
        <f>5018400</f>
        <v>5018400</v>
      </c>
      <c r="CY1249" s="8">
        <f>0</f>
        <v>0</v>
      </c>
      <c r="DA1249" s="5" t="s">
        <v>238</v>
      </c>
      <c r="DB1249" s="5" t="s">
        <v>238</v>
      </c>
      <c r="DD1249" s="5" t="s">
        <v>238</v>
      </c>
      <c r="DG1249" s="5" t="s">
        <v>238</v>
      </c>
      <c r="DH1249" s="5" t="s">
        <v>238</v>
      </c>
      <c r="DI1249" s="5" t="s">
        <v>238</v>
      </c>
      <c r="DJ1249" s="5" t="s">
        <v>238</v>
      </c>
      <c r="DK1249" s="5" t="s">
        <v>271</v>
      </c>
      <c r="DL1249" s="5" t="s">
        <v>272</v>
      </c>
      <c r="DM1249" s="7">
        <f>122.4</f>
        <v>122.4</v>
      </c>
      <c r="DN1249" s="5" t="s">
        <v>238</v>
      </c>
      <c r="DO1249" s="5" t="s">
        <v>238</v>
      </c>
      <c r="DP1249" s="5" t="s">
        <v>238</v>
      </c>
      <c r="DQ1249" s="5" t="s">
        <v>238</v>
      </c>
      <c r="DT1249" s="5" t="s">
        <v>1476</v>
      </c>
      <c r="DU1249" s="5" t="s">
        <v>274</v>
      </c>
      <c r="HM1249" s="5" t="s">
        <v>379</v>
      </c>
      <c r="HP1249" s="5" t="s">
        <v>272</v>
      </c>
      <c r="HQ1249" s="5" t="s">
        <v>272</v>
      </c>
    </row>
    <row r="1250" spans="1:238" x14ac:dyDescent="0.4">
      <c r="A1250" s="5">
        <v>1591</v>
      </c>
      <c r="B1250" s="5">
        <v>1</v>
      </c>
      <c r="C1250" s="5">
        <v>4</v>
      </c>
      <c r="D1250" s="5" t="s">
        <v>1472</v>
      </c>
      <c r="E1250" s="5" t="s">
        <v>440</v>
      </c>
      <c r="F1250" s="5" t="s">
        <v>282</v>
      </c>
      <c r="G1250" s="5" t="s">
        <v>2986</v>
      </c>
      <c r="H1250" s="6" t="s">
        <v>1475</v>
      </c>
      <c r="I1250" s="5" t="s">
        <v>2984</v>
      </c>
      <c r="J1250" s="7">
        <f>0</f>
        <v>0</v>
      </c>
      <c r="K1250" s="5" t="s">
        <v>270</v>
      </c>
      <c r="L1250" s="8">
        <f>754110</f>
        <v>754110</v>
      </c>
      <c r="M1250" s="8">
        <f>1134000</f>
        <v>1134000</v>
      </c>
      <c r="N1250" s="6" t="s">
        <v>2985</v>
      </c>
      <c r="O1250" s="5" t="s">
        <v>268</v>
      </c>
      <c r="P1250" s="5" t="s">
        <v>356</v>
      </c>
      <c r="Q1250" s="8">
        <f>75978</f>
        <v>75978</v>
      </c>
      <c r="R1250" s="8">
        <f>379890</f>
        <v>379890</v>
      </c>
      <c r="S1250" s="5" t="s">
        <v>240</v>
      </c>
      <c r="T1250" s="5" t="s">
        <v>287</v>
      </c>
      <c r="U1250" s="5" t="s">
        <v>238</v>
      </c>
      <c r="V1250" s="5" t="s">
        <v>238</v>
      </c>
      <c r="W1250" s="5" t="s">
        <v>241</v>
      </c>
      <c r="X1250" s="5" t="s">
        <v>951</v>
      </c>
      <c r="Y1250" s="5" t="s">
        <v>238</v>
      </c>
      <c r="AB1250" s="5" t="s">
        <v>238</v>
      </c>
      <c r="AC1250" s="6" t="s">
        <v>238</v>
      </c>
      <c r="AD1250" s="6" t="s">
        <v>238</v>
      </c>
      <c r="AF1250" s="6" t="s">
        <v>238</v>
      </c>
      <c r="AG1250" s="6" t="s">
        <v>246</v>
      </c>
      <c r="AH1250" s="5" t="s">
        <v>247</v>
      </c>
      <c r="AI1250" s="5" t="s">
        <v>248</v>
      </c>
      <c r="AO1250" s="5" t="s">
        <v>238</v>
      </c>
      <c r="AP1250" s="5" t="s">
        <v>238</v>
      </c>
      <c r="AQ1250" s="5" t="s">
        <v>238</v>
      </c>
      <c r="AR1250" s="6" t="s">
        <v>238</v>
      </c>
      <c r="AS1250" s="6" t="s">
        <v>238</v>
      </c>
      <c r="AT1250" s="6" t="s">
        <v>238</v>
      </c>
      <c r="AW1250" s="5" t="s">
        <v>304</v>
      </c>
      <c r="AX1250" s="5" t="s">
        <v>304</v>
      </c>
      <c r="AY1250" s="5" t="s">
        <v>250</v>
      </c>
      <c r="AZ1250" s="5" t="s">
        <v>305</v>
      </c>
      <c r="BA1250" s="5" t="s">
        <v>251</v>
      </c>
      <c r="BB1250" s="5" t="s">
        <v>238</v>
      </c>
      <c r="BC1250" s="5" t="s">
        <v>253</v>
      </c>
      <c r="BD1250" s="5" t="s">
        <v>238</v>
      </c>
      <c r="BF1250" s="5" t="s">
        <v>238</v>
      </c>
      <c r="BH1250" s="5" t="s">
        <v>283</v>
      </c>
      <c r="BI1250" s="6" t="s">
        <v>293</v>
      </c>
      <c r="BJ1250" s="5" t="s">
        <v>294</v>
      </c>
      <c r="BK1250" s="5" t="s">
        <v>294</v>
      </c>
      <c r="BL1250" s="5" t="s">
        <v>238</v>
      </c>
      <c r="BM1250" s="7">
        <f>0</f>
        <v>0</v>
      </c>
      <c r="BN1250" s="8">
        <f>-75978</f>
        <v>-75978</v>
      </c>
      <c r="BO1250" s="5" t="s">
        <v>257</v>
      </c>
      <c r="BP1250" s="5" t="s">
        <v>258</v>
      </c>
      <c r="BQ1250" s="5" t="s">
        <v>238</v>
      </c>
      <c r="BR1250" s="5" t="s">
        <v>238</v>
      </c>
      <c r="BS1250" s="5" t="s">
        <v>238</v>
      </c>
      <c r="BT1250" s="5" t="s">
        <v>238</v>
      </c>
      <c r="CC1250" s="5" t="s">
        <v>258</v>
      </c>
      <c r="CD1250" s="5" t="s">
        <v>238</v>
      </c>
      <c r="CE1250" s="5" t="s">
        <v>238</v>
      </c>
      <c r="CI1250" s="5" t="s">
        <v>259</v>
      </c>
      <c r="CJ1250" s="5" t="s">
        <v>260</v>
      </c>
      <c r="CK1250" s="5" t="s">
        <v>238</v>
      </c>
      <c r="CM1250" s="5" t="s">
        <v>376</v>
      </c>
      <c r="CN1250" s="6" t="s">
        <v>262</v>
      </c>
      <c r="CO1250" s="5" t="s">
        <v>263</v>
      </c>
      <c r="CP1250" s="5" t="s">
        <v>264</v>
      </c>
      <c r="CQ1250" s="5" t="s">
        <v>285</v>
      </c>
      <c r="CR1250" s="5" t="s">
        <v>238</v>
      </c>
      <c r="CS1250" s="5">
        <v>6.7000000000000004E-2</v>
      </c>
      <c r="CT1250" s="5" t="s">
        <v>265</v>
      </c>
      <c r="CU1250" s="5" t="s">
        <v>351</v>
      </c>
      <c r="CV1250" s="5" t="s">
        <v>365</v>
      </c>
      <c r="CW1250" s="7">
        <f>0</f>
        <v>0</v>
      </c>
      <c r="CX1250" s="8">
        <f>1134000</f>
        <v>1134000</v>
      </c>
      <c r="CY1250" s="8">
        <f>830088</f>
        <v>830088</v>
      </c>
      <c r="DA1250" s="5" t="s">
        <v>238</v>
      </c>
      <c r="DB1250" s="5" t="s">
        <v>238</v>
      </c>
      <c r="DD1250" s="5" t="s">
        <v>238</v>
      </c>
      <c r="DE1250" s="8">
        <f>0</f>
        <v>0</v>
      </c>
      <c r="DG1250" s="5" t="s">
        <v>238</v>
      </c>
      <c r="DH1250" s="5" t="s">
        <v>238</v>
      </c>
      <c r="DI1250" s="5" t="s">
        <v>238</v>
      </c>
      <c r="DJ1250" s="5" t="s">
        <v>238</v>
      </c>
      <c r="DK1250" s="5" t="s">
        <v>272</v>
      </c>
      <c r="DL1250" s="5" t="s">
        <v>272</v>
      </c>
      <c r="DM1250" s="8" t="s">
        <v>238</v>
      </c>
      <c r="DN1250" s="5" t="s">
        <v>238</v>
      </c>
      <c r="DO1250" s="5" t="s">
        <v>238</v>
      </c>
      <c r="DP1250" s="5" t="s">
        <v>238</v>
      </c>
      <c r="DQ1250" s="5" t="s">
        <v>238</v>
      </c>
      <c r="DT1250" s="5" t="s">
        <v>1476</v>
      </c>
      <c r="DU1250" s="5" t="s">
        <v>356</v>
      </c>
      <c r="GL1250" s="5" t="s">
        <v>2987</v>
      </c>
      <c r="HM1250" s="5" t="s">
        <v>379</v>
      </c>
      <c r="HP1250" s="5" t="s">
        <v>272</v>
      </c>
      <c r="HQ1250" s="5" t="s">
        <v>272</v>
      </c>
      <c r="HR1250" s="5" t="s">
        <v>238</v>
      </c>
      <c r="HS1250" s="5" t="s">
        <v>238</v>
      </c>
      <c r="HT1250" s="5" t="s">
        <v>238</v>
      </c>
      <c r="HU1250" s="5" t="s">
        <v>238</v>
      </c>
      <c r="HV1250" s="5" t="s">
        <v>238</v>
      </c>
      <c r="HW1250" s="5" t="s">
        <v>238</v>
      </c>
      <c r="HX1250" s="5" t="s">
        <v>238</v>
      </c>
      <c r="HY1250" s="5" t="s">
        <v>238</v>
      </c>
      <c r="HZ1250" s="5" t="s">
        <v>238</v>
      </c>
      <c r="IA1250" s="5" t="s">
        <v>238</v>
      </c>
      <c r="IB1250" s="5" t="s">
        <v>238</v>
      </c>
      <c r="IC1250" s="5" t="s">
        <v>238</v>
      </c>
      <c r="ID1250" s="5" t="s">
        <v>238</v>
      </c>
    </row>
    <row r="1251" spans="1:238" x14ac:dyDescent="0.4">
      <c r="A1251" s="5">
        <v>1592</v>
      </c>
      <c r="B1251" s="5">
        <v>1</v>
      </c>
      <c r="C1251" s="5">
        <v>4</v>
      </c>
      <c r="D1251" s="5" t="s">
        <v>1472</v>
      </c>
      <c r="E1251" s="5" t="s">
        <v>440</v>
      </c>
      <c r="F1251" s="5" t="s">
        <v>282</v>
      </c>
      <c r="G1251" s="5" t="s">
        <v>2989</v>
      </c>
      <c r="H1251" s="6" t="s">
        <v>1475</v>
      </c>
      <c r="I1251" s="5" t="s">
        <v>2988</v>
      </c>
      <c r="J1251" s="7">
        <f>0</f>
        <v>0</v>
      </c>
      <c r="K1251" s="5" t="s">
        <v>270</v>
      </c>
      <c r="L1251" s="8">
        <f>718200</f>
        <v>718200</v>
      </c>
      <c r="M1251" s="8">
        <f>1080000</f>
        <v>1080000</v>
      </c>
      <c r="N1251" s="6" t="s">
        <v>1348</v>
      </c>
      <c r="O1251" s="5" t="s">
        <v>268</v>
      </c>
      <c r="P1251" s="5" t="s">
        <v>356</v>
      </c>
      <c r="Q1251" s="8">
        <f>72360</f>
        <v>72360</v>
      </c>
      <c r="R1251" s="8">
        <f>361800</f>
        <v>361800</v>
      </c>
      <c r="S1251" s="5" t="s">
        <v>240</v>
      </c>
      <c r="T1251" s="5" t="s">
        <v>287</v>
      </c>
      <c r="U1251" s="5" t="s">
        <v>238</v>
      </c>
      <c r="V1251" s="5" t="s">
        <v>238</v>
      </c>
      <c r="W1251" s="5" t="s">
        <v>241</v>
      </c>
      <c r="X1251" s="5" t="s">
        <v>951</v>
      </c>
      <c r="Y1251" s="5" t="s">
        <v>238</v>
      </c>
      <c r="AB1251" s="5" t="s">
        <v>238</v>
      </c>
      <c r="AC1251" s="6" t="s">
        <v>238</v>
      </c>
      <c r="AD1251" s="6" t="s">
        <v>238</v>
      </c>
      <c r="AF1251" s="6" t="s">
        <v>238</v>
      </c>
      <c r="AG1251" s="6" t="s">
        <v>246</v>
      </c>
      <c r="AH1251" s="5" t="s">
        <v>247</v>
      </c>
      <c r="AI1251" s="5" t="s">
        <v>248</v>
      </c>
      <c r="AO1251" s="5" t="s">
        <v>238</v>
      </c>
      <c r="AP1251" s="5" t="s">
        <v>238</v>
      </c>
      <c r="AQ1251" s="5" t="s">
        <v>238</v>
      </c>
      <c r="AR1251" s="6" t="s">
        <v>238</v>
      </c>
      <c r="AS1251" s="6" t="s">
        <v>238</v>
      </c>
      <c r="AT1251" s="6" t="s">
        <v>238</v>
      </c>
      <c r="AW1251" s="5" t="s">
        <v>304</v>
      </c>
      <c r="AX1251" s="5" t="s">
        <v>304</v>
      </c>
      <c r="AY1251" s="5" t="s">
        <v>250</v>
      </c>
      <c r="AZ1251" s="5" t="s">
        <v>305</v>
      </c>
      <c r="BA1251" s="5" t="s">
        <v>251</v>
      </c>
      <c r="BB1251" s="5" t="s">
        <v>238</v>
      </c>
      <c r="BC1251" s="5" t="s">
        <v>253</v>
      </c>
      <c r="BD1251" s="5" t="s">
        <v>238</v>
      </c>
      <c r="BF1251" s="5" t="s">
        <v>238</v>
      </c>
      <c r="BH1251" s="5" t="s">
        <v>283</v>
      </c>
      <c r="BI1251" s="6" t="s">
        <v>293</v>
      </c>
      <c r="BJ1251" s="5" t="s">
        <v>294</v>
      </c>
      <c r="BK1251" s="5" t="s">
        <v>294</v>
      </c>
      <c r="BL1251" s="5" t="s">
        <v>238</v>
      </c>
      <c r="BM1251" s="7">
        <f>0</f>
        <v>0</v>
      </c>
      <c r="BN1251" s="8">
        <f>-72360</f>
        <v>-72360</v>
      </c>
      <c r="BO1251" s="5" t="s">
        <v>257</v>
      </c>
      <c r="BP1251" s="5" t="s">
        <v>258</v>
      </c>
      <c r="BQ1251" s="5" t="s">
        <v>238</v>
      </c>
      <c r="BR1251" s="5" t="s">
        <v>238</v>
      </c>
      <c r="BS1251" s="5" t="s">
        <v>238</v>
      </c>
      <c r="BT1251" s="5" t="s">
        <v>238</v>
      </c>
      <c r="CC1251" s="5" t="s">
        <v>258</v>
      </c>
      <c r="CD1251" s="5" t="s">
        <v>238</v>
      </c>
      <c r="CE1251" s="5" t="s">
        <v>238</v>
      </c>
      <c r="CI1251" s="5" t="s">
        <v>259</v>
      </c>
      <c r="CJ1251" s="5" t="s">
        <v>260</v>
      </c>
      <c r="CK1251" s="5" t="s">
        <v>238</v>
      </c>
      <c r="CM1251" s="5" t="s">
        <v>376</v>
      </c>
      <c r="CN1251" s="6" t="s">
        <v>262</v>
      </c>
      <c r="CO1251" s="5" t="s">
        <v>263</v>
      </c>
      <c r="CP1251" s="5" t="s">
        <v>264</v>
      </c>
      <c r="CQ1251" s="5" t="s">
        <v>285</v>
      </c>
      <c r="CR1251" s="5" t="s">
        <v>238</v>
      </c>
      <c r="CS1251" s="5">
        <v>6.7000000000000004E-2</v>
      </c>
      <c r="CT1251" s="5" t="s">
        <v>265</v>
      </c>
      <c r="CU1251" s="5" t="s">
        <v>351</v>
      </c>
      <c r="CV1251" s="5" t="s">
        <v>394</v>
      </c>
      <c r="CW1251" s="7">
        <f>0</f>
        <v>0</v>
      </c>
      <c r="CX1251" s="8">
        <f>1080000</f>
        <v>1080000</v>
      </c>
      <c r="CY1251" s="8">
        <f>790560</f>
        <v>790560</v>
      </c>
      <c r="DA1251" s="5" t="s">
        <v>238</v>
      </c>
      <c r="DB1251" s="5" t="s">
        <v>238</v>
      </c>
      <c r="DD1251" s="5" t="s">
        <v>238</v>
      </c>
      <c r="DE1251" s="8">
        <f>0</f>
        <v>0</v>
      </c>
      <c r="DG1251" s="5" t="s">
        <v>238</v>
      </c>
      <c r="DH1251" s="5" t="s">
        <v>238</v>
      </c>
      <c r="DI1251" s="5" t="s">
        <v>238</v>
      </c>
      <c r="DJ1251" s="5" t="s">
        <v>238</v>
      </c>
      <c r="DK1251" s="5" t="s">
        <v>272</v>
      </c>
      <c r="DL1251" s="5" t="s">
        <v>272</v>
      </c>
      <c r="DM1251" s="8" t="s">
        <v>238</v>
      </c>
      <c r="DN1251" s="5" t="s">
        <v>238</v>
      </c>
      <c r="DO1251" s="5" t="s">
        <v>238</v>
      </c>
      <c r="DP1251" s="5" t="s">
        <v>238</v>
      </c>
      <c r="DQ1251" s="5" t="s">
        <v>238</v>
      </c>
      <c r="DT1251" s="5" t="s">
        <v>1476</v>
      </c>
      <c r="DU1251" s="5" t="s">
        <v>310</v>
      </c>
      <c r="GL1251" s="5" t="s">
        <v>2990</v>
      </c>
      <c r="HM1251" s="5" t="s">
        <v>379</v>
      </c>
      <c r="HP1251" s="5" t="s">
        <v>272</v>
      </c>
      <c r="HQ1251" s="5" t="s">
        <v>272</v>
      </c>
      <c r="HR1251" s="5" t="s">
        <v>238</v>
      </c>
      <c r="HS1251" s="5" t="s">
        <v>238</v>
      </c>
      <c r="HT1251" s="5" t="s">
        <v>238</v>
      </c>
      <c r="HU1251" s="5" t="s">
        <v>238</v>
      </c>
      <c r="HV1251" s="5" t="s">
        <v>238</v>
      </c>
      <c r="HW1251" s="5" t="s">
        <v>238</v>
      </c>
      <c r="HX1251" s="5" t="s">
        <v>238</v>
      </c>
      <c r="HY1251" s="5" t="s">
        <v>238</v>
      </c>
      <c r="HZ1251" s="5" t="s">
        <v>238</v>
      </c>
      <c r="IA1251" s="5" t="s">
        <v>238</v>
      </c>
      <c r="IB1251" s="5" t="s">
        <v>238</v>
      </c>
      <c r="IC1251" s="5" t="s">
        <v>238</v>
      </c>
      <c r="ID1251" s="5" t="s">
        <v>238</v>
      </c>
    </row>
    <row r="1252" spans="1:238" x14ac:dyDescent="0.4">
      <c r="A1252" s="5">
        <v>1593</v>
      </c>
      <c r="B1252" s="5">
        <v>1</v>
      </c>
      <c r="C1252" s="5">
        <v>4</v>
      </c>
      <c r="D1252" s="5" t="s">
        <v>1472</v>
      </c>
      <c r="E1252" s="5" t="s">
        <v>440</v>
      </c>
      <c r="F1252" s="5" t="s">
        <v>282</v>
      </c>
      <c r="G1252" s="5" t="s">
        <v>1341</v>
      </c>
      <c r="H1252" s="6" t="s">
        <v>1475</v>
      </c>
      <c r="I1252" s="5" t="s">
        <v>2991</v>
      </c>
      <c r="J1252" s="7">
        <f>0</f>
        <v>0</v>
      </c>
      <c r="K1252" s="5" t="s">
        <v>270</v>
      </c>
      <c r="L1252" s="8">
        <f>114915</f>
        <v>114915</v>
      </c>
      <c r="M1252" s="8">
        <f>172800</f>
        <v>172800</v>
      </c>
      <c r="N1252" s="6" t="s">
        <v>2992</v>
      </c>
      <c r="O1252" s="5" t="s">
        <v>268</v>
      </c>
      <c r="P1252" s="5" t="s">
        <v>356</v>
      </c>
      <c r="Q1252" s="8">
        <f>11577</f>
        <v>11577</v>
      </c>
      <c r="R1252" s="8">
        <f>57885</f>
        <v>57885</v>
      </c>
      <c r="S1252" s="5" t="s">
        <v>240</v>
      </c>
      <c r="T1252" s="5" t="s">
        <v>287</v>
      </c>
      <c r="U1252" s="5" t="s">
        <v>238</v>
      </c>
      <c r="V1252" s="5" t="s">
        <v>238</v>
      </c>
      <c r="W1252" s="5" t="s">
        <v>241</v>
      </c>
      <c r="X1252" s="5" t="s">
        <v>951</v>
      </c>
      <c r="Y1252" s="5" t="s">
        <v>238</v>
      </c>
      <c r="AB1252" s="5" t="s">
        <v>238</v>
      </c>
      <c r="AC1252" s="6" t="s">
        <v>238</v>
      </c>
      <c r="AD1252" s="6" t="s">
        <v>238</v>
      </c>
      <c r="AF1252" s="6" t="s">
        <v>238</v>
      </c>
      <c r="AG1252" s="6" t="s">
        <v>246</v>
      </c>
      <c r="AH1252" s="5" t="s">
        <v>247</v>
      </c>
      <c r="AI1252" s="5" t="s">
        <v>248</v>
      </c>
      <c r="AO1252" s="5" t="s">
        <v>238</v>
      </c>
      <c r="AP1252" s="5" t="s">
        <v>238</v>
      </c>
      <c r="AQ1252" s="5" t="s">
        <v>238</v>
      </c>
      <c r="AR1252" s="6" t="s">
        <v>238</v>
      </c>
      <c r="AS1252" s="6" t="s">
        <v>238</v>
      </c>
      <c r="AT1252" s="6" t="s">
        <v>238</v>
      </c>
      <c r="AW1252" s="5" t="s">
        <v>304</v>
      </c>
      <c r="AX1252" s="5" t="s">
        <v>304</v>
      </c>
      <c r="AY1252" s="5" t="s">
        <v>250</v>
      </c>
      <c r="AZ1252" s="5" t="s">
        <v>305</v>
      </c>
      <c r="BA1252" s="5" t="s">
        <v>251</v>
      </c>
      <c r="BB1252" s="5" t="s">
        <v>238</v>
      </c>
      <c r="BC1252" s="5" t="s">
        <v>253</v>
      </c>
      <c r="BD1252" s="5" t="s">
        <v>238</v>
      </c>
      <c r="BF1252" s="5" t="s">
        <v>238</v>
      </c>
      <c r="BH1252" s="5" t="s">
        <v>283</v>
      </c>
      <c r="BI1252" s="6" t="s">
        <v>293</v>
      </c>
      <c r="BJ1252" s="5" t="s">
        <v>294</v>
      </c>
      <c r="BK1252" s="5" t="s">
        <v>294</v>
      </c>
      <c r="BL1252" s="5" t="s">
        <v>238</v>
      </c>
      <c r="BM1252" s="7">
        <f>0</f>
        <v>0</v>
      </c>
      <c r="BN1252" s="8">
        <f>-11577</f>
        <v>-11577</v>
      </c>
      <c r="BO1252" s="5" t="s">
        <v>257</v>
      </c>
      <c r="BP1252" s="5" t="s">
        <v>258</v>
      </c>
      <c r="BQ1252" s="5" t="s">
        <v>238</v>
      </c>
      <c r="BR1252" s="5" t="s">
        <v>238</v>
      </c>
      <c r="BS1252" s="5" t="s">
        <v>238</v>
      </c>
      <c r="BT1252" s="5" t="s">
        <v>238</v>
      </c>
      <c r="CC1252" s="5" t="s">
        <v>258</v>
      </c>
      <c r="CD1252" s="5" t="s">
        <v>238</v>
      </c>
      <c r="CE1252" s="5" t="s">
        <v>238</v>
      </c>
      <c r="CI1252" s="5" t="s">
        <v>259</v>
      </c>
      <c r="CJ1252" s="5" t="s">
        <v>260</v>
      </c>
      <c r="CK1252" s="5" t="s">
        <v>238</v>
      </c>
      <c r="CM1252" s="5" t="s">
        <v>376</v>
      </c>
      <c r="CN1252" s="6" t="s">
        <v>262</v>
      </c>
      <c r="CO1252" s="5" t="s">
        <v>263</v>
      </c>
      <c r="CP1252" s="5" t="s">
        <v>264</v>
      </c>
      <c r="CQ1252" s="5" t="s">
        <v>285</v>
      </c>
      <c r="CR1252" s="5" t="s">
        <v>238</v>
      </c>
      <c r="CS1252" s="5">
        <v>6.7000000000000004E-2</v>
      </c>
      <c r="CT1252" s="5" t="s">
        <v>265</v>
      </c>
      <c r="CU1252" s="5" t="s">
        <v>351</v>
      </c>
      <c r="CV1252" s="5" t="s">
        <v>365</v>
      </c>
      <c r="CW1252" s="7">
        <f>0</f>
        <v>0</v>
      </c>
      <c r="CX1252" s="8">
        <f>172800</f>
        <v>172800</v>
      </c>
      <c r="CY1252" s="8">
        <f>126492</f>
        <v>126492</v>
      </c>
      <c r="DA1252" s="5" t="s">
        <v>238</v>
      </c>
      <c r="DB1252" s="5" t="s">
        <v>238</v>
      </c>
      <c r="DD1252" s="5" t="s">
        <v>238</v>
      </c>
      <c r="DE1252" s="8">
        <f>0</f>
        <v>0</v>
      </c>
      <c r="DG1252" s="5" t="s">
        <v>238</v>
      </c>
      <c r="DH1252" s="5" t="s">
        <v>238</v>
      </c>
      <c r="DI1252" s="5" t="s">
        <v>238</v>
      </c>
      <c r="DJ1252" s="5" t="s">
        <v>238</v>
      </c>
      <c r="DK1252" s="5" t="s">
        <v>272</v>
      </c>
      <c r="DL1252" s="5" t="s">
        <v>272</v>
      </c>
      <c r="DM1252" s="8" t="s">
        <v>238</v>
      </c>
      <c r="DN1252" s="5" t="s">
        <v>238</v>
      </c>
      <c r="DO1252" s="5" t="s">
        <v>238</v>
      </c>
      <c r="DP1252" s="5" t="s">
        <v>238</v>
      </c>
      <c r="DQ1252" s="5" t="s">
        <v>238</v>
      </c>
      <c r="DT1252" s="5" t="s">
        <v>1476</v>
      </c>
      <c r="DU1252" s="5" t="s">
        <v>379</v>
      </c>
      <c r="GL1252" s="5" t="s">
        <v>2993</v>
      </c>
      <c r="HM1252" s="5" t="s">
        <v>379</v>
      </c>
      <c r="HP1252" s="5" t="s">
        <v>272</v>
      </c>
      <c r="HQ1252" s="5" t="s">
        <v>272</v>
      </c>
      <c r="HR1252" s="5" t="s">
        <v>238</v>
      </c>
      <c r="HS1252" s="5" t="s">
        <v>238</v>
      </c>
      <c r="HT1252" s="5" t="s">
        <v>238</v>
      </c>
      <c r="HU1252" s="5" t="s">
        <v>238</v>
      </c>
      <c r="HV1252" s="5" t="s">
        <v>238</v>
      </c>
      <c r="HW1252" s="5" t="s">
        <v>238</v>
      </c>
      <c r="HX1252" s="5" t="s">
        <v>238</v>
      </c>
      <c r="HY1252" s="5" t="s">
        <v>238</v>
      </c>
      <c r="HZ1252" s="5" t="s">
        <v>238</v>
      </c>
      <c r="IA1252" s="5" t="s">
        <v>238</v>
      </c>
      <c r="IB1252" s="5" t="s">
        <v>238</v>
      </c>
      <c r="IC1252" s="5" t="s">
        <v>238</v>
      </c>
      <c r="ID1252" s="5" t="s">
        <v>238</v>
      </c>
    </row>
    <row r="1253" spans="1:238" x14ac:dyDescent="0.4">
      <c r="A1253" s="5">
        <v>1594</v>
      </c>
      <c r="B1253" s="5">
        <v>1</v>
      </c>
      <c r="C1253" s="5">
        <v>4</v>
      </c>
      <c r="D1253" s="5" t="s">
        <v>1472</v>
      </c>
      <c r="E1253" s="5" t="s">
        <v>440</v>
      </c>
      <c r="F1253" s="5" t="s">
        <v>282</v>
      </c>
      <c r="G1253" s="5" t="s">
        <v>349</v>
      </c>
      <c r="H1253" s="6" t="s">
        <v>1475</v>
      </c>
      <c r="I1253" s="5" t="s">
        <v>2994</v>
      </c>
      <c r="J1253" s="7">
        <f>0</f>
        <v>0</v>
      </c>
      <c r="K1253" s="5" t="s">
        <v>270</v>
      </c>
      <c r="L1253" s="8">
        <f>1145570</f>
        <v>1145570</v>
      </c>
      <c r="M1253" s="8">
        <f>1354100</f>
        <v>1354100</v>
      </c>
      <c r="N1253" s="6" t="s">
        <v>2995</v>
      </c>
      <c r="O1253" s="5" t="s">
        <v>319</v>
      </c>
      <c r="P1253" s="5" t="s">
        <v>272</v>
      </c>
      <c r="Q1253" s="8">
        <f>1354099</f>
        <v>1354099</v>
      </c>
      <c r="R1253" s="8">
        <f>208530</f>
        <v>208530</v>
      </c>
      <c r="S1253" s="5" t="s">
        <v>240</v>
      </c>
      <c r="T1253" s="5" t="s">
        <v>287</v>
      </c>
      <c r="U1253" s="5" t="s">
        <v>238</v>
      </c>
      <c r="V1253" s="5" t="s">
        <v>238</v>
      </c>
      <c r="W1253" s="5" t="s">
        <v>241</v>
      </c>
      <c r="X1253" s="5" t="s">
        <v>238</v>
      </c>
      <c r="Y1253" s="5" t="s">
        <v>238</v>
      </c>
      <c r="AB1253" s="5" t="s">
        <v>238</v>
      </c>
      <c r="AC1253" s="6" t="s">
        <v>238</v>
      </c>
      <c r="AD1253" s="6" t="s">
        <v>238</v>
      </c>
      <c r="AF1253" s="6" t="s">
        <v>238</v>
      </c>
      <c r="AG1253" s="6" t="s">
        <v>246</v>
      </c>
      <c r="AH1253" s="5" t="s">
        <v>247</v>
      </c>
      <c r="AI1253" s="5" t="s">
        <v>248</v>
      </c>
      <c r="AO1253" s="5" t="s">
        <v>238</v>
      </c>
      <c r="AP1253" s="5" t="s">
        <v>238</v>
      </c>
      <c r="AQ1253" s="5" t="s">
        <v>238</v>
      </c>
      <c r="AR1253" s="6" t="s">
        <v>238</v>
      </c>
      <c r="AS1253" s="6" t="s">
        <v>238</v>
      </c>
      <c r="AT1253" s="6" t="s">
        <v>238</v>
      </c>
      <c r="AW1253" s="5" t="s">
        <v>304</v>
      </c>
      <c r="AX1253" s="5" t="s">
        <v>304</v>
      </c>
      <c r="AY1253" s="5" t="s">
        <v>250</v>
      </c>
      <c r="AZ1253" s="5" t="s">
        <v>305</v>
      </c>
      <c r="BA1253" s="5" t="s">
        <v>251</v>
      </c>
      <c r="BB1253" s="5" t="s">
        <v>238</v>
      </c>
      <c r="BC1253" s="5" t="s">
        <v>253</v>
      </c>
      <c r="BD1253" s="5" t="s">
        <v>238</v>
      </c>
      <c r="BF1253" s="5" t="s">
        <v>238</v>
      </c>
      <c r="BH1253" s="5" t="s">
        <v>283</v>
      </c>
      <c r="BI1253" s="6" t="s">
        <v>293</v>
      </c>
      <c r="BJ1253" s="5" t="s">
        <v>294</v>
      </c>
      <c r="BK1253" s="5" t="s">
        <v>294</v>
      </c>
      <c r="BL1253" s="5" t="s">
        <v>238</v>
      </c>
      <c r="BM1253" s="7">
        <f>0</f>
        <v>0</v>
      </c>
      <c r="BN1253" s="8">
        <f>-104265</f>
        <v>-104265</v>
      </c>
      <c r="BO1253" s="5" t="s">
        <v>257</v>
      </c>
      <c r="BP1253" s="5" t="s">
        <v>258</v>
      </c>
      <c r="BQ1253" s="5" t="s">
        <v>238</v>
      </c>
      <c r="BR1253" s="5" t="s">
        <v>238</v>
      </c>
      <c r="BS1253" s="5" t="s">
        <v>238</v>
      </c>
      <c r="BT1253" s="5" t="s">
        <v>238</v>
      </c>
      <c r="CC1253" s="5" t="s">
        <v>258</v>
      </c>
      <c r="CD1253" s="5" t="s">
        <v>238</v>
      </c>
      <c r="CE1253" s="5" t="s">
        <v>238</v>
      </c>
      <c r="CI1253" s="5" t="s">
        <v>259</v>
      </c>
      <c r="CJ1253" s="5" t="s">
        <v>260</v>
      </c>
      <c r="CK1253" s="5" t="s">
        <v>238</v>
      </c>
      <c r="CM1253" s="5" t="s">
        <v>408</v>
      </c>
      <c r="CN1253" s="6" t="s">
        <v>262</v>
      </c>
      <c r="CO1253" s="5" t="s">
        <v>263</v>
      </c>
      <c r="CP1253" s="5" t="s">
        <v>264</v>
      </c>
      <c r="CQ1253" s="5" t="s">
        <v>285</v>
      </c>
      <c r="CR1253" s="5" t="s">
        <v>238</v>
      </c>
      <c r="CS1253" s="5">
        <v>7.6999999999999999E-2</v>
      </c>
      <c r="CT1253" s="5" t="s">
        <v>265</v>
      </c>
      <c r="CU1253" s="5" t="s">
        <v>351</v>
      </c>
      <c r="CV1253" s="5" t="s">
        <v>352</v>
      </c>
      <c r="CW1253" s="7">
        <f>0</f>
        <v>0</v>
      </c>
      <c r="CX1253" s="8">
        <f>1354100</f>
        <v>1354100</v>
      </c>
      <c r="CY1253" s="8">
        <f>1249835</f>
        <v>1249835</v>
      </c>
      <c r="DA1253" s="5" t="s">
        <v>238</v>
      </c>
      <c r="DB1253" s="5" t="s">
        <v>238</v>
      </c>
      <c r="DD1253" s="5" t="s">
        <v>238</v>
      </c>
      <c r="DE1253" s="8">
        <f>0</f>
        <v>0</v>
      </c>
      <c r="DG1253" s="5" t="s">
        <v>238</v>
      </c>
      <c r="DH1253" s="5" t="s">
        <v>238</v>
      </c>
      <c r="DI1253" s="5" t="s">
        <v>238</v>
      </c>
      <c r="DJ1253" s="5" t="s">
        <v>238</v>
      </c>
      <c r="DK1253" s="5" t="s">
        <v>272</v>
      </c>
      <c r="DL1253" s="5" t="s">
        <v>272</v>
      </c>
      <c r="DM1253" s="8" t="s">
        <v>238</v>
      </c>
      <c r="DN1253" s="5" t="s">
        <v>238</v>
      </c>
      <c r="DO1253" s="5" t="s">
        <v>238</v>
      </c>
      <c r="DP1253" s="5" t="s">
        <v>238</v>
      </c>
      <c r="DQ1253" s="5" t="s">
        <v>238</v>
      </c>
      <c r="DT1253" s="5" t="s">
        <v>1476</v>
      </c>
      <c r="DU1253" s="5" t="s">
        <v>313</v>
      </c>
      <c r="GL1253" s="5" t="s">
        <v>2996</v>
      </c>
      <c r="HM1253" s="5" t="s">
        <v>274</v>
      </c>
      <c r="HP1253" s="5" t="s">
        <v>272</v>
      </c>
      <c r="HQ1253" s="5" t="s">
        <v>272</v>
      </c>
      <c r="HR1253" s="5" t="s">
        <v>238</v>
      </c>
      <c r="HS1253" s="5" t="s">
        <v>238</v>
      </c>
      <c r="HT1253" s="5" t="s">
        <v>238</v>
      </c>
      <c r="HU1253" s="5" t="s">
        <v>238</v>
      </c>
      <c r="HV1253" s="5" t="s">
        <v>238</v>
      </c>
      <c r="HW1253" s="5" t="s">
        <v>238</v>
      </c>
      <c r="HX1253" s="5" t="s">
        <v>238</v>
      </c>
      <c r="HY1253" s="5" t="s">
        <v>238</v>
      </c>
      <c r="HZ1253" s="5" t="s">
        <v>238</v>
      </c>
      <c r="IA1253" s="5" t="s">
        <v>238</v>
      </c>
      <c r="IB1253" s="5" t="s">
        <v>238</v>
      </c>
      <c r="IC1253" s="5" t="s">
        <v>238</v>
      </c>
      <c r="ID1253" s="5" t="s">
        <v>238</v>
      </c>
    </row>
    <row r="1254" spans="1:238" x14ac:dyDescent="0.4">
      <c r="A1254" s="5">
        <v>1595</v>
      </c>
      <c r="B1254" s="5">
        <v>1</v>
      </c>
      <c r="C1254" s="5">
        <v>4</v>
      </c>
      <c r="D1254" s="5" t="s">
        <v>1472</v>
      </c>
      <c r="E1254" s="5" t="s">
        <v>440</v>
      </c>
      <c r="F1254" s="5" t="s">
        <v>282</v>
      </c>
      <c r="G1254" s="5" t="s">
        <v>349</v>
      </c>
      <c r="H1254" s="6" t="s">
        <v>1475</v>
      </c>
      <c r="I1254" s="5" t="s">
        <v>2997</v>
      </c>
      <c r="J1254" s="7">
        <f>0</f>
        <v>0</v>
      </c>
      <c r="K1254" s="5" t="s">
        <v>270</v>
      </c>
      <c r="L1254" s="8">
        <f>1572314</f>
        <v>1572314</v>
      </c>
      <c r="M1254" s="8">
        <f>1889800</f>
        <v>1889800</v>
      </c>
      <c r="N1254" s="6" t="s">
        <v>2998</v>
      </c>
      <c r="O1254" s="5" t="s">
        <v>395</v>
      </c>
      <c r="P1254" s="5" t="s">
        <v>272</v>
      </c>
      <c r="Q1254" s="8">
        <f>1889799</f>
        <v>1889799</v>
      </c>
      <c r="R1254" s="8">
        <f>317486</f>
        <v>317486</v>
      </c>
      <c r="S1254" s="5" t="s">
        <v>240</v>
      </c>
      <c r="T1254" s="5" t="s">
        <v>287</v>
      </c>
      <c r="U1254" s="5" t="s">
        <v>238</v>
      </c>
      <c r="V1254" s="5" t="s">
        <v>238</v>
      </c>
      <c r="W1254" s="5" t="s">
        <v>241</v>
      </c>
      <c r="X1254" s="5" t="s">
        <v>238</v>
      </c>
      <c r="Y1254" s="5" t="s">
        <v>238</v>
      </c>
      <c r="AB1254" s="5" t="s">
        <v>238</v>
      </c>
      <c r="AC1254" s="6" t="s">
        <v>238</v>
      </c>
      <c r="AD1254" s="6" t="s">
        <v>238</v>
      </c>
      <c r="AF1254" s="6" t="s">
        <v>238</v>
      </c>
      <c r="AG1254" s="6" t="s">
        <v>246</v>
      </c>
      <c r="AH1254" s="5" t="s">
        <v>247</v>
      </c>
      <c r="AI1254" s="5" t="s">
        <v>248</v>
      </c>
      <c r="AO1254" s="5" t="s">
        <v>238</v>
      </c>
      <c r="AP1254" s="5" t="s">
        <v>238</v>
      </c>
      <c r="AQ1254" s="5" t="s">
        <v>238</v>
      </c>
      <c r="AR1254" s="6" t="s">
        <v>238</v>
      </c>
      <c r="AS1254" s="6" t="s">
        <v>238</v>
      </c>
      <c r="AT1254" s="6" t="s">
        <v>238</v>
      </c>
      <c r="AW1254" s="5" t="s">
        <v>304</v>
      </c>
      <c r="AX1254" s="5" t="s">
        <v>304</v>
      </c>
      <c r="AY1254" s="5" t="s">
        <v>250</v>
      </c>
      <c r="AZ1254" s="5" t="s">
        <v>305</v>
      </c>
      <c r="BA1254" s="5" t="s">
        <v>251</v>
      </c>
      <c r="BB1254" s="5" t="s">
        <v>238</v>
      </c>
      <c r="BC1254" s="5" t="s">
        <v>253</v>
      </c>
      <c r="BD1254" s="5" t="s">
        <v>238</v>
      </c>
      <c r="BF1254" s="5" t="s">
        <v>238</v>
      </c>
      <c r="BH1254" s="5" t="s">
        <v>283</v>
      </c>
      <c r="BI1254" s="6" t="s">
        <v>293</v>
      </c>
      <c r="BJ1254" s="5" t="s">
        <v>294</v>
      </c>
      <c r="BK1254" s="5" t="s">
        <v>294</v>
      </c>
      <c r="BL1254" s="5" t="s">
        <v>238</v>
      </c>
      <c r="BM1254" s="7">
        <f>0</f>
        <v>0</v>
      </c>
      <c r="BN1254" s="8">
        <f>-158743</f>
        <v>-158743</v>
      </c>
      <c r="BO1254" s="5" t="s">
        <v>257</v>
      </c>
      <c r="BP1254" s="5" t="s">
        <v>258</v>
      </c>
      <c r="BQ1254" s="5" t="s">
        <v>238</v>
      </c>
      <c r="BR1254" s="5" t="s">
        <v>238</v>
      </c>
      <c r="BS1254" s="5" t="s">
        <v>238</v>
      </c>
      <c r="BT1254" s="5" t="s">
        <v>238</v>
      </c>
      <c r="CC1254" s="5" t="s">
        <v>258</v>
      </c>
      <c r="CD1254" s="5" t="s">
        <v>238</v>
      </c>
      <c r="CE1254" s="5" t="s">
        <v>238</v>
      </c>
      <c r="CI1254" s="5" t="s">
        <v>259</v>
      </c>
      <c r="CJ1254" s="5" t="s">
        <v>260</v>
      </c>
      <c r="CK1254" s="5" t="s">
        <v>238</v>
      </c>
      <c r="CM1254" s="5" t="s">
        <v>408</v>
      </c>
      <c r="CN1254" s="6" t="s">
        <v>262</v>
      </c>
      <c r="CO1254" s="5" t="s">
        <v>263</v>
      </c>
      <c r="CP1254" s="5" t="s">
        <v>264</v>
      </c>
      <c r="CQ1254" s="5" t="s">
        <v>285</v>
      </c>
      <c r="CR1254" s="5" t="s">
        <v>238</v>
      </c>
      <c r="CS1254" s="5">
        <v>8.4000000000000005E-2</v>
      </c>
      <c r="CT1254" s="5" t="s">
        <v>265</v>
      </c>
      <c r="CU1254" s="5" t="s">
        <v>351</v>
      </c>
      <c r="CV1254" s="5" t="s">
        <v>2977</v>
      </c>
      <c r="CW1254" s="7">
        <f>0</f>
        <v>0</v>
      </c>
      <c r="CX1254" s="8">
        <f>1889800</f>
        <v>1889800</v>
      </c>
      <c r="CY1254" s="8">
        <f>1731057</f>
        <v>1731057</v>
      </c>
      <c r="DA1254" s="5" t="s">
        <v>238</v>
      </c>
      <c r="DB1254" s="5" t="s">
        <v>238</v>
      </c>
      <c r="DD1254" s="5" t="s">
        <v>238</v>
      </c>
      <c r="DE1254" s="8">
        <f>0</f>
        <v>0</v>
      </c>
      <c r="DG1254" s="5" t="s">
        <v>238</v>
      </c>
      <c r="DH1254" s="5" t="s">
        <v>238</v>
      </c>
      <c r="DI1254" s="5" t="s">
        <v>238</v>
      </c>
      <c r="DJ1254" s="5" t="s">
        <v>238</v>
      </c>
      <c r="DK1254" s="5" t="s">
        <v>272</v>
      </c>
      <c r="DL1254" s="5" t="s">
        <v>272</v>
      </c>
      <c r="DM1254" s="8" t="s">
        <v>238</v>
      </c>
      <c r="DN1254" s="5" t="s">
        <v>238</v>
      </c>
      <c r="DO1254" s="5" t="s">
        <v>238</v>
      </c>
      <c r="DP1254" s="5" t="s">
        <v>238</v>
      </c>
      <c r="DQ1254" s="5" t="s">
        <v>238</v>
      </c>
      <c r="DT1254" s="5" t="s">
        <v>1476</v>
      </c>
      <c r="DU1254" s="5" t="s">
        <v>389</v>
      </c>
      <c r="GL1254" s="5" t="s">
        <v>2999</v>
      </c>
      <c r="HM1254" s="5" t="s">
        <v>274</v>
      </c>
      <c r="HP1254" s="5" t="s">
        <v>272</v>
      </c>
      <c r="HQ1254" s="5" t="s">
        <v>272</v>
      </c>
      <c r="HR1254" s="5" t="s">
        <v>238</v>
      </c>
      <c r="HS1254" s="5" t="s">
        <v>238</v>
      </c>
      <c r="HT1254" s="5" t="s">
        <v>238</v>
      </c>
      <c r="HU1254" s="5" t="s">
        <v>238</v>
      </c>
      <c r="HV1254" s="5" t="s">
        <v>238</v>
      </c>
      <c r="HW1254" s="5" t="s">
        <v>238</v>
      </c>
      <c r="HX1254" s="5" t="s">
        <v>238</v>
      </c>
      <c r="HY1254" s="5" t="s">
        <v>238</v>
      </c>
      <c r="HZ1254" s="5" t="s">
        <v>238</v>
      </c>
      <c r="IA1254" s="5" t="s">
        <v>238</v>
      </c>
      <c r="IB1254" s="5" t="s">
        <v>238</v>
      </c>
      <c r="IC1254" s="5" t="s">
        <v>238</v>
      </c>
      <c r="ID1254" s="5" t="s">
        <v>238</v>
      </c>
    </row>
    <row r="1255" spans="1:238" x14ac:dyDescent="0.4">
      <c r="A1255" s="5">
        <v>1596</v>
      </c>
      <c r="B1255" s="5">
        <v>1</v>
      </c>
      <c r="C1255" s="5">
        <v>4</v>
      </c>
      <c r="D1255" s="5" t="s">
        <v>1482</v>
      </c>
      <c r="E1255" s="5" t="s">
        <v>440</v>
      </c>
      <c r="F1255" s="5" t="s">
        <v>282</v>
      </c>
      <c r="G1255" s="5" t="s">
        <v>1372</v>
      </c>
      <c r="H1255" s="6" t="s">
        <v>1483</v>
      </c>
      <c r="I1255" s="5" t="s">
        <v>1481</v>
      </c>
      <c r="J1255" s="7">
        <f>714.37</f>
        <v>714.37</v>
      </c>
      <c r="K1255" s="5" t="s">
        <v>270</v>
      </c>
      <c r="L1255" s="8">
        <f>329920360</f>
        <v>329920360</v>
      </c>
      <c r="M1255" s="8">
        <f>441070000</f>
        <v>441070000</v>
      </c>
      <c r="N1255" s="6" t="s">
        <v>368</v>
      </c>
      <c r="O1255" s="5" t="s">
        <v>651</v>
      </c>
      <c r="P1255" s="5" t="s">
        <v>310</v>
      </c>
      <c r="Q1255" s="8">
        <f>18524940</f>
        <v>18524940</v>
      </c>
      <c r="R1255" s="8">
        <f>111149640</f>
        <v>111149640</v>
      </c>
      <c r="S1255" s="5" t="s">
        <v>240</v>
      </c>
      <c r="T1255" s="5" t="s">
        <v>237</v>
      </c>
      <c r="U1255" s="5" t="s">
        <v>238</v>
      </c>
      <c r="V1255" s="5" t="s">
        <v>238</v>
      </c>
      <c r="W1255" s="5" t="s">
        <v>241</v>
      </c>
      <c r="X1255" s="5" t="s">
        <v>951</v>
      </c>
      <c r="Y1255" s="5" t="s">
        <v>238</v>
      </c>
      <c r="AB1255" s="5" t="s">
        <v>238</v>
      </c>
      <c r="AC1255" s="6" t="s">
        <v>238</v>
      </c>
      <c r="AD1255" s="6" t="s">
        <v>238</v>
      </c>
      <c r="AF1255" s="6" t="s">
        <v>238</v>
      </c>
      <c r="AG1255" s="6" t="s">
        <v>246</v>
      </c>
      <c r="AH1255" s="5" t="s">
        <v>247</v>
      </c>
      <c r="AI1255" s="5" t="s">
        <v>248</v>
      </c>
      <c r="AO1255" s="5" t="s">
        <v>238</v>
      </c>
      <c r="AP1255" s="5" t="s">
        <v>238</v>
      </c>
      <c r="AQ1255" s="5" t="s">
        <v>238</v>
      </c>
      <c r="AR1255" s="6" t="s">
        <v>238</v>
      </c>
      <c r="AS1255" s="6" t="s">
        <v>238</v>
      </c>
      <c r="AT1255" s="6" t="s">
        <v>238</v>
      </c>
      <c r="AW1255" s="5" t="s">
        <v>304</v>
      </c>
      <c r="AX1255" s="5" t="s">
        <v>304</v>
      </c>
      <c r="AY1255" s="5" t="s">
        <v>250</v>
      </c>
      <c r="AZ1255" s="5" t="s">
        <v>305</v>
      </c>
      <c r="BA1255" s="5" t="s">
        <v>251</v>
      </c>
      <c r="BB1255" s="5" t="s">
        <v>238</v>
      </c>
      <c r="BC1255" s="5" t="s">
        <v>253</v>
      </c>
      <c r="BD1255" s="5" t="s">
        <v>238</v>
      </c>
      <c r="BF1255" s="5" t="s">
        <v>238</v>
      </c>
      <c r="BH1255" s="5" t="s">
        <v>283</v>
      </c>
      <c r="BI1255" s="6" t="s">
        <v>293</v>
      </c>
      <c r="BJ1255" s="5" t="s">
        <v>294</v>
      </c>
      <c r="BK1255" s="5" t="s">
        <v>294</v>
      </c>
      <c r="BL1255" s="5" t="s">
        <v>238</v>
      </c>
      <c r="BM1255" s="7">
        <f>0</f>
        <v>0</v>
      </c>
      <c r="BN1255" s="8">
        <f>-18524940</f>
        <v>-18524940</v>
      </c>
      <c r="BO1255" s="5" t="s">
        <v>257</v>
      </c>
      <c r="BP1255" s="5" t="s">
        <v>258</v>
      </c>
      <c r="BQ1255" s="5" t="s">
        <v>238</v>
      </c>
      <c r="BR1255" s="5" t="s">
        <v>238</v>
      </c>
      <c r="BS1255" s="5" t="s">
        <v>238</v>
      </c>
      <c r="BT1255" s="5" t="s">
        <v>238</v>
      </c>
      <c r="CC1255" s="5" t="s">
        <v>258</v>
      </c>
      <c r="CD1255" s="5" t="s">
        <v>238</v>
      </c>
      <c r="CE1255" s="5" t="s">
        <v>238</v>
      </c>
      <c r="CI1255" s="5" t="s">
        <v>259</v>
      </c>
      <c r="CJ1255" s="5" t="s">
        <v>260</v>
      </c>
      <c r="CK1255" s="5" t="s">
        <v>238</v>
      </c>
      <c r="CM1255" s="5" t="s">
        <v>1202</v>
      </c>
      <c r="CN1255" s="6" t="s">
        <v>262</v>
      </c>
      <c r="CO1255" s="5" t="s">
        <v>263</v>
      </c>
      <c r="CP1255" s="5" t="s">
        <v>264</v>
      </c>
      <c r="CQ1255" s="5" t="s">
        <v>285</v>
      </c>
      <c r="CR1255" s="5" t="s">
        <v>238</v>
      </c>
      <c r="CS1255" s="5">
        <v>4.2000000000000003E-2</v>
      </c>
      <c r="CT1255" s="5" t="s">
        <v>265</v>
      </c>
      <c r="CU1255" s="5" t="s">
        <v>1325</v>
      </c>
      <c r="CV1255" s="5" t="s">
        <v>267</v>
      </c>
      <c r="CW1255" s="7">
        <f>0</f>
        <v>0</v>
      </c>
      <c r="CX1255" s="8">
        <f>441070000</f>
        <v>441070000</v>
      </c>
      <c r="CY1255" s="8">
        <f>348445300</f>
        <v>348445300</v>
      </c>
      <c r="DA1255" s="5" t="s">
        <v>238</v>
      </c>
      <c r="DB1255" s="5" t="s">
        <v>238</v>
      </c>
      <c r="DD1255" s="5" t="s">
        <v>238</v>
      </c>
      <c r="DE1255" s="8">
        <f>0</f>
        <v>0</v>
      </c>
      <c r="DG1255" s="5" t="s">
        <v>238</v>
      </c>
      <c r="DH1255" s="5" t="s">
        <v>238</v>
      </c>
      <c r="DI1255" s="5" t="s">
        <v>238</v>
      </c>
      <c r="DJ1255" s="5" t="s">
        <v>238</v>
      </c>
      <c r="DK1255" s="5" t="s">
        <v>271</v>
      </c>
      <c r="DL1255" s="5" t="s">
        <v>272</v>
      </c>
      <c r="DM1255" s="7">
        <f>714.37</f>
        <v>714.37</v>
      </c>
      <c r="DN1255" s="5" t="s">
        <v>238</v>
      </c>
      <c r="DO1255" s="5" t="s">
        <v>238</v>
      </c>
      <c r="DP1255" s="5" t="s">
        <v>238</v>
      </c>
      <c r="DQ1255" s="5" t="s">
        <v>238</v>
      </c>
      <c r="DT1255" s="5" t="s">
        <v>1484</v>
      </c>
      <c r="DU1255" s="5" t="s">
        <v>271</v>
      </c>
      <c r="GL1255" s="5" t="s">
        <v>1485</v>
      </c>
      <c r="HM1255" s="5" t="s">
        <v>361</v>
      </c>
      <c r="HP1255" s="5" t="s">
        <v>272</v>
      </c>
      <c r="HQ1255" s="5" t="s">
        <v>272</v>
      </c>
      <c r="HR1255" s="5" t="s">
        <v>238</v>
      </c>
      <c r="HS1255" s="5" t="s">
        <v>238</v>
      </c>
      <c r="HT1255" s="5" t="s">
        <v>238</v>
      </c>
      <c r="HU1255" s="5" t="s">
        <v>238</v>
      </c>
      <c r="HV1255" s="5" t="s">
        <v>238</v>
      </c>
      <c r="HW1255" s="5" t="s">
        <v>238</v>
      </c>
      <c r="HX1255" s="5" t="s">
        <v>238</v>
      </c>
      <c r="HY1255" s="5" t="s">
        <v>238</v>
      </c>
      <c r="HZ1255" s="5" t="s">
        <v>238</v>
      </c>
      <c r="IA1255" s="5" t="s">
        <v>238</v>
      </c>
      <c r="IB1255" s="5" t="s">
        <v>238</v>
      </c>
      <c r="IC1255" s="5" t="s">
        <v>238</v>
      </c>
      <c r="ID1255" s="5" t="s">
        <v>238</v>
      </c>
    </row>
    <row r="1256" spans="1:238" x14ac:dyDescent="0.4">
      <c r="A1256" s="5">
        <v>1597</v>
      </c>
      <c r="B1256" s="5">
        <v>1</v>
      </c>
      <c r="C1256" s="5">
        <v>4</v>
      </c>
      <c r="D1256" s="5" t="s">
        <v>1486</v>
      </c>
      <c r="E1256" s="5" t="s">
        <v>440</v>
      </c>
      <c r="F1256" s="5" t="s">
        <v>282</v>
      </c>
      <c r="G1256" s="5" t="s">
        <v>1372</v>
      </c>
      <c r="H1256" s="6" t="s">
        <v>1488</v>
      </c>
      <c r="I1256" s="5" t="s">
        <v>1326</v>
      </c>
      <c r="J1256" s="7">
        <f>24.84</f>
        <v>24.84</v>
      </c>
      <c r="K1256" s="5" t="s">
        <v>270</v>
      </c>
      <c r="L1256" s="8">
        <f>2054850</f>
        <v>2054850</v>
      </c>
      <c r="M1256" s="8">
        <f>4987500</f>
        <v>4987500</v>
      </c>
      <c r="N1256" s="6" t="s">
        <v>1487</v>
      </c>
      <c r="O1256" s="5" t="s">
        <v>651</v>
      </c>
      <c r="P1256" s="5" t="s">
        <v>395</v>
      </c>
      <c r="Q1256" s="8">
        <f>209475</f>
        <v>209475</v>
      </c>
      <c r="R1256" s="8">
        <f>2932650</f>
        <v>2932650</v>
      </c>
      <c r="S1256" s="5" t="s">
        <v>240</v>
      </c>
      <c r="T1256" s="5" t="s">
        <v>237</v>
      </c>
      <c r="U1256" s="5" t="s">
        <v>238</v>
      </c>
      <c r="V1256" s="5" t="s">
        <v>238</v>
      </c>
      <c r="W1256" s="5" t="s">
        <v>241</v>
      </c>
      <c r="X1256" s="5" t="s">
        <v>951</v>
      </c>
      <c r="Y1256" s="5" t="s">
        <v>238</v>
      </c>
      <c r="AB1256" s="5" t="s">
        <v>238</v>
      </c>
      <c r="AC1256" s="6" t="s">
        <v>238</v>
      </c>
      <c r="AD1256" s="6" t="s">
        <v>238</v>
      </c>
      <c r="AF1256" s="6" t="s">
        <v>238</v>
      </c>
      <c r="AG1256" s="6" t="s">
        <v>246</v>
      </c>
      <c r="AH1256" s="5" t="s">
        <v>247</v>
      </c>
      <c r="AI1256" s="5" t="s">
        <v>248</v>
      </c>
      <c r="AO1256" s="5" t="s">
        <v>238</v>
      </c>
      <c r="AP1256" s="5" t="s">
        <v>238</v>
      </c>
      <c r="AQ1256" s="5" t="s">
        <v>238</v>
      </c>
      <c r="AR1256" s="6" t="s">
        <v>238</v>
      </c>
      <c r="AS1256" s="6" t="s">
        <v>238</v>
      </c>
      <c r="AT1256" s="6" t="s">
        <v>238</v>
      </c>
      <c r="AW1256" s="5" t="s">
        <v>304</v>
      </c>
      <c r="AX1256" s="5" t="s">
        <v>304</v>
      </c>
      <c r="AY1256" s="5" t="s">
        <v>250</v>
      </c>
      <c r="AZ1256" s="5" t="s">
        <v>305</v>
      </c>
      <c r="BA1256" s="5" t="s">
        <v>251</v>
      </c>
      <c r="BB1256" s="5" t="s">
        <v>238</v>
      </c>
      <c r="BC1256" s="5" t="s">
        <v>253</v>
      </c>
      <c r="BD1256" s="5" t="s">
        <v>238</v>
      </c>
      <c r="BF1256" s="5" t="s">
        <v>710</v>
      </c>
      <c r="BH1256" s="5" t="s">
        <v>283</v>
      </c>
      <c r="BI1256" s="6" t="s">
        <v>293</v>
      </c>
      <c r="BJ1256" s="5" t="s">
        <v>294</v>
      </c>
      <c r="BK1256" s="5" t="s">
        <v>294</v>
      </c>
      <c r="BL1256" s="5" t="s">
        <v>238</v>
      </c>
      <c r="BM1256" s="7">
        <f>0</f>
        <v>0</v>
      </c>
      <c r="BN1256" s="8">
        <f>-209475</f>
        <v>-209475</v>
      </c>
      <c r="BO1256" s="5" t="s">
        <v>257</v>
      </c>
      <c r="BP1256" s="5" t="s">
        <v>258</v>
      </c>
      <c r="BQ1256" s="5" t="s">
        <v>238</v>
      </c>
      <c r="BR1256" s="5" t="s">
        <v>238</v>
      </c>
      <c r="BS1256" s="5" t="s">
        <v>238</v>
      </c>
      <c r="BT1256" s="5" t="s">
        <v>238</v>
      </c>
      <c r="CC1256" s="5" t="s">
        <v>258</v>
      </c>
      <c r="CD1256" s="5" t="s">
        <v>238</v>
      </c>
      <c r="CE1256" s="5" t="s">
        <v>238</v>
      </c>
      <c r="CI1256" s="5" t="s">
        <v>259</v>
      </c>
      <c r="CJ1256" s="5" t="s">
        <v>260</v>
      </c>
      <c r="CK1256" s="5" t="s">
        <v>238</v>
      </c>
      <c r="CM1256" s="5" t="s">
        <v>393</v>
      </c>
      <c r="CN1256" s="6" t="s">
        <v>262</v>
      </c>
      <c r="CO1256" s="5" t="s">
        <v>263</v>
      </c>
      <c r="CP1256" s="5" t="s">
        <v>264</v>
      </c>
      <c r="CQ1256" s="5" t="s">
        <v>285</v>
      </c>
      <c r="CR1256" s="5" t="s">
        <v>238</v>
      </c>
      <c r="CS1256" s="5">
        <v>4.2000000000000003E-2</v>
      </c>
      <c r="CT1256" s="5" t="s">
        <v>265</v>
      </c>
      <c r="CU1256" s="5" t="s">
        <v>1325</v>
      </c>
      <c r="CV1256" s="5" t="s">
        <v>267</v>
      </c>
      <c r="CW1256" s="7">
        <f>0</f>
        <v>0</v>
      </c>
      <c r="CX1256" s="8">
        <f>4987500</f>
        <v>4987500</v>
      </c>
      <c r="CY1256" s="8">
        <f>2264325</f>
        <v>2264325</v>
      </c>
      <c r="DA1256" s="5" t="s">
        <v>238</v>
      </c>
      <c r="DB1256" s="5" t="s">
        <v>238</v>
      </c>
      <c r="DD1256" s="5" t="s">
        <v>238</v>
      </c>
      <c r="DE1256" s="8">
        <f>0</f>
        <v>0</v>
      </c>
      <c r="DG1256" s="5" t="s">
        <v>238</v>
      </c>
      <c r="DH1256" s="5" t="s">
        <v>238</v>
      </c>
      <c r="DI1256" s="5" t="s">
        <v>238</v>
      </c>
      <c r="DJ1256" s="5" t="s">
        <v>238</v>
      </c>
      <c r="DK1256" s="5" t="s">
        <v>271</v>
      </c>
      <c r="DL1256" s="5" t="s">
        <v>272</v>
      </c>
      <c r="DM1256" s="7">
        <f>24.84</f>
        <v>24.84</v>
      </c>
      <c r="DN1256" s="5" t="s">
        <v>238</v>
      </c>
      <c r="DO1256" s="5" t="s">
        <v>238</v>
      </c>
      <c r="DP1256" s="5" t="s">
        <v>238</v>
      </c>
      <c r="DQ1256" s="5" t="s">
        <v>238</v>
      </c>
      <c r="DT1256" s="5" t="s">
        <v>1489</v>
      </c>
      <c r="DU1256" s="5" t="s">
        <v>271</v>
      </c>
      <c r="GL1256" s="5" t="s">
        <v>1490</v>
      </c>
      <c r="HM1256" s="5" t="s">
        <v>389</v>
      </c>
      <c r="HP1256" s="5" t="s">
        <v>272</v>
      </c>
      <c r="HQ1256" s="5" t="s">
        <v>272</v>
      </c>
      <c r="HR1256" s="5" t="s">
        <v>238</v>
      </c>
      <c r="HS1256" s="5" t="s">
        <v>238</v>
      </c>
      <c r="HT1256" s="5" t="s">
        <v>238</v>
      </c>
      <c r="HU1256" s="5" t="s">
        <v>238</v>
      </c>
      <c r="HV1256" s="5" t="s">
        <v>238</v>
      </c>
      <c r="HW1256" s="5" t="s">
        <v>238</v>
      </c>
      <c r="HX1256" s="5" t="s">
        <v>238</v>
      </c>
      <c r="HY1256" s="5" t="s">
        <v>238</v>
      </c>
      <c r="HZ1256" s="5" t="s">
        <v>238</v>
      </c>
      <c r="IA1256" s="5" t="s">
        <v>238</v>
      </c>
      <c r="IB1256" s="5" t="s">
        <v>238</v>
      </c>
      <c r="IC1256" s="5" t="s">
        <v>238</v>
      </c>
      <c r="ID1256" s="5" t="s">
        <v>238</v>
      </c>
    </row>
    <row r="1257" spans="1:238" x14ac:dyDescent="0.4">
      <c r="A1257" s="5">
        <v>1598</v>
      </c>
      <c r="B1257" s="5">
        <v>1</v>
      </c>
      <c r="C1257" s="5">
        <v>4</v>
      </c>
      <c r="D1257" s="5" t="s">
        <v>1486</v>
      </c>
      <c r="E1257" s="5" t="s">
        <v>440</v>
      </c>
      <c r="F1257" s="5" t="s">
        <v>282</v>
      </c>
      <c r="G1257" s="5" t="s">
        <v>327</v>
      </c>
      <c r="H1257" s="6" t="s">
        <v>1488</v>
      </c>
      <c r="I1257" s="5" t="s">
        <v>1326</v>
      </c>
      <c r="J1257" s="7">
        <f>93.86</f>
        <v>93.86</v>
      </c>
      <c r="K1257" s="5" t="s">
        <v>270</v>
      </c>
      <c r="L1257" s="8">
        <f>1241776</f>
        <v>1241776</v>
      </c>
      <c r="M1257" s="8">
        <f>12671100</f>
        <v>12671100</v>
      </c>
      <c r="N1257" s="6" t="s">
        <v>2174</v>
      </c>
      <c r="O1257" s="5" t="s">
        <v>898</v>
      </c>
      <c r="P1257" s="5" t="s">
        <v>975</v>
      </c>
      <c r="Q1257" s="8">
        <f>278764</f>
        <v>278764</v>
      </c>
      <c r="R1257" s="8">
        <f>11429324</f>
        <v>11429324</v>
      </c>
      <c r="S1257" s="5" t="s">
        <v>240</v>
      </c>
      <c r="T1257" s="5" t="s">
        <v>237</v>
      </c>
      <c r="U1257" s="5" t="s">
        <v>238</v>
      </c>
      <c r="V1257" s="5" t="s">
        <v>238</v>
      </c>
      <c r="W1257" s="5" t="s">
        <v>241</v>
      </c>
      <c r="X1257" s="5" t="s">
        <v>337</v>
      </c>
      <c r="Y1257" s="5" t="s">
        <v>238</v>
      </c>
      <c r="AB1257" s="5" t="s">
        <v>238</v>
      </c>
      <c r="AC1257" s="6" t="s">
        <v>238</v>
      </c>
      <c r="AD1257" s="6" t="s">
        <v>238</v>
      </c>
      <c r="AF1257" s="6" t="s">
        <v>238</v>
      </c>
      <c r="AG1257" s="6" t="s">
        <v>246</v>
      </c>
      <c r="AH1257" s="5" t="s">
        <v>247</v>
      </c>
      <c r="AI1257" s="5" t="s">
        <v>248</v>
      </c>
      <c r="AO1257" s="5" t="s">
        <v>238</v>
      </c>
      <c r="AP1257" s="5" t="s">
        <v>238</v>
      </c>
      <c r="AQ1257" s="5" t="s">
        <v>238</v>
      </c>
      <c r="AR1257" s="6" t="s">
        <v>238</v>
      </c>
      <c r="AS1257" s="6" t="s">
        <v>238</v>
      </c>
      <c r="AT1257" s="6" t="s">
        <v>238</v>
      </c>
      <c r="AW1257" s="5" t="s">
        <v>304</v>
      </c>
      <c r="AX1257" s="5" t="s">
        <v>304</v>
      </c>
      <c r="AY1257" s="5" t="s">
        <v>250</v>
      </c>
      <c r="AZ1257" s="5" t="s">
        <v>305</v>
      </c>
      <c r="BA1257" s="5" t="s">
        <v>251</v>
      </c>
      <c r="BB1257" s="5" t="s">
        <v>238</v>
      </c>
      <c r="BC1257" s="5" t="s">
        <v>253</v>
      </c>
      <c r="BD1257" s="5" t="s">
        <v>238</v>
      </c>
      <c r="BF1257" s="5" t="s">
        <v>238</v>
      </c>
      <c r="BH1257" s="5" t="s">
        <v>283</v>
      </c>
      <c r="BI1257" s="6" t="s">
        <v>293</v>
      </c>
      <c r="BJ1257" s="5" t="s">
        <v>294</v>
      </c>
      <c r="BK1257" s="5" t="s">
        <v>294</v>
      </c>
      <c r="BL1257" s="5" t="s">
        <v>238</v>
      </c>
      <c r="BM1257" s="7">
        <f>0</f>
        <v>0</v>
      </c>
      <c r="BN1257" s="8">
        <f>-278764</f>
        <v>-278764</v>
      </c>
      <c r="BO1257" s="5" t="s">
        <v>257</v>
      </c>
      <c r="BP1257" s="5" t="s">
        <v>258</v>
      </c>
      <c r="BQ1257" s="5" t="s">
        <v>238</v>
      </c>
      <c r="BR1257" s="5" t="s">
        <v>238</v>
      </c>
      <c r="BS1257" s="5" t="s">
        <v>238</v>
      </c>
      <c r="BT1257" s="5" t="s">
        <v>238</v>
      </c>
      <c r="CC1257" s="5" t="s">
        <v>258</v>
      </c>
      <c r="CD1257" s="5" t="s">
        <v>238</v>
      </c>
      <c r="CE1257" s="5" t="s">
        <v>238</v>
      </c>
      <c r="CI1257" s="5" t="s">
        <v>527</v>
      </c>
      <c r="CJ1257" s="5" t="s">
        <v>260</v>
      </c>
      <c r="CK1257" s="5" t="s">
        <v>238</v>
      </c>
      <c r="CM1257" s="5" t="s">
        <v>1020</v>
      </c>
      <c r="CN1257" s="6" t="s">
        <v>262</v>
      </c>
      <c r="CO1257" s="5" t="s">
        <v>263</v>
      </c>
      <c r="CP1257" s="5" t="s">
        <v>264</v>
      </c>
      <c r="CQ1257" s="5" t="s">
        <v>285</v>
      </c>
      <c r="CR1257" s="5" t="s">
        <v>238</v>
      </c>
      <c r="CS1257" s="5">
        <v>2.1999999999999999E-2</v>
      </c>
      <c r="CT1257" s="5" t="s">
        <v>265</v>
      </c>
      <c r="CU1257" s="5" t="s">
        <v>1338</v>
      </c>
      <c r="CV1257" s="5" t="s">
        <v>308</v>
      </c>
      <c r="CW1257" s="7">
        <f>0</f>
        <v>0</v>
      </c>
      <c r="CX1257" s="8">
        <f>12671100</f>
        <v>12671100</v>
      </c>
      <c r="CY1257" s="8">
        <f>1520540</f>
        <v>1520540</v>
      </c>
      <c r="DA1257" s="5" t="s">
        <v>238</v>
      </c>
      <c r="DB1257" s="5" t="s">
        <v>238</v>
      </c>
      <c r="DD1257" s="5" t="s">
        <v>238</v>
      </c>
      <c r="DE1257" s="8">
        <f>0</f>
        <v>0</v>
      </c>
      <c r="DG1257" s="5" t="s">
        <v>238</v>
      </c>
      <c r="DH1257" s="5" t="s">
        <v>238</v>
      </c>
      <c r="DI1257" s="5" t="s">
        <v>238</v>
      </c>
      <c r="DJ1257" s="5" t="s">
        <v>238</v>
      </c>
      <c r="DK1257" s="5" t="s">
        <v>274</v>
      </c>
      <c r="DL1257" s="5" t="s">
        <v>272</v>
      </c>
      <c r="DM1257" s="7">
        <f>93.86</f>
        <v>93.86</v>
      </c>
      <c r="DN1257" s="5" t="s">
        <v>238</v>
      </c>
      <c r="DO1257" s="5" t="s">
        <v>238</v>
      </c>
      <c r="DP1257" s="5" t="s">
        <v>238</v>
      </c>
      <c r="DQ1257" s="5" t="s">
        <v>238</v>
      </c>
      <c r="DT1257" s="5" t="s">
        <v>1489</v>
      </c>
      <c r="DU1257" s="5" t="s">
        <v>274</v>
      </c>
      <c r="GL1257" s="5" t="s">
        <v>2175</v>
      </c>
      <c r="HM1257" s="5" t="s">
        <v>310</v>
      </c>
      <c r="HP1257" s="5" t="s">
        <v>272</v>
      </c>
      <c r="HQ1257" s="5" t="s">
        <v>272</v>
      </c>
      <c r="HR1257" s="5" t="s">
        <v>238</v>
      </c>
      <c r="HS1257" s="5" t="s">
        <v>238</v>
      </c>
      <c r="HT1257" s="5" t="s">
        <v>238</v>
      </c>
      <c r="HU1257" s="5" t="s">
        <v>238</v>
      </c>
      <c r="HV1257" s="5" t="s">
        <v>238</v>
      </c>
      <c r="HW1257" s="5" t="s">
        <v>238</v>
      </c>
      <c r="HX1257" s="5" t="s">
        <v>238</v>
      </c>
      <c r="HY1257" s="5" t="s">
        <v>238</v>
      </c>
      <c r="HZ1257" s="5" t="s">
        <v>238</v>
      </c>
      <c r="IA1257" s="5" t="s">
        <v>238</v>
      </c>
      <c r="IB1257" s="5" t="s">
        <v>238</v>
      </c>
      <c r="IC1257" s="5" t="s">
        <v>238</v>
      </c>
      <c r="ID1257" s="5" t="s">
        <v>238</v>
      </c>
    </row>
    <row r="1258" spans="1:238" x14ac:dyDescent="0.4">
      <c r="A1258" s="5">
        <v>1599</v>
      </c>
      <c r="B1258" s="5">
        <v>1</v>
      </c>
      <c r="C1258" s="5">
        <v>4</v>
      </c>
      <c r="D1258" s="5" t="s">
        <v>1370</v>
      </c>
      <c r="E1258" s="5" t="s">
        <v>440</v>
      </c>
      <c r="F1258" s="5" t="s">
        <v>282</v>
      </c>
      <c r="G1258" s="5" t="s">
        <v>1372</v>
      </c>
      <c r="H1258" s="6" t="s">
        <v>1373</v>
      </c>
      <c r="I1258" s="5" t="s">
        <v>1326</v>
      </c>
      <c r="J1258" s="7">
        <f>788</f>
        <v>788</v>
      </c>
      <c r="K1258" s="5" t="s">
        <v>270</v>
      </c>
      <c r="L1258" s="8">
        <f>107216068</f>
        <v>107216068</v>
      </c>
      <c r="M1258" s="8">
        <f>282892000</f>
        <v>282892000</v>
      </c>
      <c r="N1258" s="6" t="s">
        <v>1371</v>
      </c>
      <c r="O1258" s="5" t="s">
        <v>639</v>
      </c>
      <c r="P1258" s="5" t="s">
        <v>818</v>
      </c>
      <c r="Q1258" s="8">
        <f>7638084</f>
        <v>7638084</v>
      </c>
      <c r="R1258" s="8">
        <f>175675932</f>
        <v>175675932</v>
      </c>
      <c r="S1258" s="5" t="s">
        <v>240</v>
      </c>
      <c r="T1258" s="5" t="s">
        <v>237</v>
      </c>
      <c r="U1258" s="5" t="s">
        <v>238</v>
      </c>
      <c r="V1258" s="5" t="s">
        <v>238</v>
      </c>
      <c r="W1258" s="5" t="s">
        <v>241</v>
      </c>
      <c r="X1258" s="5" t="s">
        <v>951</v>
      </c>
      <c r="Y1258" s="5" t="s">
        <v>238</v>
      </c>
      <c r="AB1258" s="5" t="s">
        <v>238</v>
      </c>
      <c r="AC1258" s="6" t="s">
        <v>238</v>
      </c>
      <c r="AD1258" s="6" t="s">
        <v>238</v>
      </c>
      <c r="AF1258" s="6" t="s">
        <v>238</v>
      </c>
      <c r="AG1258" s="6" t="s">
        <v>246</v>
      </c>
      <c r="AH1258" s="5" t="s">
        <v>247</v>
      </c>
      <c r="AI1258" s="5" t="s">
        <v>248</v>
      </c>
      <c r="AO1258" s="5" t="s">
        <v>238</v>
      </c>
      <c r="AP1258" s="5" t="s">
        <v>238</v>
      </c>
      <c r="AQ1258" s="5" t="s">
        <v>238</v>
      </c>
      <c r="AR1258" s="6" t="s">
        <v>238</v>
      </c>
      <c r="AS1258" s="6" t="s">
        <v>238</v>
      </c>
      <c r="AT1258" s="6" t="s">
        <v>238</v>
      </c>
      <c r="AW1258" s="5" t="s">
        <v>304</v>
      </c>
      <c r="AX1258" s="5" t="s">
        <v>304</v>
      </c>
      <c r="AY1258" s="5" t="s">
        <v>250</v>
      </c>
      <c r="AZ1258" s="5" t="s">
        <v>305</v>
      </c>
      <c r="BA1258" s="5" t="s">
        <v>251</v>
      </c>
      <c r="BB1258" s="5" t="s">
        <v>238</v>
      </c>
      <c r="BC1258" s="5" t="s">
        <v>253</v>
      </c>
      <c r="BD1258" s="5" t="s">
        <v>238</v>
      </c>
      <c r="BF1258" s="5" t="s">
        <v>238</v>
      </c>
      <c r="BH1258" s="5" t="s">
        <v>283</v>
      </c>
      <c r="BI1258" s="6" t="s">
        <v>293</v>
      </c>
      <c r="BJ1258" s="5" t="s">
        <v>294</v>
      </c>
      <c r="BK1258" s="5" t="s">
        <v>294</v>
      </c>
      <c r="BL1258" s="5" t="s">
        <v>238</v>
      </c>
      <c r="BM1258" s="7">
        <f>0</f>
        <v>0</v>
      </c>
      <c r="BN1258" s="8">
        <f>-7638084</f>
        <v>-7638084</v>
      </c>
      <c r="BO1258" s="5" t="s">
        <v>257</v>
      </c>
      <c r="BP1258" s="5" t="s">
        <v>258</v>
      </c>
      <c r="BQ1258" s="5" t="s">
        <v>238</v>
      </c>
      <c r="BR1258" s="5" t="s">
        <v>238</v>
      </c>
      <c r="BS1258" s="5" t="s">
        <v>238</v>
      </c>
      <c r="BT1258" s="5" t="s">
        <v>238</v>
      </c>
      <c r="CC1258" s="5" t="s">
        <v>258</v>
      </c>
      <c r="CD1258" s="5" t="s">
        <v>238</v>
      </c>
      <c r="CE1258" s="5" t="s">
        <v>238</v>
      </c>
      <c r="CI1258" s="5" t="s">
        <v>259</v>
      </c>
      <c r="CJ1258" s="5" t="s">
        <v>260</v>
      </c>
      <c r="CK1258" s="5" t="s">
        <v>238</v>
      </c>
      <c r="CM1258" s="5" t="s">
        <v>261</v>
      </c>
      <c r="CN1258" s="6" t="s">
        <v>262</v>
      </c>
      <c r="CO1258" s="5" t="s">
        <v>263</v>
      </c>
      <c r="CP1258" s="5" t="s">
        <v>264</v>
      </c>
      <c r="CQ1258" s="5" t="s">
        <v>285</v>
      </c>
      <c r="CR1258" s="5" t="s">
        <v>238</v>
      </c>
      <c r="CS1258" s="5">
        <v>2.7E-2</v>
      </c>
      <c r="CT1258" s="5" t="s">
        <v>265</v>
      </c>
      <c r="CU1258" s="5" t="s">
        <v>1325</v>
      </c>
      <c r="CV1258" s="5" t="s">
        <v>649</v>
      </c>
      <c r="CW1258" s="7">
        <f>0</f>
        <v>0</v>
      </c>
      <c r="CX1258" s="8">
        <f>282892000</f>
        <v>282892000</v>
      </c>
      <c r="CY1258" s="8">
        <f>114854152</f>
        <v>114854152</v>
      </c>
      <c r="DA1258" s="5" t="s">
        <v>238</v>
      </c>
      <c r="DB1258" s="5" t="s">
        <v>238</v>
      </c>
      <c r="DD1258" s="5" t="s">
        <v>238</v>
      </c>
      <c r="DE1258" s="8">
        <f>0</f>
        <v>0</v>
      </c>
      <c r="DG1258" s="5" t="s">
        <v>238</v>
      </c>
      <c r="DH1258" s="5" t="s">
        <v>238</v>
      </c>
      <c r="DI1258" s="5" t="s">
        <v>238</v>
      </c>
      <c r="DJ1258" s="5" t="s">
        <v>238</v>
      </c>
      <c r="DK1258" s="5" t="s">
        <v>271</v>
      </c>
      <c r="DL1258" s="5" t="s">
        <v>272</v>
      </c>
      <c r="DM1258" s="7">
        <f>788</f>
        <v>788</v>
      </c>
      <c r="DN1258" s="5" t="s">
        <v>238</v>
      </c>
      <c r="DO1258" s="5" t="s">
        <v>238</v>
      </c>
      <c r="DP1258" s="5" t="s">
        <v>238</v>
      </c>
      <c r="DQ1258" s="5" t="s">
        <v>238</v>
      </c>
      <c r="DT1258" s="5" t="s">
        <v>1374</v>
      </c>
      <c r="DU1258" s="5" t="s">
        <v>271</v>
      </c>
      <c r="GL1258" s="5" t="s">
        <v>1375</v>
      </c>
      <c r="HM1258" s="5" t="s">
        <v>313</v>
      </c>
      <c r="HP1258" s="5" t="s">
        <v>272</v>
      </c>
      <c r="HQ1258" s="5" t="s">
        <v>272</v>
      </c>
      <c r="HR1258" s="5" t="s">
        <v>238</v>
      </c>
      <c r="HS1258" s="5" t="s">
        <v>238</v>
      </c>
      <c r="HT1258" s="5" t="s">
        <v>238</v>
      </c>
      <c r="HU1258" s="5" t="s">
        <v>238</v>
      </c>
      <c r="HV1258" s="5" t="s">
        <v>238</v>
      </c>
      <c r="HW1258" s="5" t="s">
        <v>238</v>
      </c>
      <c r="HX1258" s="5" t="s">
        <v>238</v>
      </c>
      <c r="HY1258" s="5" t="s">
        <v>238</v>
      </c>
      <c r="HZ1258" s="5" t="s">
        <v>238</v>
      </c>
      <c r="IA1258" s="5" t="s">
        <v>238</v>
      </c>
      <c r="IB1258" s="5" t="s">
        <v>238</v>
      </c>
      <c r="IC1258" s="5" t="s">
        <v>238</v>
      </c>
      <c r="ID1258" s="5" t="s">
        <v>238</v>
      </c>
    </row>
    <row r="1259" spans="1:238" x14ac:dyDescent="0.4">
      <c r="A1259" s="5">
        <v>1600</v>
      </c>
      <c r="B1259" s="5">
        <v>1</v>
      </c>
      <c r="C1259" s="5">
        <v>4</v>
      </c>
      <c r="D1259" s="5" t="s">
        <v>1370</v>
      </c>
      <c r="E1259" s="5" t="s">
        <v>440</v>
      </c>
      <c r="F1259" s="5" t="s">
        <v>282</v>
      </c>
      <c r="G1259" s="5" t="s">
        <v>349</v>
      </c>
      <c r="H1259" s="6" t="s">
        <v>1373</v>
      </c>
      <c r="I1259" s="5" t="s">
        <v>3000</v>
      </c>
      <c r="J1259" s="7">
        <f>0</f>
        <v>0</v>
      </c>
      <c r="K1259" s="5" t="s">
        <v>270</v>
      </c>
      <c r="L1259" s="8">
        <f>439296</f>
        <v>439296</v>
      </c>
      <c r="M1259" s="8">
        <f>528000</f>
        <v>528000</v>
      </c>
      <c r="N1259" s="6" t="s">
        <v>3001</v>
      </c>
      <c r="O1259" s="5" t="s">
        <v>395</v>
      </c>
      <c r="P1259" s="5" t="s">
        <v>272</v>
      </c>
      <c r="Q1259" s="8">
        <f>527999</f>
        <v>527999</v>
      </c>
      <c r="R1259" s="8">
        <f>88704</f>
        <v>88704</v>
      </c>
      <c r="S1259" s="5" t="s">
        <v>240</v>
      </c>
      <c r="T1259" s="5" t="s">
        <v>287</v>
      </c>
      <c r="U1259" s="5" t="s">
        <v>238</v>
      </c>
      <c r="V1259" s="5" t="s">
        <v>238</v>
      </c>
      <c r="W1259" s="5" t="s">
        <v>241</v>
      </c>
      <c r="X1259" s="5" t="s">
        <v>238</v>
      </c>
      <c r="Y1259" s="5" t="s">
        <v>238</v>
      </c>
      <c r="AB1259" s="5" t="s">
        <v>238</v>
      </c>
      <c r="AC1259" s="6" t="s">
        <v>238</v>
      </c>
      <c r="AD1259" s="6" t="s">
        <v>238</v>
      </c>
      <c r="AF1259" s="6" t="s">
        <v>238</v>
      </c>
      <c r="AG1259" s="6" t="s">
        <v>246</v>
      </c>
      <c r="AH1259" s="5" t="s">
        <v>247</v>
      </c>
      <c r="AI1259" s="5" t="s">
        <v>248</v>
      </c>
      <c r="AO1259" s="5" t="s">
        <v>238</v>
      </c>
      <c r="AP1259" s="5" t="s">
        <v>238</v>
      </c>
      <c r="AQ1259" s="5" t="s">
        <v>238</v>
      </c>
      <c r="AR1259" s="6" t="s">
        <v>238</v>
      </c>
      <c r="AS1259" s="6" t="s">
        <v>238</v>
      </c>
      <c r="AT1259" s="6" t="s">
        <v>238</v>
      </c>
      <c r="AW1259" s="5" t="s">
        <v>304</v>
      </c>
      <c r="AX1259" s="5" t="s">
        <v>304</v>
      </c>
      <c r="AY1259" s="5" t="s">
        <v>250</v>
      </c>
      <c r="AZ1259" s="5" t="s">
        <v>305</v>
      </c>
      <c r="BA1259" s="5" t="s">
        <v>251</v>
      </c>
      <c r="BB1259" s="5" t="s">
        <v>238</v>
      </c>
      <c r="BC1259" s="5" t="s">
        <v>253</v>
      </c>
      <c r="BD1259" s="5" t="s">
        <v>238</v>
      </c>
      <c r="BF1259" s="5" t="s">
        <v>238</v>
      </c>
      <c r="BH1259" s="5" t="s">
        <v>283</v>
      </c>
      <c r="BI1259" s="6" t="s">
        <v>293</v>
      </c>
      <c r="BJ1259" s="5" t="s">
        <v>294</v>
      </c>
      <c r="BK1259" s="5" t="s">
        <v>294</v>
      </c>
      <c r="BL1259" s="5" t="s">
        <v>238</v>
      </c>
      <c r="BM1259" s="7">
        <f>0</f>
        <v>0</v>
      </c>
      <c r="BN1259" s="8">
        <f>-44352</f>
        <v>-44352</v>
      </c>
      <c r="BO1259" s="5" t="s">
        <v>257</v>
      </c>
      <c r="BP1259" s="5" t="s">
        <v>258</v>
      </c>
      <c r="BQ1259" s="5" t="s">
        <v>238</v>
      </c>
      <c r="BR1259" s="5" t="s">
        <v>238</v>
      </c>
      <c r="BS1259" s="5" t="s">
        <v>238</v>
      </c>
      <c r="BT1259" s="5" t="s">
        <v>238</v>
      </c>
      <c r="CC1259" s="5" t="s">
        <v>258</v>
      </c>
      <c r="CD1259" s="5" t="s">
        <v>238</v>
      </c>
      <c r="CE1259" s="5" t="s">
        <v>238</v>
      </c>
      <c r="CI1259" s="5" t="s">
        <v>259</v>
      </c>
      <c r="CJ1259" s="5" t="s">
        <v>260</v>
      </c>
      <c r="CK1259" s="5" t="s">
        <v>238</v>
      </c>
      <c r="CM1259" s="5" t="s">
        <v>408</v>
      </c>
      <c r="CN1259" s="6" t="s">
        <v>262</v>
      </c>
      <c r="CO1259" s="5" t="s">
        <v>263</v>
      </c>
      <c r="CP1259" s="5" t="s">
        <v>264</v>
      </c>
      <c r="CQ1259" s="5" t="s">
        <v>285</v>
      </c>
      <c r="CR1259" s="5" t="s">
        <v>238</v>
      </c>
      <c r="CS1259" s="5">
        <v>8.4000000000000005E-2</v>
      </c>
      <c r="CT1259" s="5" t="s">
        <v>265</v>
      </c>
      <c r="CU1259" s="5" t="s">
        <v>351</v>
      </c>
      <c r="CV1259" s="5" t="s">
        <v>2977</v>
      </c>
      <c r="CW1259" s="7">
        <f>0</f>
        <v>0</v>
      </c>
      <c r="CX1259" s="8">
        <f>528000</f>
        <v>528000</v>
      </c>
      <c r="CY1259" s="8">
        <f>483648</f>
        <v>483648</v>
      </c>
      <c r="DA1259" s="5" t="s">
        <v>238</v>
      </c>
      <c r="DB1259" s="5" t="s">
        <v>238</v>
      </c>
      <c r="DD1259" s="5" t="s">
        <v>238</v>
      </c>
      <c r="DE1259" s="8">
        <f>0</f>
        <v>0</v>
      </c>
      <c r="DG1259" s="5" t="s">
        <v>238</v>
      </c>
      <c r="DH1259" s="5" t="s">
        <v>238</v>
      </c>
      <c r="DI1259" s="5" t="s">
        <v>238</v>
      </c>
      <c r="DJ1259" s="5" t="s">
        <v>238</v>
      </c>
      <c r="DK1259" s="5" t="s">
        <v>272</v>
      </c>
      <c r="DL1259" s="5" t="s">
        <v>272</v>
      </c>
      <c r="DM1259" s="8" t="s">
        <v>238</v>
      </c>
      <c r="DN1259" s="5" t="s">
        <v>238</v>
      </c>
      <c r="DO1259" s="5" t="s">
        <v>238</v>
      </c>
      <c r="DP1259" s="5" t="s">
        <v>238</v>
      </c>
      <c r="DQ1259" s="5" t="s">
        <v>238</v>
      </c>
      <c r="DT1259" s="5" t="s">
        <v>1374</v>
      </c>
      <c r="DU1259" s="5" t="s">
        <v>274</v>
      </c>
      <c r="GL1259" s="5" t="s">
        <v>3002</v>
      </c>
      <c r="HM1259" s="5" t="s">
        <v>274</v>
      </c>
      <c r="HP1259" s="5" t="s">
        <v>272</v>
      </c>
      <c r="HQ1259" s="5" t="s">
        <v>272</v>
      </c>
      <c r="HR1259" s="5" t="s">
        <v>238</v>
      </c>
      <c r="HS1259" s="5" t="s">
        <v>238</v>
      </c>
      <c r="HT1259" s="5" t="s">
        <v>238</v>
      </c>
      <c r="HU1259" s="5" t="s">
        <v>238</v>
      </c>
      <c r="HV1259" s="5" t="s">
        <v>238</v>
      </c>
      <c r="HW1259" s="5" t="s">
        <v>238</v>
      </c>
      <c r="HX1259" s="5" t="s">
        <v>238</v>
      </c>
      <c r="HY1259" s="5" t="s">
        <v>238</v>
      </c>
      <c r="HZ1259" s="5" t="s">
        <v>238</v>
      </c>
      <c r="IA1259" s="5" t="s">
        <v>238</v>
      </c>
      <c r="IB1259" s="5" t="s">
        <v>238</v>
      </c>
      <c r="IC1259" s="5" t="s">
        <v>238</v>
      </c>
      <c r="ID1259" s="5" t="s">
        <v>238</v>
      </c>
    </row>
    <row r="1260" spans="1:238" x14ac:dyDescent="0.4">
      <c r="A1260" s="5">
        <v>1601</v>
      </c>
      <c r="B1260" s="5">
        <v>1</v>
      </c>
      <c r="C1260" s="5">
        <v>1</v>
      </c>
      <c r="D1260" s="5" t="s">
        <v>1405</v>
      </c>
      <c r="E1260" s="5" t="s">
        <v>440</v>
      </c>
      <c r="F1260" s="5" t="s">
        <v>282</v>
      </c>
      <c r="G1260" s="5" t="s">
        <v>1326</v>
      </c>
      <c r="H1260" s="6" t="s">
        <v>1406</v>
      </c>
      <c r="I1260" s="5" t="s">
        <v>1404</v>
      </c>
      <c r="J1260" s="7">
        <f>373.08</f>
        <v>373.08</v>
      </c>
      <c r="K1260" s="5" t="s">
        <v>270</v>
      </c>
      <c r="L1260" s="8">
        <f>1</f>
        <v>1</v>
      </c>
      <c r="M1260" s="8">
        <f>97746960</f>
        <v>97746960</v>
      </c>
      <c r="N1260" s="6" t="s">
        <v>1107</v>
      </c>
      <c r="O1260" s="5" t="s">
        <v>651</v>
      </c>
      <c r="P1260" s="5" t="s">
        <v>651</v>
      </c>
      <c r="R1260" s="8">
        <f>97746959</f>
        <v>97746959</v>
      </c>
      <c r="S1260" s="5" t="s">
        <v>240</v>
      </c>
      <c r="T1260" s="5" t="s">
        <v>237</v>
      </c>
      <c r="U1260" s="5" t="s">
        <v>238</v>
      </c>
      <c r="V1260" s="5" t="s">
        <v>238</v>
      </c>
      <c r="W1260" s="5" t="s">
        <v>241</v>
      </c>
      <c r="X1260" s="5" t="s">
        <v>951</v>
      </c>
      <c r="Y1260" s="5" t="s">
        <v>238</v>
      </c>
      <c r="AB1260" s="5" t="s">
        <v>238</v>
      </c>
      <c r="AD1260" s="6" t="s">
        <v>238</v>
      </c>
      <c r="AG1260" s="6" t="s">
        <v>246</v>
      </c>
      <c r="AH1260" s="5" t="s">
        <v>247</v>
      </c>
      <c r="AI1260" s="5" t="s">
        <v>248</v>
      </c>
      <c r="AY1260" s="5" t="s">
        <v>250</v>
      </c>
      <c r="AZ1260" s="5" t="s">
        <v>238</v>
      </c>
      <c r="BA1260" s="5" t="s">
        <v>251</v>
      </c>
      <c r="BB1260" s="5" t="s">
        <v>238</v>
      </c>
      <c r="BC1260" s="5" t="s">
        <v>253</v>
      </c>
      <c r="BD1260" s="5" t="s">
        <v>238</v>
      </c>
      <c r="BF1260" s="5" t="s">
        <v>710</v>
      </c>
      <c r="BH1260" s="5" t="s">
        <v>254</v>
      </c>
      <c r="BI1260" s="6" t="s">
        <v>246</v>
      </c>
      <c r="BJ1260" s="5" t="s">
        <v>255</v>
      </c>
      <c r="BK1260" s="5" t="s">
        <v>256</v>
      </c>
      <c r="BL1260" s="5" t="s">
        <v>238</v>
      </c>
      <c r="BM1260" s="7">
        <f>0</f>
        <v>0</v>
      </c>
      <c r="BN1260" s="8">
        <f>0</f>
        <v>0</v>
      </c>
      <c r="BO1260" s="5" t="s">
        <v>257</v>
      </c>
      <c r="BP1260" s="5" t="s">
        <v>258</v>
      </c>
      <c r="CD1260" s="5" t="s">
        <v>238</v>
      </c>
      <c r="CE1260" s="5" t="s">
        <v>238</v>
      </c>
      <c r="CI1260" s="5" t="s">
        <v>259</v>
      </c>
      <c r="CJ1260" s="5" t="s">
        <v>260</v>
      </c>
      <c r="CK1260" s="5" t="s">
        <v>238</v>
      </c>
      <c r="CM1260" s="5" t="s">
        <v>768</v>
      </c>
      <c r="CN1260" s="6" t="s">
        <v>262</v>
      </c>
      <c r="CO1260" s="5" t="s">
        <v>263</v>
      </c>
      <c r="CP1260" s="5" t="s">
        <v>264</v>
      </c>
      <c r="CQ1260" s="5" t="s">
        <v>238</v>
      </c>
      <c r="CR1260" s="5" t="s">
        <v>238</v>
      </c>
      <c r="CS1260" s="5">
        <v>0</v>
      </c>
      <c r="CT1260" s="5" t="s">
        <v>265</v>
      </c>
      <c r="CU1260" s="5" t="s">
        <v>1325</v>
      </c>
      <c r="CV1260" s="5" t="s">
        <v>267</v>
      </c>
      <c r="CX1260" s="8">
        <f>97746960</f>
        <v>97746960</v>
      </c>
      <c r="CY1260" s="8">
        <f>0</f>
        <v>0</v>
      </c>
      <c r="DA1260" s="5" t="s">
        <v>238</v>
      </c>
      <c r="DB1260" s="5" t="s">
        <v>238</v>
      </c>
      <c r="DD1260" s="5" t="s">
        <v>238</v>
      </c>
      <c r="DG1260" s="5" t="s">
        <v>238</v>
      </c>
      <c r="DH1260" s="5" t="s">
        <v>238</v>
      </c>
      <c r="DI1260" s="5" t="s">
        <v>238</v>
      </c>
      <c r="DJ1260" s="5" t="s">
        <v>238</v>
      </c>
      <c r="DK1260" s="5" t="s">
        <v>274</v>
      </c>
      <c r="DL1260" s="5" t="s">
        <v>272</v>
      </c>
      <c r="DM1260" s="7">
        <f>373.08</f>
        <v>373.08</v>
      </c>
      <c r="DN1260" s="5" t="s">
        <v>238</v>
      </c>
      <c r="DO1260" s="5" t="s">
        <v>238</v>
      </c>
      <c r="DP1260" s="5" t="s">
        <v>238</v>
      </c>
      <c r="DQ1260" s="5" t="s">
        <v>238</v>
      </c>
      <c r="DT1260" s="5" t="s">
        <v>1407</v>
      </c>
      <c r="DU1260" s="5" t="s">
        <v>271</v>
      </c>
      <c r="HM1260" s="5" t="s">
        <v>271</v>
      </c>
      <c r="HP1260" s="5" t="s">
        <v>272</v>
      </c>
      <c r="HQ1260" s="5" t="s">
        <v>272</v>
      </c>
    </row>
    <row r="1261" spans="1:238" x14ac:dyDescent="0.4">
      <c r="A1261" s="5">
        <v>1602</v>
      </c>
      <c r="B1261" s="5">
        <v>1</v>
      </c>
      <c r="C1261" s="5">
        <v>4</v>
      </c>
      <c r="D1261" s="5" t="s">
        <v>1405</v>
      </c>
      <c r="E1261" s="5" t="s">
        <v>440</v>
      </c>
      <c r="F1261" s="5" t="s">
        <v>282</v>
      </c>
      <c r="G1261" s="5" t="s">
        <v>349</v>
      </c>
      <c r="H1261" s="6" t="s">
        <v>1406</v>
      </c>
      <c r="I1261" s="5" t="s">
        <v>3000</v>
      </c>
      <c r="J1261" s="7">
        <f>0</f>
        <v>0</v>
      </c>
      <c r="K1261" s="5" t="s">
        <v>270</v>
      </c>
      <c r="L1261" s="8">
        <f>853882</f>
        <v>853882</v>
      </c>
      <c r="M1261" s="8">
        <f>1026300</f>
        <v>1026300</v>
      </c>
      <c r="N1261" s="6" t="s">
        <v>2982</v>
      </c>
      <c r="O1261" s="5" t="s">
        <v>395</v>
      </c>
      <c r="P1261" s="5" t="s">
        <v>272</v>
      </c>
      <c r="Q1261" s="8">
        <f>1026299</f>
        <v>1026299</v>
      </c>
      <c r="R1261" s="8">
        <f>172418</f>
        <v>172418</v>
      </c>
      <c r="S1261" s="5" t="s">
        <v>240</v>
      </c>
      <c r="T1261" s="5" t="s">
        <v>287</v>
      </c>
      <c r="U1261" s="5" t="s">
        <v>238</v>
      </c>
      <c r="V1261" s="5" t="s">
        <v>238</v>
      </c>
      <c r="W1261" s="5" t="s">
        <v>241</v>
      </c>
      <c r="X1261" s="5" t="s">
        <v>238</v>
      </c>
      <c r="Y1261" s="5" t="s">
        <v>238</v>
      </c>
      <c r="AB1261" s="5" t="s">
        <v>238</v>
      </c>
      <c r="AC1261" s="6" t="s">
        <v>238</v>
      </c>
      <c r="AD1261" s="6" t="s">
        <v>238</v>
      </c>
      <c r="AF1261" s="6" t="s">
        <v>238</v>
      </c>
      <c r="AG1261" s="6" t="s">
        <v>246</v>
      </c>
      <c r="AH1261" s="5" t="s">
        <v>247</v>
      </c>
      <c r="AI1261" s="5" t="s">
        <v>248</v>
      </c>
      <c r="AO1261" s="5" t="s">
        <v>238</v>
      </c>
      <c r="AP1261" s="5" t="s">
        <v>238</v>
      </c>
      <c r="AQ1261" s="5" t="s">
        <v>238</v>
      </c>
      <c r="AR1261" s="6" t="s">
        <v>238</v>
      </c>
      <c r="AS1261" s="6" t="s">
        <v>238</v>
      </c>
      <c r="AT1261" s="6" t="s">
        <v>238</v>
      </c>
      <c r="AW1261" s="5" t="s">
        <v>304</v>
      </c>
      <c r="AX1261" s="5" t="s">
        <v>304</v>
      </c>
      <c r="AY1261" s="5" t="s">
        <v>250</v>
      </c>
      <c r="AZ1261" s="5" t="s">
        <v>305</v>
      </c>
      <c r="BA1261" s="5" t="s">
        <v>251</v>
      </c>
      <c r="BB1261" s="5" t="s">
        <v>238</v>
      </c>
      <c r="BC1261" s="5" t="s">
        <v>253</v>
      </c>
      <c r="BD1261" s="5" t="s">
        <v>238</v>
      </c>
      <c r="BF1261" s="5" t="s">
        <v>238</v>
      </c>
      <c r="BH1261" s="5" t="s">
        <v>283</v>
      </c>
      <c r="BI1261" s="6" t="s">
        <v>293</v>
      </c>
      <c r="BJ1261" s="5" t="s">
        <v>294</v>
      </c>
      <c r="BK1261" s="5" t="s">
        <v>294</v>
      </c>
      <c r="BL1261" s="5" t="s">
        <v>238</v>
      </c>
      <c r="BM1261" s="7">
        <f>0</f>
        <v>0</v>
      </c>
      <c r="BN1261" s="8">
        <f>-86209</f>
        <v>-86209</v>
      </c>
      <c r="BO1261" s="5" t="s">
        <v>257</v>
      </c>
      <c r="BP1261" s="5" t="s">
        <v>258</v>
      </c>
      <c r="BQ1261" s="5" t="s">
        <v>238</v>
      </c>
      <c r="BR1261" s="5" t="s">
        <v>238</v>
      </c>
      <c r="BS1261" s="5" t="s">
        <v>238</v>
      </c>
      <c r="BT1261" s="5" t="s">
        <v>238</v>
      </c>
      <c r="CC1261" s="5" t="s">
        <v>258</v>
      </c>
      <c r="CD1261" s="5" t="s">
        <v>238</v>
      </c>
      <c r="CE1261" s="5" t="s">
        <v>238</v>
      </c>
      <c r="CI1261" s="5" t="s">
        <v>259</v>
      </c>
      <c r="CJ1261" s="5" t="s">
        <v>260</v>
      </c>
      <c r="CK1261" s="5" t="s">
        <v>238</v>
      </c>
      <c r="CM1261" s="5" t="s">
        <v>408</v>
      </c>
      <c r="CN1261" s="6" t="s">
        <v>262</v>
      </c>
      <c r="CO1261" s="5" t="s">
        <v>263</v>
      </c>
      <c r="CP1261" s="5" t="s">
        <v>264</v>
      </c>
      <c r="CQ1261" s="5" t="s">
        <v>285</v>
      </c>
      <c r="CR1261" s="5" t="s">
        <v>238</v>
      </c>
      <c r="CS1261" s="5">
        <v>8.4000000000000005E-2</v>
      </c>
      <c r="CT1261" s="5" t="s">
        <v>265</v>
      </c>
      <c r="CU1261" s="5" t="s">
        <v>351</v>
      </c>
      <c r="CV1261" s="5" t="s">
        <v>2977</v>
      </c>
      <c r="CW1261" s="7">
        <f>0</f>
        <v>0</v>
      </c>
      <c r="CX1261" s="8">
        <f>1026300</f>
        <v>1026300</v>
      </c>
      <c r="CY1261" s="8">
        <f>940091</f>
        <v>940091</v>
      </c>
      <c r="DA1261" s="5" t="s">
        <v>238</v>
      </c>
      <c r="DB1261" s="5" t="s">
        <v>238</v>
      </c>
      <c r="DD1261" s="5" t="s">
        <v>238</v>
      </c>
      <c r="DE1261" s="8">
        <f>0</f>
        <v>0</v>
      </c>
      <c r="DG1261" s="5" t="s">
        <v>238</v>
      </c>
      <c r="DH1261" s="5" t="s">
        <v>238</v>
      </c>
      <c r="DI1261" s="5" t="s">
        <v>238</v>
      </c>
      <c r="DJ1261" s="5" t="s">
        <v>238</v>
      </c>
      <c r="DK1261" s="5" t="s">
        <v>272</v>
      </c>
      <c r="DL1261" s="5" t="s">
        <v>272</v>
      </c>
      <c r="DM1261" s="8" t="s">
        <v>238</v>
      </c>
      <c r="DN1261" s="5" t="s">
        <v>238</v>
      </c>
      <c r="DO1261" s="5" t="s">
        <v>238</v>
      </c>
      <c r="DP1261" s="5" t="s">
        <v>238</v>
      </c>
      <c r="DQ1261" s="5" t="s">
        <v>238</v>
      </c>
      <c r="DT1261" s="5" t="s">
        <v>1407</v>
      </c>
      <c r="DU1261" s="5" t="s">
        <v>274</v>
      </c>
      <c r="GL1261" s="5" t="s">
        <v>3003</v>
      </c>
      <c r="HM1261" s="5" t="s">
        <v>274</v>
      </c>
      <c r="HP1261" s="5" t="s">
        <v>272</v>
      </c>
      <c r="HQ1261" s="5" t="s">
        <v>272</v>
      </c>
      <c r="HR1261" s="5" t="s">
        <v>238</v>
      </c>
      <c r="HS1261" s="5" t="s">
        <v>238</v>
      </c>
      <c r="HT1261" s="5" t="s">
        <v>238</v>
      </c>
      <c r="HU1261" s="5" t="s">
        <v>238</v>
      </c>
      <c r="HV1261" s="5" t="s">
        <v>238</v>
      </c>
      <c r="HW1261" s="5" t="s">
        <v>238</v>
      </c>
      <c r="HX1261" s="5" t="s">
        <v>238</v>
      </c>
      <c r="HY1261" s="5" t="s">
        <v>238</v>
      </c>
      <c r="HZ1261" s="5" t="s">
        <v>238</v>
      </c>
      <c r="IA1261" s="5" t="s">
        <v>238</v>
      </c>
      <c r="IB1261" s="5" t="s">
        <v>238</v>
      </c>
      <c r="IC1261" s="5" t="s">
        <v>238</v>
      </c>
      <c r="ID1261" s="5" t="s">
        <v>238</v>
      </c>
    </row>
    <row r="1262" spans="1:238" x14ac:dyDescent="0.4">
      <c r="A1262" s="5">
        <v>1603</v>
      </c>
      <c r="B1262" s="5">
        <v>1</v>
      </c>
      <c r="C1262" s="5">
        <v>4</v>
      </c>
      <c r="D1262" s="5" t="s">
        <v>1377</v>
      </c>
      <c r="E1262" s="5" t="s">
        <v>440</v>
      </c>
      <c r="F1262" s="5" t="s">
        <v>282</v>
      </c>
      <c r="G1262" s="5" t="s">
        <v>1372</v>
      </c>
      <c r="H1262" s="6" t="s">
        <v>1379</v>
      </c>
      <c r="I1262" s="5" t="s">
        <v>1376</v>
      </c>
      <c r="J1262" s="7">
        <f>398</f>
        <v>398</v>
      </c>
      <c r="K1262" s="5" t="s">
        <v>270</v>
      </c>
      <c r="L1262" s="8">
        <f>12990720</f>
        <v>12990720</v>
      </c>
      <c r="M1262" s="8">
        <f>81192000</f>
        <v>81192000</v>
      </c>
      <c r="N1262" s="6" t="s">
        <v>1378</v>
      </c>
      <c r="O1262" s="5" t="s">
        <v>651</v>
      </c>
      <c r="P1262" s="5" t="s">
        <v>611</v>
      </c>
      <c r="Q1262" s="8">
        <f>3410064</f>
        <v>3410064</v>
      </c>
      <c r="R1262" s="8">
        <f>68201280</f>
        <v>68201280</v>
      </c>
      <c r="S1262" s="5" t="s">
        <v>240</v>
      </c>
      <c r="T1262" s="5" t="s">
        <v>237</v>
      </c>
      <c r="U1262" s="5" t="s">
        <v>238</v>
      </c>
      <c r="V1262" s="5" t="s">
        <v>238</v>
      </c>
      <c r="W1262" s="5" t="s">
        <v>241</v>
      </c>
      <c r="X1262" s="5" t="s">
        <v>951</v>
      </c>
      <c r="Y1262" s="5" t="s">
        <v>238</v>
      </c>
      <c r="AB1262" s="5" t="s">
        <v>238</v>
      </c>
      <c r="AC1262" s="6" t="s">
        <v>238</v>
      </c>
      <c r="AD1262" s="6" t="s">
        <v>238</v>
      </c>
      <c r="AF1262" s="6" t="s">
        <v>238</v>
      </c>
      <c r="AG1262" s="6" t="s">
        <v>246</v>
      </c>
      <c r="AH1262" s="5" t="s">
        <v>247</v>
      </c>
      <c r="AI1262" s="5" t="s">
        <v>248</v>
      </c>
      <c r="AO1262" s="5" t="s">
        <v>238</v>
      </c>
      <c r="AP1262" s="5" t="s">
        <v>238</v>
      </c>
      <c r="AQ1262" s="5" t="s">
        <v>238</v>
      </c>
      <c r="AR1262" s="6" t="s">
        <v>238</v>
      </c>
      <c r="AS1262" s="6" t="s">
        <v>238</v>
      </c>
      <c r="AT1262" s="6" t="s">
        <v>238</v>
      </c>
      <c r="AW1262" s="5" t="s">
        <v>304</v>
      </c>
      <c r="AX1262" s="5" t="s">
        <v>304</v>
      </c>
      <c r="AY1262" s="5" t="s">
        <v>250</v>
      </c>
      <c r="AZ1262" s="5" t="s">
        <v>305</v>
      </c>
      <c r="BA1262" s="5" t="s">
        <v>251</v>
      </c>
      <c r="BB1262" s="5" t="s">
        <v>238</v>
      </c>
      <c r="BC1262" s="5" t="s">
        <v>253</v>
      </c>
      <c r="BD1262" s="5" t="s">
        <v>238</v>
      </c>
      <c r="BF1262" s="5" t="s">
        <v>238</v>
      </c>
      <c r="BH1262" s="5" t="s">
        <v>283</v>
      </c>
      <c r="BI1262" s="6" t="s">
        <v>293</v>
      </c>
      <c r="BJ1262" s="5" t="s">
        <v>294</v>
      </c>
      <c r="BK1262" s="5" t="s">
        <v>294</v>
      </c>
      <c r="BL1262" s="5" t="s">
        <v>238</v>
      </c>
      <c r="BM1262" s="7">
        <f>0</f>
        <v>0</v>
      </c>
      <c r="BN1262" s="8">
        <f>-3410064</f>
        <v>-3410064</v>
      </c>
      <c r="BO1262" s="5" t="s">
        <v>257</v>
      </c>
      <c r="BP1262" s="5" t="s">
        <v>258</v>
      </c>
      <c r="BQ1262" s="5" t="s">
        <v>238</v>
      </c>
      <c r="BR1262" s="5" t="s">
        <v>238</v>
      </c>
      <c r="BS1262" s="5" t="s">
        <v>238</v>
      </c>
      <c r="BT1262" s="5" t="s">
        <v>238</v>
      </c>
      <c r="CC1262" s="5" t="s">
        <v>258</v>
      </c>
      <c r="CD1262" s="5" t="s">
        <v>238</v>
      </c>
      <c r="CE1262" s="5" t="s">
        <v>238</v>
      </c>
      <c r="CI1262" s="5" t="s">
        <v>259</v>
      </c>
      <c r="CJ1262" s="5" t="s">
        <v>260</v>
      </c>
      <c r="CK1262" s="5" t="s">
        <v>238</v>
      </c>
      <c r="CM1262" s="5" t="s">
        <v>1357</v>
      </c>
      <c r="CN1262" s="6" t="s">
        <v>262</v>
      </c>
      <c r="CO1262" s="5" t="s">
        <v>263</v>
      </c>
      <c r="CP1262" s="5" t="s">
        <v>264</v>
      </c>
      <c r="CQ1262" s="5" t="s">
        <v>285</v>
      </c>
      <c r="CR1262" s="5" t="s">
        <v>238</v>
      </c>
      <c r="CS1262" s="5">
        <v>4.2000000000000003E-2</v>
      </c>
      <c r="CT1262" s="5" t="s">
        <v>265</v>
      </c>
      <c r="CU1262" s="5" t="s">
        <v>1325</v>
      </c>
      <c r="CV1262" s="5" t="s">
        <v>267</v>
      </c>
      <c r="CW1262" s="7">
        <f>0</f>
        <v>0</v>
      </c>
      <c r="CX1262" s="8">
        <f>81192000</f>
        <v>81192000</v>
      </c>
      <c r="CY1262" s="8">
        <f>16400784</f>
        <v>16400784</v>
      </c>
      <c r="DA1262" s="5" t="s">
        <v>238</v>
      </c>
      <c r="DB1262" s="5" t="s">
        <v>238</v>
      </c>
      <c r="DD1262" s="5" t="s">
        <v>238</v>
      </c>
      <c r="DE1262" s="8">
        <f>0</f>
        <v>0</v>
      </c>
      <c r="DG1262" s="5" t="s">
        <v>238</v>
      </c>
      <c r="DH1262" s="5" t="s">
        <v>238</v>
      </c>
      <c r="DI1262" s="5" t="s">
        <v>238</v>
      </c>
      <c r="DJ1262" s="5" t="s">
        <v>238</v>
      </c>
      <c r="DK1262" s="5" t="s">
        <v>271</v>
      </c>
      <c r="DL1262" s="5" t="s">
        <v>272</v>
      </c>
      <c r="DM1262" s="7">
        <f>398</f>
        <v>398</v>
      </c>
      <c r="DN1262" s="5" t="s">
        <v>238</v>
      </c>
      <c r="DO1262" s="5" t="s">
        <v>238</v>
      </c>
      <c r="DP1262" s="5" t="s">
        <v>238</v>
      </c>
      <c r="DQ1262" s="5" t="s">
        <v>238</v>
      </c>
      <c r="DT1262" s="5" t="s">
        <v>1380</v>
      </c>
      <c r="DU1262" s="5" t="s">
        <v>271</v>
      </c>
      <c r="GL1262" s="5" t="s">
        <v>1381</v>
      </c>
      <c r="HM1262" s="5" t="s">
        <v>389</v>
      </c>
      <c r="HP1262" s="5" t="s">
        <v>272</v>
      </c>
      <c r="HQ1262" s="5" t="s">
        <v>272</v>
      </c>
      <c r="HR1262" s="5" t="s">
        <v>238</v>
      </c>
      <c r="HS1262" s="5" t="s">
        <v>238</v>
      </c>
      <c r="HT1262" s="5" t="s">
        <v>238</v>
      </c>
      <c r="HU1262" s="5" t="s">
        <v>238</v>
      </c>
      <c r="HV1262" s="5" t="s">
        <v>238</v>
      </c>
      <c r="HW1262" s="5" t="s">
        <v>238</v>
      </c>
      <c r="HX1262" s="5" t="s">
        <v>238</v>
      </c>
      <c r="HY1262" s="5" t="s">
        <v>238</v>
      </c>
      <c r="HZ1262" s="5" t="s">
        <v>238</v>
      </c>
      <c r="IA1262" s="5" t="s">
        <v>238</v>
      </c>
      <c r="IB1262" s="5" t="s">
        <v>238</v>
      </c>
      <c r="IC1262" s="5" t="s">
        <v>238</v>
      </c>
      <c r="ID1262" s="5" t="s">
        <v>238</v>
      </c>
    </row>
    <row r="1263" spans="1:238" x14ac:dyDescent="0.4">
      <c r="A1263" s="5">
        <v>1604</v>
      </c>
      <c r="B1263" s="5">
        <v>1</v>
      </c>
      <c r="C1263" s="5">
        <v>1</v>
      </c>
      <c r="D1263" s="5" t="s">
        <v>1392</v>
      </c>
      <c r="E1263" s="5" t="s">
        <v>440</v>
      </c>
      <c r="F1263" s="5" t="s">
        <v>282</v>
      </c>
      <c r="G1263" s="5" t="s">
        <v>1326</v>
      </c>
      <c r="H1263" s="6" t="s">
        <v>1393</v>
      </c>
      <c r="I1263" s="5" t="s">
        <v>1326</v>
      </c>
      <c r="J1263" s="7">
        <f>63.38</f>
        <v>63.38</v>
      </c>
      <c r="K1263" s="5" t="s">
        <v>270</v>
      </c>
      <c r="L1263" s="8">
        <f>1</f>
        <v>1</v>
      </c>
      <c r="M1263" s="8">
        <f>14323880</f>
        <v>14323880</v>
      </c>
      <c r="N1263" s="6" t="s">
        <v>689</v>
      </c>
      <c r="O1263" s="5" t="s">
        <v>651</v>
      </c>
      <c r="P1263" s="5" t="s">
        <v>1091</v>
      </c>
      <c r="R1263" s="8">
        <f>14323879</f>
        <v>14323879</v>
      </c>
      <c r="S1263" s="5" t="s">
        <v>240</v>
      </c>
      <c r="T1263" s="5" t="s">
        <v>237</v>
      </c>
      <c r="U1263" s="5" t="s">
        <v>238</v>
      </c>
      <c r="V1263" s="5" t="s">
        <v>238</v>
      </c>
      <c r="W1263" s="5" t="s">
        <v>241</v>
      </c>
      <c r="X1263" s="5" t="s">
        <v>951</v>
      </c>
      <c r="Y1263" s="5" t="s">
        <v>238</v>
      </c>
      <c r="AB1263" s="5" t="s">
        <v>238</v>
      </c>
      <c r="AD1263" s="6" t="s">
        <v>238</v>
      </c>
      <c r="AG1263" s="6" t="s">
        <v>246</v>
      </c>
      <c r="AH1263" s="5" t="s">
        <v>247</v>
      </c>
      <c r="AI1263" s="5" t="s">
        <v>248</v>
      </c>
      <c r="AY1263" s="5" t="s">
        <v>250</v>
      </c>
      <c r="AZ1263" s="5" t="s">
        <v>238</v>
      </c>
      <c r="BA1263" s="5" t="s">
        <v>251</v>
      </c>
      <c r="BB1263" s="5" t="s">
        <v>238</v>
      </c>
      <c r="BC1263" s="5" t="s">
        <v>253</v>
      </c>
      <c r="BD1263" s="5" t="s">
        <v>238</v>
      </c>
      <c r="BF1263" s="5" t="s">
        <v>710</v>
      </c>
      <c r="BH1263" s="5" t="s">
        <v>254</v>
      </c>
      <c r="BI1263" s="6" t="s">
        <v>246</v>
      </c>
      <c r="BJ1263" s="5" t="s">
        <v>255</v>
      </c>
      <c r="BK1263" s="5" t="s">
        <v>256</v>
      </c>
      <c r="BL1263" s="5" t="s">
        <v>238</v>
      </c>
      <c r="BM1263" s="7">
        <f>0</f>
        <v>0</v>
      </c>
      <c r="BN1263" s="8">
        <f>0</f>
        <v>0</v>
      </c>
      <c r="BO1263" s="5" t="s">
        <v>257</v>
      </c>
      <c r="BP1263" s="5" t="s">
        <v>258</v>
      </c>
      <c r="CD1263" s="5" t="s">
        <v>238</v>
      </c>
      <c r="CE1263" s="5" t="s">
        <v>238</v>
      </c>
      <c r="CI1263" s="5" t="s">
        <v>259</v>
      </c>
      <c r="CJ1263" s="5" t="s">
        <v>260</v>
      </c>
      <c r="CK1263" s="5" t="s">
        <v>238</v>
      </c>
      <c r="CM1263" s="5" t="s">
        <v>306</v>
      </c>
      <c r="CN1263" s="6" t="s">
        <v>262</v>
      </c>
      <c r="CO1263" s="5" t="s">
        <v>263</v>
      </c>
      <c r="CP1263" s="5" t="s">
        <v>264</v>
      </c>
      <c r="CQ1263" s="5" t="s">
        <v>238</v>
      </c>
      <c r="CR1263" s="5" t="s">
        <v>238</v>
      </c>
      <c r="CS1263" s="5">
        <v>0</v>
      </c>
      <c r="CT1263" s="5" t="s">
        <v>265</v>
      </c>
      <c r="CU1263" s="5" t="s">
        <v>1325</v>
      </c>
      <c r="CV1263" s="5" t="s">
        <v>267</v>
      </c>
      <c r="CX1263" s="8">
        <f>14323880</f>
        <v>14323880</v>
      </c>
      <c r="CY1263" s="8">
        <f>0</f>
        <v>0</v>
      </c>
      <c r="DA1263" s="5" t="s">
        <v>238</v>
      </c>
      <c r="DB1263" s="5" t="s">
        <v>238</v>
      </c>
      <c r="DD1263" s="5" t="s">
        <v>238</v>
      </c>
      <c r="DG1263" s="5" t="s">
        <v>238</v>
      </c>
      <c r="DH1263" s="5" t="s">
        <v>238</v>
      </c>
      <c r="DI1263" s="5" t="s">
        <v>238</v>
      </c>
      <c r="DJ1263" s="5" t="s">
        <v>238</v>
      </c>
      <c r="DK1263" s="5" t="s">
        <v>271</v>
      </c>
      <c r="DL1263" s="5" t="s">
        <v>272</v>
      </c>
      <c r="DM1263" s="7">
        <f>63.38</f>
        <v>63.38</v>
      </c>
      <c r="DN1263" s="5" t="s">
        <v>238</v>
      </c>
      <c r="DO1263" s="5" t="s">
        <v>238</v>
      </c>
      <c r="DP1263" s="5" t="s">
        <v>238</v>
      </c>
      <c r="DQ1263" s="5" t="s">
        <v>238</v>
      </c>
      <c r="DT1263" s="5" t="s">
        <v>1394</v>
      </c>
      <c r="DU1263" s="5" t="s">
        <v>271</v>
      </c>
      <c r="HM1263" s="5" t="s">
        <v>271</v>
      </c>
      <c r="HP1263" s="5" t="s">
        <v>272</v>
      </c>
      <c r="HQ1263" s="5" t="s">
        <v>272</v>
      </c>
    </row>
    <row r="1264" spans="1:238" x14ac:dyDescent="0.4">
      <c r="A1264" s="5">
        <v>1605</v>
      </c>
      <c r="B1264" s="5">
        <v>1</v>
      </c>
      <c r="C1264" s="5">
        <v>1</v>
      </c>
      <c r="D1264" s="5" t="s">
        <v>2251</v>
      </c>
      <c r="E1264" s="5" t="s">
        <v>952</v>
      </c>
      <c r="F1264" s="5" t="s">
        <v>282</v>
      </c>
      <c r="G1264" s="5" t="s">
        <v>949</v>
      </c>
      <c r="H1264" s="6" t="s">
        <v>2253</v>
      </c>
      <c r="I1264" s="5" t="s">
        <v>2275</v>
      </c>
      <c r="J1264" s="7">
        <f>140.77</f>
        <v>140.77000000000001</v>
      </c>
      <c r="K1264" s="5" t="s">
        <v>270</v>
      </c>
      <c r="L1264" s="8">
        <f>1</f>
        <v>1</v>
      </c>
      <c r="M1264" s="8">
        <f>29288600</f>
        <v>29288600</v>
      </c>
      <c r="N1264" s="6" t="s">
        <v>2252</v>
      </c>
      <c r="O1264" s="5" t="s">
        <v>268</v>
      </c>
      <c r="P1264" s="5" t="s">
        <v>269</v>
      </c>
      <c r="R1264" s="8">
        <f>29288599</f>
        <v>29288599</v>
      </c>
      <c r="S1264" s="5" t="s">
        <v>240</v>
      </c>
      <c r="T1264" s="5" t="s">
        <v>237</v>
      </c>
      <c r="U1264" s="5" t="s">
        <v>238</v>
      </c>
      <c r="V1264" s="5" t="s">
        <v>238</v>
      </c>
      <c r="W1264" s="5" t="s">
        <v>241</v>
      </c>
      <c r="X1264" s="5" t="s">
        <v>951</v>
      </c>
      <c r="Y1264" s="5" t="s">
        <v>238</v>
      </c>
      <c r="AB1264" s="5" t="s">
        <v>238</v>
      </c>
      <c r="AD1264" s="6" t="s">
        <v>238</v>
      </c>
      <c r="AG1264" s="6" t="s">
        <v>246</v>
      </c>
      <c r="AH1264" s="5" t="s">
        <v>247</v>
      </c>
      <c r="AI1264" s="5" t="s">
        <v>248</v>
      </c>
      <c r="AY1264" s="5" t="s">
        <v>250</v>
      </c>
      <c r="AZ1264" s="5" t="s">
        <v>238</v>
      </c>
      <c r="BA1264" s="5" t="s">
        <v>251</v>
      </c>
      <c r="BB1264" s="5" t="s">
        <v>238</v>
      </c>
      <c r="BC1264" s="5" t="s">
        <v>253</v>
      </c>
      <c r="BD1264" s="5" t="s">
        <v>238</v>
      </c>
      <c r="BF1264" s="5" t="s">
        <v>238</v>
      </c>
      <c r="BH1264" s="5" t="s">
        <v>859</v>
      </c>
      <c r="BI1264" s="6" t="s">
        <v>368</v>
      </c>
      <c r="BJ1264" s="5" t="s">
        <v>255</v>
      </c>
      <c r="BK1264" s="5" t="s">
        <v>256</v>
      </c>
      <c r="BL1264" s="5" t="s">
        <v>238</v>
      </c>
      <c r="BM1264" s="7">
        <f>0</f>
        <v>0</v>
      </c>
      <c r="BN1264" s="8">
        <f>0</f>
        <v>0</v>
      </c>
      <c r="BO1264" s="5" t="s">
        <v>257</v>
      </c>
      <c r="BP1264" s="5" t="s">
        <v>258</v>
      </c>
      <c r="CD1264" s="5" t="s">
        <v>238</v>
      </c>
      <c r="CE1264" s="5" t="s">
        <v>238</v>
      </c>
      <c r="CI1264" s="5" t="s">
        <v>259</v>
      </c>
      <c r="CJ1264" s="5" t="s">
        <v>260</v>
      </c>
      <c r="CK1264" s="5" t="s">
        <v>238</v>
      </c>
      <c r="CM1264" s="5" t="s">
        <v>261</v>
      </c>
      <c r="CN1264" s="6" t="s">
        <v>262</v>
      </c>
      <c r="CO1264" s="5" t="s">
        <v>263</v>
      </c>
      <c r="CP1264" s="5" t="s">
        <v>264</v>
      </c>
      <c r="CQ1264" s="5" t="s">
        <v>238</v>
      </c>
      <c r="CR1264" s="5" t="s">
        <v>238</v>
      </c>
      <c r="CS1264" s="5">
        <v>0</v>
      </c>
      <c r="CT1264" s="5" t="s">
        <v>265</v>
      </c>
      <c r="CU1264" s="5" t="s">
        <v>2254</v>
      </c>
      <c r="CV1264" s="5" t="s">
        <v>267</v>
      </c>
      <c r="CX1264" s="8">
        <f>29288600</f>
        <v>29288600</v>
      </c>
      <c r="CY1264" s="8">
        <f>0</f>
        <v>0</v>
      </c>
      <c r="DA1264" s="5" t="s">
        <v>238</v>
      </c>
      <c r="DB1264" s="5" t="s">
        <v>238</v>
      </c>
      <c r="DD1264" s="5" t="s">
        <v>238</v>
      </c>
      <c r="DG1264" s="5" t="s">
        <v>238</v>
      </c>
      <c r="DH1264" s="5" t="s">
        <v>238</v>
      </c>
      <c r="DI1264" s="5" t="s">
        <v>238</v>
      </c>
      <c r="DJ1264" s="5" t="s">
        <v>238</v>
      </c>
      <c r="DK1264" s="5" t="s">
        <v>271</v>
      </c>
      <c r="DL1264" s="5" t="s">
        <v>272</v>
      </c>
      <c r="DM1264" s="7">
        <f>140.77</f>
        <v>140.77000000000001</v>
      </c>
      <c r="DN1264" s="5" t="s">
        <v>238</v>
      </c>
      <c r="DO1264" s="5" t="s">
        <v>238</v>
      </c>
      <c r="DP1264" s="5" t="s">
        <v>238</v>
      </c>
      <c r="DQ1264" s="5" t="s">
        <v>238</v>
      </c>
      <c r="DT1264" s="5" t="s">
        <v>2255</v>
      </c>
      <c r="DU1264" s="5" t="s">
        <v>271</v>
      </c>
      <c r="HM1264" s="5" t="s">
        <v>271</v>
      </c>
      <c r="HP1264" s="5" t="s">
        <v>272</v>
      </c>
      <c r="HQ1264" s="5" t="s">
        <v>272</v>
      </c>
    </row>
    <row r="1265" spans="1:238" x14ac:dyDescent="0.4">
      <c r="A1265" s="5">
        <v>1606</v>
      </c>
      <c r="B1265" s="5">
        <v>1</v>
      </c>
      <c r="C1265" s="5">
        <v>1</v>
      </c>
      <c r="D1265" s="5" t="s">
        <v>2251</v>
      </c>
      <c r="E1265" s="5" t="s">
        <v>952</v>
      </c>
      <c r="F1265" s="5" t="s">
        <v>282</v>
      </c>
      <c r="G1265" s="5" t="s">
        <v>949</v>
      </c>
      <c r="H1265" s="6" t="s">
        <v>2253</v>
      </c>
      <c r="I1265" s="5" t="s">
        <v>2256</v>
      </c>
      <c r="J1265" s="7">
        <f>140.77</f>
        <v>140.77000000000001</v>
      </c>
      <c r="K1265" s="5" t="s">
        <v>270</v>
      </c>
      <c r="L1265" s="8">
        <f>1</f>
        <v>1</v>
      </c>
      <c r="M1265" s="8">
        <f>29288600</f>
        <v>29288600</v>
      </c>
      <c r="N1265" s="6" t="s">
        <v>2252</v>
      </c>
      <c r="O1265" s="5" t="s">
        <v>268</v>
      </c>
      <c r="P1265" s="5" t="s">
        <v>269</v>
      </c>
      <c r="R1265" s="8">
        <f>29288599</f>
        <v>29288599</v>
      </c>
      <c r="S1265" s="5" t="s">
        <v>240</v>
      </c>
      <c r="T1265" s="5" t="s">
        <v>237</v>
      </c>
      <c r="U1265" s="5" t="s">
        <v>238</v>
      </c>
      <c r="V1265" s="5" t="s">
        <v>238</v>
      </c>
      <c r="W1265" s="5" t="s">
        <v>241</v>
      </c>
      <c r="X1265" s="5" t="s">
        <v>951</v>
      </c>
      <c r="Y1265" s="5" t="s">
        <v>238</v>
      </c>
      <c r="AB1265" s="5" t="s">
        <v>238</v>
      </c>
      <c r="AD1265" s="6" t="s">
        <v>238</v>
      </c>
      <c r="AG1265" s="6" t="s">
        <v>246</v>
      </c>
      <c r="AH1265" s="5" t="s">
        <v>247</v>
      </c>
      <c r="AI1265" s="5" t="s">
        <v>248</v>
      </c>
      <c r="AY1265" s="5" t="s">
        <v>250</v>
      </c>
      <c r="AZ1265" s="5" t="s">
        <v>238</v>
      </c>
      <c r="BA1265" s="5" t="s">
        <v>251</v>
      </c>
      <c r="BB1265" s="5" t="s">
        <v>238</v>
      </c>
      <c r="BC1265" s="5" t="s">
        <v>253</v>
      </c>
      <c r="BD1265" s="5" t="s">
        <v>238</v>
      </c>
      <c r="BF1265" s="5" t="s">
        <v>238</v>
      </c>
      <c r="BH1265" s="5" t="s">
        <v>697</v>
      </c>
      <c r="BI1265" s="6" t="s">
        <v>698</v>
      </c>
      <c r="BJ1265" s="5" t="s">
        <v>255</v>
      </c>
      <c r="BK1265" s="5" t="s">
        <v>256</v>
      </c>
      <c r="BL1265" s="5" t="s">
        <v>238</v>
      </c>
      <c r="BM1265" s="7">
        <f>0</f>
        <v>0</v>
      </c>
      <c r="BN1265" s="8">
        <f>0</f>
        <v>0</v>
      </c>
      <c r="BO1265" s="5" t="s">
        <v>257</v>
      </c>
      <c r="BP1265" s="5" t="s">
        <v>258</v>
      </c>
      <c r="CD1265" s="5" t="s">
        <v>238</v>
      </c>
      <c r="CE1265" s="5" t="s">
        <v>238</v>
      </c>
      <c r="CI1265" s="5" t="s">
        <v>259</v>
      </c>
      <c r="CJ1265" s="5" t="s">
        <v>260</v>
      </c>
      <c r="CK1265" s="5" t="s">
        <v>238</v>
      </c>
      <c r="CM1265" s="5" t="s">
        <v>261</v>
      </c>
      <c r="CN1265" s="6" t="s">
        <v>262</v>
      </c>
      <c r="CO1265" s="5" t="s">
        <v>263</v>
      </c>
      <c r="CP1265" s="5" t="s">
        <v>264</v>
      </c>
      <c r="CQ1265" s="5" t="s">
        <v>238</v>
      </c>
      <c r="CR1265" s="5" t="s">
        <v>238</v>
      </c>
      <c r="CS1265" s="5">
        <v>0</v>
      </c>
      <c r="CT1265" s="5" t="s">
        <v>265</v>
      </c>
      <c r="CU1265" s="5" t="s">
        <v>2254</v>
      </c>
      <c r="CV1265" s="5" t="s">
        <v>267</v>
      </c>
      <c r="CX1265" s="8">
        <f>29288600</f>
        <v>29288600</v>
      </c>
      <c r="CY1265" s="8">
        <f>0</f>
        <v>0</v>
      </c>
      <c r="DA1265" s="5" t="s">
        <v>238</v>
      </c>
      <c r="DB1265" s="5" t="s">
        <v>238</v>
      </c>
      <c r="DD1265" s="5" t="s">
        <v>238</v>
      </c>
      <c r="DG1265" s="5" t="s">
        <v>238</v>
      </c>
      <c r="DH1265" s="5" t="s">
        <v>238</v>
      </c>
      <c r="DI1265" s="5" t="s">
        <v>238</v>
      </c>
      <c r="DJ1265" s="5" t="s">
        <v>238</v>
      </c>
      <c r="DK1265" s="5" t="s">
        <v>271</v>
      </c>
      <c r="DL1265" s="5" t="s">
        <v>272</v>
      </c>
      <c r="DM1265" s="7">
        <f>140.77</f>
        <v>140.77000000000001</v>
      </c>
      <c r="DN1265" s="5" t="s">
        <v>238</v>
      </c>
      <c r="DO1265" s="5" t="s">
        <v>238</v>
      </c>
      <c r="DP1265" s="5" t="s">
        <v>238</v>
      </c>
      <c r="DQ1265" s="5" t="s">
        <v>238</v>
      </c>
      <c r="DT1265" s="5" t="s">
        <v>2255</v>
      </c>
      <c r="DU1265" s="5" t="s">
        <v>274</v>
      </c>
      <c r="HM1265" s="5" t="s">
        <v>271</v>
      </c>
      <c r="HP1265" s="5" t="s">
        <v>272</v>
      </c>
      <c r="HQ1265" s="5" t="s">
        <v>272</v>
      </c>
    </row>
    <row r="1266" spans="1:238" x14ac:dyDescent="0.4">
      <c r="A1266" s="5">
        <v>1607</v>
      </c>
      <c r="B1266" s="5">
        <v>1</v>
      </c>
      <c r="C1266" s="5">
        <v>1</v>
      </c>
      <c r="D1266" s="5" t="s">
        <v>2251</v>
      </c>
      <c r="E1266" s="5" t="s">
        <v>952</v>
      </c>
      <c r="F1266" s="5" t="s">
        <v>282</v>
      </c>
      <c r="G1266" s="5" t="s">
        <v>949</v>
      </c>
      <c r="H1266" s="6" t="s">
        <v>2253</v>
      </c>
      <c r="I1266" s="5" t="s">
        <v>2250</v>
      </c>
      <c r="J1266" s="7">
        <f>140.77</f>
        <v>140.77000000000001</v>
      </c>
      <c r="K1266" s="5" t="s">
        <v>270</v>
      </c>
      <c r="L1266" s="8">
        <f>1</f>
        <v>1</v>
      </c>
      <c r="M1266" s="8">
        <f>29288600</f>
        <v>29288600</v>
      </c>
      <c r="N1266" s="6" t="s">
        <v>2252</v>
      </c>
      <c r="O1266" s="5" t="s">
        <v>268</v>
      </c>
      <c r="P1266" s="5" t="s">
        <v>269</v>
      </c>
      <c r="R1266" s="8">
        <f>29288599</f>
        <v>29288599</v>
      </c>
      <c r="S1266" s="5" t="s">
        <v>240</v>
      </c>
      <c r="T1266" s="5" t="s">
        <v>237</v>
      </c>
      <c r="U1266" s="5" t="s">
        <v>238</v>
      </c>
      <c r="V1266" s="5" t="s">
        <v>238</v>
      </c>
      <c r="W1266" s="5" t="s">
        <v>241</v>
      </c>
      <c r="X1266" s="5" t="s">
        <v>951</v>
      </c>
      <c r="Y1266" s="5" t="s">
        <v>238</v>
      </c>
      <c r="AB1266" s="5" t="s">
        <v>238</v>
      </c>
      <c r="AD1266" s="6" t="s">
        <v>238</v>
      </c>
      <c r="AG1266" s="6" t="s">
        <v>246</v>
      </c>
      <c r="AH1266" s="5" t="s">
        <v>247</v>
      </c>
      <c r="AI1266" s="5" t="s">
        <v>248</v>
      </c>
      <c r="AY1266" s="5" t="s">
        <v>250</v>
      </c>
      <c r="AZ1266" s="5" t="s">
        <v>238</v>
      </c>
      <c r="BA1266" s="5" t="s">
        <v>251</v>
      </c>
      <c r="BB1266" s="5" t="s">
        <v>238</v>
      </c>
      <c r="BC1266" s="5" t="s">
        <v>253</v>
      </c>
      <c r="BD1266" s="5" t="s">
        <v>238</v>
      </c>
      <c r="BF1266" s="5" t="s">
        <v>238</v>
      </c>
      <c r="BH1266" s="5" t="s">
        <v>254</v>
      </c>
      <c r="BI1266" s="6" t="s">
        <v>246</v>
      </c>
      <c r="BJ1266" s="5" t="s">
        <v>255</v>
      </c>
      <c r="BK1266" s="5" t="s">
        <v>256</v>
      </c>
      <c r="BL1266" s="5" t="s">
        <v>238</v>
      </c>
      <c r="BM1266" s="7">
        <f>0</f>
        <v>0</v>
      </c>
      <c r="BN1266" s="8">
        <f>0</f>
        <v>0</v>
      </c>
      <c r="BO1266" s="5" t="s">
        <v>257</v>
      </c>
      <c r="BP1266" s="5" t="s">
        <v>258</v>
      </c>
      <c r="CD1266" s="5" t="s">
        <v>238</v>
      </c>
      <c r="CE1266" s="5" t="s">
        <v>238</v>
      </c>
      <c r="CI1266" s="5" t="s">
        <v>259</v>
      </c>
      <c r="CJ1266" s="5" t="s">
        <v>260</v>
      </c>
      <c r="CK1266" s="5" t="s">
        <v>238</v>
      </c>
      <c r="CM1266" s="5" t="s">
        <v>261</v>
      </c>
      <c r="CN1266" s="6" t="s">
        <v>262</v>
      </c>
      <c r="CO1266" s="5" t="s">
        <v>263</v>
      </c>
      <c r="CP1266" s="5" t="s">
        <v>264</v>
      </c>
      <c r="CQ1266" s="5" t="s">
        <v>238</v>
      </c>
      <c r="CR1266" s="5" t="s">
        <v>238</v>
      </c>
      <c r="CS1266" s="5">
        <v>0</v>
      </c>
      <c r="CT1266" s="5" t="s">
        <v>265</v>
      </c>
      <c r="CU1266" s="5" t="s">
        <v>2254</v>
      </c>
      <c r="CV1266" s="5" t="s">
        <v>267</v>
      </c>
      <c r="CX1266" s="8">
        <f>29288600</f>
        <v>29288600</v>
      </c>
      <c r="CY1266" s="8">
        <f>0</f>
        <v>0</v>
      </c>
      <c r="DA1266" s="5" t="s">
        <v>238</v>
      </c>
      <c r="DB1266" s="5" t="s">
        <v>238</v>
      </c>
      <c r="DD1266" s="5" t="s">
        <v>238</v>
      </c>
      <c r="DG1266" s="5" t="s">
        <v>238</v>
      </c>
      <c r="DH1266" s="5" t="s">
        <v>238</v>
      </c>
      <c r="DI1266" s="5" t="s">
        <v>238</v>
      </c>
      <c r="DJ1266" s="5" t="s">
        <v>238</v>
      </c>
      <c r="DK1266" s="5" t="s">
        <v>271</v>
      </c>
      <c r="DL1266" s="5" t="s">
        <v>272</v>
      </c>
      <c r="DM1266" s="7">
        <f>140.77</f>
        <v>140.77000000000001</v>
      </c>
      <c r="DN1266" s="5" t="s">
        <v>238</v>
      </c>
      <c r="DO1266" s="5" t="s">
        <v>238</v>
      </c>
      <c r="DP1266" s="5" t="s">
        <v>238</v>
      </c>
      <c r="DQ1266" s="5" t="s">
        <v>238</v>
      </c>
      <c r="DT1266" s="5" t="s">
        <v>2255</v>
      </c>
      <c r="DU1266" s="5" t="s">
        <v>356</v>
      </c>
      <c r="HM1266" s="5" t="s">
        <v>271</v>
      </c>
      <c r="HP1266" s="5" t="s">
        <v>272</v>
      </c>
      <c r="HQ1266" s="5" t="s">
        <v>272</v>
      </c>
    </row>
    <row r="1267" spans="1:238" x14ac:dyDescent="0.4">
      <c r="A1267" s="5">
        <v>1608</v>
      </c>
      <c r="B1267" s="5">
        <v>1</v>
      </c>
      <c r="C1267" s="5">
        <v>1</v>
      </c>
      <c r="D1267" s="5" t="s">
        <v>950</v>
      </c>
      <c r="E1267" s="5" t="s">
        <v>952</v>
      </c>
      <c r="F1267" s="5" t="s">
        <v>282</v>
      </c>
      <c r="G1267" s="5" t="s">
        <v>949</v>
      </c>
      <c r="H1267" s="6" t="s">
        <v>954</v>
      </c>
      <c r="I1267" s="5" t="s">
        <v>949</v>
      </c>
      <c r="J1267" s="7">
        <f>235</f>
        <v>235</v>
      </c>
      <c r="K1267" s="5" t="s">
        <v>270</v>
      </c>
      <c r="L1267" s="8">
        <f>1</f>
        <v>1</v>
      </c>
      <c r="M1267" s="8">
        <f>14100000</f>
        <v>14100000</v>
      </c>
      <c r="N1267" s="6" t="s">
        <v>953</v>
      </c>
      <c r="O1267" s="5" t="s">
        <v>650</v>
      </c>
      <c r="P1267" s="5" t="s">
        <v>866</v>
      </c>
      <c r="R1267" s="8">
        <f>14099999</f>
        <v>14099999</v>
      </c>
      <c r="S1267" s="5" t="s">
        <v>240</v>
      </c>
      <c r="T1267" s="5" t="s">
        <v>237</v>
      </c>
      <c r="U1267" s="5" t="s">
        <v>238</v>
      </c>
      <c r="V1267" s="5" t="s">
        <v>238</v>
      </c>
      <c r="W1267" s="5" t="s">
        <v>241</v>
      </c>
      <c r="X1267" s="5" t="s">
        <v>951</v>
      </c>
      <c r="Y1267" s="5" t="s">
        <v>238</v>
      </c>
      <c r="AB1267" s="5" t="s">
        <v>238</v>
      </c>
      <c r="AD1267" s="6" t="s">
        <v>238</v>
      </c>
      <c r="AG1267" s="6" t="s">
        <v>246</v>
      </c>
      <c r="AH1267" s="5" t="s">
        <v>247</v>
      </c>
      <c r="AI1267" s="5" t="s">
        <v>248</v>
      </c>
      <c r="AY1267" s="5" t="s">
        <v>250</v>
      </c>
      <c r="AZ1267" s="5" t="s">
        <v>238</v>
      </c>
      <c r="BA1267" s="5" t="s">
        <v>251</v>
      </c>
      <c r="BB1267" s="5" t="s">
        <v>238</v>
      </c>
      <c r="BC1267" s="5" t="s">
        <v>253</v>
      </c>
      <c r="BD1267" s="5" t="s">
        <v>238</v>
      </c>
      <c r="BF1267" s="5" t="s">
        <v>710</v>
      </c>
      <c r="BH1267" s="5" t="s">
        <v>859</v>
      </c>
      <c r="BI1267" s="6" t="s">
        <v>368</v>
      </c>
      <c r="BJ1267" s="5" t="s">
        <v>255</v>
      </c>
      <c r="BK1267" s="5" t="s">
        <v>256</v>
      </c>
      <c r="BL1267" s="5" t="s">
        <v>238</v>
      </c>
      <c r="BM1267" s="7">
        <f>0</f>
        <v>0</v>
      </c>
      <c r="BN1267" s="8">
        <f>0</f>
        <v>0</v>
      </c>
      <c r="BO1267" s="5" t="s">
        <v>257</v>
      </c>
      <c r="BP1267" s="5" t="s">
        <v>258</v>
      </c>
      <c r="CD1267" s="5" t="s">
        <v>238</v>
      </c>
      <c r="CE1267" s="5" t="s">
        <v>238</v>
      </c>
      <c r="CI1267" s="5" t="s">
        <v>527</v>
      </c>
      <c r="CJ1267" s="5" t="s">
        <v>260</v>
      </c>
      <c r="CK1267" s="5" t="s">
        <v>238</v>
      </c>
      <c r="CM1267" s="5" t="s">
        <v>865</v>
      </c>
      <c r="CN1267" s="6" t="s">
        <v>262</v>
      </c>
      <c r="CO1267" s="5" t="s">
        <v>263</v>
      </c>
      <c r="CP1267" s="5" t="s">
        <v>264</v>
      </c>
      <c r="CQ1267" s="5" t="s">
        <v>238</v>
      </c>
      <c r="CR1267" s="5" t="s">
        <v>238</v>
      </c>
      <c r="CS1267" s="5">
        <v>0</v>
      </c>
      <c r="CT1267" s="5" t="s">
        <v>265</v>
      </c>
      <c r="CU1267" s="5" t="s">
        <v>266</v>
      </c>
      <c r="CV1267" s="5" t="s">
        <v>649</v>
      </c>
      <c r="CX1267" s="8">
        <f>14100000</f>
        <v>14100000</v>
      </c>
      <c r="CY1267" s="8">
        <f>0</f>
        <v>0</v>
      </c>
      <c r="DA1267" s="5" t="s">
        <v>238</v>
      </c>
      <c r="DB1267" s="5" t="s">
        <v>238</v>
      </c>
      <c r="DD1267" s="5" t="s">
        <v>238</v>
      </c>
      <c r="DG1267" s="5" t="s">
        <v>238</v>
      </c>
      <c r="DH1267" s="5" t="s">
        <v>238</v>
      </c>
      <c r="DI1267" s="5" t="s">
        <v>238</v>
      </c>
      <c r="DJ1267" s="5" t="s">
        <v>238</v>
      </c>
      <c r="DK1267" s="5" t="s">
        <v>271</v>
      </c>
      <c r="DL1267" s="5" t="s">
        <v>272</v>
      </c>
      <c r="DM1267" s="7">
        <f>235</f>
        <v>235</v>
      </c>
      <c r="DN1267" s="5" t="s">
        <v>238</v>
      </c>
      <c r="DO1267" s="5" t="s">
        <v>238</v>
      </c>
      <c r="DP1267" s="5" t="s">
        <v>238</v>
      </c>
      <c r="DQ1267" s="5" t="s">
        <v>238</v>
      </c>
      <c r="DT1267" s="5" t="s">
        <v>955</v>
      </c>
      <c r="DU1267" s="5" t="s">
        <v>271</v>
      </c>
      <c r="HM1267" s="5" t="s">
        <v>271</v>
      </c>
      <c r="HP1267" s="5" t="s">
        <v>272</v>
      </c>
      <c r="HQ1267" s="5" t="s">
        <v>272</v>
      </c>
    </row>
    <row r="1268" spans="1:238" x14ac:dyDescent="0.4">
      <c r="A1268" s="5">
        <v>1609</v>
      </c>
      <c r="B1268" s="5">
        <v>1</v>
      </c>
      <c r="C1268" s="5">
        <v>1</v>
      </c>
      <c r="D1268" s="5" t="s">
        <v>1948</v>
      </c>
      <c r="E1268" s="5" t="s">
        <v>952</v>
      </c>
      <c r="F1268" s="5" t="s">
        <v>282</v>
      </c>
      <c r="G1268" s="5" t="s">
        <v>949</v>
      </c>
      <c r="H1268" s="6" t="s">
        <v>1950</v>
      </c>
      <c r="I1268" s="5" t="s">
        <v>949</v>
      </c>
      <c r="J1268" s="7">
        <f>598.25</f>
        <v>598.25</v>
      </c>
      <c r="K1268" s="5" t="s">
        <v>270</v>
      </c>
      <c r="L1268" s="8">
        <f>1</f>
        <v>1</v>
      </c>
      <c r="M1268" s="8">
        <f>201610250</f>
        <v>201610250</v>
      </c>
      <c r="N1268" s="6" t="s">
        <v>1949</v>
      </c>
      <c r="O1268" s="5" t="s">
        <v>651</v>
      </c>
      <c r="P1268" s="5" t="s">
        <v>651</v>
      </c>
      <c r="R1268" s="8">
        <f>201610249</f>
        <v>201610249</v>
      </c>
      <c r="S1268" s="5" t="s">
        <v>240</v>
      </c>
      <c r="T1268" s="5" t="s">
        <v>237</v>
      </c>
      <c r="U1268" s="5" t="s">
        <v>238</v>
      </c>
      <c r="V1268" s="5" t="s">
        <v>238</v>
      </c>
      <c r="W1268" s="5" t="s">
        <v>241</v>
      </c>
      <c r="X1268" s="5" t="s">
        <v>951</v>
      </c>
      <c r="Y1268" s="5" t="s">
        <v>238</v>
      </c>
      <c r="AB1268" s="5" t="s">
        <v>238</v>
      </c>
      <c r="AD1268" s="6" t="s">
        <v>238</v>
      </c>
      <c r="AG1268" s="6" t="s">
        <v>246</v>
      </c>
      <c r="AH1268" s="5" t="s">
        <v>247</v>
      </c>
      <c r="AI1268" s="5" t="s">
        <v>248</v>
      </c>
      <c r="AY1268" s="5" t="s">
        <v>250</v>
      </c>
      <c r="AZ1268" s="5" t="s">
        <v>238</v>
      </c>
      <c r="BA1268" s="5" t="s">
        <v>251</v>
      </c>
      <c r="BB1268" s="5" t="s">
        <v>238</v>
      </c>
      <c r="BC1268" s="5" t="s">
        <v>253</v>
      </c>
      <c r="BD1268" s="5" t="s">
        <v>238</v>
      </c>
      <c r="BF1268" s="5" t="s">
        <v>710</v>
      </c>
      <c r="BH1268" s="5" t="s">
        <v>697</v>
      </c>
      <c r="BI1268" s="6" t="s">
        <v>698</v>
      </c>
      <c r="BJ1268" s="5" t="s">
        <v>255</v>
      </c>
      <c r="BK1268" s="5" t="s">
        <v>294</v>
      </c>
      <c r="BL1268" s="5" t="s">
        <v>238</v>
      </c>
      <c r="BM1268" s="7">
        <f>0</f>
        <v>0</v>
      </c>
      <c r="BN1268" s="8">
        <f>0</f>
        <v>0</v>
      </c>
      <c r="BO1268" s="5" t="s">
        <v>257</v>
      </c>
      <c r="BP1268" s="5" t="s">
        <v>258</v>
      </c>
      <c r="CD1268" s="5" t="s">
        <v>238</v>
      </c>
      <c r="CE1268" s="5" t="s">
        <v>238</v>
      </c>
      <c r="CI1268" s="5" t="s">
        <v>259</v>
      </c>
      <c r="CJ1268" s="5" t="s">
        <v>260</v>
      </c>
      <c r="CK1268" s="5" t="s">
        <v>238</v>
      </c>
      <c r="CM1268" s="5" t="s">
        <v>648</v>
      </c>
      <c r="CN1268" s="6" t="s">
        <v>262</v>
      </c>
      <c r="CO1268" s="5" t="s">
        <v>263</v>
      </c>
      <c r="CP1268" s="5" t="s">
        <v>264</v>
      </c>
      <c r="CQ1268" s="5" t="s">
        <v>238</v>
      </c>
      <c r="CR1268" s="5" t="s">
        <v>238</v>
      </c>
      <c r="CS1268" s="5">
        <v>0</v>
      </c>
      <c r="CT1268" s="5" t="s">
        <v>265</v>
      </c>
      <c r="CU1268" s="5" t="s">
        <v>1333</v>
      </c>
      <c r="CV1268" s="5" t="s">
        <v>267</v>
      </c>
      <c r="CX1268" s="8">
        <f>201610250</f>
        <v>201610250</v>
      </c>
      <c r="CY1268" s="8">
        <f>0</f>
        <v>0</v>
      </c>
      <c r="DA1268" s="5" t="s">
        <v>238</v>
      </c>
      <c r="DB1268" s="5" t="s">
        <v>238</v>
      </c>
      <c r="DD1268" s="5" t="s">
        <v>238</v>
      </c>
      <c r="DG1268" s="5" t="s">
        <v>238</v>
      </c>
      <c r="DH1268" s="5" t="s">
        <v>238</v>
      </c>
      <c r="DI1268" s="5" t="s">
        <v>238</v>
      </c>
      <c r="DJ1268" s="5" t="s">
        <v>238</v>
      </c>
      <c r="DK1268" s="5" t="s">
        <v>271</v>
      </c>
      <c r="DL1268" s="5" t="s">
        <v>272</v>
      </c>
      <c r="DM1268" s="7">
        <f>598.25</f>
        <v>598.25</v>
      </c>
      <c r="DN1268" s="5" t="s">
        <v>238</v>
      </c>
      <c r="DO1268" s="5" t="s">
        <v>238</v>
      </c>
      <c r="DP1268" s="5" t="s">
        <v>238</v>
      </c>
      <c r="DQ1268" s="5" t="s">
        <v>238</v>
      </c>
      <c r="DT1268" s="5" t="s">
        <v>1951</v>
      </c>
      <c r="DU1268" s="5" t="s">
        <v>271</v>
      </c>
      <c r="HM1268" s="5" t="s">
        <v>389</v>
      </c>
      <c r="HP1268" s="5" t="s">
        <v>272</v>
      </c>
      <c r="HQ1268" s="5" t="s">
        <v>272</v>
      </c>
    </row>
    <row r="1269" spans="1:238" x14ac:dyDescent="0.4">
      <c r="A1269" s="5">
        <v>1610</v>
      </c>
      <c r="B1269" s="5">
        <v>1</v>
      </c>
      <c r="C1269" s="5">
        <v>1</v>
      </c>
      <c r="D1269" s="5" t="s">
        <v>1952</v>
      </c>
      <c r="E1269" s="5" t="s">
        <v>440</v>
      </c>
      <c r="F1269" s="5" t="s">
        <v>282</v>
      </c>
      <c r="G1269" s="5" t="s">
        <v>949</v>
      </c>
      <c r="H1269" s="6" t="s">
        <v>1954</v>
      </c>
      <c r="I1269" s="5" t="s">
        <v>949</v>
      </c>
      <c r="J1269" s="7">
        <f>373.47</f>
        <v>373.47</v>
      </c>
      <c r="K1269" s="5" t="s">
        <v>270</v>
      </c>
      <c r="L1269" s="8">
        <f>1</f>
        <v>1</v>
      </c>
      <c r="M1269" s="8">
        <f>95608320</f>
        <v>95608320</v>
      </c>
      <c r="N1269" s="6" t="s">
        <v>2285</v>
      </c>
      <c r="O1269" s="5" t="s">
        <v>268</v>
      </c>
      <c r="P1269" s="5" t="s">
        <v>268</v>
      </c>
      <c r="R1269" s="8">
        <f>95608319</f>
        <v>95608319</v>
      </c>
      <c r="S1269" s="5" t="s">
        <v>240</v>
      </c>
      <c r="T1269" s="5" t="s">
        <v>237</v>
      </c>
      <c r="U1269" s="5" t="s">
        <v>238</v>
      </c>
      <c r="V1269" s="5" t="s">
        <v>238</v>
      </c>
      <c r="W1269" s="5" t="s">
        <v>241</v>
      </c>
      <c r="X1269" s="5" t="s">
        <v>951</v>
      </c>
      <c r="Y1269" s="5" t="s">
        <v>238</v>
      </c>
      <c r="AB1269" s="5" t="s">
        <v>238</v>
      </c>
      <c r="AD1269" s="6" t="s">
        <v>238</v>
      </c>
      <c r="AG1269" s="6" t="s">
        <v>246</v>
      </c>
      <c r="AH1269" s="5" t="s">
        <v>247</v>
      </c>
      <c r="AI1269" s="5" t="s">
        <v>248</v>
      </c>
      <c r="AY1269" s="5" t="s">
        <v>250</v>
      </c>
      <c r="AZ1269" s="5" t="s">
        <v>238</v>
      </c>
      <c r="BA1269" s="5" t="s">
        <v>251</v>
      </c>
      <c r="BB1269" s="5" t="s">
        <v>238</v>
      </c>
      <c r="BC1269" s="5" t="s">
        <v>253</v>
      </c>
      <c r="BD1269" s="5" t="s">
        <v>238</v>
      </c>
      <c r="BF1269" s="5" t="s">
        <v>238</v>
      </c>
      <c r="BH1269" s="5" t="s">
        <v>798</v>
      </c>
      <c r="BI1269" s="6" t="s">
        <v>799</v>
      </c>
      <c r="BJ1269" s="5" t="s">
        <v>255</v>
      </c>
      <c r="BK1269" s="5" t="s">
        <v>294</v>
      </c>
      <c r="BL1269" s="5" t="s">
        <v>238</v>
      </c>
      <c r="BM1269" s="7">
        <f>0</f>
        <v>0</v>
      </c>
      <c r="BN1269" s="8">
        <f>0</f>
        <v>0</v>
      </c>
      <c r="BO1269" s="5" t="s">
        <v>257</v>
      </c>
      <c r="BP1269" s="5" t="s">
        <v>258</v>
      </c>
      <c r="CD1269" s="5" t="s">
        <v>238</v>
      </c>
      <c r="CE1269" s="5" t="s">
        <v>238</v>
      </c>
      <c r="CI1269" s="5" t="s">
        <v>259</v>
      </c>
      <c r="CJ1269" s="5" t="s">
        <v>260</v>
      </c>
      <c r="CK1269" s="5" t="s">
        <v>238</v>
      </c>
      <c r="CM1269" s="5" t="s">
        <v>807</v>
      </c>
      <c r="CN1269" s="6" t="s">
        <v>262</v>
      </c>
      <c r="CO1269" s="5" t="s">
        <v>263</v>
      </c>
      <c r="CP1269" s="5" t="s">
        <v>264</v>
      </c>
      <c r="CQ1269" s="5" t="s">
        <v>238</v>
      </c>
      <c r="CR1269" s="5" t="s">
        <v>238</v>
      </c>
      <c r="CS1269" s="5">
        <v>0</v>
      </c>
      <c r="CT1269" s="5" t="s">
        <v>265</v>
      </c>
      <c r="CU1269" s="5" t="s">
        <v>2254</v>
      </c>
      <c r="CV1269" s="5" t="s">
        <v>267</v>
      </c>
      <c r="CX1269" s="8">
        <f>95608320</f>
        <v>95608320</v>
      </c>
      <c r="CY1269" s="8">
        <f>0</f>
        <v>0</v>
      </c>
      <c r="DA1269" s="5" t="s">
        <v>238</v>
      </c>
      <c r="DB1269" s="5" t="s">
        <v>238</v>
      </c>
      <c r="DD1269" s="5" t="s">
        <v>238</v>
      </c>
      <c r="DG1269" s="5" t="s">
        <v>238</v>
      </c>
      <c r="DH1269" s="5" t="s">
        <v>238</v>
      </c>
      <c r="DI1269" s="5" t="s">
        <v>238</v>
      </c>
      <c r="DJ1269" s="5" t="s">
        <v>238</v>
      </c>
      <c r="DK1269" s="5" t="s">
        <v>271</v>
      </c>
      <c r="DL1269" s="5" t="s">
        <v>272</v>
      </c>
      <c r="DM1269" s="7">
        <f>373.47</f>
        <v>373.47</v>
      </c>
      <c r="DN1269" s="5" t="s">
        <v>238</v>
      </c>
      <c r="DO1269" s="5" t="s">
        <v>238</v>
      </c>
      <c r="DP1269" s="5" t="s">
        <v>238</v>
      </c>
      <c r="DQ1269" s="5" t="s">
        <v>238</v>
      </c>
      <c r="DT1269" s="5" t="s">
        <v>2286</v>
      </c>
      <c r="DU1269" s="5" t="s">
        <v>271</v>
      </c>
      <c r="HM1269" s="5" t="s">
        <v>310</v>
      </c>
      <c r="HP1269" s="5" t="s">
        <v>272</v>
      </c>
      <c r="HQ1269" s="5" t="s">
        <v>272</v>
      </c>
    </row>
    <row r="1270" spans="1:238" x14ac:dyDescent="0.4">
      <c r="A1270" s="5">
        <v>1611</v>
      </c>
      <c r="B1270" s="5">
        <v>1</v>
      </c>
      <c r="C1270" s="5">
        <v>4</v>
      </c>
      <c r="D1270" s="5" t="s">
        <v>1952</v>
      </c>
      <c r="E1270" s="5" t="s">
        <v>440</v>
      </c>
      <c r="F1270" s="5" t="s">
        <v>282</v>
      </c>
      <c r="G1270" s="5" t="s">
        <v>349</v>
      </c>
      <c r="H1270" s="6" t="s">
        <v>1954</v>
      </c>
      <c r="I1270" s="5" t="s">
        <v>3004</v>
      </c>
      <c r="J1270" s="7">
        <f>0</f>
        <v>0</v>
      </c>
      <c r="K1270" s="5" t="s">
        <v>270</v>
      </c>
      <c r="L1270" s="8">
        <f>1622091</f>
        <v>1622091</v>
      </c>
      <c r="M1270" s="8">
        <f>1949627</f>
        <v>1949627</v>
      </c>
      <c r="N1270" s="6" t="s">
        <v>2976</v>
      </c>
      <c r="O1270" s="5" t="s">
        <v>395</v>
      </c>
      <c r="P1270" s="5" t="s">
        <v>272</v>
      </c>
      <c r="Q1270" s="8">
        <f>1949626</f>
        <v>1949626</v>
      </c>
      <c r="R1270" s="8">
        <f>327536</f>
        <v>327536</v>
      </c>
      <c r="S1270" s="5" t="s">
        <v>240</v>
      </c>
      <c r="T1270" s="5" t="s">
        <v>287</v>
      </c>
      <c r="U1270" s="5" t="s">
        <v>238</v>
      </c>
      <c r="V1270" s="5" t="s">
        <v>238</v>
      </c>
      <c r="W1270" s="5" t="s">
        <v>241</v>
      </c>
      <c r="X1270" s="5" t="s">
        <v>238</v>
      </c>
      <c r="Y1270" s="5" t="s">
        <v>238</v>
      </c>
      <c r="AB1270" s="5" t="s">
        <v>238</v>
      </c>
      <c r="AC1270" s="6" t="s">
        <v>238</v>
      </c>
      <c r="AD1270" s="6" t="s">
        <v>238</v>
      </c>
      <c r="AF1270" s="6" t="s">
        <v>238</v>
      </c>
      <c r="AG1270" s="6" t="s">
        <v>246</v>
      </c>
      <c r="AH1270" s="5" t="s">
        <v>247</v>
      </c>
      <c r="AI1270" s="5" t="s">
        <v>248</v>
      </c>
      <c r="AO1270" s="5" t="s">
        <v>238</v>
      </c>
      <c r="AP1270" s="5" t="s">
        <v>238</v>
      </c>
      <c r="AQ1270" s="5" t="s">
        <v>238</v>
      </c>
      <c r="AR1270" s="6" t="s">
        <v>238</v>
      </c>
      <c r="AS1270" s="6" t="s">
        <v>238</v>
      </c>
      <c r="AT1270" s="6" t="s">
        <v>238</v>
      </c>
      <c r="AW1270" s="5" t="s">
        <v>304</v>
      </c>
      <c r="AX1270" s="5" t="s">
        <v>304</v>
      </c>
      <c r="AY1270" s="5" t="s">
        <v>250</v>
      </c>
      <c r="AZ1270" s="5" t="s">
        <v>305</v>
      </c>
      <c r="BA1270" s="5" t="s">
        <v>251</v>
      </c>
      <c r="BB1270" s="5" t="s">
        <v>238</v>
      </c>
      <c r="BC1270" s="5" t="s">
        <v>253</v>
      </c>
      <c r="BD1270" s="5" t="s">
        <v>238</v>
      </c>
      <c r="BF1270" s="5" t="s">
        <v>238</v>
      </c>
      <c r="BH1270" s="5" t="s">
        <v>283</v>
      </c>
      <c r="BI1270" s="6" t="s">
        <v>293</v>
      </c>
      <c r="BJ1270" s="5" t="s">
        <v>294</v>
      </c>
      <c r="BK1270" s="5" t="s">
        <v>294</v>
      </c>
      <c r="BL1270" s="5" t="s">
        <v>238</v>
      </c>
      <c r="BM1270" s="7">
        <f>0</f>
        <v>0</v>
      </c>
      <c r="BN1270" s="8">
        <f>-163768</f>
        <v>-163768</v>
      </c>
      <c r="BO1270" s="5" t="s">
        <v>257</v>
      </c>
      <c r="BP1270" s="5" t="s">
        <v>258</v>
      </c>
      <c r="BQ1270" s="5" t="s">
        <v>238</v>
      </c>
      <c r="BR1270" s="5" t="s">
        <v>238</v>
      </c>
      <c r="BS1270" s="5" t="s">
        <v>238</v>
      </c>
      <c r="BT1270" s="5" t="s">
        <v>238</v>
      </c>
      <c r="CC1270" s="5" t="s">
        <v>258</v>
      </c>
      <c r="CD1270" s="5" t="s">
        <v>238</v>
      </c>
      <c r="CE1270" s="5" t="s">
        <v>238</v>
      </c>
      <c r="CI1270" s="5" t="s">
        <v>259</v>
      </c>
      <c r="CJ1270" s="5" t="s">
        <v>260</v>
      </c>
      <c r="CK1270" s="5" t="s">
        <v>238</v>
      </c>
      <c r="CM1270" s="5" t="s">
        <v>408</v>
      </c>
      <c r="CN1270" s="6" t="s">
        <v>262</v>
      </c>
      <c r="CO1270" s="5" t="s">
        <v>263</v>
      </c>
      <c r="CP1270" s="5" t="s">
        <v>264</v>
      </c>
      <c r="CQ1270" s="5" t="s">
        <v>285</v>
      </c>
      <c r="CR1270" s="5" t="s">
        <v>238</v>
      </c>
      <c r="CS1270" s="5">
        <v>8.4000000000000005E-2</v>
      </c>
      <c r="CT1270" s="5" t="s">
        <v>265</v>
      </c>
      <c r="CU1270" s="5" t="s">
        <v>351</v>
      </c>
      <c r="CV1270" s="5" t="s">
        <v>2977</v>
      </c>
      <c r="CW1270" s="7">
        <f>0</f>
        <v>0</v>
      </c>
      <c r="CX1270" s="8">
        <f>1949627</f>
        <v>1949627</v>
      </c>
      <c r="CY1270" s="8">
        <f>1785859</f>
        <v>1785859</v>
      </c>
      <c r="DA1270" s="5" t="s">
        <v>238</v>
      </c>
      <c r="DB1270" s="5" t="s">
        <v>238</v>
      </c>
      <c r="DD1270" s="5" t="s">
        <v>238</v>
      </c>
      <c r="DE1270" s="8">
        <f>0</f>
        <v>0</v>
      </c>
      <c r="DG1270" s="5" t="s">
        <v>238</v>
      </c>
      <c r="DH1270" s="5" t="s">
        <v>238</v>
      </c>
      <c r="DI1270" s="5" t="s">
        <v>238</v>
      </c>
      <c r="DJ1270" s="5" t="s">
        <v>238</v>
      </c>
      <c r="DK1270" s="5" t="s">
        <v>272</v>
      </c>
      <c r="DL1270" s="5" t="s">
        <v>272</v>
      </c>
      <c r="DM1270" s="8" t="s">
        <v>238</v>
      </c>
      <c r="DN1270" s="5" t="s">
        <v>238</v>
      </c>
      <c r="DO1270" s="5" t="s">
        <v>238</v>
      </c>
      <c r="DP1270" s="5" t="s">
        <v>238</v>
      </c>
      <c r="DQ1270" s="5" t="s">
        <v>238</v>
      </c>
      <c r="DT1270" s="5" t="s">
        <v>2286</v>
      </c>
      <c r="DU1270" s="5" t="s">
        <v>274</v>
      </c>
      <c r="GL1270" s="5" t="s">
        <v>3005</v>
      </c>
      <c r="HM1270" s="5" t="s">
        <v>274</v>
      </c>
      <c r="HP1270" s="5" t="s">
        <v>272</v>
      </c>
      <c r="HQ1270" s="5" t="s">
        <v>272</v>
      </c>
      <c r="HR1270" s="5" t="s">
        <v>238</v>
      </c>
      <c r="HS1270" s="5" t="s">
        <v>238</v>
      </c>
      <c r="HT1270" s="5" t="s">
        <v>238</v>
      </c>
      <c r="HU1270" s="5" t="s">
        <v>238</v>
      </c>
      <c r="HV1270" s="5" t="s">
        <v>238</v>
      </c>
      <c r="HW1270" s="5" t="s">
        <v>238</v>
      </c>
      <c r="HX1270" s="5" t="s">
        <v>238</v>
      </c>
      <c r="HY1270" s="5" t="s">
        <v>238</v>
      </c>
      <c r="HZ1270" s="5" t="s">
        <v>238</v>
      </c>
      <c r="IA1270" s="5" t="s">
        <v>238</v>
      </c>
      <c r="IB1270" s="5" t="s">
        <v>238</v>
      </c>
      <c r="IC1270" s="5" t="s">
        <v>238</v>
      </c>
      <c r="ID1270" s="5" t="s">
        <v>238</v>
      </c>
    </row>
    <row r="1271" spans="1:238" x14ac:dyDescent="0.4">
      <c r="A1271" s="5">
        <v>1612</v>
      </c>
      <c r="B1271" s="5">
        <v>1</v>
      </c>
      <c r="C1271" s="5">
        <v>4</v>
      </c>
      <c r="D1271" s="5" t="s">
        <v>1952</v>
      </c>
      <c r="E1271" s="5" t="s">
        <v>440</v>
      </c>
      <c r="F1271" s="5" t="s">
        <v>282</v>
      </c>
      <c r="G1271" s="5" t="s">
        <v>1398</v>
      </c>
      <c r="H1271" s="6" t="s">
        <v>1954</v>
      </c>
      <c r="I1271" s="5" t="s">
        <v>949</v>
      </c>
      <c r="J1271" s="7">
        <f>36.43</f>
        <v>36.43</v>
      </c>
      <c r="K1271" s="5" t="s">
        <v>270</v>
      </c>
      <c r="L1271" s="8">
        <f>1084164</f>
        <v>1084164</v>
      </c>
      <c r="M1271" s="8">
        <f>2185800</f>
        <v>2185800</v>
      </c>
      <c r="N1271" s="6" t="s">
        <v>1953</v>
      </c>
      <c r="O1271" s="5" t="s">
        <v>651</v>
      </c>
      <c r="P1271" s="5" t="s">
        <v>377</v>
      </c>
      <c r="Q1271" s="8">
        <f>91803</f>
        <v>91803</v>
      </c>
      <c r="R1271" s="8">
        <f>1101636</f>
        <v>1101636</v>
      </c>
      <c r="S1271" s="5" t="s">
        <v>240</v>
      </c>
      <c r="T1271" s="5" t="s">
        <v>237</v>
      </c>
      <c r="U1271" s="5" t="s">
        <v>238</v>
      </c>
      <c r="V1271" s="5" t="s">
        <v>238</v>
      </c>
      <c r="W1271" s="5" t="s">
        <v>241</v>
      </c>
      <c r="X1271" s="5" t="s">
        <v>951</v>
      </c>
      <c r="Y1271" s="5" t="s">
        <v>238</v>
      </c>
      <c r="AB1271" s="5" t="s">
        <v>238</v>
      </c>
      <c r="AC1271" s="6" t="s">
        <v>238</v>
      </c>
      <c r="AD1271" s="6" t="s">
        <v>238</v>
      </c>
      <c r="AF1271" s="6" t="s">
        <v>238</v>
      </c>
      <c r="AG1271" s="6" t="s">
        <v>246</v>
      </c>
      <c r="AH1271" s="5" t="s">
        <v>247</v>
      </c>
      <c r="AI1271" s="5" t="s">
        <v>248</v>
      </c>
      <c r="AO1271" s="5" t="s">
        <v>238</v>
      </c>
      <c r="AP1271" s="5" t="s">
        <v>238</v>
      </c>
      <c r="AQ1271" s="5" t="s">
        <v>238</v>
      </c>
      <c r="AR1271" s="6" t="s">
        <v>238</v>
      </c>
      <c r="AS1271" s="6" t="s">
        <v>238</v>
      </c>
      <c r="AT1271" s="6" t="s">
        <v>238</v>
      </c>
      <c r="AW1271" s="5" t="s">
        <v>304</v>
      </c>
      <c r="AX1271" s="5" t="s">
        <v>304</v>
      </c>
      <c r="AY1271" s="5" t="s">
        <v>250</v>
      </c>
      <c r="AZ1271" s="5" t="s">
        <v>305</v>
      </c>
      <c r="BA1271" s="5" t="s">
        <v>251</v>
      </c>
      <c r="BB1271" s="5" t="s">
        <v>238</v>
      </c>
      <c r="BC1271" s="5" t="s">
        <v>253</v>
      </c>
      <c r="BD1271" s="5" t="s">
        <v>238</v>
      </c>
      <c r="BF1271" s="5" t="s">
        <v>710</v>
      </c>
      <c r="BH1271" s="5" t="s">
        <v>283</v>
      </c>
      <c r="BI1271" s="6" t="s">
        <v>293</v>
      </c>
      <c r="BJ1271" s="5" t="s">
        <v>294</v>
      </c>
      <c r="BK1271" s="5" t="s">
        <v>294</v>
      </c>
      <c r="BL1271" s="5" t="s">
        <v>238</v>
      </c>
      <c r="BM1271" s="7">
        <f>0</f>
        <v>0</v>
      </c>
      <c r="BN1271" s="8">
        <f>-91803</f>
        <v>-91803</v>
      </c>
      <c r="BO1271" s="5" t="s">
        <v>257</v>
      </c>
      <c r="BP1271" s="5" t="s">
        <v>258</v>
      </c>
      <c r="BQ1271" s="5" t="s">
        <v>238</v>
      </c>
      <c r="BR1271" s="5" t="s">
        <v>238</v>
      </c>
      <c r="BS1271" s="5" t="s">
        <v>238</v>
      </c>
      <c r="BT1271" s="5" t="s">
        <v>238</v>
      </c>
      <c r="CC1271" s="5" t="s">
        <v>258</v>
      </c>
      <c r="CD1271" s="5" t="s">
        <v>238</v>
      </c>
      <c r="CE1271" s="5" t="s">
        <v>238</v>
      </c>
      <c r="CI1271" s="5" t="s">
        <v>527</v>
      </c>
      <c r="CJ1271" s="5" t="s">
        <v>260</v>
      </c>
      <c r="CK1271" s="5" t="s">
        <v>238</v>
      </c>
      <c r="CM1271" s="5" t="s">
        <v>1955</v>
      </c>
      <c r="CN1271" s="6" t="s">
        <v>262</v>
      </c>
      <c r="CO1271" s="5" t="s">
        <v>263</v>
      </c>
      <c r="CP1271" s="5" t="s">
        <v>264</v>
      </c>
      <c r="CQ1271" s="5" t="s">
        <v>285</v>
      </c>
      <c r="CR1271" s="5" t="s">
        <v>238</v>
      </c>
      <c r="CS1271" s="5">
        <v>4.2000000000000003E-2</v>
      </c>
      <c r="CT1271" s="5" t="s">
        <v>265</v>
      </c>
      <c r="CU1271" s="5" t="s">
        <v>1333</v>
      </c>
      <c r="CV1271" s="5" t="s">
        <v>267</v>
      </c>
      <c r="CW1271" s="7">
        <f>0</f>
        <v>0</v>
      </c>
      <c r="CX1271" s="8">
        <f>2185800</f>
        <v>2185800</v>
      </c>
      <c r="CY1271" s="8">
        <f>1175967</f>
        <v>1175967</v>
      </c>
      <c r="DA1271" s="5" t="s">
        <v>238</v>
      </c>
      <c r="DB1271" s="5" t="s">
        <v>238</v>
      </c>
      <c r="DD1271" s="5" t="s">
        <v>238</v>
      </c>
      <c r="DE1271" s="8">
        <f>0</f>
        <v>0</v>
      </c>
      <c r="DG1271" s="5" t="s">
        <v>238</v>
      </c>
      <c r="DH1271" s="5" t="s">
        <v>238</v>
      </c>
      <c r="DI1271" s="5" t="s">
        <v>238</v>
      </c>
      <c r="DJ1271" s="5" t="s">
        <v>238</v>
      </c>
      <c r="DK1271" s="5" t="s">
        <v>271</v>
      </c>
      <c r="DL1271" s="5" t="s">
        <v>272</v>
      </c>
      <c r="DM1271" s="7">
        <f>36.43</f>
        <v>36.43</v>
      </c>
      <c r="DN1271" s="5" t="s">
        <v>238</v>
      </c>
      <c r="DO1271" s="5" t="s">
        <v>238</v>
      </c>
      <c r="DP1271" s="5" t="s">
        <v>238</v>
      </c>
      <c r="DQ1271" s="5" t="s">
        <v>238</v>
      </c>
      <c r="DT1271" s="5" t="s">
        <v>1956</v>
      </c>
      <c r="DU1271" s="5" t="s">
        <v>271</v>
      </c>
      <c r="GL1271" s="5" t="s">
        <v>1957</v>
      </c>
      <c r="HM1271" s="5" t="s">
        <v>389</v>
      </c>
      <c r="HP1271" s="5" t="s">
        <v>272</v>
      </c>
      <c r="HQ1271" s="5" t="s">
        <v>272</v>
      </c>
      <c r="HR1271" s="5" t="s">
        <v>238</v>
      </c>
      <c r="HS1271" s="5" t="s">
        <v>238</v>
      </c>
      <c r="HT1271" s="5" t="s">
        <v>238</v>
      </c>
      <c r="HU1271" s="5" t="s">
        <v>238</v>
      </c>
      <c r="HV1271" s="5" t="s">
        <v>238</v>
      </c>
      <c r="HW1271" s="5" t="s">
        <v>238</v>
      </c>
      <c r="HX1271" s="5" t="s">
        <v>238</v>
      </c>
      <c r="HY1271" s="5" t="s">
        <v>238</v>
      </c>
      <c r="HZ1271" s="5" t="s">
        <v>238</v>
      </c>
      <c r="IA1271" s="5" t="s">
        <v>238</v>
      </c>
      <c r="IB1271" s="5" t="s">
        <v>238</v>
      </c>
      <c r="IC1271" s="5" t="s">
        <v>238</v>
      </c>
      <c r="ID1271" s="5" t="s">
        <v>238</v>
      </c>
    </row>
    <row r="1272" spans="1:238" x14ac:dyDescent="0.4">
      <c r="A1272" s="5">
        <v>1613</v>
      </c>
      <c r="B1272" s="5">
        <v>1</v>
      </c>
      <c r="C1272" s="5">
        <v>4</v>
      </c>
      <c r="D1272" s="5" t="s">
        <v>2384</v>
      </c>
      <c r="E1272" s="5" t="s">
        <v>1337</v>
      </c>
      <c r="F1272" s="5" t="s">
        <v>282</v>
      </c>
      <c r="G1272" s="5" t="s">
        <v>1398</v>
      </c>
      <c r="H1272" s="6" t="s">
        <v>2386</v>
      </c>
      <c r="I1272" s="5" t="s">
        <v>949</v>
      </c>
      <c r="J1272" s="7">
        <f>241.68</f>
        <v>241.68</v>
      </c>
      <c r="K1272" s="5" t="s">
        <v>270</v>
      </c>
      <c r="L1272" s="8">
        <f>19085480</f>
        <v>19085480</v>
      </c>
      <c r="M1272" s="8">
        <f>64045200</f>
        <v>64045200</v>
      </c>
      <c r="N1272" s="6" t="s">
        <v>2385</v>
      </c>
      <c r="O1272" s="5" t="s">
        <v>639</v>
      </c>
      <c r="P1272" s="5" t="s">
        <v>651</v>
      </c>
      <c r="Q1272" s="8">
        <f>1729220</f>
        <v>1729220</v>
      </c>
      <c r="R1272" s="8">
        <f>44959720</f>
        <v>44959720</v>
      </c>
      <c r="S1272" s="5" t="s">
        <v>240</v>
      </c>
      <c r="T1272" s="5" t="s">
        <v>237</v>
      </c>
      <c r="U1272" s="5" t="s">
        <v>238</v>
      </c>
      <c r="V1272" s="5" t="s">
        <v>238</v>
      </c>
      <c r="W1272" s="5" t="s">
        <v>241</v>
      </c>
      <c r="X1272" s="5" t="s">
        <v>951</v>
      </c>
      <c r="Y1272" s="5" t="s">
        <v>238</v>
      </c>
      <c r="AB1272" s="5" t="s">
        <v>238</v>
      </c>
      <c r="AC1272" s="6" t="s">
        <v>238</v>
      </c>
      <c r="AD1272" s="6" t="s">
        <v>238</v>
      </c>
      <c r="AF1272" s="6" t="s">
        <v>238</v>
      </c>
      <c r="AG1272" s="6" t="s">
        <v>246</v>
      </c>
      <c r="AH1272" s="5" t="s">
        <v>247</v>
      </c>
      <c r="AI1272" s="5" t="s">
        <v>248</v>
      </c>
      <c r="AO1272" s="5" t="s">
        <v>238</v>
      </c>
      <c r="AP1272" s="5" t="s">
        <v>238</v>
      </c>
      <c r="AQ1272" s="5" t="s">
        <v>238</v>
      </c>
      <c r="AR1272" s="6" t="s">
        <v>238</v>
      </c>
      <c r="AS1272" s="6" t="s">
        <v>238</v>
      </c>
      <c r="AT1272" s="6" t="s">
        <v>238</v>
      </c>
      <c r="AW1272" s="5" t="s">
        <v>304</v>
      </c>
      <c r="AX1272" s="5" t="s">
        <v>304</v>
      </c>
      <c r="AY1272" s="5" t="s">
        <v>250</v>
      </c>
      <c r="AZ1272" s="5" t="s">
        <v>305</v>
      </c>
      <c r="BA1272" s="5" t="s">
        <v>251</v>
      </c>
      <c r="BB1272" s="5" t="s">
        <v>238</v>
      </c>
      <c r="BC1272" s="5" t="s">
        <v>253</v>
      </c>
      <c r="BD1272" s="5" t="s">
        <v>238</v>
      </c>
      <c r="BF1272" s="5" t="s">
        <v>238</v>
      </c>
      <c r="BH1272" s="5" t="s">
        <v>283</v>
      </c>
      <c r="BI1272" s="6" t="s">
        <v>293</v>
      </c>
      <c r="BJ1272" s="5" t="s">
        <v>294</v>
      </c>
      <c r="BK1272" s="5" t="s">
        <v>294</v>
      </c>
      <c r="BL1272" s="5" t="s">
        <v>238</v>
      </c>
      <c r="BM1272" s="7">
        <f>0</f>
        <v>0</v>
      </c>
      <c r="BN1272" s="8">
        <f>-1729220</f>
        <v>-1729220</v>
      </c>
      <c r="BO1272" s="5" t="s">
        <v>257</v>
      </c>
      <c r="BP1272" s="5" t="s">
        <v>258</v>
      </c>
      <c r="BQ1272" s="5" t="s">
        <v>238</v>
      </c>
      <c r="BR1272" s="5" t="s">
        <v>238</v>
      </c>
      <c r="BS1272" s="5" t="s">
        <v>238</v>
      </c>
      <c r="BT1272" s="5" t="s">
        <v>238</v>
      </c>
      <c r="CC1272" s="5" t="s">
        <v>258</v>
      </c>
      <c r="CD1272" s="5" t="s">
        <v>238</v>
      </c>
      <c r="CE1272" s="5" t="s">
        <v>238</v>
      </c>
      <c r="CI1272" s="5" t="s">
        <v>259</v>
      </c>
      <c r="CJ1272" s="5" t="s">
        <v>260</v>
      </c>
      <c r="CK1272" s="5" t="s">
        <v>238</v>
      </c>
      <c r="CM1272" s="5" t="s">
        <v>648</v>
      </c>
      <c r="CN1272" s="6" t="s">
        <v>262</v>
      </c>
      <c r="CO1272" s="5" t="s">
        <v>263</v>
      </c>
      <c r="CP1272" s="5" t="s">
        <v>264</v>
      </c>
      <c r="CQ1272" s="5" t="s">
        <v>285</v>
      </c>
      <c r="CR1272" s="5" t="s">
        <v>238</v>
      </c>
      <c r="CS1272" s="5">
        <v>2.7E-2</v>
      </c>
      <c r="CT1272" s="5" t="s">
        <v>265</v>
      </c>
      <c r="CU1272" s="5" t="s">
        <v>2381</v>
      </c>
      <c r="CV1272" s="5" t="s">
        <v>308</v>
      </c>
      <c r="CW1272" s="7">
        <f>0</f>
        <v>0</v>
      </c>
      <c r="CX1272" s="8">
        <f>64045200</f>
        <v>64045200</v>
      </c>
      <c r="CY1272" s="8">
        <f>20814700</f>
        <v>20814700</v>
      </c>
      <c r="DA1272" s="5" t="s">
        <v>238</v>
      </c>
      <c r="DB1272" s="5" t="s">
        <v>238</v>
      </c>
      <c r="DD1272" s="5" t="s">
        <v>238</v>
      </c>
      <c r="DE1272" s="8">
        <f>0</f>
        <v>0</v>
      </c>
      <c r="DG1272" s="5" t="s">
        <v>238</v>
      </c>
      <c r="DH1272" s="5" t="s">
        <v>238</v>
      </c>
      <c r="DI1272" s="5" t="s">
        <v>238</v>
      </c>
      <c r="DJ1272" s="5" t="s">
        <v>238</v>
      </c>
      <c r="DK1272" s="5" t="s">
        <v>271</v>
      </c>
      <c r="DL1272" s="5" t="s">
        <v>272</v>
      </c>
      <c r="DM1272" s="7">
        <f>241.68</f>
        <v>241.68</v>
      </c>
      <c r="DN1272" s="5" t="s">
        <v>238</v>
      </c>
      <c r="DO1272" s="5" t="s">
        <v>238</v>
      </c>
      <c r="DP1272" s="5" t="s">
        <v>238</v>
      </c>
      <c r="DQ1272" s="5" t="s">
        <v>238</v>
      </c>
      <c r="DT1272" s="5" t="s">
        <v>2387</v>
      </c>
      <c r="DU1272" s="5" t="s">
        <v>271</v>
      </c>
      <c r="GL1272" s="5" t="s">
        <v>2388</v>
      </c>
      <c r="HM1272" s="5" t="s">
        <v>389</v>
      </c>
      <c r="HP1272" s="5" t="s">
        <v>272</v>
      </c>
      <c r="HQ1272" s="5" t="s">
        <v>272</v>
      </c>
      <c r="HR1272" s="5" t="s">
        <v>238</v>
      </c>
      <c r="HS1272" s="5" t="s">
        <v>238</v>
      </c>
      <c r="HT1272" s="5" t="s">
        <v>238</v>
      </c>
      <c r="HU1272" s="5" t="s">
        <v>238</v>
      </c>
      <c r="HV1272" s="5" t="s">
        <v>238</v>
      </c>
      <c r="HW1272" s="5" t="s">
        <v>238</v>
      </c>
      <c r="HX1272" s="5" t="s">
        <v>238</v>
      </c>
      <c r="HY1272" s="5" t="s">
        <v>238</v>
      </c>
      <c r="HZ1272" s="5" t="s">
        <v>238</v>
      </c>
      <c r="IA1272" s="5" t="s">
        <v>238</v>
      </c>
      <c r="IB1272" s="5" t="s">
        <v>238</v>
      </c>
      <c r="IC1272" s="5" t="s">
        <v>238</v>
      </c>
      <c r="ID1272" s="5" t="s">
        <v>238</v>
      </c>
    </row>
    <row r="1273" spans="1:238" x14ac:dyDescent="0.4">
      <c r="A1273" s="5">
        <v>1614</v>
      </c>
      <c r="B1273" s="5">
        <v>1</v>
      </c>
      <c r="C1273" s="5">
        <v>4</v>
      </c>
      <c r="D1273" s="5" t="s">
        <v>2389</v>
      </c>
      <c r="E1273" s="5" t="s">
        <v>1337</v>
      </c>
      <c r="F1273" s="5" t="s">
        <v>282</v>
      </c>
      <c r="G1273" s="5" t="s">
        <v>1398</v>
      </c>
      <c r="H1273" s="6" t="s">
        <v>2390</v>
      </c>
      <c r="I1273" s="5" t="s">
        <v>949</v>
      </c>
      <c r="J1273" s="7">
        <f>218</f>
        <v>218</v>
      </c>
      <c r="K1273" s="5" t="s">
        <v>270</v>
      </c>
      <c r="L1273" s="8">
        <f>6166784</f>
        <v>6166784</v>
      </c>
      <c r="M1273" s="8">
        <f>45344000</f>
        <v>45344000</v>
      </c>
      <c r="N1273" s="6" t="s">
        <v>1547</v>
      </c>
      <c r="O1273" s="5" t="s">
        <v>639</v>
      </c>
      <c r="P1273" s="5" t="s">
        <v>332</v>
      </c>
      <c r="Q1273" s="8">
        <f>1224288</f>
        <v>1224288</v>
      </c>
      <c r="R1273" s="8">
        <f>39177216</f>
        <v>39177216</v>
      </c>
      <c r="S1273" s="5" t="s">
        <v>240</v>
      </c>
      <c r="T1273" s="5" t="s">
        <v>237</v>
      </c>
      <c r="U1273" s="5" t="s">
        <v>238</v>
      </c>
      <c r="V1273" s="5" t="s">
        <v>238</v>
      </c>
      <c r="W1273" s="5" t="s">
        <v>241</v>
      </c>
      <c r="X1273" s="5" t="s">
        <v>951</v>
      </c>
      <c r="Y1273" s="5" t="s">
        <v>238</v>
      </c>
      <c r="AB1273" s="5" t="s">
        <v>238</v>
      </c>
      <c r="AC1273" s="6" t="s">
        <v>238</v>
      </c>
      <c r="AD1273" s="6" t="s">
        <v>238</v>
      </c>
      <c r="AF1273" s="6" t="s">
        <v>238</v>
      </c>
      <c r="AG1273" s="6" t="s">
        <v>246</v>
      </c>
      <c r="AH1273" s="5" t="s">
        <v>247</v>
      </c>
      <c r="AI1273" s="5" t="s">
        <v>248</v>
      </c>
      <c r="AO1273" s="5" t="s">
        <v>238</v>
      </c>
      <c r="AP1273" s="5" t="s">
        <v>238</v>
      </c>
      <c r="AQ1273" s="5" t="s">
        <v>238</v>
      </c>
      <c r="AR1273" s="6" t="s">
        <v>238</v>
      </c>
      <c r="AS1273" s="6" t="s">
        <v>238</v>
      </c>
      <c r="AT1273" s="6" t="s">
        <v>238</v>
      </c>
      <c r="AW1273" s="5" t="s">
        <v>304</v>
      </c>
      <c r="AX1273" s="5" t="s">
        <v>304</v>
      </c>
      <c r="AY1273" s="5" t="s">
        <v>250</v>
      </c>
      <c r="AZ1273" s="5" t="s">
        <v>305</v>
      </c>
      <c r="BA1273" s="5" t="s">
        <v>251</v>
      </c>
      <c r="BB1273" s="5" t="s">
        <v>238</v>
      </c>
      <c r="BC1273" s="5" t="s">
        <v>253</v>
      </c>
      <c r="BD1273" s="5" t="s">
        <v>238</v>
      </c>
      <c r="BF1273" s="5" t="s">
        <v>238</v>
      </c>
      <c r="BH1273" s="5" t="s">
        <v>283</v>
      </c>
      <c r="BI1273" s="6" t="s">
        <v>293</v>
      </c>
      <c r="BJ1273" s="5" t="s">
        <v>294</v>
      </c>
      <c r="BK1273" s="5" t="s">
        <v>294</v>
      </c>
      <c r="BL1273" s="5" t="s">
        <v>238</v>
      </c>
      <c r="BM1273" s="7">
        <f>0</f>
        <v>0</v>
      </c>
      <c r="BN1273" s="8">
        <f>-1224288</f>
        <v>-1224288</v>
      </c>
      <c r="BO1273" s="5" t="s">
        <v>257</v>
      </c>
      <c r="BP1273" s="5" t="s">
        <v>258</v>
      </c>
      <c r="BQ1273" s="5" t="s">
        <v>238</v>
      </c>
      <c r="BR1273" s="5" t="s">
        <v>238</v>
      </c>
      <c r="BS1273" s="5" t="s">
        <v>238</v>
      </c>
      <c r="BT1273" s="5" t="s">
        <v>238</v>
      </c>
      <c r="CC1273" s="5" t="s">
        <v>258</v>
      </c>
      <c r="CD1273" s="5" t="s">
        <v>238</v>
      </c>
      <c r="CE1273" s="5" t="s">
        <v>238</v>
      </c>
      <c r="CI1273" s="5" t="s">
        <v>259</v>
      </c>
      <c r="CJ1273" s="5" t="s">
        <v>260</v>
      </c>
      <c r="CK1273" s="5" t="s">
        <v>238</v>
      </c>
      <c r="CM1273" s="5" t="s">
        <v>342</v>
      </c>
      <c r="CN1273" s="6" t="s">
        <v>262</v>
      </c>
      <c r="CO1273" s="5" t="s">
        <v>263</v>
      </c>
      <c r="CP1273" s="5" t="s">
        <v>264</v>
      </c>
      <c r="CQ1273" s="5" t="s">
        <v>285</v>
      </c>
      <c r="CR1273" s="5" t="s">
        <v>238</v>
      </c>
      <c r="CS1273" s="5">
        <v>2.7E-2</v>
      </c>
      <c r="CT1273" s="5" t="s">
        <v>265</v>
      </c>
      <c r="CU1273" s="5" t="s">
        <v>2381</v>
      </c>
      <c r="CV1273" s="5" t="s">
        <v>308</v>
      </c>
      <c r="CW1273" s="7">
        <f>0</f>
        <v>0</v>
      </c>
      <c r="CX1273" s="8">
        <f>45344000</f>
        <v>45344000</v>
      </c>
      <c r="CY1273" s="8">
        <f>7391072</f>
        <v>7391072</v>
      </c>
      <c r="DA1273" s="5" t="s">
        <v>238</v>
      </c>
      <c r="DB1273" s="5" t="s">
        <v>238</v>
      </c>
      <c r="DD1273" s="5" t="s">
        <v>238</v>
      </c>
      <c r="DE1273" s="8">
        <f>0</f>
        <v>0</v>
      </c>
      <c r="DG1273" s="5" t="s">
        <v>238</v>
      </c>
      <c r="DH1273" s="5" t="s">
        <v>238</v>
      </c>
      <c r="DI1273" s="5" t="s">
        <v>238</v>
      </c>
      <c r="DJ1273" s="5" t="s">
        <v>238</v>
      </c>
      <c r="DK1273" s="5" t="s">
        <v>271</v>
      </c>
      <c r="DL1273" s="5" t="s">
        <v>272</v>
      </c>
      <c r="DM1273" s="7">
        <f>218</f>
        <v>218</v>
      </c>
      <c r="DN1273" s="5" t="s">
        <v>238</v>
      </c>
      <c r="DO1273" s="5" t="s">
        <v>238</v>
      </c>
      <c r="DP1273" s="5" t="s">
        <v>238</v>
      </c>
      <c r="DQ1273" s="5" t="s">
        <v>238</v>
      </c>
      <c r="DT1273" s="5" t="s">
        <v>2391</v>
      </c>
      <c r="DU1273" s="5" t="s">
        <v>271</v>
      </c>
      <c r="GL1273" s="5" t="s">
        <v>2392</v>
      </c>
      <c r="HM1273" s="5" t="s">
        <v>389</v>
      </c>
      <c r="HP1273" s="5" t="s">
        <v>272</v>
      </c>
      <c r="HQ1273" s="5" t="s">
        <v>272</v>
      </c>
      <c r="HR1273" s="5" t="s">
        <v>238</v>
      </c>
      <c r="HS1273" s="5" t="s">
        <v>238</v>
      </c>
      <c r="HT1273" s="5" t="s">
        <v>238</v>
      </c>
      <c r="HU1273" s="5" t="s">
        <v>238</v>
      </c>
      <c r="HV1273" s="5" t="s">
        <v>238</v>
      </c>
      <c r="HW1273" s="5" t="s">
        <v>238</v>
      </c>
      <c r="HX1273" s="5" t="s">
        <v>238</v>
      </c>
      <c r="HY1273" s="5" t="s">
        <v>238</v>
      </c>
      <c r="HZ1273" s="5" t="s">
        <v>238</v>
      </c>
      <c r="IA1273" s="5" t="s">
        <v>238</v>
      </c>
      <c r="IB1273" s="5" t="s">
        <v>238</v>
      </c>
      <c r="IC1273" s="5" t="s">
        <v>238</v>
      </c>
      <c r="ID1273" s="5" t="s">
        <v>238</v>
      </c>
    </row>
    <row r="1274" spans="1:238" x14ac:dyDescent="0.4">
      <c r="A1274" s="5">
        <v>1615</v>
      </c>
      <c r="B1274" s="5">
        <v>1</v>
      </c>
      <c r="C1274" s="5">
        <v>4</v>
      </c>
      <c r="D1274" s="5" t="s">
        <v>2393</v>
      </c>
      <c r="E1274" s="5" t="s">
        <v>1337</v>
      </c>
      <c r="F1274" s="5" t="s">
        <v>282</v>
      </c>
      <c r="G1274" s="5" t="s">
        <v>1398</v>
      </c>
      <c r="H1274" s="6" t="s">
        <v>2395</v>
      </c>
      <c r="I1274" s="5" t="s">
        <v>949</v>
      </c>
      <c r="J1274" s="7">
        <f>263</f>
        <v>263</v>
      </c>
      <c r="K1274" s="5" t="s">
        <v>270</v>
      </c>
      <c r="L1274" s="8">
        <f>18103342</f>
        <v>18103342</v>
      </c>
      <c r="M1274" s="8">
        <f>66802000</f>
        <v>66802000</v>
      </c>
      <c r="N1274" s="6" t="s">
        <v>2394</v>
      </c>
      <c r="O1274" s="5" t="s">
        <v>639</v>
      </c>
      <c r="P1274" s="5" t="s">
        <v>640</v>
      </c>
      <c r="Q1274" s="8">
        <f>1803654</f>
        <v>1803654</v>
      </c>
      <c r="R1274" s="8">
        <f>48698658</f>
        <v>48698658</v>
      </c>
      <c r="S1274" s="5" t="s">
        <v>240</v>
      </c>
      <c r="T1274" s="5" t="s">
        <v>237</v>
      </c>
      <c r="U1274" s="5" t="s">
        <v>238</v>
      </c>
      <c r="V1274" s="5" t="s">
        <v>238</v>
      </c>
      <c r="W1274" s="5" t="s">
        <v>241</v>
      </c>
      <c r="X1274" s="5" t="s">
        <v>951</v>
      </c>
      <c r="Y1274" s="5" t="s">
        <v>238</v>
      </c>
      <c r="AB1274" s="5" t="s">
        <v>238</v>
      </c>
      <c r="AC1274" s="6" t="s">
        <v>238</v>
      </c>
      <c r="AD1274" s="6" t="s">
        <v>238</v>
      </c>
      <c r="AF1274" s="6" t="s">
        <v>238</v>
      </c>
      <c r="AG1274" s="6" t="s">
        <v>246</v>
      </c>
      <c r="AH1274" s="5" t="s">
        <v>247</v>
      </c>
      <c r="AI1274" s="5" t="s">
        <v>248</v>
      </c>
      <c r="AO1274" s="5" t="s">
        <v>238</v>
      </c>
      <c r="AP1274" s="5" t="s">
        <v>238</v>
      </c>
      <c r="AQ1274" s="5" t="s">
        <v>238</v>
      </c>
      <c r="AR1274" s="6" t="s">
        <v>238</v>
      </c>
      <c r="AS1274" s="6" t="s">
        <v>238</v>
      </c>
      <c r="AT1274" s="6" t="s">
        <v>238</v>
      </c>
      <c r="AW1274" s="5" t="s">
        <v>304</v>
      </c>
      <c r="AX1274" s="5" t="s">
        <v>304</v>
      </c>
      <c r="AY1274" s="5" t="s">
        <v>250</v>
      </c>
      <c r="AZ1274" s="5" t="s">
        <v>305</v>
      </c>
      <c r="BA1274" s="5" t="s">
        <v>251</v>
      </c>
      <c r="BB1274" s="5" t="s">
        <v>238</v>
      </c>
      <c r="BC1274" s="5" t="s">
        <v>253</v>
      </c>
      <c r="BD1274" s="5" t="s">
        <v>238</v>
      </c>
      <c r="BF1274" s="5" t="s">
        <v>238</v>
      </c>
      <c r="BH1274" s="5" t="s">
        <v>283</v>
      </c>
      <c r="BI1274" s="6" t="s">
        <v>293</v>
      </c>
      <c r="BJ1274" s="5" t="s">
        <v>294</v>
      </c>
      <c r="BK1274" s="5" t="s">
        <v>294</v>
      </c>
      <c r="BL1274" s="5" t="s">
        <v>238</v>
      </c>
      <c r="BM1274" s="7">
        <f>0</f>
        <v>0</v>
      </c>
      <c r="BN1274" s="8">
        <f>-1803654</f>
        <v>-1803654</v>
      </c>
      <c r="BO1274" s="5" t="s">
        <v>257</v>
      </c>
      <c r="BP1274" s="5" t="s">
        <v>258</v>
      </c>
      <c r="BQ1274" s="5" t="s">
        <v>238</v>
      </c>
      <c r="BR1274" s="5" t="s">
        <v>238</v>
      </c>
      <c r="BS1274" s="5" t="s">
        <v>238</v>
      </c>
      <c r="BT1274" s="5" t="s">
        <v>238</v>
      </c>
      <c r="CC1274" s="5" t="s">
        <v>258</v>
      </c>
      <c r="CD1274" s="5" t="s">
        <v>238</v>
      </c>
      <c r="CE1274" s="5" t="s">
        <v>238</v>
      </c>
      <c r="CI1274" s="5" t="s">
        <v>259</v>
      </c>
      <c r="CJ1274" s="5" t="s">
        <v>260</v>
      </c>
      <c r="CK1274" s="5" t="s">
        <v>238</v>
      </c>
      <c r="CM1274" s="5" t="s">
        <v>638</v>
      </c>
      <c r="CN1274" s="6" t="s">
        <v>262</v>
      </c>
      <c r="CO1274" s="5" t="s">
        <v>263</v>
      </c>
      <c r="CP1274" s="5" t="s">
        <v>264</v>
      </c>
      <c r="CQ1274" s="5" t="s">
        <v>285</v>
      </c>
      <c r="CR1274" s="5" t="s">
        <v>238</v>
      </c>
      <c r="CS1274" s="5">
        <v>2.7E-2</v>
      </c>
      <c r="CT1274" s="5" t="s">
        <v>265</v>
      </c>
      <c r="CU1274" s="5" t="s">
        <v>2381</v>
      </c>
      <c r="CV1274" s="5" t="s">
        <v>308</v>
      </c>
      <c r="CW1274" s="7">
        <f>0</f>
        <v>0</v>
      </c>
      <c r="CX1274" s="8">
        <f>66802000</f>
        <v>66802000</v>
      </c>
      <c r="CY1274" s="8">
        <f>19906996</f>
        <v>19906996</v>
      </c>
      <c r="DA1274" s="5" t="s">
        <v>238</v>
      </c>
      <c r="DB1274" s="5" t="s">
        <v>238</v>
      </c>
      <c r="DD1274" s="5" t="s">
        <v>238</v>
      </c>
      <c r="DE1274" s="8">
        <f>0</f>
        <v>0</v>
      </c>
      <c r="DG1274" s="5" t="s">
        <v>238</v>
      </c>
      <c r="DH1274" s="5" t="s">
        <v>238</v>
      </c>
      <c r="DI1274" s="5" t="s">
        <v>238</v>
      </c>
      <c r="DJ1274" s="5" t="s">
        <v>238</v>
      </c>
      <c r="DK1274" s="5" t="s">
        <v>271</v>
      </c>
      <c r="DL1274" s="5" t="s">
        <v>272</v>
      </c>
      <c r="DM1274" s="7">
        <f>263</f>
        <v>263</v>
      </c>
      <c r="DN1274" s="5" t="s">
        <v>238</v>
      </c>
      <c r="DO1274" s="5" t="s">
        <v>238</v>
      </c>
      <c r="DP1274" s="5" t="s">
        <v>238</v>
      </c>
      <c r="DQ1274" s="5" t="s">
        <v>238</v>
      </c>
      <c r="DT1274" s="5" t="s">
        <v>2396</v>
      </c>
      <c r="DU1274" s="5" t="s">
        <v>271</v>
      </c>
      <c r="GL1274" s="5" t="s">
        <v>2397</v>
      </c>
      <c r="HM1274" s="5" t="s">
        <v>389</v>
      </c>
      <c r="HP1274" s="5" t="s">
        <v>272</v>
      </c>
      <c r="HQ1274" s="5" t="s">
        <v>272</v>
      </c>
      <c r="HR1274" s="5" t="s">
        <v>238</v>
      </c>
      <c r="HS1274" s="5" t="s">
        <v>238</v>
      </c>
      <c r="HT1274" s="5" t="s">
        <v>238</v>
      </c>
      <c r="HU1274" s="5" t="s">
        <v>238</v>
      </c>
      <c r="HV1274" s="5" t="s">
        <v>238</v>
      </c>
      <c r="HW1274" s="5" t="s">
        <v>238</v>
      </c>
      <c r="HX1274" s="5" t="s">
        <v>238</v>
      </c>
      <c r="HY1274" s="5" t="s">
        <v>238</v>
      </c>
      <c r="HZ1274" s="5" t="s">
        <v>238</v>
      </c>
      <c r="IA1274" s="5" t="s">
        <v>238</v>
      </c>
      <c r="IB1274" s="5" t="s">
        <v>238</v>
      </c>
      <c r="IC1274" s="5" t="s">
        <v>238</v>
      </c>
      <c r="ID1274" s="5" t="s">
        <v>238</v>
      </c>
    </row>
    <row r="1275" spans="1:238" x14ac:dyDescent="0.4">
      <c r="A1275" s="5">
        <v>1616</v>
      </c>
      <c r="B1275" s="5">
        <v>1</v>
      </c>
      <c r="C1275" s="5">
        <v>4</v>
      </c>
      <c r="D1275" s="5" t="s">
        <v>2398</v>
      </c>
      <c r="E1275" s="5" t="s">
        <v>1337</v>
      </c>
      <c r="F1275" s="5" t="s">
        <v>282</v>
      </c>
      <c r="G1275" s="5" t="s">
        <v>1398</v>
      </c>
      <c r="H1275" s="6" t="s">
        <v>2399</v>
      </c>
      <c r="I1275" s="5" t="s">
        <v>949</v>
      </c>
      <c r="J1275" s="7">
        <f>210.14</f>
        <v>210.14</v>
      </c>
      <c r="K1275" s="5" t="s">
        <v>270</v>
      </c>
      <c r="L1275" s="8">
        <f>10761692</f>
        <v>10761692</v>
      </c>
      <c r="M1275" s="8">
        <f>49593040</f>
        <v>49593040</v>
      </c>
      <c r="N1275" s="6" t="s">
        <v>1711</v>
      </c>
      <c r="O1275" s="5" t="s">
        <v>639</v>
      </c>
      <c r="P1275" s="5" t="s">
        <v>784</v>
      </c>
      <c r="Q1275" s="8">
        <f>1339012</f>
        <v>1339012</v>
      </c>
      <c r="R1275" s="8">
        <f>38831348</f>
        <v>38831348</v>
      </c>
      <c r="S1275" s="5" t="s">
        <v>240</v>
      </c>
      <c r="T1275" s="5" t="s">
        <v>237</v>
      </c>
      <c r="U1275" s="5" t="s">
        <v>238</v>
      </c>
      <c r="V1275" s="5" t="s">
        <v>238</v>
      </c>
      <c r="W1275" s="5" t="s">
        <v>241</v>
      </c>
      <c r="X1275" s="5" t="s">
        <v>951</v>
      </c>
      <c r="Y1275" s="5" t="s">
        <v>238</v>
      </c>
      <c r="AB1275" s="5" t="s">
        <v>238</v>
      </c>
      <c r="AC1275" s="6" t="s">
        <v>238</v>
      </c>
      <c r="AD1275" s="6" t="s">
        <v>238</v>
      </c>
      <c r="AF1275" s="6" t="s">
        <v>238</v>
      </c>
      <c r="AG1275" s="6" t="s">
        <v>246</v>
      </c>
      <c r="AH1275" s="5" t="s">
        <v>247</v>
      </c>
      <c r="AI1275" s="5" t="s">
        <v>248</v>
      </c>
      <c r="AO1275" s="5" t="s">
        <v>238</v>
      </c>
      <c r="AP1275" s="5" t="s">
        <v>238</v>
      </c>
      <c r="AQ1275" s="5" t="s">
        <v>238</v>
      </c>
      <c r="AR1275" s="6" t="s">
        <v>238</v>
      </c>
      <c r="AS1275" s="6" t="s">
        <v>238</v>
      </c>
      <c r="AT1275" s="6" t="s">
        <v>238</v>
      </c>
      <c r="AW1275" s="5" t="s">
        <v>304</v>
      </c>
      <c r="AX1275" s="5" t="s">
        <v>304</v>
      </c>
      <c r="AY1275" s="5" t="s">
        <v>250</v>
      </c>
      <c r="AZ1275" s="5" t="s">
        <v>305</v>
      </c>
      <c r="BA1275" s="5" t="s">
        <v>251</v>
      </c>
      <c r="BB1275" s="5" t="s">
        <v>238</v>
      </c>
      <c r="BC1275" s="5" t="s">
        <v>253</v>
      </c>
      <c r="BD1275" s="5" t="s">
        <v>238</v>
      </c>
      <c r="BF1275" s="5" t="s">
        <v>238</v>
      </c>
      <c r="BH1275" s="5" t="s">
        <v>283</v>
      </c>
      <c r="BI1275" s="6" t="s">
        <v>293</v>
      </c>
      <c r="BJ1275" s="5" t="s">
        <v>294</v>
      </c>
      <c r="BK1275" s="5" t="s">
        <v>294</v>
      </c>
      <c r="BL1275" s="5" t="s">
        <v>238</v>
      </c>
      <c r="BM1275" s="7">
        <f>0</f>
        <v>0</v>
      </c>
      <c r="BN1275" s="8">
        <f>-1339012</f>
        <v>-1339012</v>
      </c>
      <c r="BO1275" s="5" t="s">
        <v>257</v>
      </c>
      <c r="BP1275" s="5" t="s">
        <v>258</v>
      </c>
      <c r="BQ1275" s="5" t="s">
        <v>238</v>
      </c>
      <c r="BR1275" s="5" t="s">
        <v>238</v>
      </c>
      <c r="BS1275" s="5" t="s">
        <v>238</v>
      </c>
      <c r="BT1275" s="5" t="s">
        <v>238</v>
      </c>
      <c r="CC1275" s="5" t="s">
        <v>258</v>
      </c>
      <c r="CD1275" s="5" t="s">
        <v>238</v>
      </c>
      <c r="CE1275" s="5" t="s">
        <v>238</v>
      </c>
      <c r="CI1275" s="5" t="s">
        <v>259</v>
      </c>
      <c r="CJ1275" s="5" t="s">
        <v>260</v>
      </c>
      <c r="CK1275" s="5" t="s">
        <v>238</v>
      </c>
      <c r="CM1275" s="5" t="s">
        <v>783</v>
      </c>
      <c r="CN1275" s="6" t="s">
        <v>262</v>
      </c>
      <c r="CO1275" s="5" t="s">
        <v>263</v>
      </c>
      <c r="CP1275" s="5" t="s">
        <v>264</v>
      </c>
      <c r="CQ1275" s="5" t="s">
        <v>285</v>
      </c>
      <c r="CR1275" s="5" t="s">
        <v>238</v>
      </c>
      <c r="CS1275" s="5">
        <v>2.7E-2</v>
      </c>
      <c r="CT1275" s="5" t="s">
        <v>265</v>
      </c>
      <c r="CU1275" s="5" t="s">
        <v>2381</v>
      </c>
      <c r="CV1275" s="5" t="s">
        <v>308</v>
      </c>
      <c r="CW1275" s="7">
        <f>0</f>
        <v>0</v>
      </c>
      <c r="CX1275" s="8">
        <f>49593040</f>
        <v>49593040</v>
      </c>
      <c r="CY1275" s="8">
        <f>12100704</f>
        <v>12100704</v>
      </c>
      <c r="DA1275" s="5" t="s">
        <v>238</v>
      </c>
      <c r="DB1275" s="5" t="s">
        <v>238</v>
      </c>
      <c r="DD1275" s="5" t="s">
        <v>238</v>
      </c>
      <c r="DE1275" s="8">
        <f>0</f>
        <v>0</v>
      </c>
      <c r="DG1275" s="5" t="s">
        <v>238</v>
      </c>
      <c r="DH1275" s="5" t="s">
        <v>238</v>
      </c>
      <c r="DI1275" s="5" t="s">
        <v>238</v>
      </c>
      <c r="DJ1275" s="5" t="s">
        <v>238</v>
      </c>
      <c r="DK1275" s="5" t="s">
        <v>274</v>
      </c>
      <c r="DL1275" s="5" t="s">
        <v>272</v>
      </c>
      <c r="DM1275" s="7">
        <f>210.14</f>
        <v>210.14</v>
      </c>
      <c r="DN1275" s="5" t="s">
        <v>238</v>
      </c>
      <c r="DO1275" s="5" t="s">
        <v>238</v>
      </c>
      <c r="DP1275" s="5" t="s">
        <v>238</v>
      </c>
      <c r="DQ1275" s="5" t="s">
        <v>238</v>
      </c>
      <c r="DT1275" s="5" t="s">
        <v>2400</v>
      </c>
      <c r="DU1275" s="5" t="s">
        <v>271</v>
      </c>
      <c r="GL1275" s="5" t="s">
        <v>2401</v>
      </c>
      <c r="HM1275" s="5" t="s">
        <v>389</v>
      </c>
      <c r="HP1275" s="5" t="s">
        <v>272</v>
      </c>
      <c r="HQ1275" s="5" t="s">
        <v>272</v>
      </c>
      <c r="HR1275" s="5" t="s">
        <v>238</v>
      </c>
      <c r="HS1275" s="5" t="s">
        <v>238</v>
      </c>
      <c r="HT1275" s="5" t="s">
        <v>238</v>
      </c>
      <c r="HU1275" s="5" t="s">
        <v>238</v>
      </c>
      <c r="HV1275" s="5" t="s">
        <v>238</v>
      </c>
      <c r="HW1275" s="5" t="s">
        <v>238</v>
      </c>
      <c r="HX1275" s="5" t="s">
        <v>238</v>
      </c>
      <c r="HY1275" s="5" t="s">
        <v>238</v>
      </c>
      <c r="HZ1275" s="5" t="s">
        <v>238</v>
      </c>
      <c r="IA1275" s="5" t="s">
        <v>238</v>
      </c>
      <c r="IB1275" s="5" t="s">
        <v>238</v>
      </c>
      <c r="IC1275" s="5" t="s">
        <v>238</v>
      </c>
      <c r="ID1275" s="5" t="s">
        <v>238</v>
      </c>
    </row>
    <row r="1276" spans="1:238" x14ac:dyDescent="0.4">
      <c r="A1276" s="5">
        <v>1617</v>
      </c>
      <c r="B1276" s="5">
        <v>1</v>
      </c>
      <c r="C1276" s="5">
        <v>3</v>
      </c>
      <c r="D1276" s="5" t="s">
        <v>2435</v>
      </c>
      <c r="E1276" s="5" t="s">
        <v>1337</v>
      </c>
      <c r="F1276" s="5" t="s">
        <v>282</v>
      </c>
      <c r="G1276" s="5" t="s">
        <v>949</v>
      </c>
      <c r="H1276" s="6" t="s">
        <v>2436</v>
      </c>
      <c r="I1276" s="5" t="s">
        <v>2434</v>
      </c>
      <c r="J1276" s="7">
        <f>368.81</f>
        <v>368.81</v>
      </c>
      <c r="K1276" s="5" t="s">
        <v>270</v>
      </c>
      <c r="L1276" s="8">
        <f>1</f>
        <v>1</v>
      </c>
      <c r="M1276" s="8">
        <f>47945820</f>
        <v>47945820</v>
      </c>
      <c r="N1276" s="6" t="s">
        <v>1131</v>
      </c>
      <c r="O1276" s="5" t="s">
        <v>639</v>
      </c>
      <c r="P1276" s="5" t="s">
        <v>971</v>
      </c>
      <c r="Q1276" s="8">
        <f>47950</f>
        <v>47950</v>
      </c>
      <c r="R1276" s="8">
        <f>47945819</f>
        <v>47945819</v>
      </c>
      <c r="S1276" s="5" t="s">
        <v>240</v>
      </c>
      <c r="T1276" s="5" t="s">
        <v>237</v>
      </c>
      <c r="U1276" s="5" t="s">
        <v>238</v>
      </c>
      <c r="V1276" s="5" t="s">
        <v>238</v>
      </c>
      <c r="W1276" s="5" t="s">
        <v>241</v>
      </c>
      <c r="X1276" s="5" t="s">
        <v>951</v>
      </c>
      <c r="Y1276" s="5" t="s">
        <v>238</v>
      </c>
      <c r="AB1276" s="5" t="s">
        <v>238</v>
      </c>
      <c r="AC1276" s="6" t="s">
        <v>238</v>
      </c>
      <c r="AD1276" s="6" t="s">
        <v>238</v>
      </c>
      <c r="AF1276" s="6" t="s">
        <v>238</v>
      </c>
      <c r="AG1276" s="6" t="s">
        <v>246</v>
      </c>
      <c r="AH1276" s="5" t="s">
        <v>247</v>
      </c>
      <c r="AI1276" s="5" t="s">
        <v>248</v>
      </c>
      <c r="AO1276" s="5" t="s">
        <v>238</v>
      </c>
      <c r="AP1276" s="5" t="s">
        <v>238</v>
      </c>
      <c r="AQ1276" s="5" t="s">
        <v>238</v>
      </c>
      <c r="AR1276" s="6" t="s">
        <v>238</v>
      </c>
      <c r="AS1276" s="6" t="s">
        <v>238</v>
      </c>
      <c r="AT1276" s="6" t="s">
        <v>238</v>
      </c>
      <c r="AW1276" s="5" t="s">
        <v>304</v>
      </c>
      <c r="AX1276" s="5" t="s">
        <v>304</v>
      </c>
      <c r="AY1276" s="5" t="s">
        <v>250</v>
      </c>
      <c r="AZ1276" s="5" t="s">
        <v>305</v>
      </c>
      <c r="BA1276" s="5" t="s">
        <v>251</v>
      </c>
      <c r="BB1276" s="5" t="s">
        <v>238</v>
      </c>
      <c r="BC1276" s="5" t="s">
        <v>253</v>
      </c>
      <c r="BD1276" s="5" t="s">
        <v>238</v>
      </c>
      <c r="BF1276" s="5" t="s">
        <v>238</v>
      </c>
      <c r="BH1276" s="5" t="s">
        <v>1076</v>
      </c>
      <c r="BI1276" s="6" t="s">
        <v>1077</v>
      </c>
      <c r="BJ1276" s="5" t="s">
        <v>294</v>
      </c>
      <c r="BK1276" s="5" t="s">
        <v>294</v>
      </c>
      <c r="BL1276" s="5" t="s">
        <v>238</v>
      </c>
      <c r="BM1276" s="7">
        <f>0</f>
        <v>0</v>
      </c>
      <c r="BN1276" s="8">
        <f>-47950</f>
        <v>-47950</v>
      </c>
      <c r="BO1276" s="5" t="s">
        <v>257</v>
      </c>
      <c r="BP1276" s="5" t="s">
        <v>258</v>
      </c>
      <c r="BQ1276" s="5" t="s">
        <v>238</v>
      </c>
      <c r="BR1276" s="5" t="s">
        <v>238</v>
      </c>
      <c r="BS1276" s="5" t="s">
        <v>238</v>
      </c>
      <c r="BT1276" s="5" t="s">
        <v>238</v>
      </c>
      <c r="CC1276" s="5" t="s">
        <v>258</v>
      </c>
      <c r="CD1276" s="5" t="s">
        <v>238</v>
      </c>
      <c r="CE1276" s="5" t="s">
        <v>238</v>
      </c>
      <c r="CI1276" s="5" t="s">
        <v>527</v>
      </c>
      <c r="CJ1276" s="5" t="s">
        <v>260</v>
      </c>
      <c r="CK1276" s="5" t="s">
        <v>238</v>
      </c>
      <c r="CM1276" s="5" t="s">
        <v>990</v>
      </c>
      <c r="CN1276" s="6" t="s">
        <v>262</v>
      </c>
      <c r="CO1276" s="5" t="s">
        <v>263</v>
      </c>
      <c r="CP1276" s="5" t="s">
        <v>264</v>
      </c>
      <c r="CQ1276" s="5" t="s">
        <v>285</v>
      </c>
      <c r="CR1276" s="5" t="s">
        <v>238</v>
      </c>
      <c r="CS1276" s="5">
        <v>2.7E-2</v>
      </c>
      <c r="CT1276" s="5" t="s">
        <v>265</v>
      </c>
      <c r="CU1276" s="5" t="s">
        <v>2381</v>
      </c>
      <c r="CV1276" s="5" t="s">
        <v>308</v>
      </c>
      <c r="CW1276" s="7">
        <f>0</f>
        <v>0</v>
      </c>
      <c r="CX1276" s="8">
        <f>47945820</f>
        <v>47945820</v>
      </c>
      <c r="CY1276" s="8">
        <f>1</f>
        <v>1</v>
      </c>
      <c r="DA1276" s="5" t="s">
        <v>238</v>
      </c>
      <c r="DB1276" s="5" t="s">
        <v>238</v>
      </c>
      <c r="DD1276" s="5" t="s">
        <v>238</v>
      </c>
      <c r="DE1276" s="8">
        <f>0</f>
        <v>0</v>
      </c>
      <c r="DG1276" s="5" t="s">
        <v>238</v>
      </c>
      <c r="DH1276" s="5" t="s">
        <v>238</v>
      </c>
      <c r="DI1276" s="5" t="s">
        <v>238</v>
      </c>
      <c r="DJ1276" s="5" t="s">
        <v>238</v>
      </c>
      <c r="DK1276" s="5" t="s">
        <v>274</v>
      </c>
      <c r="DL1276" s="5" t="s">
        <v>272</v>
      </c>
      <c r="DM1276" s="7">
        <f>368.81</f>
        <v>368.81</v>
      </c>
      <c r="DN1276" s="5" t="s">
        <v>238</v>
      </c>
      <c r="DO1276" s="5" t="s">
        <v>238</v>
      </c>
      <c r="DP1276" s="5" t="s">
        <v>238</v>
      </c>
      <c r="DQ1276" s="5" t="s">
        <v>238</v>
      </c>
      <c r="DT1276" s="5" t="s">
        <v>2437</v>
      </c>
      <c r="DU1276" s="5" t="s">
        <v>271</v>
      </c>
      <c r="GL1276" s="5" t="s">
        <v>2438</v>
      </c>
      <c r="HM1276" s="5" t="s">
        <v>313</v>
      </c>
      <c r="HP1276" s="5" t="s">
        <v>272</v>
      </c>
      <c r="HQ1276" s="5" t="s">
        <v>272</v>
      </c>
      <c r="HR1276" s="5" t="s">
        <v>238</v>
      </c>
      <c r="HS1276" s="5" t="s">
        <v>238</v>
      </c>
      <c r="HT1276" s="5" t="s">
        <v>238</v>
      </c>
      <c r="HU1276" s="5" t="s">
        <v>238</v>
      </c>
      <c r="HV1276" s="5" t="s">
        <v>238</v>
      </c>
      <c r="HW1276" s="5" t="s">
        <v>238</v>
      </c>
      <c r="HX1276" s="5" t="s">
        <v>238</v>
      </c>
      <c r="HY1276" s="5" t="s">
        <v>238</v>
      </c>
      <c r="HZ1276" s="5" t="s">
        <v>238</v>
      </c>
      <c r="IA1276" s="5" t="s">
        <v>238</v>
      </c>
      <c r="IB1276" s="5" t="s">
        <v>238</v>
      </c>
      <c r="IC1276" s="5" t="s">
        <v>238</v>
      </c>
      <c r="ID1276" s="5" t="s">
        <v>238</v>
      </c>
    </row>
    <row r="1277" spans="1:238" x14ac:dyDescent="0.4">
      <c r="A1277" s="5">
        <v>1618</v>
      </c>
      <c r="B1277" s="5">
        <v>1</v>
      </c>
      <c r="C1277" s="5">
        <v>4</v>
      </c>
      <c r="D1277" s="5" t="s">
        <v>2402</v>
      </c>
      <c r="E1277" s="5" t="s">
        <v>1337</v>
      </c>
      <c r="F1277" s="5" t="s">
        <v>282</v>
      </c>
      <c r="G1277" s="5" t="s">
        <v>1398</v>
      </c>
      <c r="H1277" s="6" t="s">
        <v>2403</v>
      </c>
      <c r="I1277" s="5" t="s">
        <v>949</v>
      </c>
      <c r="J1277" s="7">
        <f>286.36</f>
        <v>286.36</v>
      </c>
      <c r="K1277" s="5" t="s">
        <v>270</v>
      </c>
      <c r="L1277" s="8">
        <f>16762383</f>
        <v>16762383</v>
      </c>
      <c r="M1277" s="8">
        <f>61853760</f>
        <v>61853760</v>
      </c>
      <c r="N1277" s="6" t="s">
        <v>662</v>
      </c>
      <c r="O1277" s="5" t="s">
        <v>639</v>
      </c>
      <c r="P1277" s="5" t="s">
        <v>640</v>
      </c>
      <c r="Q1277" s="8">
        <f>1670051</f>
        <v>1670051</v>
      </c>
      <c r="R1277" s="8">
        <f>45091377</f>
        <v>45091377</v>
      </c>
      <c r="S1277" s="5" t="s">
        <v>240</v>
      </c>
      <c r="T1277" s="5" t="s">
        <v>237</v>
      </c>
      <c r="U1277" s="5" t="s">
        <v>238</v>
      </c>
      <c r="V1277" s="5" t="s">
        <v>238</v>
      </c>
      <c r="W1277" s="5" t="s">
        <v>241</v>
      </c>
      <c r="X1277" s="5" t="s">
        <v>951</v>
      </c>
      <c r="Y1277" s="5" t="s">
        <v>238</v>
      </c>
      <c r="AB1277" s="5" t="s">
        <v>238</v>
      </c>
      <c r="AC1277" s="6" t="s">
        <v>238</v>
      </c>
      <c r="AD1277" s="6" t="s">
        <v>238</v>
      </c>
      <c r="AF1277" s="6" t="s">
        <v>238</v>
      </c>
      <c r="AG1277" s="6" t="s">
        <v>246</v>
      </c>
      <c r="AH1277" s="5" t="s">
        <v>247</v>
      </c>
      <c r="AI1277" s="5" t="s">
        <v>248</v>
      </c>
      <c r="AO1277" s="5" t="s">
        <v>238</v>
      </c>
      <c r="AP1277" s="5" t="s">
        <v>238</v>
      </c>
      <c r="AQ1277" s="5" t="s">
        <v>238</v>
      </c>
      <c r="AR1277" s="6" t="s">
        <v>238</v>
      </c>
      <c r="AS1277" s="6" t="s">
        <v>238</v>
      </c>
      <c r="AT1277" s="6" t="s">
        <v>238</v>
      </c>
      <c r="AW1277" s="5" t="s">
        <v>304</v>
      </c>
      <c r="AX1277" s="5" t="s">
        <v>304</v>
      </c>
      <c r="AY1277" s="5" t="s">
        <v>250</v>
      </c>
      <c r="AZ1277" s="5" t="s">
        <v>305</v>
      </c>
      <c r="BA1277" s="5" t="s">
        <v>251</v>
      </c>
      <c r="BB1277" s="5" t="s">
        <v>238</v>
      </c>
      <c r="BC1277" s="5" t="s">
        <v>253</v>
      </c>
      <c r="BD1277" s="5" t="s">
        <v>238</v>
      </c>
      <c r="BF1277" s="5" t="s">
        <v>238</v>
      </c>
      <c r="BH1277" s="5" t="s">
        <v>283</v>
      </c>
      <c r="BI1277" s="6" t="s">
        <v>293</v>
      </c>
      <c r="BJ1277" s="5" t="s">
        <v>294</v>
      </c>
      <c r="BK1277" s="5" t="s">
        <v>294</v>
      </c>
      <c r="BL1277" s="5" t="s">
        <v>238</v>
      </c>
      <c r="BM1277" s="7">
        <f>0</f>
        <v>0</v>
      </c>
      <c r="BN1277" s="8">
        <f>-1670051</f>
        <v>-1670051</v>
      </c>
      <c r="BO1277" s="5" t="s">
        <v>257</v>
      </c>
      <c r="BP1277" s="5" t="s">
        <v>258</v>
      </c>
      <c r="BQ1277" s="5" t="s">
        <v>238</v>
      </c>
      <c r="BR1277" s="5" t="s">
        <v>238</v>
      </c>
      <c r="BS1277" s="5" t="s">
        <v>238</v>
      </c>
      <c r="BT1277" s="5" t="s">
        <v>238</v>
      </c>
      <c r="CC1277" s="5" t="s">
        <v>258</v>
      </c>
      <c r="CD1277" s="5" t="s">
        <v>238</v>
      </c>
      <c r="CE1277" s="5" t="s">
        <v>238</v>
      </c>
      <c r="CI1277" s="5" t="s">
        <v>259</v>
      </c>
      <c r="CJ1277" s="5" t="s">
        <v>260</v>
      </c>
      <c r="CK1277" s="5" t="s">
        <v>238</v>
      </c>
      <c r="CM1277" s="5" t="s">
        <v>638</v>
      </c>
      <c r="CN1277" s="6" t="s">
        <v>262</v>
      </c>
      <c r="CO1277" s="5" t="s">
        <v>263</v>
      </c>
      <c r="CP1277" s="5" t="s">
        <v>264</v>
      </c>
      <c r="CQ1277" s="5" t="s">
        <v>285</v>
      </c>
      <c r="CR1277" s="5" t="s">
        <v>238</v>
      </c>
      <c r="CS1277" s="5">
        <v>2.7E-2</v>
      </c>
      <c r="CT1277" s="5" t="s">
        <v>265</v>
      </c>
      <c r="CU1277" s="5" t="s">
        <v>2381</v>
      </c>
      <c r="CV1277" s="5" t="s">
        <v>308</v>
      </c>
      <c r="CW1277" s="7">
        <f>0</f>
        <v>0</v>
      </c>
      <c r="CX1277" s="8">
        <f>61853760</f>
        <v>61853760</v>
      </c>
      <c r="CY1277" s="8">
        <f>18432434</f>
        <v>18432434</v>
      </c>
      <c r="DA1277" s="5" t="s">
        <v>238</v>
      </c>
      <c r="DB1277" s="5" t="s">
        <v>238</v>
      </c>
      <c r="DD1277" s="5" t="s">
        <v>238</v>
      </c>
      <c r="DE1277" s="8">
        <f>0</f>
        <v>0</v>
      </c>
      <c r="DG1277" s="5" t="s">
        <v>238</v>
      </c>
      <c r="DH1277" s="5" t="s">
        <v>238</v>
      </c>
      <c r="DI1277" s="5" t="s">
        <v>238</v>
      </c>
      <c r="DJ1277" s="5" t="s">
        <v>238</v>
      </c>
      <c r="DK1277" s="5" t="s">
        <v>274</v>
      </c>
      <c r="DL1277" s="5" t="s">
        <v>272</v>
      </c>
      <c r="DM1277" s="7">
        <f>286.36</f>
        <v>286.36</v>
      </c>
      <c r="DN1277" s="5" t="s">
        <v>238</v>
      </c>
      <c r="DO1277" s="5" t="s">
        <v>238</v>
      </c>
      <c r="DP1277" s="5" t="s">
        <v>238</v>
      </c>
      <c r="DQ1277" s="5" t="s">
        <v>238</v>
      </c>
      <c r="DT1277" s="5" t="s">
        <v>2404</v>
      </c>
      <c r="DU1277" s="5" t="s">
        <v>271</v>
      </c>
      <c r="GL1277" s="5" t="s">
        <v>2405</v>
      </c>
      <c r="HM1277" s="5" t="s">
        <v>389</v>
      </c>
      <c r="HP1277" s="5" t="s">
        <v>272</v>
      </c>
      <c r="HQ1277" s="5" t="s">
        <v>272</v>
      </c>
      <c r="HR1277" s="5" t="s">
        <v>238</v>
      </c>
      <c r="HS1277" s="5" t="s">
        <v>238</v>
      </c>
      <c r="HT1277" s="5" t="s">
        <v>238</v>
      </c>
      <c r="HU1277" s="5" t="s">
        <v>238</v>
      </c>
      <c r="HV1277" s="5" t="s">
        <v>238</v>
      </c>
      <c r="HW1277" s="5" t="s">
        <v>238</v>
      </c>
      <c r="HX1277" s="5" t="s">
        <v>238</v>
      </c>
      <c r="HY1277" s="5" t="s">
        <v>238</v>
      </c>
      <c r="HZ1277" s="5" t="s">
        <v>238</v>
      </c>
      <c r="IA1277" s="5" t="s">
        <v>238</v>
      </c>
      <c r="IB1277" s="5" t="s">
        <v>238</v>
      </c>
      <c r="IC1277" s="5" t="s">
        <v>238</v>
      </c>
      <c r="ID1277" s="5" t="s">
        <v>238</v>
      </c>
    </row>
    <row r="1278" spans="1:238" x14ac:dyDescent="0.4">
      <c r="A1278" s="5">
        <v>1619</v>
      </c>
      <c r="B1278" s="5">
        <v>1</v>
      </c>
      <c r="C1278" s="5">
        <v>4</v>
      </c>
      <c r="D1278" s="5" t="s">
        <v>2406</v>
      </c>
      <c r="E1278" s="5" t="s">
        <v>1337</v>
      </c>
      <c r="F1278" s="5" t="s">
        <v>282</v>
      </c>
      <c r="G1278" s="5" t="s">
        <v>1398</v>
      </c>
      <c r="H1278" s="6" t="s">
        <v>2408</v>
      </c>
      <c r="I1278" s="5" t="s">
        <v>949</v>
      </c>
      <c r="J1278" s="7">
        <f>14.4</f>
        <v>14.4</v>
      </c>
      <c r="K1278" s="5" t="s">
        <v>270</v>
      </c>
      <c r="L1278" s="8">
        <f>32435515</f>
        <v>32435515</v>
      </c>
      <c r="M1278" s="8">
        <f>73885000</f>
        <v>73885000</v>
      </c>
      <c r="N1278" s="6" t="s">
        <v>2407</v>
      </c>
      <c r="O1278" s="5" t="s">
        <v>650</v>
      </c>
      <c r="P1278" s="5" t="s">
        <v>268</v>
      </c>
      <c r="Q1278" s="8">
        <f>2438205</f>
        <v>2438205</v>
      </c>
      <c r="R1278" s="8">
        <f>41449485</f>
        <v>41449485</v>
      </c>
      <c r="S1278" s="5" t="s">
        <v>240</v>
      </c>
      <c r="T1278" s="5" t="s">
        <v>237</v>
      </c>
      <c r="U1278" s="5" t="s">
        <v>238</v>
      </c>
      <c r="V1278" s="5" t="s">
        <v>238</v>
      </c>
      <c r="W1278" s="5" t="s">
        <v>241</v>
      </c>
      <c r="X1278" s="5" t="s">
        <v>951</v>
      </c>
      <c r="Y1278" s="5" t="s">
        <v>238</v>
      </c>
      <c r="AB1278" s="5" t="s">
        <v>238</v>
      </c>
      <c r="AC1278" s="6" t="s">
        <v>238</v>
      </c>
      <c r="AD1278" s="6" t="s">
        <v>238</v>
      </c>
      <c r="AF1278" s="6" t="s">
        <v>238</v>
      </c>
      <c r="AG1278" s="6" t="s">
        <v>246</v>
      </c>
      <c r="AH1278" s="5" t="s">
        <v>247</v>
      </c>
      <c r="AI1278" s="5" t="s">
        <v>248</v>
      </c>
      <c r="AO1278" s="5" t="s">
        <v>238</v>
      </c>
      <c r="AP1278" s="5" t="s">
        <v>238</v>
      </c>
      <c r="AQ1278" s="5" t="s">
        <v>238</v>
      </c>
      <c r="AR1278" s="6" t="s">
        <v>238</v>
      </c>
      <c r="AS1278" s="6" t="s">
        <v>238</v>
      </c>
      <c r="AT1278" s="6" t="s">
        <v>238</v>
      </c>
      <c r="AW1278" s="5" t="s">
        <v>304</v>
      </c>
      <c r="AX1278" s="5" t="s">
        <v>304</v>
      </c>
      <c r="AY1278" s="5" t="s">
        <v>250</v>
      </c>
      <c r="AZ1278" s="5" t="s">
        <v>305</v>
      </c>
      <c r="BA1278" s="5" t="s">
        <v>251</v>
      </c>
      <c r="BB1278" s="5" t="s">
        <v>238</v>
      </c>
      <c r="BC1278" s="5" t="s">
        <v>253</v>
      </c>
      <c r="BD1278" s="5" t="s">
        <v>238</v>
      </c>
      <c r="BF1278" s="5" t="s">
        <v>238</v>
      </c>
      <c r="BH1278" s="5" t="s">
        <v>283</v>
      </c>
      <c r="BI1278" s="6" t="s">
        <v>293</v>
      </c>
      <c r="BJ1278" s="5" t="s">
        <v>294</v>
      </c>
      <c r="BK1278" s="5" t="s">
        <v>294</v>
      </c>
      <c r="BL1278" s="5" t="s">
        <v>238</v>
      </c>
      <c r="BM1278" s="7">
        <f>0</f>
        <v>0</v>
      </c>
      <c r="BN1278" s="8">
        <f>-2438205</f>
        <v>-2438205</v>
      </c>
      <c r="BO1278" s="5" t="s">
        <v>257</v>
      </c>
      <c r="BP1278" s="5" t="s">
        <v>258</v>
      </c>
      <c r="BQ1278" s="5" t="s">
        <v>238</v>
      </c>
      <c r="BR1278" s="5" t="s">
        <v>238</v>
      </c>
      <c r="BS1278" s="5" t="s">
        <v>238</v>
      </c>
      <c r="BT1278" s="5" t="s">
        <v>238</v>
      </c>
      <c r="CC1278" s="5" t="s">
        <v>258</v>
      </c>
      <c r="CD1278" s="5" t="s">
        <v>238</v>
      </c>
      <c r="CE1278" s="5" t="s">
        <v>238</v>
      </c>
      <c r="CI1278" s="5" t="s">
        <v>259</v>
      </c>
      <c r="CJ1278" s="5" t="s">
        <v>260</v>
      </c>
      <c r="CK1278" s="5" t="s">
        <v>238</v>
      </c>
      <c r="CM1278" s="5" t="s">
        <v>845</v>
      </c>
      <c r="CN1278" s="6" t="s">
        <v>262</v>
      </c>
      <c r="CO1278" s="5" t="s">
        <v>263</v>
      </c>
      <c r="CP1278" s="5" t="s">
        <v>264</v>
      </c>
      <c r="CQ1278" s="5" t="s">
        <v>285</v>
      </c>
      <c r="CR1278" s="5" t="s">
        <v>238</v>
      </c>
      <c r="CS1278" s="5">
        <v>3.3000000000000002E-2</v>
      </c>
      <c r="CT1278" s="5" t="s">
        <v>265</v>
      </c>
      <c r="CU1278" s="5" t="s">
        <v>2381</v>
      </c>
      <c r="CV1278" s="5" t="s">
        <v>649</v>
      </c>
      <c r="CW1278" s="7">
        <f>0</f>
        <v>0</v>
      </c>
      <c r="CX1278" s="8">
        <f>73885000</f>
        <v>73885000</v>
      </c>
      <c r="CY1278" s="8">
        <f>34873720</f>
        <v>34873720</v>
      </c>
      <c r="DA1278" s="5" t="s">
        <v>238</v>
      </c>
      <c r="DB1278" s="5" t="s">
        <v>238</v>
      </c>
      <c r="DD1278" s="5" t="s">
        <v>238</v>
      </c>
      <c r="DE1278" s="8">
        <f>0</f>
        <v>0</v>
      </c>
      <c r="DG1278" s="5" t="s">
        <v>238</v>
      </c>
      <c r="DH1278" s="5" t="s">
        <v>238</v>
      </c>
      <c r="DI1278" s="5" t="s">
        <v>238</v>
      </c>
      <c r="DJ1278" s="5" t="s">
        <v>238</v>
      </c>
      <c r="DK1278" s="5" t="s">
        <v>271</v>
      </c>
      <c r="DL1278" s="5" t="s">
        <v>272</v>
      </c>
      <c r="DM1278" s="7">
        <f>14.4</f>
        <v>14.4</v>
      </c>
      <c r="DN1278" s="5" t="s">
        <v>238</v>
      </c>
      <c r="DO1278" s="5" t="s">
        <v>238</v>
      </c>
      <c r="DP1278" s="5" t="s">
        <v>238</v>
      </c>
      <c r="DQ1278" s="5" t="s">
        <v>238</v>
      </c>
      <c r="DT1278" s="5" t="s">
        <v>2409</v>
      </c>
      <c r="DU1278" s="5" t="s">
        <v>271</v>
      </c>
      <c r="GL1278" s="5" t="s">
        <v>2410</v>
      </c>
      <c r="HM1278" s="5" t="s">
        <v>389</v>
      </c>
      <c r="HP1278" s="5" t="s">
        <v>272</v>
      </c>
      <c r="HQ1278" s="5" t="s">
        <v>272</v>
      </c>
      <c r="HR1278" s="5" t="s">
        <v>238</v>
      </c>
      <c r="HS1278" s="5" t="s">
        <v>238</v>
      </c>
      <c r="HT1278" s="5" t="s">
        <v>238</v>
      </c>
      <c r="HU1278" s="5" t="s">
        <v>238</v>
      </c>
      <c r="HV1278" s="5" t="s">
        <v>238</v>
      </c>
      <c r="HW1278" s="5" t="s">
        <v>238</v>
      </c>
      <c r="HX1278" s="5" t="s">
        <v>238</v>
      </c>
      <c r="HY1278" s="5" t="s">
        <v>238</v>
      </c>
      <c r="HZ1278" s="5" t="s">
        <v>238</v>
      </c>
      <c r="IA1278" s="5" t="s">
        <v>238</v>
      </c>
      <c r="IB1278" s="5" t="s">
        <v>238</v>
      </c>
      <c r="IC1278" s="5" t="s">
        <v>238</v>
      </c>
      <c r="ID1278" s="5" t="s">
        <v>238</v>
      </c>
    </row>
    <row r="1279" spans="1:238" x14ac:dyDescent="0.4">
      <c r="A1279" s="5">
        <v>1620</v>
      </c>
      <c r="B1279" s="5">
        <v>1</v>
      </c>
      <c r="C1279" s="5">
        <v>1</v>
      </c>
      <c r="D1279" s="5" t="s">
        <v>2459</v>
      </c>
      <c r="E1279" s="5" t="s">
        <v>1337</v>
      </c>
      <c r="F1279" s="5" t="s">
        <v>282</v>
      </c>
      <c r="G1279" s="5" t="s">
        <v>949</v>
      </c>
      <c r="H1279" s="6" t="s">
        <v>2460</v>
      </c>
      <c r="I1279" s="5" t="s">
        <v>949</v>
      </c>
      <c r="J1279" s="7">
        <f>8.64</f>
        <v>8.64</v>
      </c>
      <c r="K1279" s="5" t="s">
        <v>270</v>
      </c>
      <c r="L1279" s="8">
        <f>1</f>
        <v>1</v>
      </c>
      <c r="M1279" s="8">
        <f>1451520</f>
        <v>1451520</v>
      </c>
      <c r="N1279" s="6" t="s">
        <v>2280</v>
      </c>
      <c r="O1279" s="5" t="s">
        <v>755</v>
      </c>
      <c r="P1279" s="5" t="s">
        <v>755</v>
      </c>
      <c r="R1279" s="8">
        <f>1451519</f>
        <v>1451519</v>
      </c>
      <c r="S1279" s="5" t="s">
        <v>240</v>
      </c>
      <c r="T1279" s="5" t="s">
        <v>237</v>
      </c>
      <c r="U1279" s="5" t="s">
        <v>238</v>
      </c>
      <c r="V1279" s="5" t="s">
        <v>238</v>
      </c>
      <c r="W1279" s="5" t="s">
        <v>241</v>
      </c>
      <c r="X1279" s="5" t="s">
        <v>951</v>
      </c>
      <c r="Y1279" s="5" t="s">
        <v>238</v>
      </c>
      <c r="AB1279" s="5" t="s">
        <v>238</v>
      </c>
      <c r="AD1279" s="6" t="s">
        <v>238</v>
      </c>
      <c r="AG1279" s="6" t="s">
        <v>246</v>
      </c>
      <c r="AH1279" s="5" t="s">
        <v>247</v>
      </c>
      <c r="AI1279" s="5" t="s">
        <v>248</v>
      </c>
      <c r="AY1279" s="5" t="s">
        <v>250</v>
      </c>
      <c r="AZ1279" s="5" t="s">
        <v>238</v>
      </c>
      <c r="BA1279" s="5" t="s">
        <v>251</v>
      </c>
      <c r="BB1279" s="5" t="s">
        <v>238</v>
      </c>
      <c r="BC1279" s="5" t="s">
        <v>253</v>
      </c>
      <c r="BD1279" s="5" t="s">
        <v>238</v>
      </c>
      <c r="BF1279" s="5" t="s">
        <v>710</v>
      </c>
      <c r="BH1279" s="5" t="s">
        <v>859</v>
      </c>
      <c r="BI1279" s="6" t="s">
        <v>368</v>
      </c>
      <c r="BJ1279" s="5" t="s">
        <v>255</v>
      </c>
      <c r="BK1279" s="5" t="s">
        <v>294</v>
      </c>
      <c r="BL1279" s="5" t="s">
        <v>238</v>
      </c>
      <c r="BM1279" s="7">
        <f>0</f>
        <v>0</v>
      </c>
      <c r="BN1279" s="8">
        <f>0</f>
        <v>0</v>
      </c>
      <c r="BO1279" s="5" t="s">
        <v>257</v>
      </c>
      <c r="BP1279" s="5" t="s">
        <v>258</v>
      </c>
      <c r="CD1279" s="5" t="s">
        <v>238</v>
      </c>
      <c r="CE1279" s="5" t="s">
        <v>238</v>
      </c>
      <c r="CI1279" s="5" t="s">
        <v>259</v>
      </c>
      <c r="CJ1279" s="5" t="s">
        <v>260</v>
      </c>
      <c r="CK1279" s="5" t="s">
        <v>238</v>
      </c>
      <c r="CM1279" s="5" t="s">
        <v>689</v>
      </c>
      <c r="CN1279" s="6" t="s">
        <v>262</v>
      </c>
      <c r="CO1279" s="5" t="s">
        <v>263</v>
      </c>
      <c r="CP1279" s="5" t="s">
        <v>264</v>
      </c>
      <c r="CQ1279" s="5" t="s">
        <v>238</v>
      </c>
      <c r="CR1279" s="5" t="s">
        <v>238</v>
      </c>
      <c r="CS1279" s="5">
        <v>0</v>
      </c>
      <c r="CT1279" s="5" t="s">
        <v>265</v>
      </c>
      <c r="CU1279" s="5" t="s">
        <v>2381</v>
      </c>
      <c r="CV1279" s="5" t="s">
        <v>754</v>
      </c>
      <c r="CX1279" s="8">
        <f>1451520</f>
        <v>1451520</v>
      </c>
      <c r="CY1279" s="8">
        <f>0</f>
        <v>0</v>
      </c>
      <c r="DA1279" s="5" t="s">
        <v>238</v>
      </c>
      <c r="DB1279" s="5" t="s">
        <v>238</v>
      </c>
      <c r="DD1279" s="5" t="s">
        <v>238</v>
      </c>
      <c r="DG1279" s="5" t="s">
        <v>238</v>
      </c>
      <c r="DH1279" s="5" t="s">
        <v>238</v>
      </c>
      <c r="DI1279" s="5" t="s">
        <v>238</v>
      </c>
      <c r="DJ1279" s="5" t="s">
        <v>238</v>
      </c>
      <c r="DK1279" s="5" t="s">
        <v>271</v>
      </c>
      <c r="DL1279" s="5" t="s">
        <v>272</v>
      </c>
      <c r="DM1279" s="7">
        <f>8.64</f>
        <v>8.64</v>
      </c>
      <c r="DN1279" s="5" t="s">
        <v>238</v>
      </c>
      <c r="DO1279" s="5" t="s">
        <v>238</v>
      </c>
      <c r="DP1279" s="5" t="s">
        <v>238</v>
      </c>
      <c r="DQ1279" s="5" t="s">
        <v>238</v>
      </c>
      <c r="DT1279" s="5" t="s">
        <v>2461</v>
      </c>
      <c r="DU1279" s="5" t="s">
        <v>271</v>
      </c>
      <c r="HM1279" s="5" t="s">
        <v>389</v>
      </c>
      <c r="HP1279" s="5" t="s">
        <v>272</v>
      </c>
      <c r="HQ1279" s="5" t="s">
        <v>272</v>
      </c>
    </row>
    <row r="1280" spans="1:238" x14ac:dyDescent="0.4">
      <c r="A1280" s="5">
        <v>1621</v>
      </c>
      <c r="B1280" s="5">
        <v>1</v>
      </c>
      <c r="C1280" s="5">
        <v>3</v>
      </c>
      <c r="D1280" s="5" t="s">
        <v>2439</v>
      </c>
      <c r="E1280" s="5" t="s">
        <v>1337</v>
      </c>
      <c r="F1280" s="5" t="s">
        <v>282</v>
      </c>
      <c r="G1280" s="5" t="s">
        <v>949</v>
      </c>
      <c r="H1280" s="6" t="s">
        <v>2440</v>
      </c>
      <c r="I1280" s="5" t="s">
        <v>949</v>
      </c>
      <c r="J1280" s="7">
        <f>205.03</f>
        <v>205.03</v>
      </c>
      <c r="K1280" s="5" t="s">
        <v>270</v>
      </c>
      <c r="L1280" s="8">
        <f>1</f>
        <v>1</v>
      </c>
      <c r="M1280" s="8">
        <f>26653900</f>
        <v>26653900</v>
      </c>
      <c r="N1280" s="6" t="s">
        <v>1131</v>
      </c>
      <c r="O1280" s="5" t="s">
        <v>639</v>
      </c>
      <c r="P1280" s="5" t="s">
        <v>971</v>
      </c>
      <c r="Q1280" s="8">
        <f>26664</f>
        <v>26664</v>
      </c>
      <c r="R1280" s="8">
        <f>26653899</f>
        <v>26653899</v>
      </c>
      <c r="S1280" s="5" t="s">
        <v>240</v>
      </c>
      <c r="T1280" s="5" t="s">
        <v>237</v>
      </c>
      <c r="U1280" s="5" t="s">
        <v>238</v>
      </c>
      <c r="V1280" s="5" t="s">
        <v>238</v>
      </c>
      <c r="W1280" s="5" t="s">
        <v>241</v>
      </c>
      <c r="X1280" s="5" t="s">
        <v>951</v>
      </c>
      <c r="Y1280" s="5" t="s">
        <v>238</v>
      </c>
      <c r="AB1280" s="5" t="s">
        <v>238</v>
      </c>
      <c r="AC1280" s="6" t="s">
        <v>238</v>
      </c>
      <c r="AD1280" s="6" t="s">
        <v>238</v>
      </c>
      <c r="AF1280" s="6" t="s">
        <v>238</v>
      </c>
      <c r="AG1280" s="6" t="s">
        <v>246</v>
      </c>
      <c r="AH1280" s="5" t="s">
        <v>247</v>
      </c>
      <c r="AI1280" s="5" t="s">
        <v>248</v>
      </c>
      <c r="AO1280" s="5" t="s">
        <v>238</v>
      </c>
      <c r="AP1280" s="5" t="s">
        <v>238</v>
      </c>
      <c r="AQ1280" s="5" t="s">
        <v>238</v>
      </c>
      <c r="AR1280" s="6" t="s">
        <v>238</v>
      </c>
      <c r="AS1280" s="6" t="s">
        <v>238</v>
      </c>
      <c r="AT1280" s="6" t="s">
        <v>238</v>
      </c>
      <c r="AW1280" s="5" t="s">
        <v>304</v>
      </c>
      <c r="AX1280" s="5" t="s">
        <v>304</v>
      </c>
      <c r="AY1280" s="5" t="s">
        <v>250</v>
      </c>
      <c r="AZ1280" s="5" t="s">
        <v>305</v>
      </c>
      <c r="BA1280" s="5" t="s">
        <v>251</v>
      </c>
      <c r="BB1280" s="5" t="s">
        <v>238</v>
      </c>
      <c r="BC1280" s="5" t="s">
        <v>253</v>
      </c>
      <c r="BD1280" s="5" t="s">
        <v>238</v>
      </c>
      <c r="BF1280" s="5" t="s">
        <v>710</v>
      </c>
      <c r="BH1280" s="5" t="s">
        <v>1076</v>
      </c>
      <c r="BI1280" s="6" t="s">
        <v>1077</v>
      </c>
      <c r="BJ1280" s="5" t="s">
        <v>294</v>
      </c>
      <c r="BK1280" s="5" t="s">
        <v>294</v>
      </c>
      <c r="BL1280" s="5" t="s">
        <v>238</v>
      </c>
      <c r="BM1280" s="7">
        <f>0</f>
        <v>0</v>
      </c>
      <c r="BN1280" s="8">
        <f>-26664</f>
        <v>-26664</v>
      </c>
      <c r="BO1280" s="5" t="s">
        <v>257</v>
      </c>
      <c r="BP1280" s="5" t="s">
        <v>258</v>
      </c>
      <c r="BQ1280" s="5" t="s">
        <v>238</v>
      </c>
      <c r="BR1280" s="5" t="s">
        <v>238</v>
      </c>
      <c r="BS1280" s="5" t="s">
        <v>238</v>
      </c>
      <c r="BT1280" s="5" t="s">
        <v>238</v>
      </c>
      <c r="CC1280" s="5" t="s">
        <v>258</v>
      </c>
      <c r="CD1280" s="5" t="s">
        <v>238</v>
      </c>
      <c r="CE1280" s="5" t="s">
        <v>238</v>
      </c>
      <c r="CI1280" s="5" t="s">
        <v>527</v>
      </c>
      <c r="CJ1280" s="5" t="s">
        <v>260</v>
      </c>
      <c r="CK1280" s="5" t="s">
        <v>238</v>
      </c>
      <c r="CM1280" s="5" t="s">
        <v>990</v>
      </c>
      <c r="CN1280" s="6" t="s">
        <v>262</v>
      </c>
      <c r="CO1280" s="5" t="s">
        <v>263</v>
      </c>
      <c r="CP1280" s="5" t="s">
        <v>264</v>
      </c>
      <c r="CQ1280" s="5" t="s">
        <v>285</v>
      </c>
      <c r="CR1280" s="5" t="s">
        <v>238</v>
      </c>
      <c r="CS1280" s="5">
        <v>2.7E-2</v>
      </c>
      <c r="CT1280" s="5" t="s">
        <v>265</v>
      </c>
      <c r="CU1280" s="5" t="s">
        <v>2381</v>
      </c>
      <c r="CV1280" s="5" t="s">
        <v>308</v>
      </c>
      <c r="CW1280" s="7">
        <f>0</f>
        <v>0</v>
      </c>
      <c r="CX1280" s="8">
        <f>26653900</f>
        <v>26653900</v>
      </c>
      <c r="CY1280" s="8">
        <f>1</f>
        <v>1</v>
      </c>
      <c r="DA1280" s="5" t="s">
        <v>238</v>
      </c>
      <c r="DB1280" s="5" t="s">
        <v>238</v>
      </c>
      <c r="DD1280" s="5" t="s">
        <v>238</v>
      </c>
      <c r="DE1280" s="8">
        <f>0</f>
        <v>0</v>
      </c>
      <c r="DG1280" s="5" t="s">
        <v>238</v>
      </c>
      <c r="DH1280" s="5" t="s">
        <v>238</v>
      </c>
      <c r="DI1280" s="5" t="s">
        <v>238</v>
      </c>
      <c r="DJ1280" s="5" t="s">
        <v>238</v>
      </c>
      <c r="DK1280" s="5" t="s">
        <v>271</v>
      </c>
      <c r="DL1280" s="5" t="s">
        <v>272</v>
      </c>
      <c r="DM1280" s="7">
        <f>205.03</f>
        <v>205.03</v>
      </c>
      <c r="DN1280" s="5" t="s">
        <v>238</v>
      </c>
      <c r="DO1280" s="5" t="s">
        <v>238</v>
      </c>
      <c r="DP1280" s="5" t="s">
        <v>238</v>
      </c>
      <c r="DQ1280" s="5" t="s">
        <v>238</v>
      </c>
      <c r="DT1280" s="5" t="s">
        <v>2441</v>
      </c>
      <c r="DU1280" s="5" t="s">
        <v>271</v>
      </c>
      <c r="GL1280" s="5" t="s">
        <v>2442</v>
      </c>
      <c r="HM1280" s="5" t="s">
        <v>389</v>
      </c>
      <c r="HP1280" s="5" t="s">
        <v>272</v>
      </c>
      <c r="HQ1280" s="5" t="s">
        <v>272</v>
      </c>
      <c r="HR1280" s="5" t="s">
        <v>238</v>
      </c>
      <c r="HS1280" s="5" t="s">
        <v>238</v>
      </c>
      <c r="HT1280" s="5" t="s">
        <v>238</v>
      </c>
      <c r="HU1280" s="5" t="s">
        <v>238</v>
      </c>
      <c r="HV1280" s="5" t="s">
        <v>238</v>
      </c>
      <c r="HW1280" s="5" t="s">
        <v>238</v>
      </c>
      <c r="HX1280" s="5" t="s">
        <v>238</v>
      </c>
      <c r="HY1280" s="5" t="s">
        <v>238</v>
      </c>
      <c r="HZ1280" s="5" t="s">
        <v>238</v>
      </c>
      <c r="IA1280" s="5" t="s">
        <v>238</v>
      </c>
      <c r="IB1280" s="5" t="s">
        <v>238</v>
      </c>
      <c r="IC1280" s="5" t="s">
        <v>238</v>
      </c>
      <c r="ID1280" s="5" t="s">
        <v>238</v>
      </c>
    </row>
    <row r="1281" spans="1:238" x14ac:dyDescent="0.4">
      <c r="A1281" s="5">
        <v>1622</v>
      </c>
      <c r="B1281" s="5">
        <v>1</v>
      </c>
      <c r="C1281" s="5">
        <v>1</v>
      </c>
      <c r="D1281" s="5" t="s">
        <v>2462</v>
      </c>
      <c r="E1281" s="5" t="s">
        <v>1337</v>
      </c>
      <c r="F1281" s="5" t="s">
        <v>282</v>
      </c>
      <c r="G1281" s="5" t="s">
        <v>949</v>
      </c>
      <c r="H1281" s="6" t="s">
        <v>2463</v>
      </c>
      <c r="I1281" s="5" t="s">
        <v>949</v>
      </c>
      <c r="J1281" s="7">
        <f>252</f>
        <v>252</v>
      </c>
      <c r="K1281" s="5" t="s">
        <v>270</v>
      </c>
      <c r="L1281" s="8">
        <f>1</f>
        <v>1</v>
      </c>
      <c r="M1281" s="8">
        <f>32760000</f>
        <v>32760000</v>
      </c>
      <c r="N1281" s="6" t="s">
        <v>1084</v>
      </c>
      <c r="O1281" s="5" t="s">
        <v>639</v>
      </c>
      <c r="P1281" s="5" t="s">
        <v>639</v>
      </c>
      <c r="R1281" s="8">
        <f>32759999</f>
        <v>32759999</v>
      </c>
      <c r="S1281" s="5" t="s">
        <v>240</v>
      </c>
      <c r="T1281" s="5" t="s">
        <v>237</v>
      </c>
      <c r="U1281" s="5" t="s">
        <v>238</v>
      </c>
      <c r="V1281" s="5" t="s">
        <v>238</v>
      </c>
      <c r="W1281" s="5" t="s">
        <v>241</v>
      </c>
      <c r="X1281" s="5" t="s">
        <v>951</v>
      </c>
      <c r="Y1281" s="5" t="s">
        <v>238</v>
      </c>
      <c r="AB1281" s="5" t="s">
        <v>238</v>
      </c>
      <c r="AD1281" s="6" t="s">
        <v>238</v>
      </c>
      <c r="AG1281" s="6" t="s">
        <v>246</v>
      </c>
      <c r="AH1281" s="5" t="s">
        <v>247</v>
      </c>
      <c r="AI1281" s="5" t="s">
        <v>248</v>
      </c>
      <c r="AY1281" s="5" t="s">
        <v>250</v>
      </c>
      <c r="AZ1281" s="5" t="s">
        <v>238</v>
      </c>
      <c r="BA1281" s="5" t="s">
        <v>251</v>
      </c>
      <c r="BB1281" s="5" t="s">
        <v>238</v>
      </c>
      <c r="BC1281" s="5" t="s">
        <v>253</v>
      </c>
      <c r="BD1281" s="5" t="s">
        <v>238</v>
      </c>
      <c r="BF1281" s="5" t="s">
        <v>710</v>
      </c>
      <c r="BH1281" s="5" t="s">
        <v>798</v>
      </c>
      <c r="BI1281" s="6" t="s">
        <v>799</v>
      </c>
      <c r="BJ1281" s="5" t="s">
        <v>255</v>
      </c>
      <c r="BK1281" s="5" t="s">
        <v>294</v>
      </c>
      <c r="BL1281" s="5" t="s">
        <v>238</v>
      </c>
      <c r="BM1281" s="7">
        <f>0</f>
        <v>0</v>
      </c>
      <c r="BN1281" s="8">
        <f>0</f>
        <v>0</v>
      </c>
      <c r="BO1281" s="5" t="s">
        <v>257</v>
      </c>
      <c r="BP1281" s="5" t="s">
        <v>258</v>
      </c>
      <c r="CD1281" s="5" t="s">
        <v>238</v>
      </c>
      <c r="CE1281" s="5" t="s">
        <v>238</v>
      </c>
      <c r="CI1281" s="5" t="s">
        <v>527</v>
      </c>
      <c r="CJ1281" s="5" t="s">
        <v>260</v>
      </c>
      <c r="CK1281" s="5" t="s">
        <v>238</v>
      </c>
      <c r="CM1281" s="5" t="s">
        <v>1020</v>
      </c>
      <c r="CN1281" s="6" t="s">
        <v>262</v>
      </c>
      <c r="CO1281" s="5" t="s">
        <v>263</v>
      </c>
      <c r="CP1281" s="5" t="s">
        <v>264</v>
      </c>
      <c r="CQ1281" s="5" t="s">
        <v>238</v>
      </c>
      <c r="CR1281" s="5" t="s">
        <v>238</v>
      </c>
      <c r="CS1281" s="5">
        <v>0</v>
      </c>
      <c r="CT1281" s="5" t="s">
        <v>265</v>
      </c>
      <c r="CU1281" s="5" t="s">
        <v>2381</v>
      </c>
      <c r="CV1281" s="5" t="s">
        <v>308</v>
      </c>
      <c r="CX1281" s="8">
        <f>32760000</f>
        <v>32760000</v>
      </c>
      <c r="CY1281" s="8">
        <f>0</f>
        <v>0</v>
      </c>
      <c r="DA1281" s="5" t="s">
        <v>238</v>
      </c>
      <c r="DB1281" s="5" t="s">
        <v>238</v>
      </c>
      <c r="DD1281" s="5" t="s">
        <v>238</v>
      </c>
      <c r="DG1281" s="5" t="s">
        <v>238</v>
      </c>
      <c r="DH1281" s="5" t="s">
        <v>238</v>
      </c>
      <c r="DI1281" s="5" t="s">
        <v>238</v>
      </c>
      <c r="DJ1281" s="5" t="s">
        <v>238</v>
      </c>
      <c r="DK1281" s="5" t="s">
        <v>271</v>
      </c>
      <c r="DL1281" s="5" t="s">
        <v>272</v>
      </c>
      <c r="DM1281" s="7">
        <f>252</f>
        <v>252</v>
      </c>
      <c r="DN1281" s="5" t="s">
        <v>238</v>
      </c>
      <c r="DO1281" s="5" t="s">
        <v>238</v>
      </c>
      <c r="DP1281" s="5" t="s">
        <v>238</v>
      </c>
      <c r="DQ1281" s="5" t="s">
        <v>238</v>
      </c>
      <c r="DT1281" s="5" t="s">
        <v>2464</v>
      </c>
      <c r="DU1281" s="5" t="s">
        <v>271</v>
      </c>
      <c r="HM1281" s="5" t="s">
        <v>379</v>
      </c>
      <c r="HP1281" s="5" t="s">
        <v>272</v>
      </c>
      <c r="HQ1281" s="5" t="s">
        <v>272</v>
      </c>
    </row>
    <row r="1282" spans="1:238" x14ac:dyDescent="0.4">
      <c r="A1282" s="5">
        <v>1623</v>
      </c>
      <c r="B1282" s="5">
        <v>1</v>
      </c>
      <c r="C1282" s="5">
        <v>1</v>
      </c>
      <c r="D1282" s="5" t="s">
        <v>2476</v>
      </c>
      <c r="E1282" s="5" t="s">
        <v>1337</v>
      </c>
      <c r="F1282" s="5" t="s">
        <v>282</v>
      </c>
      <c r="G1282" s="5" t="s">
        <v>949</v>
      </c>
      <c r="H1282" s="6" t="s">
        <v>2477</v>
      </c>
      <c r="I1282" s="5" t="s">
        <v>949</v>
      </c>
      <c r="J1282" s="7">
        <f>472</f>
        <v>472</v>
      </c>
      <c r="K1282" s="5" t="s">
        <v>270</v>
      </c>
      <c r="L1282" s="8">
        <f>1</f>
        <v>1</v>
      </c>
      <c r="M1282" s="8">
        <f>61360000</f>
        <v>61360000</v>
      </c>
      <c r="N1282" s="6" t="s">
        <v>1571</v>
      </c>
      <c r="O1282" s="5" t="s">
        <v>639</v>
      </c>
      <c r="P1282" s="5" t="s">
        <v>639</v>
      </c>
      <c r="R1282" s="8">
        <f>61359999</f>
        <v>61359999</v>
      </c>
      <c r="S1282" s="5" t="s">
        <v>240</v>
      </c>
      <c r="T1282" s="5" t="s">
        <v>237</v>
      </c>
      <c r="U1282" s="5" t="s">
        <v>238</v>
      </c>
      <c r="V1282" s="5" t="s">
        <v>238</v>
      </c>
      <c r="W1282" s="5" t="s">
        <v>241</v>
      </c>
      <c r="X1282" s="5" t="s">
        <v>951</v>
      </c>
      <c r="Y1282" s="5" t="s">
        <v>238</v>
      </c>
      <c r="AB1282" s="5" t="s">
        <v>238</v>
      </c>
      <c r="AD1282" s="6" t="s">
        <v>238</v>
      </c>
      <c r="AG1282" s="6" t="s">
        <v>246</v>
      </c>
      <c r="AH1282" s="5" t="s">
        <v>247</v>
      </c>
      <c r="AI1282" s="5" t="s">
        <v>248</v>
      </c>
      <c r="AY1282" s="5" t="s">
        <v>250</v>
      </c>
      <c r="AZ1282" s="5" t="s">
        <v>238</v>
      </c>
      <c r="BA1282" s="5" t="s">
        <v>251</v>
      </c>
      <c r="BB1282" s="5" t="s">
        <v>238</v>
      </c>
      <c r="BC1282" s="5" t="s">
        <v>253</v>
      </c>
      <c r="BD1282" s="5" t="s">
        <v>238</v>
      </c>
      <c r="BF1282" s="5" t="s">
        <v>710</v>
      </c>
      <c r="BH1282" s="5" t="s">
        <v>254</v>
      </c>
      <c r="BI1282" s="6" t="s">
        <v>246</v>
      </c>
      <c r="BJ1282" s="5" t="s">
        <v>255</v>
      </c>
      <c r="BK1282" s="5" t="s">
        <v>294</v>
      </c>
      <c r="BL1282" s="5" t="s">
        <v>238</v>
      </c>
      <c r="BM1282" s="7">
        <f>0</f>
        <v>0</v>
      </c>
      <c r="BN1282" s="8">
        <f>0</f>
        <v>0</v>
      </c>
      <c r="BO1282" s="5" t="s">
        <v>257</v>
      </c>
      <c r="BP1282" s="5" t="s">
        <v>258</v>
      </c>
      <c r="CD1282" s="5" t="s">
        <v>238</v>
      </c>
      <c r="CE1282" s="5" t="s">
        <v>238</v>
      </c>
      <c r="CI1282" s="5" t="s">
        <v>527</v>
      </c>
      <c r="CJ1282" s="5" t="s">
        <v>260</v>
      </c>
      <c r="CK1282" s="5" t="s">
        <v>238</v>
      </c>
      <c r="CM1282" s="5" t="s">
        <v>699</v>
      </c>
      <c r="CN1282" s="6" t="s">
        <v>262</v>
      </c>
      <c r="CO1282" s="5" t="s">
        <v>263</v>
      </c>
      <c r="CP1282" s="5" t="s">
        <v>264</v>
      </c>
      <c r="CQ1282" s="5" t="s">
        <v>238</v>
      </c>
      <c r="CR1282" s="5" t="s">
        <v>238</v>
      </c>
      <c r="CS1282" s="5">
        <v>0</v>
      </c>
      <c r="CT1282" s="5" t="s">
        <v>265</v>
      </c>
      <c r="CU1282" s="5" t="s">
        <v>2381</v>
      </c>
      <c r="CV1282" s="5" t="s">
        <v>308</v>
      </c>
      <c r="CX1282" s="8">
        <f>61360000</f>
        <v>61360000</v>
      </c>
      <c r="CY1282" s="8">
        <f>0</f>
        <v>0</v>
      </c>
      <c r="DA1282" s="5" t="s">
        <v>238</v>
      </c>
      <c r="DB1282" s="5" t="s">
        <v>238</v>
      </c>
      <c r="DD1282" s="5" t="s">
        <v>238</v>
      </c>
      <c r="DG1282" s="5" t="s">
        <v>238</v>
      </c>
      <c r="DH1282" s="5" t="s">
        <v>238</v>
      </c>
      <c r="DI1282" s="5" t="s">
        <v>238</v>
      </c>
      <c r="DJ1282" s="5" t="s">
        <v>238</v>
      </c>
      <c r="DK1282" s="5" t="s">
        <v>271</v>
      </c>
      <c r="DL1282" s="5" t="s">
        <v>272</v>
      </c>
      <c r="DM1282" s="7">
        <f>472</f>
        <v>472</v>
      </c>
      <c r="DN1282" s="5" t="s">
        <v>238</v>
      </c>
      <c r="DO1282" s="5" t="s">
        <v>238</v>
      </c>
      <c r="DP1282" s="5" t="s">
        <v>238</v>
      </c>
      <c r="DQ1282" s="5" t="s">
        <v>238</v>
      </c>
      <c r="DT1282" s="5" t="s">
        <v>2478</v>
      </c>
      <c r="DU1282" s="5" t="s">
        <v>271</v>
      </c>
      <c r="HM1282" s="5" t="s">
        <v>310</v>
      </c>
      <c r="HP1282" s="5" t="s">
        <v>272</v>
      </c>
      <c r="HQ1282" s="5" t="s">
        <v>272</v>
      </c>
    </row>
    <row r="1283" spans="1:238" x14ac:dyDescent="0.4">
      <c r="A1283" s="5">
        <v>1624</v>
      </c>
      <c r="B1283" s="5">
        <v>1</v>
      </c>
      <c r="C1283" s="5">
        <v>1</v>
      </c>
      <c r="D1283" s="5" t="s">
        <v>2479</v>
      </c>
      <c r="E1283" s="5" t="s">
        <v>1337</v>
      </c>
      <c r="F1283" s="5" t="s">
        <v>282</v>
      </c>
      <c r="G1283" s="5" t="s">
        <v>949</v>
      </c>
      <c r="H1283" s="6" t="s">
        <v>2480</v>
      </c>
      <c r="I1283" s="5" t="s">
        <v>949</v>
      </c>
      <c r="J1283" s="7">
        <f>72.8</f>
        <v>72.8</v>
      </c>
      <c r="K1283" s="5" t="s">
        <v>270</v>
      </c>
      <c r="L1283" s="8">
        <f>1</f>
        <v>1</v>
      </c>
      <c r="M1283" s="8">
        <f>9464000</f>
        <v>9464000</v>
      </c>
      <c r="N1283" s="6" t="s">
        <v>1117</v>
      </c>
      <c r="O1283" s="5" t="s">
        <v>639</v>
      </c>
      <c r="P1283" s="5" t="s">
        <v>639</v>
      </c>
      <c r="R1283" s="8">
        <f>9463999</f>
        <v>9463999</v>
      </c>
      <c r="S1283" s="5" t="s">
        <v>240</v>
      </c>
      <c r="T1283" s="5" t="s">
        <v>237</v>
      </c>
      <c r="U1283" s="5" t="s">
        <v>238</v>
      </c>
      <c r="V1283" s="5" t="s">
        <v>238</v>
      </c>
      <c r="W1283" s="5" t="s">
        <v>241</v>
      </c>
      <c r="X1283" s="5" t="s">
        <v>951</v>
      </c>
      <c r="Y1283" s="5" t="s">
        <v>238</v>
      </c>
      <c r="AB1283" s="5" t="s">
        <v>238</v>
      </c>
      <c r="AD1283" s="6" t="s">
        <v>238</v>
      </c>
      <c r="AG1283" s="6" t="s">
        <v>246</v>
      </c>
      <c r="AH1283" s="5" t="s">
        <v>247</v>
      </c>
      <c r="AI1283" s="5" t="s">
        <v>248</v>
      </c>
      <c r="AY1283" s="5" t="s">
        <v>250</v>
      </c>
      <c r="AZ1283" s="5" t="s">
        <v>238</v>
      </c>
      <c r="BA1283" s="5" t="s">
        <v>251</v>
      </c>
      <c r="BB1283" s="5" t="s">
        <v>238</v>
      </c>
      <c r="BC1283" s="5" t="s">
        <v>253</v>
      </c>
      <c r="BD1283" s="5" t="s">
        <v>238</v>
      </c>
      <c r="BF1283" s="5" t="s">
        <v>710</v>
      </c>
      <c r="BH1283" s="5" t="s">
        <v>859</v>
      </c>
      <c r="BI1283" s="6" t="s">
        <v>368</v>
      </c>
      <c r="BJ1283" s="5" t="s">
        <v>255</v>
      </c>
      <c r="BK1283" s="5" t="s">
        <v>294</v>
      </c>
      <c r="BL1283" s="5" t="s">
        <v>238</v>
      </c>
      <c r="BM1283" s="7">
        <f>0</f>
        <v>0</v>
      </c>
      <c r="BN1283" s="8">
        <f>0</f>
        <v>0</v>
      </c>
      <c r="BO1283" s="5" t="s">
        <v>257</v>
      </c>
      <c r="BP1283" s="5" t="s">
        <v>258</v>
      </c>
      <c r="CD1283" s="5" t="s">
        <v>238</v>
      </c>
      <c r="CE1283" s="5" t="s">
        <v>238</v>
      </c>
      <c r="CI1283" s="5" t="s">
        <v>527</v>
      </c>
      <c r="CJ1283" s="5" t="s">
        <v>260</v>
      </c>
      <c r="CK1283" s="5" t="s">
        <v>238</v>
      </c>
      <c r="CM1283" s="5" t="s">
        <v>970</v>
      </c>
      <c r="CN1283" s="6" t="s">
        <v>262</v>
      </c>
      <c r="CO1283" s="5" t="s">
        <v>263</v>
      </c>
      <c r="CP1283" s="5" t="s">
        <v>264</v>
      </c>
      <c r="CQ1283" s="5" t="s">
        <v>238</v>
      </c>
      <c r="CR1283" s="5" t="s">
        <v>238</v>
      </c>
      <c r="CS1283" s="5">
        <v>0</v>
      </c>
      <c r="CT1283" s="5" t="s">
        <v>265</v>
      </c>
      <c r="CU1283" s="5" t="s">
        <v>2381</v>
      </c>
      <c r="CV1283" s="5" t="s">
        <v>308</v>
      </c>
      <c r="CX1283" s="8">
        <f>9464000</f>
        <v>9464000</v>
      </c>
      <c r="CY1283" s="8">
        <f>0</f>
        <v>0</v>
      </c>
      <c r="DA1283" s="5" t="s">
        <v>238</v>
      </c>
      <c r="DB1283" s="5" t="s">
        <v>238</v>
      </c>
      <c r="DD1283" s="5" t="s">
        <v>238</v>
      </c>
      <c r="DG1283" s="5" t="s">
        <v>238</v>
      </c>
      <c r="DH1283" s="5" t="s">
        <v>238</v>
      </c>
      <c r="DI1283" s="5" t="s">
        <v>238</v>
      </c>
      <c r="DJ1283" s="5" t="s">
        <v>238</v>
      </c>
      <c r="DK1283" s="5" t="s">
        <v>271</v>
      </c>
      <c r="DL1283" s="5" t="s">
        <v>272</v>
      </c>
      <c r="DM1283" s="7">
        <f>72.8</f>
        <v>72.8</v>
      </c>
      <c r="DN1283" s="5" t="s">
        <v>238</v>
      </c>
      <c r="DO1283" s="5" t="s">
        <v>238</v>
      </c>
      <c r="DP1283" s="5" t="s">
        <v>238</v>
      </c>
      <c r="DQ1283" s="5" t="s">
        <v>238</v>
      </c>
      <c r="DT1283" s="5" t="s">
        <v>2481</v>
      </c>
      <c r="DU1283" s="5" t="s">
        <v>271</v>
      </c>
      <c r="HM1283" s="5" t="s">
        <v>274</v>
      </c>
      <c r="HP1283" s="5" t="s">
        <v>272</v>
      </c>
      <c r="HQ1283" s="5" t="s">
        <v>272</v>
      </c>
    </row>
    <row r="1284" spans="1:238" x14ac:dyDescent="0.4">
      <c r="A1284" s="5">
        <v>1625</v>
      </c>
      <c r="B1284" s="5">
        <v>1</v>
      </c>
      <c r="C1284" s="5">
        <v>4</v>
      </c>
      <c r="D1284" s="5" t="s">
        <v>2411</v>
      </c>
      <c r="E1284" s="5" t="s">
        <v>1337</v>
      </c>
      <c r="F1284" s="5" t="s">
        <v>282</v>
      </c>
      <c r="G1284" s="5" t="s">
        <v>1398</v>
      </c>
      <c r="H1284" s="6" t="s">
        <v>2412</v>
      </c>
      <c r="I1284" s="5" t="s">
        <v>949</v>
      </c>
      <c r="J1284" s="7">
        <f>302</f>
        <v>302</v>
      </c>
      <c r="K1284" s="5" t="s">
        <v>270</v>
      </c>
      <c r="L1284" s="8">
        <f>8723270</f>
        <v>8723270</v>
      </c>
      <c r="M1284" s="8">
        <f>80030000</f>
        <v>80030000</v>
      </c>
      <c r="N1284" s="6" t="s">
        <v>1044</v>
      </c>
      <c r="O1284" s="5" t="s">
        <v>639</v>
      </c>
      <c r="P1284" s="5" t="s">
        <v>650</v>
      </c>
      <c r="Q1284" s="8">
        <f>2160810</f>
        <v>2160810</v>
      </c>
      <c r="R1284" s="8">
        <f>71306730</f>
        <v>71306730</v>
      </c>
      <c r="S1284" s="5" t="s">
        <v>240</v>
      </c>
      <c r="T1284" s="5" t="s">
        <v>237</v>
      </c>
      <c r="U1284" s="5" t="s">
        <v>238</v>
      </c>
      <c r="V1284" s="5" t="s">
        <v>238</v>
      </c>
      <c r="W1284" s="5" t="s">
        <v>241</v>
      </c>
      <c r="X1284" s="5" t="s">
        <v>951</v>
      </c>
      <c r="Y1284" s="5" t="s">
        <v>238</v>
      </c>
      <c r="AB1284" s="5" t="s">
        <v>238</v>
      </c>
      <c r="AC1284" s="6" t="s">
        <v>238</v>
      </c>
      <c r="AD1284" s="6" t="s">
        <v>238</v>
      </c>
      <c r="AF1284" s="6" t="s">
        <v>238</v>
      </c>
      <c r="AG1284" s="6" t="s">
        <v>246</v>
      </c>
      <c r="AH1284" s="5" t="s">
        <v>247</v>
      </c>
      <c r="AI1284" s="5" t="s">
        <v>248</v>
      </c>
      <c r="AO1284" s="5" t="s">
        <v>238</v>
      </c>
      <c r="AP1284" s="5" t="s">
        <v>238</v>
      </c>
      <c r="AQ1284" s="5" t="s">
        <v>238</v>
      </c>
      <c r="AR1284" s="6" t="s">
        <v>238</v>
      </c>
      <c r="AS1284" s="6" t="s">
        <v>238</v>
      </c>
      <c r="AT1284" s="6" t="s">
        <v>238</v>
      </c>
      <c r="AW1284" s="5" t="s">
        <v>304</v>
      </c>
      <c r="AX1284" s="5" t="s">
        <v>304</v>
      </c>
      <c r="AY1284" s="5" t="s">
        <v>250</v>
      </c>
      <c r="AZ1284" s="5" t="s">
        <v>305</v>
      </c>
      <c r="BA1284" s="5" t="s">
        <v>251</v>
      </c>
      <c r="BB1284" s="5" t="s">
        <v>238</v>
      </c>
      <c r="BC1284" s="5" t="s">
        <v>253</v>
      </c>
      <c r="BD1284" s="5" t="s">
        <v>238</v>
      </c>
      <c r="BF1284" s="5" t="s">
        <v>238</v>
      </c>
      <c r="BH1284" s="5" t="s">
        <v>283</v>
      </c>
      <c r="BI1284" s="6" t="s">
        <v>293</v>
      </c>
      <c r="BJ1284" s="5" t="s">
        <v>294</v>
      </c>
      <c r="BK1284" s="5" t="s">
        <v>294</v>
      </c>
      <c r="BL1284" s="5" t="s">
        <v>238</v>
      </c>
      <c r="BM1284" s="7">
        <f>0</f>
        <v>0</v>
      </c>
      <c r="BN1284" s="8">
        <f>-2160810</f>
        <v>-2160810</v>
      </c>
      <c r="BO1284" s="5" t="s">
        <v>257</v>
      </c>
      <c r="BP1284" s="5" t="s">
        <v>258</v>
      </c>
      <c r="BQ1284" s="5" t="s">
        <v>238</v>
      </c>
      <c r="BR1284" s="5" t="s">
        <v>238</v>
      </c>
      <c r="BS1284" s="5" t="s">
        <v>238</v>
      </c>
      <c r="BT1284" s="5" t="s">
        <v>238</v>
      </c>
      <c r="CC1284" s="5" t="s">
        <v>258</v>
      </c>
      <c r="CD1284" s="5" t="s">
        <v>238</v>
      </c>
      <c r="CE1284" s="5" t="s">
        <v>238</v>
      </c>
      <c r="CI1284" s="5" t="s">
        <v>259</v>
      </c>
      <c r="CJ1284" s="5" t="s">
        <v>260</v>
      </c>
      <c r="CK1284" s="5" t="s">
        <v>238</v>
      </c>
      <c r="CM1284" s="5" t="s">
        <v>1034</v>
      </c>
      <c r="CN1284" s="6" t="s">
        <v>262</v>
      </c>
      <c r="CO1284" s="5" t="s">
        <v>263</v>
      </c>
      <c r="CP1284" s="5" t="s">
        <v>264</v>
      </c>
      <c r="CQ1284" s="5" t="s">
        <v>285</v>
      </c>
      <c r="CR1284" s="5" t="s">
        <v>238</v>
      </c>
      <c r="CS1284" s="5">
        <v>2.7E-2</v>
      </c>
      <c r="CT1284" s="5" t="s">
        <v>265</v>
      </c>
      <c r="CU1284" s="5" t="s">
        <v>2381</v>
      </c>
      <c r="CV1284" s="5" t="s">
        <v>308</v>
      </c>
      <c r="CW1284" s="7">
        <f>0</f>
        <v>0</v>
      </c>
      <c r="CX1284" s="8">
        <f>80030000</f>
        <v>80030000</v>
      </c>
      <c r="CY1284" s="8">
        <f>10884080</f>
        <v>10884080</v>
      </c>
      <c r="DA1284" s="5" t="s">
        <v>238</v>
      </c>
      <c r="DB1284" s="5" t="s">
        <v>238</v>
      </c>
      <c r="DD1284" s="5" t="s">
        <v>238</v>
      </c>
      <c r="DE1284" s="8">
        <f>0</f>
        <v>0</v>
      </c>
      <c r="DG1284" s="5" t="s">
        <v>238</v>
      </c>
      <c r="DH1284" s="5" t="s">
        <v>238</v>
      </c>
      <c r="DI1284" s="5" t="s">
        <v>238</v>
      </c>
      <c r="DJ1284" s="5" t="s">
        <v>238</v>
      </c>
      <c r="DK1284" s="5" t="s">
        <v>274</v>
      </c>
      <c r="DL1284" s="5" t="s">
        <v>272</v>
      </c>
      <c r="DM1284" s="7">
        <f>302</f>
        <v>302</v>
      </c>
      <c r="DN1284" s="5" t="s">
        <v>238</v>
      </c>
      <c r="DO1284" s="5" t="s">
        <v>238</v>
      </c>
      <c r="DP1284" s="5" t="s">
        <v>238</v>
      </c>
      <c r="DQ1284" s="5" t="s">
        <v>238</v>
      </c>
      <c r="DT1284" s="5" t="s">
        <v>2413</v>
      </c>
      <c r="DU1284" s="5" t="s">
        <v>271</v>
      </c>
      <c r="GL1284" s="5" t="s">
        <v>2414</v>
      </c>
      <c r="HM1284" s="5" t="s">
        <v>389</v>
      </c>
      <c r="HP1284" s="5" t="s">
        <v>272</v>
      </c>
      <c r="HQ1284" s="5" t="s">
        <v>272</v>
      </c>
      <c r="HR1284" s="5" t="s">
        <v>238</v>
      </c>
      <c r="HS1284" s="5" t="s">
        <v>238</v>
      </c>
      <c r="HT1284" s="5" t="s">
        <v>238</v>
      </c>
      <c r="HU1284" s="5" t="s">
        <v>238</v>
      </c>
      <c r="HV1284" s="5" t="s">
        <v>238</v>
      </c>
      <c r="HW1284" s="5" t="s">
        <v>238</v>
      </c>
      <c r="HX1284" s="5" t="s">
        <v>238</v>
      </c>
      <c r="HY1284" s="5" t="s">
        <v>238</v>
      </c>
      <c r="HZ1284" s="5" t="s">
        <v>238</v>
      </c>
      <c r="IA1284" s="5" t="s">
        <v>238</v>
      </c>
      <c r="IB1284" s="5" t="s">
        <v>238</v>
      </c>
      <c r="IC1284" s="5" t="s">
        <v>238</v>
      </c>
      <c r="ID1284" s="5" t="s">
        <v>238</v>
      </c>
    </row>
    <row r="1285" spans="1:238" x14ac:dyDescent="0.4">
      <c r="A1285" s="5">
        <v>1626</v>
      </c>
      <c r="B1285" s="5">
        <v>1</v>
      </c>
      <c r="C1285" s="5">
        <v>3</v>
      </c>
      <c r="D1285" s="5" t="s">
        <v>2443</v>
      </c>
      <c r="E1285" s="5" t="s">
        <v>1337</v>
      </c>
      <c r="F1285" s="5" t="s">
        <v>282</v>
      </c>
      <c r="G1285" s="5" t="s">
        <v>949</v>
      </c>
      <c r="H1285" s="6" t="s">
        <v>2444</v>
      </c>
      <c r="I1285" s="5" t="s">
        <v>949</v>
      </c>
      <c r="J1285" s="7">
        <f>178.38</f>
        <v>178.38</v>
      </c>
      <c r="K1285" s="5" t="s">
        <v>270</v>
      </c>
      <c r="L1285" s="8">
        <f>1</f>
        <v>1</v>
      </c>
      <c r="M1285" s="8">
        <f>23189400</f>
        <v>23189400</v>
      </c>
      <c r="N1285" s="6" t="s">
        <v>1131</v>
      </c>
      <c r="O1285" s="5" t="s">
        <v>639</v>
      </c>
      <c r="P1285" s="5" t="s">
        <v>971</v>
      </c>
      <c r="Q1285" s="8">
        <f>23218</f>
        <v>23218</v>
      </c>
      <c r="R1285" s="8">
        <f>23189399</f>
        <v>23189399</v>
      </c>
      <c r="S1285" s="5" t="s">
        <v>240</v>
      </c>
      <c r="T1285" s="5" t="s">
        <v>237</v>
      </c>
      <c r="U1285" s="5" t="s">
        <v>238</v>
      </c>
      <c r="V1285" s="5" t="s">
        <v>238</v>
      </c>
      <c r="W1285" s="5" t="s">
        <v>241</v>
      </c>
      <c r="X1285" s="5" t="s">
        <v>951</v>
      </c>
      <c r="Y1285" s="5" t="s">
        <v>238</v>
      </c>
      <c r="AB1285" s="5" t="s">
        <v>238</v>
      </c>
      <c r="AC1285" s="6" t="s">
        <v>238</v>
      </c>
      <c r="AD1285" s="6" t="s">
        <v>238</v>
      </c>
      <c r="AF1285" s="6" t="s">
        <v>238</v>
      </c>
      <c r="AG1285" s="6" t="s">
        <v>246</v>
      </c>
      <c r="AH1285" s="5" t="s">
        <v>247</v>
      </c>
      <c r="AI1285" s="5" t="s">
        <v>248</v>
      </c>
      <c r="AO1285" s="5" t="s">
        <v>238</v>
      </c>
      <c r="AP1285" s="5" t="s">
        <v>238</v>
      </c>
      <c r="AQ1285" s="5" t="s">
        <v>238</v>
      </c>
      <c r="AR1285" s="6" t="s">
        <v>238</v>
      </c>
      <c r="AS1285" s="6" t="s">
        <v>238</v>
      </c>
      <c r="AT1285" s="6" t="s">
        <v>238</v>
      </c>
      <c r="AW1285" s="5" t="s">
        <v>304</v>
      </c>
      <c r="AX1285" s="5" t="s">
        <v>304</v>
      </c>
      <c r="AY1285" s="5" t="s">
        <v>250</v>
      </c>
      <c r="AZ1285" s="5" t="s">
        <v>305</v>
      </c>
      <c r="BA1285" s="5" t="s">
        <v>251</v>
      </c>
      <c r="BB1285" s="5" t="s">
        <v>238</v>
      </c>
      <c r="BC1285" s="5" t="s">
        <v>253</v>
      </c>
      <c r="BD1285" s="5" t="s">
        <v>238</v>
      </c>
      <c r="BF1285" s="5" t="s">
        <v>710</v>
      </c>
      <c r="BH1285" s="5" t="s">
        <v>1076</v>
      </c>
      <c r="BI1285" s="6" t="s">
        <v>1077</v>
      </c>
      <c r="BJ1285" s="5" t="s">
        <v>294</v>
      </c>
      <c r="BK1285" s="5" t="s">
        <v>294</v>
      </c>
      <c r="BL1285" s="5" t="s">
        <v>238</v>
      </c>
      <c r="BM1285" s="7">
        <f>0</f>
        <v>0</v>
      </c>
      <c r="BN1285" s="8">
        <f>-23218</f>
        <v>-23218</v>
      </c>
      <c r="BO1285" s="5" t="s">
        <v>257</v>
      </c>
      <c r="BP1285" s="5" t="s">
        <v>258</v>
      </c>
      <c r="BQ1285" s="5" t="s">
        <v>238</v>
      </c>
      <c r="BR1285" s="5" t="s">
        <v>238</v>
      </c>
      <c r="BS1285" s="5" t="s">
        <v>238</v>
      </c>
      <c r="BT1285" s="5" t="s">
        <v>238</v>
      </c>
      <c r="CC1285" s="5" t="s">
        <v>258</v>
      </c>
      <c r="CD1285" s="5" t="s">
        <v>238</v>
      </c>
      <c r="CE1285" s="5" t="s">
        <v>238</v>
      </c>
      <c r="CI1285" s="5" t="s">
        <v>527</v>
      </c>
      <c r="CJ1285" s="5" t="s">
        <v>260</v>
      </c>
      <c r="CK1285" s="5" t="s">
        <v>238</v>
      </c>
      <c r="CM1285" s="5" t="s">
        <v>990</v>
      </c>
      <c r="CN1285" s="6" t="s">
        <v>262</v>
      </c>
      <c r="CO1285" s="5" t="s">
        <v>263</v>
      </c>
      <c r="CP1285" s="5" t="s">
        <v>264</v>
      </c>
      <c r="CQ1285" s="5" t="s">
        <v>285</v>
      </c>
      <c r="CR1285" s="5" t="s">
        <v>238</v>
      </c>
      <c r="CS1285" s="5">
        <v>2.7E-2</v>
      </c>
      <c r="CT1285" s="5" t="s">
        <v>265</v>
      </c>
      <c r="CU1285" s="5" t="s">
        <v>2381</v>
      </c>
      <c r="CV1285" s="5" t="s">
        <v>308</v>
      </c>
      <c r="CW1285" s="7">
        <f>0</f>
        <v>0</v>
      </c>
      <c r="CX1285" s="8">
        <f>23189400</f>
        <v>23189400</v>
      </c>
      <c r="CY1285" s="8">
        <f>1</f>
        <v>1</v>
      </c>
      <c r="DA1285" s="5" t="s">
        <v>238</v>
      </c>
      <c r="DB1285" s="5" t="s">
        <v>238</v>
      </c>
      <c r="DD1285" s="5" t="s">
        <v>238</v>
      </c>
      <c r="DE1285" s="8">
        <f>0</f>
        <v>0</v>
      </c>
      <c r="DG1285" s="5" t="s">
        <v>238</v>
      </c>
      <c r="DH1285" s="5" t="s">
        <v>238</v>
      </c>
      <c r="DI1285" s="5" t="s">
        <v>238</v>
      </c>
      <c r="DJ1285" s="5" t="s">
        <v>238</v>
      </c>
      <c r="DK1285" s="5" t="s">
        <v>274</v>
      </c>
      <c r="DL1285" s="5" t="s">
        <v>272</v>
      </c>
      <c r="DM1285" s="7">
        <f>178.38</f>
        <v>178.38</v>
      </c>
      <c r="DN1285" s="5" t="s">
        <v>238</v>
      </c>
      <c r="DO1285" s="5" t="s">
        <v>238</v>
      </c>
      <c r="DP1285" s="5" t="s">
        <v>238</v>
      </c>
      <c r="DQ1285" s="5" t="s">
        <v>238</v>
      </c>
      <c r="DT1285" s="5" t="s">
        <v>2445</v>
      </c>
      <c r="DU1285" s="5" t="s">
        <v>271</v>
      </c>
      <c r="GL1285" s="5" t="s">
        <v>2446</v>
      </c>
      <c r="HM1285" s="5" t="s">
        <v>389</v>
      </c>
      <c r="HP1285" s="5" t="s">
        <v>272</v>
      </c>
      <c r="HQ1285" s="5" t="s">
        <v>272</v>
      </c>
      <c r="HR1285" s="5" t="s">
        <v>238</v>
      </c>
      <c r="HS1285" s="5" t="s">
        <v>238</v>
      </c>
      <c r="HT1285" s="5" t="s">
        <v>238</v>
      </c>
      <c r="HU1285" s="5" t="s">
        <v>238</v>
      </c>
      <c r="HV1285" s="5" t="s">
        <v>238</v>
      </c>
      <c r="HW1285" s="5" t="s">
        <v>238</v>
      </c>
      <c r="HX1285" s="5" t="s">
        <v>238</v>
      </c>
      <c r="HY1285" s="5" t="s">
        <v>238</v>
      </c>
      <c r="HZ1285" s="5" t="s">
        <v>238</v>
      </c>
      <c r="IA1285" s="5" t="s">
        <v>238</v>
      </c>
      <c r="IB1285" s="5" t="s">
        <v>238</v>
      </c>
      <c r="IC1285" s="5" t="s">
        <v>238</v>
      </c>
      <c r="ID1285" s="5" t="s">
        <v>238</v>
      </c>
    </row>
    <row r="1286" spans="1:238" x14ac:dyDescent="0.4">
      <c r="A1286" s="5">
        <v>1627</v>
      </c>
      <c r="B1286" s="5">
        <v>1</v>
      </c>
      <c r="C1286" s="5">
        <v>4</v>
      </c>
      <c r="D1286" s="5" t="s">
        <v>2415</v>
      </c>
      <c r="E1286" s="5" t="s">
        <v>1337</v>
      </c>
      <c r="F1286" s="5" t="s">
        <v>282</v>
      </c>
      <c r="G1286" s="5" t="s">
        <v>1398</v>
      </c>
      <c r="H1286" s="6" t="s">
        <v>2417</v>
      </c>
      <c r="I1286" s="5" t="s">
        <v>949</v>
      </c>
      <c r="J1286" s="7">
        <f>242.28</f>
        <v>242.28</v>
      </c>
      <c r="K1286" s="5" t="s">
        <v>270</v>
      </c>
      <c r="L1286" s="8">
        <f>26066914</f>
        <v>26066914</v>
      </c>
      <c r="M1286" s="8">
        <f>64204200</f>
        <v>64204200</v>
      </c>
      <c r="N1286" s="6" t="s">
        <v>2416</v>
      </c>
      <c r="O1286" s="5" t="s">
        <v>639</v>
      </c>
      <c r="P1286" s="5" t="s">
        <v>712</v>
      </c>
      <c r="Q1286" s="8">
        <f>1733513</f>
        <v>1733513</v>
      </c>
      <c r="R1286" s="8">
        <f>38137286</f>
        <v>38137286</v>
      </c>
      <c r="S1286" s="5" t="s">
        <v>240</v>
      </c>
      <c r="T1286" s="5" t="s">
        <v>237</v>
      </c>
      <c r="U1286" s="5" t="s">
        <v>238</v>
      </c>
      <c r="V1286" s="5" t="s">
        <v>238</v>
      </c>
      <c r="W1286" s="5" t="s">
        <v>241</v>
      </c>
      <c r="X1286" s="5" t="s">
        <v>951</v>
      </c>
      <c r="Y1286" s="5" t="s">
        <v>238</v>
      </c>
      <c r="AB1286" s="5" t="s">
        <v>238</v>
      </c>
      <c r="AC1286" s="6" t="s">
        <v>238</v>
      </c>
      <c r="AD1286" s="6" t="s">
        <v>238</v>
      </c>
      <c r="AF1286" s="6" t="s">
        <v>238</v>
      </c>
      <c r="AG1286" s="6" t="s">
        <v>246</v>
      </c>
      <c r="AH1286" s="5" t="s">
        <v>247</v>
      </c>
      <c r="AI1286" s="5" t="s">
        <v>248</v>
      </c>
      <c r="AO1286" s="5" t="s">
        <v>238</v>
      </c>
      <c r="AP1286" s="5" t="s">
        <v>238</v>
      </c>
      <c r="AQ1286" s="5" t="s">
        <v>238</v>
      </c>
      <c r="AR1286" s="6" t="s">
        <v>238</v>
      </c>
      <c r="AS1286" s="6" t="s">
        <v>238</v>
      </c>
      <c r="AT1286" s="6" t="s">
        <v>238</v>
      </c>
      <c r="AW1286" s="5" t="s">
        <v>304</v>
      </c>
      <c r="AX1286" s="5" t="s">
        <v>304</v>
      </c>
      <c r="AY1286" s="5" t="s">
        <v>250</v>
      </c>
      <c r="AZ1286" s="5" t="s">
        <v>305</v>
      </c>
      <c r="BA1286" s="5" t="s">
        <v>251</v>
      </c>
      <c r="BB1286" s="5" t="s">
        <v>238</v>
      </c>
      <c r="BC1286" s="5" t="s">
        <v>253</v>
      </c>
      <c r="BD1286" s="5" t="s">
        <v>238</v>
      </c>
      <c r="BF1286" s="5" t="s">
        <v>710</v>
      </c>
      <c r="BH1286" s="5" t="s">
        <v>283</v>
      </c>
      <c r="BI1286" s="6" t="s">
        <v>293</v>
      </c>
      <c r="BJ1286" s="5" t="s">
        <v>294</v>
      </c>
      <c r="BK1286" s="5" t="s">
        <v>294</v>
      </c>
      <c r="BL1286" s="5" t="s">
        <v>238</v>
      </c>
      <c r="BM1286" s="7">
        <f>0</f>
        <v>0</v>
      </c>
      <c r="BN1286" s="8">
        <f>-1733513</f>
        <v>-1733513</v>
      </c>
      <c r="BO1286" s="5" t="s">
        <v>257</v>
      </c>
      <c r="BP1286" s="5" t="s">
        <v>258</v>
      </c>
      <c r="BQ1286" s="5" t="s">
        <v>238</v>
      </c>
      <c r="BR1286" s="5" t="s">
        <v>238</v>
      </c>
      <c r="BS1286" s="5" t="s">
        <v>238</v>
      </c>
      <c r="BT1286" s="5" t="s">
        <v>238</v>
      </c>
      <c r="CC1286" s="5" t="s">
        <v>258</v>
      </c>
      <c r="CD1286" s="5" t="s">
        <v>238</v>
      </c>
      <c r="CE1286" s="5" t="s">
        <v>238</v>
      </c>
      <c r="CI1286" s="5" t="s">
        <v>259</v>
      </c>
      <c r="CJ1286" s="5" t="s">
        <v>260</v>
      </c>
      <c r="CK1286" s="5" t="s">
        <v>238</v>
      </c>
      <c r="CM1286" s="5" t="s">
        <v>711</v>
      </c>
      <c r="CN1286" s="6" t="s">
        <v>262</v>
      </c>
      <c r="CO1286" s="5" t="s">
        <v>263</v>
      </c>
      <c r="CP1286" s="5" t="s">
        <v>264</v>
      </c>
      <c r="CQ1286" s="5" t="s">
        <v>285</v>
      </c>
      <c r="CR1286" s="5" t="s">
        <v>238</v>
      </c>
      <c r="CS1286" s="5">
        <v>2.7E-2</v>
      </c>
      <c r="CT1286" s="5" t="s">
        <v>265</v>
      </c>
      <c r="CU1286" s="5" t="s">
        <v>2381</v>
      </c>
      <c r="CV1286" s="5" t="s">
        <v>308</v>
      </c>
      <c r="CW1286" s="7">
        <f>0</f>
        <v>0</v>
      </c>
      <c r="CX1286" s="8">
        <f>64204200</f>
        <v>64204200</v>
      </c>
      <c r="CY1286" s="8">
        <f>27800427</f>
        <v>27800427</v>
      </c>
      <c r="DA1286" s="5" t="s">
        <v>238</v>
      </c>
      <c r="DB1286" s="5" t="s">
        <v>238</v>
      </c>
      <c r="DD1286" s="5" t="s">
        <v>238</v>
      </c>
      <c r="DE1286" s="8">
        <f>0</f>
        <v>0</v>
      </c>
      <c r="DG1286" s="5" t="s">
        <v>238</v>
      </c>
      <c r="DH1286" s="5" t="s">
        <v>238</v>
      </c>
      <c r="DI1286" s="5" t="s">
        <v>238</v>
      </c>
      <c r="DJ1286" s="5" t="s">
        <v>238</v>
      </c>
      <c r="DK1286" s="5" t="s">
        <v>274</v>
      </c>
      <c r="DL1286" s="5" t="s">
        <v>272</v>
      </c>
      <c r="DM1286" s="7">
        <f>242.28</f>
        <v>242.28</v>
      </c>
      <c r="DN1286" s="5" t="s">
        <v>238</v>
      </c>
      <c r="DO1286" s="5" t="s">
        <v>238</v>
      </c>
      <c r="DP1286" s="5" t="s">
        <v>238</v>
      </c>
      <c r="DQ1286" s="5" t="s">
        <v>238</v>
      </c>
      <c r="DT1286" s="5" t="s">
        <v>2418</v>
      </c>
      <c r="DU1286" s="5" t="s">
        <v>271</v>
      </c>
      <c r="GL1286" s="5" t="s">
        <v>2419</v>
      </c>
      <c r="HM1286" s="5" t="s">
        <v>389</v>
      </c>
      <c r="HP1286" s="5" t="s">
        <v>272</v>
      </c>
      <c r="HQ1286" s="5" t="s">
        <v>272</v>
      </c>
      <c r="HR1286" s="5" t="s">
        <v>238</v>
      </c>
      <c r="HS1286" s="5" t="s">
        <v>238</v>
      </c>
      <c r="HT1286" s="5" t="s">
        <v>238</v>
      </c>
      <c r="HU1286" s="5" t="s">
        <v>238</v>
      </c>
      <c r="HV1286" s="5" t="s">
        <v>238</v>
      </c>
      <c r="HW1286" s="5" t="s">
        <v>238</v>
      </c>
      <c r="HX1286" s="5" t="s">
        <v>238</v>
      </c>
      <c r="HY1286" s="5" t="s">
        <v>238</v>
      </c>
      <c r="HZ1286" s="5" t="s">
        <v>238</v>
      </c>
      <c r="IA1286" s="5" t="s">
        <v>238</v>
      </c>
      <c r="IB1286" s="5" t="s">
        <v>238</v>
      </c>
      <c r="IC1286" s="5" t="s">
        <v>238</v>
      </c>
      <c r="ID1286" s="5" t="s">
        <v>238</v>
      </c>
    </row>
    <row r="1287" spans="1:238" x14ac:dyDescent="0.4">
      <c r="A1287" s="5">
        <v>1628</v>
      </c>
      <c r="B1287" s="5">
        <v>1</v>
      </c>
      <c r="C1287" s="5">
        <v>4</v>
      </c>
      <c r="D1287" s="5" t="s">
        <v>2420</v>
      </c>
      <c r="E1287" s="5" t="s">
        <v>1337</v>
      </c>
      <c r="F1287" s="5" t="s">
        <v>282</v>
      </c>
      <c r="G1287" s="5" t="s">
        <v>1398</v>
      </c>
      <c r="H1287" s="6" t="s">
        <v>2421</v>
      </c>
      <c r="I1287" s="5" t="s">
        <v>949</v>
      </c>
      <c r="J1287" s="7">
        <f>383.8</f>
        <v>383.8</v>
      </c>
      <c r="K1287" s="5" t="s">
        <v>270</v>
      </c>
      <c r="L1287" s="8">
        <f>5593885</f>
        <v>5593885</v>
      </c>
      <c r="M1287" s="8">
        <f>101707000</f>
        <v>101707000</v>
      </c>
      <c r="N1287" s="6" t="s">
        <v>1532</v>
      </c>
      <c r="O1287" s="5" t="s">
        <v>639</v>
      </c>
      <c r="P1287" s="5" t="s">
        <v>309</v>
      </c>
      <c r="Q1287" s="8">
        <f>2746089</f>
        <v>2746089</v>
      </c>
      <c r="R1287" s="8">
        <f>96113115</f>
        <v>96113115</v>
      </c>
      <c r="S1287" s="5" t="s">
        <v>240</v>
      </c>
      <c r="T1287" s="5" t="s">
        <v>237</v>
      </c>
      <c r="U1287" s="5" t="s">
        <v>238</v>
      </c>
      <c r="V1287" s="5" t="s">
        <v>238</v>
      </c>
      <c r="W1287" s="5" t="s">
        <v>241</v>
      </c>
      <c r="X1287" s="5" t="s">
        <v>951</v>
      </c>
      <c r="Y1287" s="5" t="s">
        <v>238</v>
      </c>
      <c r="AB1287" s="5" t="s">
        <v>238</v>
      </c>
      <c r="AC1287" s="6" t="s">
        <v>238</v>
      </c>
      <c r="AD1287" s="6" t="s">
        <v>238</v>
      </c>
      <c r="AF1287" s="6" t="s">
        <v>238</v>
      </c>
      <c r="AG1287" s="6" t="s">
        <v>246</v>
      </c>
      <c r="AH1287" s="5" t="s">
        <v>247</v>
      </c>
      <c r="AI1287" s="5" t="s">
        <v>248</v>
      </c>
      <c r="AO1287" s="5" t="s">
        <v>238</v>
      </c>
      <c r="AP1287" s="5" t="s">
        <v>238</v>
      </c>
      <c r="AQ1287" s="5" t="s">
        <v>238</v>
      </c>
      <c r="AR1287" s="6" t="s">
        <v>238</v>
      </c>
      <c r="AS1287" s="6" t="s">
        <v>238</v>
      </c>
      <c r="AT1287" s="6" t="s">
        <v>238</v>
      </c>
      <c r="AW1287" s="5" t="s">
        <v>304</v>
      </c>
      <c r="AX1287" s="5" t="s">
        <v>304</v>
      </c>
      <c r="AY1287" s="5" t="s">
        <v>250</v>
      </c>
      <c r="AZ1287" s="5" t="s">
        <v>305</v>
      </c>
      <c r="BA1287" s="5" t="s">
        <v>251</v>
      </c>
      <c r="BB1287" s="5" t="s">
        <v>238</v>
      </c>
      <c r="BC1287" s="5" t="s">
        <v>253</v>
      </c>
      <c r="BD1287" s="5" t="s">
        <v>238</v>
      </c>
      <c r="BF1287" s="5" t="s">
        <v>710</v>
      </c>
      <c r="BH1287" s="5" t="s">
        <v>283</v>
      </c>
      <c r="BI1287" s="6" t="s">
        <v>293</v>
      </c>
      <c r="BJ1287" s="5" t="s">
        <v>294</v>
      </c>
      <c r="BK1287" s="5" t="s">
        <v>294</v>
      </c>
      <c r="BL1287" s="5" t="s">
        <v>238</v>
      </c>
      <c r="BM1287" s="7">
        <f>0</f>
        <v>0</v>
      </c>
      <c r="BN1287" s="8">
        <f>-2746089</f>
        <v>-2746089</v>
      </c>
      <c r="BO1287" s="5" t="s">
        <v>257</v>
      </c>
      <c r="BP1287" s="5" t="s">
        <v>258</v>
      </c>
      <c r="BQ1287" s="5" t="s">
        <v>238</v>
      </c>
      <c r="BR1287" s="5" t="s">
        <v>238</v>
      </c>
      <c r="BS1287" s="5" t="s">
        <v>238</v>
      </c>
      <c r="BT1287" s="5" t="s">
        <v>238</v>
      </c>
      <c r="CC1287" s="5" t="s">
        <v>258</v>
      </c>
      <c r="CD1287" s="5" t="s">
        <v>238</v>
      </c>
      <c r="CE1287" s="5" t="s">
        <v>238</v>
      </c>
      <c r="CI1287" s="5" t="s">
        <v>259</v>
      </c>
      <c r="CJ1287" s="5" t="s">
        <v>260</v>
      </c>
      <c r="CK1287" s="5" t="s">
        <v>238</v>
      </c>
      <c r="CM1287" s="5" t="s">
        <v>306</v>
      </c>
      <c r="CN1287" s="6" t="s">
        <v>262</v>
      </c>
      <c r="CO1287" s="5" t="s">
        <v>263</v>
      </c>
      <c r="CP1287" s="5" t="s">
        <v>264</v>
      </c>
      <c r="CQ1287" s="5" t="s">
        <v>285</v>
      </c>
      <c r="CR1287" s="5" t="s">
        <v>238</v>
      </c>
      <c r="CS1287" s="5">
        <v>2.7E-2</v>
      </c>
      <c r="CT1287" s="5" t="s">
        <v>265</v>
      </c>
      <c r="CU1287" s="5" t="s">
        <v>2381</v>
      </c>
      <c r="CV1287" s="5" t="s">
        <v>308</v>
      </c>
      <c r="CW1287" s="7">
        <f>0</f>
        <v>0</v>
      </c>
      <c r="CX1287" s="8">
        <f>101707000</f>
        <v>101707000</v>
      </c>
      <c r="CY1287" s="8">
        <f>8339974</f>
        <v>8339974</v>
      </c>
      <c r="DA1287" s="5" t="s">
        <v>238</v>
      </c>
      <c r="DB1287" s="5" t="s">
        <v>238</v>
      </c>
      <c r="DD1287" s="5" t="s">
        <v>238</v>
      </c>
      <c r="DE1287" s="8">
        <f>0</f>
        <v>0</v>
      </c>
      <c r="DG1287" s="5" t="s">
        <v>238</v>
      </c>
      <c r="DH1287" s="5" t="s">
        <v>238</v>
      </c>
      <c r="DI1287" s="5" t="s">
        <v>238</v>
      </c>
      <c r="DJ1287" s="5" t="s">
        <v>238</v>
      </c>
      <c r="DK1287" s="5" t="s">
        <v>274</v>
      </c>
      <c r="DL1287" s="5" t="s">
        <v>272</v>
      </c>
      <c r="DM1287" s="7">
        <f>383.8</f>
        <v>383.8</v>
      </c>
      <c r="DN1287" s="5" t="s">
        <v>238</v>
      </c>
      <c r="DO1287" s="5" t="s">
        <v>238</v>
      </c>
      <c r="DP1287" s="5" t="s">
        <v>238</v>
      </c>
      <c r="DQ1287" s="5" t="s">
        <v>238</v>
      </c>
      <c r="DT1287" s="5" t="s">
        <v>2422</v>
      </c>
      <c r="DU1287" s="5" t="s">
        <v>271</v>
      </c>
      <c r="GL1287" s="5" t="s">
        <v>2423</v>
      </c>
      <c r="HM1287" s="5" t="s">
        <v>389</v>
      </c>
      <c r="HP1287" s="5" t="s">
        <v>272</v>
      </c>
      <c r="HQ1287" s="5" t="s">
        <v>272</v>
      </c>
      <c r="HR1287" s="5" t="s">
        <v>238</v>
      </c>
      <c r="HS1287" s="5" t="s">
        <v>238</v>
      </c>
      <c r="HT1287" s="5" t="s">
        <v>238</v>
      </c>
      <c r="HU1287" s="5" t="s">
        <v>238</v>
      </c>
      <c r="HV1287" s="5" t="s">
        <v>238</v>
      </c>
      <c r="HW1287" s="5" t="s">
        <v>238</v>
      </c>
      <c r="HX1287" s="5" t="s">
        <v>238</v>
      </c>
      <c r="HY1287" s="5" t="s">
        <v>238</v>
      </c>
      <c r="HZ1287" s="5" t="s">
        <v>238</v>
      </c>
      <c r="IA1287" s="5" t="s">
        <v>238</v>
      </c>
      <c r="IB1287" s="5" t="s">
        <v>238</v>
      </c>
      <c r="IC1287" s="5" t="s">
        <v>238</v>
      </c>
      <c r="ID1287" s="5" t="s">
        <v>238</v>
      </c>
    </row>
    <row r="1288" spans="1:238" x14ac:dyDescent="0.4">
      <c r="A1288" s="5">
        <v>1629</v>
      </c>
      <c r="B1288" s="5">
        <v>1</v>
      </c>
      <c r="C1288" s="5">
        <v>1</v>
      </c>
      <c r="D1288" s="5" t="s">
        <v>2465</v>
      </c>
      <c r="E1288" s="5" t="s">
        <v>1337</v>
      </c>
      <c r="F1288" s="5" t="s">
        <v>282</v>
      </c>
      <c r="G1288" s="5" t="s">
        <v>949</v>
      </c>
      <c r="H1288" s="6" t="s">
        <v>2466</v>
      </c>
      <c r="I1288" s="5" t="s">
        <v>949</v>
      </c>
      <c r="J1288" s="7">
        <f>71</f>
        <v>71</v>
      </c>
      <c r="K1288" s="5" t="s">
        <v>270</v>
      </c>
      <c r="L1288" s="8">
        <f>1</f>
        <v>1</v>
      </c>
      <c r="M1288" s="8">
        <f>9230000</f>
        <v>9230000</v>
      </c>
      <c r="N1288" s="6" t="s">
        <v>1571</v>
      </c>
      <c r="O1288" s="5" t="s">
        <v>639</v>
      </c>
      <c r="P1288" s="5" t="s">
        <v>639</v>
      </c>
      <c r="R1288" s="8">
        <f>9229999</f>
        <v>9229999</v>
      </c>
      <c r="S1288" s="5" t="s">
        <v>240</v>
      </c>
      <c r="T1288" s="5" t="s">
        <v>237</v>
      </c>
      <c r="U1288" s="5" t="s">
        <v>238</v>
      </c>
      <c r="V1288" s="5" t="s">
        <v>238</v>
      </c>
      <c r="W1288" s="5" t="s">
        <v>241</v>
      </c>
      <c r="X1288" s="5" t="s">
        <v>951</v>
      </c>
      <c r="Y1288" s="5" t="s">
        <v>238</v>
      </c>
      <c r="AB1288" s="5" t="s">
        <v>238</v>
      </c>
      <c r="AD1288" s="6" t="s">
        <v>238</v>
      </c>
      <c r="AG1288" s="6" t="s">
        <v>246</v>
      </c>
      <c r="AH1288" s="5" t="s">
        <v>247</v>
      </c>
      <c r="AI1288" s="5" t="s">
        <v>248</v>
      </c>
      <c r="AY1288" s="5" t="s">
        <v>250</v>
      </c>
      <c r="AZ1288" s="5" t="s">
        <v>238</v>
      </c>
      <c r="BA1288" s="5" t="s">
        <v>251</v>
      </c>
      <c r="BB1288" s="5" t="s">
        <v>238</v>
      </c>
      <c r="BC1288" s="5" t="s">
        <v>253</v>
      </c>
      <c r="BD1288" s="5" t="s">
        <v>238</v>
      </c>
      <c r="BF1288" s="5" t="s">
        <v>710</v>
      </c>
      <c r="BH1288" s="5" t="s">
        <v>697</v>
      </c>
      <c r="BI1288" s="6" t="s">
        <v>698</v>
      </c>
      <c r="BJ1288" s="5" t="s">
        <v>255</v>
      </c>
      <c r="BK1288" s="5" t="s">
        <v>294</v>
      </c>
      <c r="BL1288" s="5" t="s">
        <v>238</v>
      </c>
      <c r="BM1288" s="7">
        <f>0</f>
        <v>0</v>
      </c>
      <c r="BN1288" s="8">
        <f>0</f>
        <v>0</v>
      </c>
      <c r="BO1288" s="5" t="s">
        <v>257</v>
      </c>
      <c r="BP1288" s="5" t="s">
        <v>258</v>
      </c>
      <c r="CD1288" s="5" t="s">
        <v>238</v>
      </c>
      <c r="CE1288" s="5" t="s">
        <v>238</v>
      </c>
      <c r="CI1288" s="5" t="s">
        <v>527</v>
      </c>
      <c r="CJ1288" s="5" t="s">
        <v>260</v>
      </c>
      <c r="CK1288" s="5" t="s">
        <v>238</v>
      </c>
      <c r="CM1288" s="5" t="s">
        <v>699</v>
      </c>
      <c r="CN1288" s="6" t="s">
        <v>262</v>
      </c>
      <c r="CO1288" s="5" t="s">
        <v>263</v>
      </c>
      <c r="CP1288" s="5" t="s">
        <v>264</v>
      </c>
      <c r="CQ1288" s="5" t="s">
        <v>238</v>
      </c>
      <c r="CR1288" s="5" t="s">
        <v>238</v>
      </c>
      <c r="CS1288" s="5">
        <v>0</v>
      </c>
      <c r="CT1288" s="5" t="s">
        <v>265</v>
      </c>
      <c r="CU1288" s="5" t="s">
        <v>2381</v>
      </c>
      <c r="CV1288" s="5" t="s">
        <v>308</v>
      </c>
      <c r="CX1288" s="8">
        <f>9230000</f>
        <v>9230000</v>
      </c>
      <c r="CY1288" s="8">
        <f>0</f>
        <v>0</v>
      </c>
      <c r="DA1288" s="5" t="s">
        <v>238</v>
      </c>
      <c r="DB1288" s="5" t="s">
        <v>238</v>
      </c>
      <c r="DD1288" s="5" t="s">
        <v>238</v>
      </c>
      <c r="DG1288" s="5" t="s">
        <v>238</v>
      </c>
      <c r="DH1288" s="5" t="s">
        <v>238</v>
      </c>
      <c r="DI1288" s="5" t="s">
        <v>238</v>
      </c>
      <c r="DJ1288" s="5" t="s">
        <v>238</v>
      </c>
      <c r="DK1288" s="5" t="s">
        <v>274</v>
      </c>
      <c r="DL1288" s="5" t="s">
        <v>272</v>
      </c>
      <c r="DM1288" s="7">
        <f>71</f>
        <v>71</v>
      </c>
      <c r="DN1288" s="5" t="s">
        <v>238</v>
      </c>
      <c r="DO1288" s="5" t="s">
        <v>238</v>
      </c>
      <c r="DP1288" s="5" t="s">
        <v>238</v>
      </c>
      <c r="DQ1288" s="5" t="s">
        <v>238</v>
      </c>
      <c r="DT1288" s="5" t="s">
        <v>2467</v>
      </c>
      <c r="DU1288" s="5" t="s">
        <v>271</v>
      </c>
      <c r="HM1288" s="5" t="s">
        <v>310</v>
      </c>
      <c r="HP1288" s="5" t="s">
        <v>272</v>
      </c>
      <c r="HQ1288" s="5" t="s">
        <v>272</v>
      </c>
    </row>
    <row r="1289" spans="1:238" x14ac:dyDescent="0.4">
      <c r="A1289" s="5">
        <v>1630</v>
      </c>
      <c r="B1289" s="5">
        <v>1</v>
      </c>
      <c r="C1289" s="5">
        <v>1</v>
      </c>
      <c r="D1289" s="5" t="s">
        <v>2468</v>
      </c>
      <c r="E1289" s="5" t="s">
        <v>1337</v>
      </c>
      <c r="F1289" s="5" t="s">
        <v>282</v>
      </c>
      <c r="G1289" s="5" t="s">
        <v>949</v>
      </c>
      <c r="H1289" s="6" t="s">
        <v>2469</v>
      </c>
      <c r="I1289" s="5" t="s">
        <v>949</v>
      </c>
      <c r="J1289" s="7">
        <f>42.9</f>
        <v>42.9</v>
      </c>
      <c r="K1289" s="5" t="s">
        <v>270</v>
      </c>
      <c r="L1289" s="8">
        <f>1</f>
        <v>1</v>
      </c>
      <c r="M1289" s="8">
        <f>5577000</f>
        <v>5577000</v>
      </c>
      <c r="N1289" s="6" t="s">
        <v>1571</v>
      </c>
      <c r="O1289" s="5" t="s">
        <v>639</v>
      </c>
      <c r="P1289" s="5" t="s">
        <v>639</v>
      </c>
      <c r="R1289" s="8">
        <f>5576999</f>
        <v>5576999</v>
      </c>
      <c r="S1289" s="5" t="s">
        <v>240</v>
      </c>
      <c r="T1289" s="5" t="s">
        <v>237</v>
      </c>
      <c r="U1289" s="5" t="s">
        <v>238</v>
      </c>
      <c r="V1289" s="5" t="s">
        <v>238</v>
      </c>
      <c r="W1289" s="5" t="s">
        <v>241</v>
      </c>
      <c r="X1289" s="5" t="s">
        <v>951</v>
      </c>
      <c r="Y1289" s="5" t="s">
        <v>238</v>
      </c>
      <c r="AB1289" s="5" t="s">
        <v>238</v>
      </c>
      <c r="AD1289" s="6" t="s">
        <v>238</v>
      </c>
      <c r="AG1289" s="6" t="s">
        <v>246</v>
      </c>
      <c r="AH1289" s="5" t="s">
        <v>247</v>
      </c>
      <c r="AI1289" s="5" t="s">
        <v>248</v>
      </c>
      <c r="AY1289" s="5" t="s">
        <v>250</v>
      </c>
      <c r="AZ1289" s="5" t="s">
        <v>238</v>
      </c>
      <c r="BA1289" s="5" t="s">
        <v>251</v>
      </c>
      <c r="BB1289" s="5" t="s">
        <v>238</v>
      </c>
      <c r="BC1289" s="5" t="s">
        <v>253</v>
      </c>
      <c r="BD1289" s="5" t="s">
        <v>238</v>
      </c>
      <c r="BF1289" s="5" t="s">
        <v>710</v>
      </c>
      <c r="BH1289" s="5" t="s">
        <v>798</v>
      </c>
      <c r="BI1289" s="6" t="s">
        <v>799</v>
      </c>
      <c r="BJ1289" s="5" t="s">
        <v>255</v>
      </c>
      <c r="BK1289" s="5" t="s">
        <v>294</v>
      </c>
      <c r="BL1289" s="5" t="s">
        <v>238</v>
      </c>
      <c r="BM1289" s="7">
        <f>0</f>
        <v>0</v>
      </c>
      <c r="BN1289" s="8">
        <f>0</f>
        <v>0</v>
      </c>
      <c r="BO1289" s="5" t="s">
        <v>257</v>
      </c>
      <c r="BP1289" s="5" t="s">
        <v>258</v>
      </c>
      <c r="CD1289" s="5" t="s">
        <v>238</v>
      </c>
      <c r="CE1289" s="5" t="s">
        <v>238</v>
      </c>
      <c r="CI1289" s="5" t="s">
        <v>527</v>
      </c>
      <c r="CJ1289" s="5" t="s">
        <v>260</v>
      </c>
      <c r="CK1289" s="5" t="s">
        <v>238</v>
      </c>
      <c r="CM1289" s="5" t="s">
        <v>699</v>
      </c>
      <c r="CN1289" s="6" t="s">
        <v>262</v>
      </c>
      <c r="CO1289" s="5" t="s">
        <v>263</v>
      </c>
      <c r="CP1289" s="5" t="s">
        <v>264</v>
      </c>
      <c r="CQ1289" s="5" t="s">
        <v>238</v>
      </c>
      <c r="CR1289" s="5" t="s">
        <v>238</v>
      </c>
      <c r="CS1289" s="5">
        <v>0</v>
      </c>
      <c r="CT1289" s="5" t="s">
        <v>265</v>
      </c>
      <c r="CU1289" s="5" t="s">
        <v>2381</v>
      </c>
      <c r="CV1289" s="5" t="s">
        <v>308</v>
      </c>
      <c r="CX1289" s="8">
        <f>5577000</f>
        <v>5577000</v>
      </c>
      <c r="CY1289" s="8">
        <f>0</f>
        <v>0</v>
      </c>
      <c r="DA1289" s="5" t="s">
        <v>238</v>
      </c>
      <c r="DB1289" s="5" t="s">
        <v>238</v>
      </c>
      <c r="DD1289" s="5" t="s">
        <v>238</v>
      </c>
      <c r="DG1289" s="5" t="s">
        <v>238</v>
      </c>
      <c r="DH1289" s="5" t="s">
        <v>238</v>
      </c>
      <c r="DI1289" s="5" t="s">
        <v>238</v>
      </c>
      <c r="DJ1289" s="5" t="s">
        <v>238</v>
      </c>
      <c r="DK1289" s="5" t="s">
        <v>271</v>
      </c>
      <c r="DL1289" s="5" t="s">
        <v>272</v>
      </c>
      <c r="DM1289" s="7">
        <f>42.9</f>
        <v>42.9</v>
      </c>
      <c r="DN1289" s="5" t="s">
        <v>238</v>
      </c>
      <c r="DO1289" s="5" t="s">
        <v>238</v>
      </c>
      <c r="DP1289" s="5" t="s">
        <v>238</v>
      </c>
      <c r="DQ1289" s="5" t="s">
        <v>238</v>
      </c>
      <c r="DT1289" s="5" t="s">
        <v>2470</v>
      </c>
      <c r="DU1289" s="5" t="s">
        <v>271</v>
      </c>
      <c r="HM1289" s="5" t="s">
        <v>310</v>
      </c>
      <c r="HP1289" s="5" t="s">
        <v>272</v>
      </c>
      <c r="HQ1289" s="5" t="s">
        <v>272</v>
      </c>
    </row>
    <row r="1290" spans="1:238" x14ac:dyDescent="0.4">
      <c r="A1290" s="5">
        <v>1631</v>
      </c>
      <c r="B1290" s="5">
        <v>1</v>
      </c>
      <c r="C1290" s="5">
        <v>4</v>
      </c>
      <c r="D1290" s="5" t="s">
        <v>2424</v>
      </c>
      <c r="E1290" s="5" t="s">
        <v>1337</v>
      </c>
      <c r="F1290" s="5" t="s">
        <v>282</v>
      </c>
      <c r="G1290" s="5" t="s">
        <v>1398</v>
      </c>
      <c r="H1290" s="6" t="s">
        <v>2425</v>
      </c>
      <c r="I1290" s="5" t="s">
        <v>949</v>
      </c>
      <c r="J1290" s="7">
        <f>58.85</f>
        <v>58.85</v>
      </c>
      <c r="K1290" s="5" t="s">
        <v>270</v>
      </c>
      <c r="L1290" s="8">
        <f>15623</f>
        <v>15623</v>
      </c>
      <c r="M1290" s="8">
        <f>15595250</f>
        <v>15595250</v>
      </c>
      <c r="N1290" s="6" t="s">
        <v>1785</v>
      </c>
      <c r="O1290" s="5" t="s">
        <v>639</v>
      </c>
      <c r="P1290" s="5" t="s">
        <v>1042</v>
      </c>
      <c r="Q1290" s="8">
        <f>421071</f>
        <v>421071</v>
      </c>
      <c r="R1290" s="8">
        <f>15579627</f>
        <v>15579627</v>
      </c>
      <c r="S1290" s="5" t="s">
        <v>240</v>
      </c>
      <c r="T1290" s="5" t="s">
        <v>237</v>
      </c>
      <c r="U1290" s="5" t="s">
        <v>238</v>
      </c>
      <c r="V1290" s="5" t="s">
        <v>238</v>
      </c>
      <c r="W1290" s="5" t="s">
        <v>241</v>
      </c>
      <c r="X1290" s="5" t="s">
        <v>951</v>
      </c>
      <c r="Y1290" s="5" t="s">
        <v>238</v>
      </c>
      <c r="AB1290" s="5" t="s">
        <v>238</v>
      </c>
      <c r="AC1290" s="6" t="s">
        <v>238</v>
      </c>
      <c r="AD1290" s="6" t="s">
        <v>238</v>
      </c>
      <c r="AF1290" s="6" t="s">
        <v>238</v>
      </c>
      <c r="AG1290" s="6" t="s">
        <v>246</v>
      </c>
      <c r="AH1290" s="5" t="s">
        <v>247</v>
      </c>
      <c r="AI1290" s="5" t="s">
        <v>248</v>
      </c>
      <c r="AO1290" s="5" t="s">
        <v>238</v>
      </c>
      <c r="AP1290" s="5" t="s">
        <v>238</v>
      </c>
      <c r="AQ1290" s="5" t="s">
        <v>238</v>
      </c>
      <c r="AR1290" s="6" t="s">
        <v>238</v>
      </c>
      <c r="AS1290" s="6" t="s">
        <v>238</v>
      </c>
      <c r="AT1290" s="6" t="s">
        <v>238</v>
      </c>
      <c r="AW1290" s="5" t="s">
        <v>304</v>
      </c>
      <c r="AX1290" s="5" t="s">
        <v>304</v>
      </c>
      <c r="AY1290" s="5" t="s">
        <v>250</v>
      </c>
      <c r="AZ1290" s="5" t="s">
        <v>305</v>
      </c>
      <c r="BA1290" s="5" t="s">
        <v>251</v>
      </c>
      <c r="BB1290" s="5" t="s">
        <v>238</v>
      </c>
      <c r="BC1290" s="5" t="s">
        <v>253</v>
      </c>
      <c r="BD1290" s="5" t="s">
        <v>238</v>
      </c>
      <c r="BF1290" s="5" t="s">
        <v>710</v>
      </c>
      <c r="BH1290" s="5" t="s">
        <v>283</v>
      </c>
      <c r="BI1290" s="6" t="s">
        <v>293</v>
      </c>
      <c r="BJ1290" s="5" t="s">
        <v>294</v>
      </c>
      <c r="BK1290" s="5" t="s">
        <v>294</v>
      </c>
      <c r="BL1290" s="5" t="s">
        <v>238</v>
      </c>
      <c r="BM1290" s="7">
        <f>0</f>
        <v>0</v>
      </c>
      <c r="BN1290" s="8">
        <f>-421071</f>
        <v>-421071</v>
      </c>
      <c r="BO1290" s="5" t="s">
        <v>257</v>
      </c>
      <c r="BP1290" s="5" t="s">
        <v>258</v>
      </c>
      <c r="BQ1290" s="5" t="s">
        <v>238</v>
      </c>
      <c r="BR1290" s="5" t="s">
        <v>238</v>
      </c>
      <c r="BS1290" s="5" t="s">
        <v>238</v>
      </c>
      <c r="BT1290" s="5" t="s">
        <v>238</v>
      </c>
      <c r="CC1290" s="5" t="s">
        <v>258</v>
      </c>
      <c r="CD1290" s="5" t="s">
        <v>238</v>
      </c>
      <c r="CE1290" s="5" t="s">
        <v>238</v>
      </c>
      <c r="CI1290" s="5" t="s">
        <v>259</v>
      </c>
      <c r="CJ1290" s="5" t="s">
        <v>260</v>
      </c>
      <c r="CK1290" s="5" t="s">
        <v>238</v>
      </c>
      <c r="CM1290" s="5" t="s">
        <v>882</v>
      </c>
      <c r="CN1290" s="6" t="s">
        <v>262</v>
      </c>
      <c r="CO1290" s="5" t="s">
        <v>263</v>
      </c>
      <c r="CP1290" s="5" t="s">
        <v>264</v>
      </c>
      <c r="CQ1290" s="5" t="s">
        <v>285</v>
      </c>
      <c r="CR1290" s="5" t="s">
        <v>238</v>
      </c>
      <c r="CS1290" s="5">
        <v>2.7E-2</v>
      </c>
      <c r="CT1290" s="5" t="s">
        <v>265</v>
      </c>
      <c r="CU1290" s="5" t="s">
        <v>2381</v>
      </c>
      <c r="CV1290" s="5" t="s">
        <v>308</v>
      </c>
      <c r="CW1290" s="7">
        <f>0</f>
        <v>0</v>
      </c>
      <c r="CX1290" s="8">
        <f>15595250</f>
        <v>15595250</v>
      </c>
      <c r="CY1290" s="8">
        <f>436694</f>
        <v>436694</v>
      </c>
      <c r="DA1290" s="5" t="s">
        <v>238</v>
      </c>
      <c r="DB1290" s="5" t="s">
        <v>238</v>
      </c>
      <c r="DD1290" s="5" t="s">
        <v>238</v>
      </c>
      <c r="DE1290" s="8">
        <f>0</f>
        <v>0</v>
      </c>
      <c r="DG1290" s="5" t="s">
        <v>238</v>
      </c>
      <c r="DH1290" s="5" t="s">
        <v>238</v>
      </c>
      <c r="DI1290" s="5" t="s">
        <v>238</v>
      </c>
      <c r="DJ1290" s="5" t="s">
        <v>238</v>
      </c>
      <c r="DK1290" s="5" t="s">
        <v>271</v>
      </c>
      <c r="DL1290" s="5" t="s">
        <v>272</v>
      </c>
      <c r="DM1290" s="7">
        <f>58.85</f>
        <v>58.85</v>
      </c>
      <c r="DN1290" s="5" t="s">
        <v>238</v>
      </c>
      <c r="DO1290" s="5" t="s">
        <v>238</v>
      </c>
      <c r="DP1290" s="5" t="s">
        <v>238</v>
      </c>
      <c r="DQ1290" s="5" t="s">
        <v>238</v>
      </c>
      <c r="DT1290" s="5" t="s">
        <v>2426</v>
      </c>
      <c r="DU1290" s="5" t="s">
        <v>271</v>
      </c>
      <c r="GL1290" s="5" t="s">
        <v>2427</v>
      </c>
      <c r="HM1290" s="5" t="s">
        <v>389</v>
      </c>
      <c r="HP1290" s="5" t="s">
        <v>272</v>
      </c>
      <c r="HQ1290" s="5" t="s">
        <v>272</v>
      </c>
      <c r="HR1290" s="5" t="s">
        <v>238</v>
      </c>
      <c r="HS1290" s="5" t="s">
        <v>238</v>
      </c>
      <c r="HT1290" s="5" t="s">
        <v>238</v>
      </c>
      <c r="HU1290" s="5" t="s">
        <v>238</v>
      </c>
      <c r="HV1290" s="5" t="s">
        <v>238</v>
      </c>
      <c r="HW1290" s="5" t="s">
        <v>238</v>
      </c>
      <c r="HX1290" s="5" t="s">
        <v>238</v>
      </c>
      <c r="HY1290" s="5" t="s">
        <v>238</v>
      </c>
      <c r="HZ1290" s="5" t="s">
        <v>238</v>
      </c>
      <c r="IA1290" s="5" t="s">
        <v>238</v>
      </c>
      <c r="IB1290" s="5" t="s">
        <v>238</v>
      </c>
      <c r="IC1290" s="5" t="s">
        <v>238</v>
      </c>
      <c r="ID1290" s="5" t="s">
        <v>238</v>
      </c>
    </row>
    <row r="1291" spans="1:238" x14ac:dyDescent="0.4">
      <c r="A1291" s="5">
        <v>1632</v>
      </c>
      <c r="B1291" s="5">
        <v>1</v>
      </c>
      <c r="C1291" s="5">
        <v>4</v>
      </c>
      <c r="D1291" s="5" t="s">
        <v>2428</v>
      </c>
      <c r="E1291" s="5" t="s">
        <v>1337</v>
      </c>
      <c r="F1291" s="5" t="s">
        <v>282</v>
      </c>
      <c r="G1291" s="5" t="s">
        <v>1398</v>
      </c>
      <c r="H1291" s="6" t="s">
        <v>2430</v>
      </c>
      <c r="I1291" s="5" t="s">
        <v>949</v>
      </c>
      <c r="J1291" s="7">
        <f>101</f>
        <v>101</v>
      </c>
      <c r="K1291" s="5" t="s">
        <v>270</v>
      </c>
      <c r="L1291" s="8">
        <f>173197332</f>
        <v>173197332</v>
      </c>
      <c r="M1291" s="8">
        <f>266868000</f>
        <v>266868000</v>
      </c>
      <c r="N1291" s="6" t="s">
        <v>2429</v>
      </c>
      <c r="O1291" s="5" t="s">
        <v>639</v>
      </c>
      <c r="P1291" s="5" t="s">
        <v>371</v>
      </c>
      <c r="Q1291" s="8">
        <f>7205436</f>
        <v>7205436</v>
      </c>
      <c r="R1291" s="8">
        <f>93670668</f>
        <v>93670668</v>
      </c>
      <c r="S1291" s="5" t="s">
        <v>240</v>
      </c>
      <c r="T1291" s="5" t="s">
        <v>237</v>
      </c>
      <c r="U1291" s="5" t="s">
        <v>238</v>
      </c>
      <c r="V1291" s="5" t="s">
        <v>238</v>
      </c>
      <c r="W1291" s="5" t="s">
        <v>241</v>
      </c>
      <c r="X1291" s="5" t="s">
        <v>951</v>
      </c>
      <c r="Y1291" s="5" t="s">
        <v>238</v>
      </c>
      <c r="AB1291" s="5" t="s">
        <v>238</v>
      </c>
      <c r="AC1291" s="6" t="s">
        <v>238</v>
      </c>
      <c r="AD1291" s="6" t="s">
        <v>238</v>
      </c>
      <c r="AF1291" s="6" t="s">
        <v>238</v>
      </c>
      <c r="AG1291" s="6" t="s">
        <v>246</v>
      </c>
      <c r="AH1291" s="5" t="s">
        <v>247</v>
      </c>
      <c r="AI1291" s="5" t="s">
        <v>248</v>
      </c>
      <c r="AO1291" s="5" t="s">
        <v>238</v>
      </c>
      <c r="AP1291" s="5" t="s">
        <v>238</v>
      </c>
      <c r="AQ1291" s="5" t="s">
        <v>238</v>
      </c>
      <c r="AR1291" s="6" t="s">
        <v>238</v>
      </c>
      <c r="AS1291" s="6" t="s">
        <v>238</v>
      </c>
      <c r="AT1291" s="6" t="s">
        <v>238</v>
      </c>
      <c r="AW1291" s="5" t="s">
        <v>304</v>
      </c>
      <c r="AX1291" s="5" t="s">
        <v>304</v>
      </c>
      <c r="AY1291" s="5" t="s">
        <v>250</v>
      </c>
      <c r="AZ1291" s="5" t="s">
        <v>305</v>
      </c>
      <c r="BA1291" s="5" t="s">
        <v>251</v>
      </c>
      <c r="BB1291" s="5" t="s">
        <v>238</v>
      </c>
      <c r="BC1291" s="5" t="s">
        <v>253</v>
      </c>
      <c r="BD1291" s="5" t="s">
        <v>238</v>
      </c>
      <c r="BF1291" s="5" t="s">
        <v>710</v>
      </c>
      <c r="BH1291" s="5" t="s">
        <v>283</v>
      </c>
      <c r="BI1291" s="6" t="s">
        <v>293</v>
      </c>
      <c r="BJ1291" s="5" t="s">
        <v>294</v>
      </c>
      <c r="BK1291" s="5" t="s">
        <v>294</v>
      </c>
      <c r="BL1291" s="5" t="s">
        <v>238</v>
      </c>
      <c r="BM1291" s="7">
        <f>0</f>
        <v>0</v>
      </c>
      <c r="BN1291" s="8">
        <f>-7205436</f>
        <v>-7205436</v>
      </c>
      <c r="BO1291" s="5" t="s">
        <v>257</v>
      </c>
      <c r="BP1291" s="5" t="s">
        <v>258</v>
      </c>
      <c r="BQ1291" s="5" t="s">
        <v>238</v>
      </c>
      <c r="BR1291" s="5" t="s">
        <v>238</v>
      </c>
      <c r="BS1291" s="5" t="s">
        <v>238</v>
      </c>
      <c r="BT1291" s="5" t="s">
        <v>238</v>
      </c>
      <c r="CC1291" s="5" t="s">
        <v>258</v>
      </c>
      <c r="CD1291" s="5" t="s">
        <v>238</v>
      </c>
      <c r="CE1291" s="5" t="s">
        <v>238</v>
      </c>
      <c r="CI1291" s="5" t="s">
        <v>259</v>
      </c>
      <c r="CJ1291" s="5" t="s">
        <v>260</v>
      </c>
      <c r="CK1291" s="5" t="s">
        <v>238</v>
      </c>
      <c r="CM1291" s="5" t="s">
        <v>732</v>
      </c>
      <c r="CN1291" s="6" t="s">
        <v>262</v>
      </c>
      <c r="CO1291" s="5" t="s">
        <v>263</v>
      </c>
      <c r="CP1291" s="5" t="s">
        <v>264</v>
      </c>
      <c r="CQ1291" s="5" t="s">
        <v>285</v>
      </c>
      <c r="CR1291" s="5" t="s">
        <v>238</v>
      </c>
      <c r="CS1291" s="5">
        <v>2.7E-2</v>
      </c>
      <c r="CT1291" s="5" t="s">
        <v>265</v>
      </c>
      <c r="CU1291" s="5" t="s">
        <v>2381</v>
      </c>
      <c r="CV1291" s="5" t="s">
        <v>308</v>
      </c>
      <c r="CW1291" s="7">
        <f>0</f>
        <v>0</v>
      </c>
      <c r="CX1291" s="8">
        <f>266868000</f>
        <v>266868000</v>
      </c>
      <c r="CY1291" s="8">
        <f>180402768</f>
        <v>180402768</v>
      </c>
      <c r="DA1291" s="5" t="s">
        <v>238</v>
      </c>
      <c r="DB1291" s="5" t="s">
        <v>238</v>
      </c>
      <c r="DD1291" s="5" t="s">
        <v>238</v>
      </c>
      <c r="DE1291" s="8">
        <f>0</f>
        <v>0</v>
      </c>
      <c r="DG1291" s="5" t="s">
        <v>238</v>
      </c>
      <c r="DH1291" s="5" t="s">
        <v>238</v>
      </c>
      <c r="DI1291" s="5" t="s">
        <v>238</v>
      </c>
      <c r="DJ1291" s="5" t="s">
        <v>238</v>
      </c>
      <c r="DK1291" s="5" t="s">
        <v>271</v>
      </c>
      <c r="DL1291" s="5" t="s">
        <v>272</v>
      </c>
      <c r="DM1291" s="7">
        <f>101</f>
        <v>101</v>
      </c>
      <c r="DN1291" s="5" t="s">
        <v>238</v>
      </c>
      <c r="DO1291" s="5" t="s">
        <v>238</v>
      </c>
      <c r="DP1291" s="5" t="s">
        <v>238</v>
      </c>
      <c r="DQ1291" s="5" t="s">
        <v>238</v>
      </c>
      <c r="DT1291" s="5" t="s">
        <v>2431</v>
      </c>
      <c r="DU1291" s="5" t="s">
        <v>271</v>
      </c>
      <c r="GL1291" s="5" t="s">
        <v>2432</v>
      </c>
      <c r="HM1291" s="5" t="s">
        <v>389</v>
      </c>
      <c r="HP1291" s="5" t="s">
        <v>272</v>
      </c>
      <c r="HQ1291" s="5" t="s">
        <v>272</v>
      </c>
      <c r="HR1291" s="5" t="s">
        <v>238</v>
      </c>
      <c r="HS1291" s="5" t="s">
        <v>238</v>
      </c>
      <c r="HT1291" s="5" t="s">
        <v>238</v>
      </c>
      <c r="HU1291" s="5" t="s">
        <v>238</v>
      </c>
      <c r="HV1291" s="5" t="s">
        <v>238</v>
      </c>
      <c r="HW1291" s="5" t="s">
        <v>238</v>
      </c>
      <c r="HX1291" s="5" t="s">
        <v>238</v>
      </c>
      <c r="HY1291" s="5" t="s">
        <v>238</v>
      </c>
      <c r="HZ1291" s="5" t="s">
        <v>238</v>
      </c>
      <c r="IA1291" s="5" t="s">
        <v>238</v>
      </c>
      <c r="IB1291" s="5" t="s">
        <v>238</v>
      </c>
      <c r="IC1291" s="5" t="s">
        <v>238</v>
      </c>
      <c r="ID1291" s="5" t="s">
        <v>238</v>
      </c>
    </row>
    <row r="1292" spans="1:238" x14ac:dyDescent="0.4">
      <c r="A1292" s="5">
        <v>1635</v>
      </c>
      <c r="B1292" s="5">
        <v>1</v>
      </c>
      <c r="C1292" s="5">
        <v>3</v>
      </c>
      <c r="D1292" s="5" t="s">
        <v>4041</v>
      </c>
      <c r="E1292" s="5" t="s">
        <v>1344</v>
      </c>
      <c r="F1292" s="5" t="s">
        <v>282</v>
      </c>
      <c r="G1292" s="5" t="s">
        <v>4043</v>
      </c>
      <c r="H1292" s="6" t="s">
        <v>4044</v>
      </c>
      <c r="I1292" s="5" t="s">
        <v>1327</v>
      </c>
      <c r="J1292" s="7">
        <f>63.76</f>
        <v>63.76</v>
      </c>
      <c r="K1292" s="5" t="s">
        <v>270</v>
      </c>
      <c r="L1292" s="8">
        <f>3678844</f>
        <v>3678844</v>
      </c>
      <c r="M1292" s="8">
        <f>6838000</f>
        <v>6838000</v>
      </c>
      <c r="N1292" s="6" t="s">
        <v>4042</v>
      </c>
      <c r="O1292" s="5" t="s">
        <v>651</v>
      </c>
      <c r="P1292" s="5" t="s">
        <v>361</v>
      </c>
      <c r="Q1292" s="8">
        <f>287196</f>
        <v>287196</v>
      </c>
      <c r="R1292" s="8">
        <f>3159156</f>
        <v>3159156</v>
      </c>
      <c r="S1292" s="5" t="s">
        <v>240</v>
      </c>
      <c r="T1292" s="5" t="s">
        <v>237</v>
      </c>
      <c r="W1292" s="5" t="s">
        <v>241</v>
      </c>
      <c r="X1292" s="5" t="s">
        <v>951</v>
      </c>
      <c r="Y1292" s="5" t="s">
        <v>238</v>
      </c>
      <c r="AB1292" s="5" t="s">
        <v>238</v>
      </c>
      <c r="AC1292" s="6" t="s">
        <v>238</v>
      </c>
      <c r="AD1292" s="6" t="s">
        <v>238</v>
      </c>
      <c r="AF1292" s="6" t="s">
        <v>238</v>
      </c>
      <c r="AG1292" s="6" t="s">
        <v>246</v>
      </c>
      <c r="AH1292" s="5" t="s">
        <v>247</v>
      </c>
      <c r="AI1292" s="5" t="s">
        <v>248</v>
      </c>
      <c r="AT1292" s="6" t="s">
        <v>238</v>
      </c>
      <c r="AW1292" s="5" t="s">
        <v>304</v>
      </c>
      <c r="AX1292" s="5" t="s">
        <v>304</v>
      </c>
      <c r="AY1292" s="5" t="s">
        <v>250</v>
      </c>
      <c r="AZ1292" s="5" t="s">
        <v>305</v>
      </c>
      <c r="BA1292" s="5" t="s">
        <v>251</v>
      </c>
      <c r="BB1292" s="5" t="s">
        <v>238</v>
      </c>
      <c r="BC1292" s="5" t="s">
        <v>253</v>
      </c>
      <c r="BD1292" s="5" t="s">
        <v>238</v>
      </c>
      <c r="BF1292" s="5" t="s">
        <v>238</v>
      </c>
      <c r="BH1292" s="5" t="s">
        <v>283</v>
      </c>
      <c r="BI1292" s="6" t="s">
        <v>293</v>
      </c>
      <c r="BJ1292" s="5" t="s">
        <v>294</v>
      </c>
      <c r="BK1292" s="5" t="s">
        <v>294</v>
      </c>
      <c r="BL1292" s="5" t="s">
        <v>238</v>
      </c>
      <c r="BM1292" s="7">
        <f>0</f>
        <v>0</v>
      </c>
      <c r="BN1292" s="8">
        <f>-287196</f>
        <v>-287196</v>
      </c>
      <c r="BO1292" s="5" t="s">
        <v>257</v>
      </c>
      <c r="BP1292" s="5" t="s">
        <v>258</v>
      </c>
      <c r="BQ1292" s="5" t="s">
        <v>238</v>
      </c>
      <c r="BR1292" s="5" t="s">
        <v>238</v>
      </c>
      <c r="BS1292" s="5" t="s">
        <v>238</v>
      </c>
      <c r="BT1292" s="5" t="s">
        <v>238</v>
      </c>
      <c r="CC1292" s="5" t="s">
        <v>258</v>
      </c>
      <c r="CD1292" s="5" t="s">
        <v>238</v>
      </c>
      <c r="CE1292" s="5" t="s">
        <v>238</v>
      </c>
      <c r="CI1292" s="5" t="s">
        <v>259</v>
      </c>
      <c r="CJ1292" s="5" t="s">
        <v>260</v>
      </c>
      <c r="CK1292" s="5" t="s">
        <v>238</v>
      </c>
      <c r="CM1292" s="5" t="s">
        <v>1945</v>
      </c>
      <c r="CN1292" s="6" t="s">
        <v>262</v>
      </c>
      <c r="CO1292" s="5" t="s">
        <v>263</v>
      </c>
      <c r="CP1292" s="5" t="s">
        <v>264</v>
      </c>
      <c r="CQ1292" s="5" t="s">
        <v>285</v>
      </c>
      <c r="CR1292" s="5" t="s">
        <v>238</v>
      </c>
      <c r="CS1292" s="5">
        <v>4.2000000000000003E-2</v>
      </c>
      <c r="CT1292" s="5" t="s">
        <v>265</v>
      </c>
      <c r="CU1292" s="5" t="s">
        <v>1333</v>
      </c>
      <c r="CV1292" s="5" t="s">
        <v>267</v>
      </c>
      <c r="CW1292" s="7">
        <f>0</f>
        <v>0</v>
      </c>
      <c r="CX1292" s="8">
        <f>6838000</f>
        <v>6838000</v>
      </c>
      <c r="CY1292" s="8">
        <f>3966040</f>
        <v>3966040</v>
      </c>
      <c r="DA1292" s="5" t="s">
        <v>238</v>
      </c>
      <c r="DB1292" s="5" t="s">
        <v>238</v>
      </c>
      <c r="DD1292" s="5" t="s">
        <v>238</v>
      </c>
      <c r="DE1292" s="8">
        <f>0</f>
        <v>0</v>
      </c>
      <c r="DG1292" s="5" t="s">
        <v>238</v>
      </c>
      <c r="DH1292" s="5" t="s">
        <v>238</v>
      </c>
      <c r="DI1292" s="5" t="s">
        <v>238</v>
      </c>
      <c r="DJ1292" s="5" t="s">
        <v>238</v>
      </c>
      <c r="DK1292" s="5" t="s">
        <v>271</v>
      </c>
      <c r="DL1292" s="5" t="s">
        <v>272</v>
      </c>
      <c r="DM1292" s="7">
        <f>63.76</f>
        <v>63.76</v>
      </c>
      <c r="DN1292" s="5" t="s">
        <v>238</v>
      </c>
      <c r="DO1292" s="5" t="s">
        <v>238</v>
      </c>
      <c r="DP1292" s="5" t="s">
        <v>238</v>
      </c>
      <c r="DQ1292" s="5" t="s">
        <v>238</v>
      </c>
      <c r="DT1292" s="5" t="s">
        <v>4045</v>
      </c>
      <c r="DU1292" s="5" t="s">
        <v>271</v>
      </c>
      <c r="HM1292" s="5" t="s">
        <v>395</v>
      </c>
      <c r="HP1292" s="5" t="s">
        <v>272</v>
      </c>
      <c r="HQ1292" s="5" t="s">
        <v>272</v>
      </c>
      <c r="HR1292" s="5" t="s">
        <v>238</v>
      </c>
      <c r="HS1292" s="5" t="s">
        <v>238</v>
      </c>
      <c r="HT1292" s="5" t="s">
        <v>238</v>
      </c>
      <c r="HU1292" s="5" t="s">
        <v>238</v>
      </c>
      <c r="HV1292" s="5" t="s">
        <v>238</v>
      </c>
      <c r="HW1292" s="5" t="s">
        <v>238</v>
      </c>
      <c r="HX1292" s="5" t="s">
        <v>238</v>
      </c>
      <c r="HY1292" s="5" t="s">
        <v>238</v>
      </c>
      <c r="HZ1292" s="5" t="s">
        <v>238</v>
      </c>
      <c r="IA1292" s="5" t="s">
        <v>238</v>
      </c>
      <c r="IB1292" s="5" t="s">
        <v>238</v>
      </c>
      <c r="IC1292" s="5" t="s">
        <v>238</v>
      </c>
      <c r="ID1292" s="5" t="s">
        <v>238</v>
      </c>
    </row>
    <row r="1293" spans="1:238" x14ac:dyDescent="0.4">
      <c r="A1293" s="5">
        <v>1636</v>
      </c>
      <c r="B1293" s="5">
        <v>1</v>
      </c>
      <c r="C1293" s="5">
        <v>4</v>
      </c>
      <c r="D1293" s="5" t="s">
        <v>1885</v>
      </c>
      <c r="E1293" s="5" t="s">
        <v>338</v>
      </c>
      <c r="F1293" s="5" t="s">
        <v>282</v>
      </c>
      <c r="G1293" s="5" t="s">
        <v>1886</v>
      </c>
      <c r="H1293" s="6" t="s">
        <v>1887</v>
      </c>
      <c r="I1293" s="5" t="s">
        <v>1845</v>
      </c>
      <c r="J1293" s="7">
        <f>308</f>
        <v>308</v>
      </c>
      <c r="K1293" s="5" t="s">
        <v>270</v>
      </c>
      <c r="L1293" s="8">
        <f>4213440</f>
        <v>4213440</v>
      </c>
      <c r="M1293" s="8">
        <f>55440000</f>
        <v>55440000</v>
      </c>
      <c r="N1293" s="6" t="s">
        <v>1571</v>
      </c>
      <c r="O1293" s="5" t="s">
        <v>898</v>
      </c>
      <c r="P1293" s="5" t="s">
        <v>915</v>
      </c>
      <c r="Q1293" s="8">
        <f>1219680</f>
        <v>1219680</v>
      </c>
      <c r="R1293" s="8">
        <f>51226560</f>
        <v>51226560</v>
      </c>
      <c r="S1293" s="5" t="s">
        <v>240</v>
      </c>
      <c r="T1293" s="5" t="s">
        <v>237</v>
      </c>
      <c r="U1293" s="5" t="s">
        <v>238</v>
      </c>
      <c r="V1293" s="5" t="s">
        <v>238</v>
      </c>
      <c r="W1293" s="5" t="s">
        <v>241</v>
      </c>
      <c r="X1293" s="5" t="s">
        <v>243</v>
      </c>
      <c r="Y1293" s="5" t="s">
        <v>238</v>
      </c>
      <c r="AB1293" s="5" t="s">
        <v>238</v>
      </c>
      <c r="AC1293" s="6" t="s">
        <v>238</v>
      </c>
      <c r="AD1293" s="6" t="s">
        <v>238</v>
      </c>
      <c r="AF1293" s="6" t="s">
        <v>238</v>
      </c>
      <c r="AG1293" s="6" t="s">
        <v>246</v>
      </c>
      <c r="AH1293" s="5" t="s">
        <v>247</v>
      </c>
      <c r="AI1293" s="5" t="s">
        <v>248</v>
      </c>
      <c r="AO1293" s="5" t="s">
        <v>238</v>
      </c>
      <c r="AP1293" s="5" t="s">
        <v>238</v>
      </c>
      <c r="AQ1293" s="5" t="s">
        <v>238</v>
      </c>
      <c r="AR1293" s="6" t="s">
        <v>238</v>
      </c>
      <c r="AS1293" s="6" t="s">
        <v>238</v>
      </c>
      <c r="AT1293" s="6" t="s">
        <v>238</v>
      </c>
      <c r="AW1293" s="5" t="s">
        <v>304</v>
      </c>
      <c r="AX1293" s="5" t="s">
        <v>304</v>
      </c>
      <c r="AY1293" s="5" t="s">
        <v>250</v>
      </c>
      <c r="AZ1293" s="5" t="s">
        <v>305</v>
      </c>
      <c r="BA1293" s="5" t="s">
        <v>251</v>
      </c>
      <c r="BB1293" s="5" t="s">
        <v>238</v>
      </c>
      <c r="BC1293" s="5" t="s">
        <v>253</v>
      </c>
      <c r="BD1293" s="5" t="s">
        <v>238</v>
      </c>
      <c r="BF1293" s="5" t="s">
        <v>710</v>
      </c>
      <c r="BH1293" s="5" t="s">
        <v>283</v>
      </c>
      <c r="BI1293" s="6" t="s">
        <v>293</v>
      </c>
      <c r="BJ1293" s="5" t="s">
        <v>294</v>
      </c>
      <c r="BK1293" s="5" t="s">
        <v>294</v>
      </c>
      <c r="BL1293" s="5" t="s">
        <v>238</v>
      </c>
      <c r="BM1293" s="7">
        <f>0</f>
        <v>0</v>
      </c>
      <c r="BN1293" s="8">
        <f>-1219680</f>
        <v>-1219680</v>
      </c>
      <c r="BO1293" s="5" t="s">
        <v>257</v>
      </c>
      <c r="BP1293" s="5" t="s">
        <v>258</v>
      </c>
      <c r="BQ1293" s="5" t="s">
        <v>238</v>
      </c>
      <c r="BR1293" s="5" t="s">
        <v>238</v>
      </c>
      <c r="BS1293" s="5" t="s">
        <v>238</v>
      </c>
      <c r="BT1293" s="5" t="s">
        <v>238</v>
      </c>
      <c r="CC1293" s="5" t="s">
        <v>258</v>
      </c>
      <c r="CD1293" s="5" t="s">
        <v>238</v>
      </c>
      <c r="CE1293" s="5" t="s">
        <v>238</v>
      </c>
      <c r="CI1293" s="5" t="s">
        <v>527</v>
      </c>
      <c r="CJ1293" s="5" t="s">
        <v>260</v>
      </c>
      <c r="CK1293" s="5" t="s">
        <v>238</v>
      </c>
      <c r="CM1293" s="5" t="s">
        <v>699</v>
      </c>
      <c r="CN1293" s="6" t="s">
        <v>262</v>
      </c>
      <c r="CO1293" s="5" t="s">
        <v>263</v>
      </c>
      <c r="CP1293" s="5" t="s">
        <v>264</v>
      </c>
      <c r="CQ1293" s="5" t="s">
        <v>285</v>
      </c>
      <c r="CR1293" s="5" t="s">
        <v>238</v>
      </c>
      <c r="CS1293" s="5">
        <v>2.1999999999999999E-2</v>
      </c>
      <c r="CT1293" s="5" t="s">
        <v>265</v>
      </c>
      <c r="CU1293" s="5" t="s">
        <v>1803</v>
      </c>
      <c r="CV1293" s="5" t="s">
        <v>308</v>
      </c>
      <c r="CW1293" s="7">
        <f>0</f>
        <v>0</v>
      </c>
      <c r="CX1293" s="8">
        <f>55440000</f>
        <v>55440000</v>
      </c>
      <c r="CY1293" s="8">
        <f>5433120</f>
        <v>5433120</v>
      </c>
      <c r="DA1293" s="5" t="s">
        <v>238</v>
      </c>
      <c r="DB1293" s="5" t="s">
        <v>238</v>
      </c>
      <c r="DD1293" s="5" t="s">
        <v>238</v>
      </c>
      <c r="DE1293" s="8">
        <f>0</f>
        <v>0</v>
      </c>
      <c r="DG1293" s="5" t="s">
        <v>238</v>
      </c>
      <c r="DH1293" s="5" t="s">
        <v>238</v>
      </c>
      <c r="DI1293" s="5" t="s">
        <v>238</v>
      </c>
      <c r="DJ1293" s="5" t="s">
        <v>238</v>
      </c>
      <c r="DK1293" s="5" t="s">
        <v>271</v>
      </c>
      <c r="DL1293" s="5" t="s">
        <v>272</v>
      </c>
      <c r="DM1293" s="7">
        <f>308</f>
        <v>308</v>
      </c>
      <c r="DN1293" s="5" t="s">
        <v>238</v>
      </c>
      <c r="DO1293" s="5" t="s">
        <v>238</v>
      </c>
      <c r="DP1293" s="5" t="s">
        <v>238</v>
      </c>
      <c r="DQ1293" s="5" t="s">
        <v>238</v>
      </c>
      <c r="DT1293" s="5" t="s">
        <v>1888</v>
      </c>
      <c r="DU1293" s="5" t="s">
        <v>271</v>
      </c>
      <c r="GL1293" s="5" t="s">
        <v>1889</v>
      </c>
      <c r="HM1293" s="5" t="s">
        <v>313</v>
      </c>
      <c r="HP1293" s="5" t="s">
        <v>272</v>
      </c>
      <c r="HQ1293" s="5" t="s">
        <v>272</v>
      </c>
      <c r="HR1293" s="5" t="s">
        <v>238</v>
      </c>
      <c r="HS1293" s="5" t="s">
        <v>238</v>
      </c>
      <c r="HT1293" s="5" t="s">
        <v>238</v>
      </c>
      <c r="HU1293" s="5" t="s">
        <v>238</v>
      </c>
      <c r="HV1293" s="5" t="s">
        <v>238</v>
      </c>
      <c r="HW1293" s="5" t="s">
        <v>238</v>
      </c>
      <c r="HX1293" s="5" t="s">
        <v>238</v>
      </c>
      <c r="HY1293" s="5" t="s">
        <v>238</v>
      </c>
      <c r="HZ1293" s="5" t="s">
        <v>238</v>
      </c>
      <c r="IA1293" s="5" t="s">
        <v>238</v>
      </c>
      <c r="IB1293" s="5" t="s">
        <v>238</v>
      </c>
      <c r="IC1293" s="5" t="s">
        <v>238</v>
      </c>
      <c r="ID1293" s="5" t="s">
        <v>238</v>
      </c>
    </row>
    <row r="1294" spans="1:238" x14ac:dyDescent="0.4">
      <c r="A1294" s="5">
        <v>1637</v>
      </c>
      <c r="B1294" s="5">
        <v>1</v>
      </c>
      <c r="C1294" s="5">
        <v>4</v>
      </c>
      <c r="D1294" s="5" t="s">
        <v>3007</v>
      </c>
      <c r="E1294" s="5" t="s">
        <v>1183</v>
      </c>
      <c r="F1294" s="5" t="s">
        <v>282</v>
      </c>
      <c r="G1294" s="5" t="s">
        <v>327</v>
      </c>
      <c r="H1294" s="6" t="s">
        <v>3009</v>
      </c>
      <c r="I1294" s="5" t="s">
        <v>3006</v>
      </c>
      <c r="J1294" s="7">
        <f>21.26</f>
        <v>21.26</v>
      </c>
      <c r="K1294" s="5" t="s">
        <v>270</v>
      </c>
      <c r="L1294" s="8">
        <f>8325376</f>
        <v>8325376</v>
      </c>
      <c r="M1294" s="8">
        <f>15082200</f>
        <v>15082200</v>
      </c>
      <c r="N1294" s="6" t="s">
        <v>3008</v>
      </c>
      <c r="O1294" s="5" t="s">
        <v>611</v>
      </c>
      <c r="P1294" s="5" t="s">
        <v>313</v>
      </c>
      <c r="Q1294" s="8">
        <f>844603</f>
        <v>844603</v>
      </c>
      <c r="R1294" s="8">
        <f>6756824</f>
        <v>6756824</v>
      </c>
      <c r="S1294" s="5" t="s">
        <v>240</v>
      </c>
      <c r="T1294" s="5" t="s">
        <v>237</v>
      </c>
      <c r="U1294" s="5" t="s">
        <v>238</v>
      </c>
      <c r="V1294" s="5" t="s">
        <v>238</v>
      </c>
      <c r="W1294" s="5" t="s">
        <v>241</v>
      </c>
      <c r="X1294" s="5" t="s">
        <v>243</v>
      </c>
      <c r="Y1294" s="5" t="s">
        <v>238</v>
      </c>
      <c r="AB1294" s="5" t="s">
        <v>238</v>
      </c>
      <c r="AC1294" s="6" t="s">
        <v>238</v>
      </c>
      <c r="AD1294" s="6" t="s">
        <v>238</v>
      </c>
      <c r="AF1294" s="6" t="s">
        <v>238</v>
      </c>
      <c r="AG1294" s="6" t="s">
        <v>246</v>
      </c>
      <c r="AH1294" s="5" t="s">
        <v>247</v>
      </c>
      <c r="AI1294" s="5" t="s">
        <v>248</v>
      </c>
      <c r="AO1294" s="5" t="s">
        <v>238</v>
      </c>
      <c r="AP1294" s="5" t="s">
        <v>238</v>
      </c>
      <c r="AQ1294" s="5" t="s">
        <v>238</v>
      </c>
      <c r="AR1294" s="6" t="s">
        <v>238</v>
      </c>
      <c r="AS1294" s="6" t="s">
        <v>238</v>
      </c>
      <c r="AT1294" s="6" t="s">
        <v>238</v>
      </c>
      <c r="AW1294" s="5" t="s">
        <v>304</v>
      </c>
      <c r="AX1294" s="5" t="s">
        <v>304</v>
      </c>
      <c r="AY1294" s="5" t="s">
        <v>250</v>
      </c>
      <c r="AZ1294" s="5" t="s">
        <v>305</v>
      </c>
      <c r="BA1294" s="5" t="s">
        <v>251</v>
      </c>
      <c r="BB1294" s="5" t="s">
        <v>238</v>
      </c>
      <c r="BC1294" s="5" t="s">
        <v>253</v>
      </c>
      <c r="BD1294" s="5" t="s">
        <v>238</v>
      </c>
      <c r="BF1294" s="5" t="s">
        <v>710</v>
      </c>
      <c r="BH1294" s="5" t="s">
        <v>283</v>
      </c>
      <c r="BI1294" s="6" t="s">
        <v>293</v>
      </c>
      <c r="BJ1294" s="5" t="s">
        <v>294</v>
      </c>
      <c r="BK1294" s="5" t="s">
        <v>294</v>
      </c>
      <c r="BL1294" s="5" t="s">
        <v>238</v>
      </c>
      <c r="BM1294" s="7">
        <f>0</f>
        <v>0</v>
      </c>
      <c r="BN1294" s="8">
        <f>-844603</f>
        <v>-844603</v>
      </c>
      <c r="BO1294" s="5" t="s">
        <v>257</v>
      </c>
      <c r="BP1294" s="5" t="s">
        <v>258</v>
      </c>
      <c r="BQ1294" s="5" t="s">
        <v>238</v>
      </c>
      <c r="BR1294" s="5" t="s">
        <v>238</v>
      </c>
      <c r="BS1294" s="5" t="s">
        <v>238</v>
      </c>
      <c r="BT1294" s="5" t="s">
        <v>238</v>
      </c>
      <c r="CC1294" s="5" t="s">
        <v>258</v>
      </c>
      <c r="CD1294" s="5" t="s">
        <v>238</v>
      </c>
      <c r="CE1294" s="5" t="s">
        <v>238</v>
      </c>
      <c r="CI1294" s="5" t="s">
        <v>259</v>
      </c>
      <c r="CJ1294" s="5" t="s">
        <v>260</v>
      </c>
      <c r="CK1294" s="5" t="s">
        <v>238</v>
      </c>
      <c r="CM1294" s="5" t="s">
        <v>723</v>
      </c>
      <c r="CN1294" s="6" t="s">
        <v>262</v>
      </c>
      <c r="CO1294" s="5" t="s">
        <v>263</v>
      </c>
      <c r="CP1294" s="5" t="s">
        <v>264</v>
      </c>
      <c r="CQ1294" s="5" t="s">
        <v>285</v>
      </c>
      <c r="CR1294" s="5" t="s">
        <v>238</v>
      </c>
      <c r="CS1294" s="5">
        <v>5.6000000000000001E-2</v>
      </c>
      <c r="CT1294" s="5" t="s">
        <v>265</v>
      </c>
      <c r="CU1294" s="5" t="s">
        <v>351</v>
      </c>
      <c r="CV1294" s="5" t="s">
        <v>610</v>
      </c>
      <c r="CW1294" s="7">
        <f>0</f>
        <v>0</v>
      </c>
      <c r="CX1294" s="8">
        <f>15082200</f>
        <v>15082200</v>
      </c>
      <c r="CY1294" s="8">
        <f>9169979</f>
        <v>9169979</v>
      </c>
      <c r="DA1294" s="5" t="s">
        <v>238</v>
      </c>
      <c r="DB1294" s="5" t="s">
        <v>238</v>
      </c>
      <c r="DD1294" s="5" t="s">
        <v>238</v>
      </c>
      <c r="DE1294" s="8">
        <f>0</f>
        <v>0</v>
      </c>
      <c r="DG1294" s="5" t="s">
        <v>238</v>
      </c>
      <c r="DH1294" s="5" t="s">
        <v>238</v>
      </c>
      <c r="DI1294" s="5" t="s">
        <v>238</v>
      </c>
      <c r="DJ1294" s="5" t="s">
        <v>238</v>
      </c>
      <c r="DK1294" s="5" t="s">
        <v>272</v>
      </c>
      <c r="DL1294" s="5" t="s">
        <v>272</v>
      </c>
      <c r="DM1294" s="7">
        <f>21.26</f>
        <v>21.26</v>
      </c>
      <c r="DN1294" s="5" t="s">
        <v>238</v>
      </c>
      <c r="DO1294" s="5" t="s">
        <v>238</v>
      </c>
      <c r="DP1294" s="5" t="s">
        <v>238</v>
      </c>
      <c r="DQ1294" s="5" t="s">
        <v>238</v>
      </c>
      <c r="DT1294" s="5" t="s">
        <v>3010</v>
      </c>
      <c r="DU1294" s="5" t="s">
        <v>271</v>
      </c>
      <c r="GL1294" s="5" t="s">
        <v>3011</v>
      </c>
      <c r="HM1294" s="5" t="s">
        <v>313</v>
      </c>
      <c r="HP1294" s="5" t="s">
        <v>272</v>
      </c>
      <c r="HQ1294" s="5" t="s">
        <v>272</v>
      </c>
      <c r="HR1294" s="5" t="s">
        <v>238</v>
      </c>
      <c r="HS1294" s="5" t="s">
        <v>238</v>
      </c>
      <c r="HT1294" s="5" t="s">
        <v>238</v>
      </c>
      <c r="HU1294" s="5" t="s">
        <v>238</v>
      </c>
      <c r="HV1294" s="5" t="s">
        <v>238</v>
      </c>
      <c r="HW1294" s="5" t="s">
        <v>238</v>
      </c>
      <c r="HX1294" s="5" t="s">
        <v>238</v>
      </c>
      <c r="HY1294" s="5" t="s">
        <v>238</v>
      </c>
      <c r="HZ1294" s="5" t="s">
        <v>238</v>
      </c>
      <c r="IA1294" s="5" t="s">
        <v>238</v>
      </c>
      <c r="IB1294" s="5" t="s">
        <v>238</v>
      </c>
      <c r="IC1294" s="5" t="s">
        <v>238</v>
      </c>
      <c r="ID1294" s="5" t="s">
        <v>238</v>
      </c>
    </row>
    <row r="1295" spans="1:238" x14ac:dyDescent="0.4">
      <c r="A1295" s="5">
        <v>1638</v>
      </c>
      <c r="B1295" s="5">
        <v>1</v>
      </c>
      <c r="C1295" s="5">
        <v>4</v>
      </c>
      <c r="D1295" s="5" t="s">
        <v>3012</v>
      </c>
      <c r="E1295" s="5" t="s">
        <v>1183</v>
      </c>
      <c r="F1295" s="5" t="s">
        <v>282</v>
      </c>
      <c r="G1295" s="5" t="s">
        <v>327</v>
      </c>
      <c r="H1295" s="6" t="s">
        <v>3014</v>
      </c>
      <c r="I1295" s="5" t="s">
        <v>3006</v>
      </c>
      <c r="J1295" s="7">
        <f>16.46</f>
        <v>16.46</v>
      </c>
      <c r="K1295" s="5" t="s">
        <v>270</v>
      </c>
      <c r="L1295" s="8">
        <f>1681760</f>
        <v>1681760</v>
      </c>
      <c r="M1295" s="8">
        <f>3624480</f>
        <v>3624480</v>
      </c>
      <c r="N1295" s="6" t="s">
        <v>3013</v>
      </c>
      <c r="O1295" s="5" t="s">
        <v>268</v>
      </c>
      <c r="P1295" s="5" t="s">
        <v>313</v>
      </c>
      <c r="Q1295" s="8">
        <f>242840</f>
        <v>242840</v>
      </c>
      <c r="R1295" s="8">
        <f>1942720</f>
        <v>1942720</v>
      </c>
      <c r="S1295" s="5" t="s">
        <v>240</v>
      </c>
      <c r="T1295" s="5" t="s">
        <v>237</v>
      </c>
      <c r="U1295" s="5" t="s">
        <v>238</v>
      </c>
      <c r="V1295" s="5" t="s">
        <v>238</v>
      </c>
      <c r="W1295" s="5" t="s">
        <v>241</v>
      </c>
      <c r="X1295" s="5" t="s">
        <v>243</v>
      </c>
      <c r="Y1295" s="5" t="s">
        <v>238</v>
      </c>
      <c r="AB1295" s="5" t="s">
        <v>238</v>
      </c>
      <c r="AC1295" s="6" t="s">
        <v>238</v>
      </c>
      <c r="AD1295" s="6" t="s">
        <v>238</v>
      </c>
      <c r="AF1295" s="6" t="s">
        <v>238</v>
      </c>
      <c r="AG1295" s="6" t="s">
        <v>246</v>
      </c>
      <c r="AH1295" s="5" t="s">
        <v>247</v>
      </c>
      <c r="AI1295" s="5" t="s">
        <v>248</v>
      </c>
      <c r="AO1295" s="5" t="s">
        <v>238</v>
      </c>
      <c r="AP1295" s="5" t="s">
        <v>238</v>
      </c>
      <c r="AQ1295" s="5" t="s">
        <v>238</v>
      </c>
      <c r="AR1295" s="6" t="s">
        <v>238</v>
      </c>
      <c r="AS1295" s="6" t="s">
        <v>238</v>
      </c>
      <c r="AT1295" s="6" t="s">
        <v>238</v>
      </c>
      <c r="AW1295" s="5" t="s">
        <v>304</v>
      </c>
      <c r="AX1295" s="5" t="s">
        <v>304</v>
      </c>
      <c r="AY1295" s="5" t="s">
        <v>250</v>
      </c>
      <c r="AZ1295" s="5" t="s">
        <v>305</v>
      </c>
      <c r="BA1295" s="5" t="s">
        <v>251</v>
      </c>
      <c r="BB1295" s="5" t="s">
        <v>238</v>
      </c>
      <c r="BC1295" s="5" t="s">
        <v>253</v>
      </c>
      <c r="BD1295" s="5" t="s">
        <v>238</v>
      </c>
      <c r="BF1295" s="5" t="s">
        <v>238</v>
      </c>
      <c r="BH1295" s="5" t="s">
        <v>283</v>
      </c>
      <c r="BI1295" s="6" t="s">
        <v>293</v>
      </c>
      <c r="BJ1295" s="5" t="s">
        <v>294</v>
      </c>
      <c r="BK1295" s="5" t="s">
        <v>294</v>
      </c>
      <c r="BL1295" s="5" t="s">
        <v>238</v>
      </c>
      <c r="BM1295" s="7">
        <f>0</f>
        <v>0</v>
      </c>
      <c r="BN1295" s="8">
        <f>-242840</f>
        <v>-242840</v>
      </c>
      <c r="BO1295" s="5" t="s">
        <v>257</v>
      </c>
      <c r="BP1295" s="5" t="s">
        <v>258</v>
      </c>
      <c r="BQ1295" s="5" t="s">
        <v>238</v>
      </c>
      <c r="BR1295" s="5" t="s">
        <v>238</v>
      </c>
      <c r="BS1295" s="5" t="s">
        <v>238</v>
      </c>
      <c r="BT1295" s="5" t="s">
        <v>238</v>
      </c>
      <c r="CC1295" s="5" t="s">
        <v>258</v>
      </c>
      <c r="CD1295" s="5" t="s">
        <v>238</v>
      </c>
      <c r="CE1295" s="5" t="s">
        <v>238</v>
      </c>
      <c r="CI1295" s="5" t="s">
        <v>259</v>
      </c>
      <c r="CJ1295" s="5" t="s">
        <v>260</v>
      </c>
      <c r="CK1295" s="5" t="s">
        <v>238</v>
      </c>
      <c r="CM1295" s="5" t="s">
        <v>723</v>
      </c>
      <c r="CN1295" s="6" t="s">
        <v>262</v>
      </c>
      <c r="CO1295" s="5" t="s">
        <v>263</v>
      </c>
      <c r="CP1295" s="5" t="s">
        <v>264</v>
      </c>
      <c r="CQ1295" s="5" t="s">
        <v>285</v>
      </c>
      <c r="CR1295" s="5" t="s">
        <v>238</v>
      </c>
      <c r="CS1295" s="5">
        <v>6.7000000000000004E-2</v>
      </c>
      <c r="CT1295" s="5" t="s">
        <v>265</v>
      </c>
      <c r="CU1295" s="5" t="s">
        <v>351</v>
      </c>
      <c r="CV1295" s="5" t="s">
        <v>3015</v>
      </c>
      <c r="CW1295" s="7">
        <f>0</f>
        <v>0</v>
      </c>
      <c r="CX1295" s="8">
        <f>3624480</f>
        <v>3624480</v>
      </c>
      <c r="CY1295" s="8">
        <f>1924600</f>
        <v>1924600</v>
      </c>
      <c r="DA1295" s="5" t="s">
        <v>238</v>
      </c>
      <c r="DB1295" s="5" t="s">
        <v>238</v>
      </c>
      <c r="DD1295" s="5" t="s">
        <v>238</v>
      </c>
      <c r="DE1295" s="8">
        <f>0</f>
        <v>0</v>
      </c>
      <c r="DG1295" s="5" t="s">
        <v>238</v>
      </c>
      <c r="DH1295" s="5" t="s">
        <v>238</v>
      </c>
      <c r="DI1295" s="5" t="s">
        <v>238</v>
      </c>
      <c r="DJ1295" s="5" t="s">
        <v>238</v>
      </c>
      <c r="DK1295" s="5" t="s">
        <v>272</v>
      </c>
      <c r="DL1295" s="5" t="s">
        <v>272</v>
      </c>
      <c r="DM1295" s="7">
        <f>16.46</f>
        <v>16.46</v>
      </c>
      <c r="DN1295" s="5" t="s">
        <v>238</v>
      </c>
      <c r="DO1295" s="5" t="s">
        <v>238</v>
      </c>
      <c r="DP1295" s="5" t="s">
        <v>238</v>
      </c>
      <c r="DQ1295" s="5" t="s">
        <v>238</v>
      </c>
      <c r="DT1295" s="5" t="s">
        <v>3016</v>
      </c>
      <c r="DU1295" s="5" t="s">
        <v>271</v>
      </c>
      <c r="GL1295" s="5" t="s">
        <v>3017</v>
      </c>
      <c r="HM1295" s="5" t="s">
        <v>313</v>
      </c>
      <c r="HP1295" s="5" t="s">
        <v>272</v>
      </c>
      <c r="HQ1295" s="5" t="s">
        <v>272</v>
      </c>
      <c r="HR1295" s="5" t="s">
        <v>238</v>
      </c>
      <c r="HS1295" s="5" t="s">
        <v>238</v>
      </c>
      <c r="HT1295" s="5" t="s">
        <v>238</v>
      </c>
      <c r="HU1295" s="5" t="s">
        <v>238</v>
      </c>
      <c r="HV1295" s="5" t="s">
        <v>238</v>
      </c>
      <c r="HW1295" s="5" t="s">
        <v>238</v>
      </c>
      <c r="HX1295" s="5" t="s">
        <v>238</v>
      </c>
      <c r="HY1295" s="5" t="s">
        <v>238</v>
      </c>
      <c r="HZ1295" s="5" t="s">
        <v>238</v>
      </c>
      <c r="IA1295" s="5" t="s">
        <v>238</v>
      </c>
      <c r="IB1295" s="5" t="s">
        <v>238</v>
      </c>
      <c r="IC1295" s="5" t="s">
        <v>238</v>
      </c>
      <c r="ID1295" s="5" t="s">
        <v>238</v>
      </c>
    </row>
    <row r="1296" spans="1:238" x14ac:dyDescent="0.4">
      <c r="A1296" s="5">
        <v>1639</v>
      </c>
      <c r="B1296" s="5">
        <v>1</v>
      </c>
      <c r="C1296" s="5">
        <v>4</v>
      </c>
      <c r="D1296" s="5" t="s">
        <v>3018</v>
      </c>
      <c r="E1296" s="5" t="s">
        <v>1183</v>
      </c>
      <c r="F1296" s="5" t="s">
        <v>282</v>
      </c>
      <c r="G1296" s="5" t="s">
        <v>327</v>
      </c>
      <c r="H1296" s="6" t="s">
        <v>3020</v>
      </c>
      <c r="I1296" s="5" t="s">
        <v>3006</v>
      </c>
      <c r="J1296" s="7">
        <f>12.26</f>
        <v>12.26</v>
      </c>
      <c r="K1296" s="5" t="s">
        <v>270</v>
      </c>
      <c r="L1296" s="8">
        <f>1619933</f>
        <v>1619933</v>
      </c>
      <c r="M1296" s="8">
        <f>3050719</f>
        <v>3050719</v>
      </c>
      <c r="N1296" s="6" t="s">
        <v>3019</v>
      </c>
      <c r="O1296" s="5" t="s">
        <v>268</v>
      </c>
      <c r="P1296" s="5" t="s">
        <v>379</v>
      </c>
      <c r="Q1296" s="8">
        <f>204398</f>
        <v>204398</v>
      </c>
      <c r="R1296" s="8">
        <f>1430786</f>
        <v>1430786</v>
      </c>
      <c r="S1296" s="5" t="s">
        <v>240</v>
      </c>
      <c r="T1296" s="5" t="s">
        <v>237</v>
      </c>
      <c r="U1296" s="5" t="s">
        <v>238</v>
      </c>
      <c r="V1296" s="5" t="s">
        <v>238</v>
      </c>
      <c r="W1296" s="5" t="s">
        <v>241</v>
      </c>
      <c r="X1296" s="5" t="s">
        <v>243</v>
      </c>
      <c r="Y1296" s="5" t="s">
        <v>238</v>
      </c>
      <c r="AB1296" s="5" t="s">
        <v>238</v>
      </c>
      <c r="AC1296" s="6" t="s">
        <v>238</v>
      </c>
      <c r="AD1296" s="6" t="s">
        <v>238</v>
      </c>
      <c r="AF1296" s="6" t="s">
        <v>238</v>
      </c>
      <c r="AG1296" s="6" t="s">
        <v>246</v>
      </c>
      <c r="AH1296" s="5" t="s">
        <v>247</v>
      </c>
      <c r="AI1296" s="5" t="s">
        <v>248</v>
      </c>
      <c r="AO1296" s="5" t="s">
        <v>238</v>
      </c>
      <c r="AP1296" s="5" t="s">
        <v>238</v>
      </c>
      <c r="AQ1296" s="5" t="s">
        <v>238</v>
      </c>
      <c r="AR1296" s="6" t="s">
        <v>238</v>
      </c>
      <c r="AS1296" s="6" t="s">
        <v>238</v>
      </c>
      <c r="AT1296" s="6" t="s">
        <v>238</v>
      </c>
      <c r="AW1296" s="5" t="s">
        <v>304</v>
      </c>
      <c r="AX1296" s="5" t="s">
        <v>304</v>
      </c>
      <c r="AY1296" s="5" t="s">
        <v>250</v>
      </c>
      <c r="AZ1296" s="5" t="s">
        <v>305</v>
      </c>
      <c r="BA1296" s="5" t="s">
        <v>251</v>
      </c>
      <c r="BB1296" s="5" t="s">
        <v>238</v>
      </c>
      <c r="BC1296" s="5" t="s">
        <v>253</v>
      </c>
      <c r="BD1296" s="5" t="s">
        <v>238</v>
      </c>
      <c r="BF1296" s="5" t="s">
        <v>710</v>
      </c>
      <c r="BH1296" s="5" t="s">
        <v>283</v>
      </c>
      <c r="BI1296" s="6" t="s">
        <v>293</v>
      </c>
      <c r="BJ1296" s="5" t="s">
        <v>294</v>
      </c>
      <c r="BK1296" s="5" t="s">
        <v>294</v>
      </c>
      <c r="BL1296" s="5" t="s">
        <v>238</v>
      </c>
      <c r="BM1296" s="7">
        <f>0</f>
        <v>0</v>
      </c>
      <c r="BN1296" s="8">
        <f>-204398</f>
        <v>-204398</v>
      </c>
      <c r="BO1296" s="5" t="s">
        <v>257</v>
      </c>
      <c r="BP1296" s="5" t="s">
        <v>258</v>
      </c>
      <c r="BQ1296" s="5" t="s">
        <v>238</v>
      </c>
      <c r="BR1296" s="5" t="s">
        <v>238</v>
      </c>
      <c r="BS1296" s="5" t="s">
        <v>238</v>
      </c>
      <c r="BT1296" s="5" t="s">
        <v>238</v>
      </c>
      <c r="CC1296" s="5" t="s">
        <v>258</v>
      </c>
      <c r="CD1296" s="5" t="s">
        <v>238</v>
      </c>
      <c r="CE1296" s="5" t="s">
        <v>238</v>
      </c>
      <c r="CI1296" s="5" t="s">
        <v>259</v>
      </c>
      <c r="CJ1296" s="5" t="s">
        <v>260</v>
      </c>
      <c r="CK1296" s="5" t="s">
        <v>238</v>
      </c>
      <c r="CM1296" s="5" t="s">
        <v>1358</v>
      </c>
      <c r="CN1296" s="6" t="s">
        <v>262</v>
      </c>
      <c r="CO1296" s="5" t="s">
        <v>263</v>
      </c>
      <c r="CP1296" s="5" t="s">
        <v>264</v>
      </c>
      <c r="CQ1296" s="5" t="s">
        <v>285</v>
      </c>
      <c r="CR1296" s="5" t="s">
        <v>238</v>
      </c>
      <c r="CS1296" s="5">
        <v>6.7000000000000004E-2</v>
      </c>
      <c r="CT1296" s="5" t="s">
        <v>265</v>
      </c>
      <c r="CU1296" s="5" t="s">
        <v>351</v>
      </c>
      <c r="CV1296" s="5" t="s">
        <v>3015</v>
      </c>
      <c r="CW1296" s="7">
        <f>0</f>
        <v>0</v>
      </c>
      <c r="CX1296" s="8">
        <f>3050719</f>
        <v>3050719</v>
      </c>
      <c r="CY1296" s="8">
        <f>1824331</f>
        <v>1824331</v>
      </c>
      <c r="DA1296" s="5" t="s">
        <v>238</v>
      </c>
      <c r="DB1296" s="5" t="s">
        <v>238</v>
      </c>
      <c r="DD1296" s="5" t="s">
        <v>238</v>
      </c>
      <c r="DE1296" s="8">
        <f>0</f>
        <v>0</v>
      </c>
      <c r="DG1296" s="5" t="s">
        <v>238</v>
      </c>
      <c r="DH1296" s="5" t="s">
        <v>238</v>
      </c>
      <c r="DI1296" s="5" t="s">
        <v>238</v>
      </c>
      <c r="DJ1296" s="5" t="s">
        <v>238</v>
      </c>
      <c r="DK1296" s="5" t="s">
        <v>271</v>
      </c>
      <c r="DL1296" s="5" t="s">
        <v>272</v>
      </c>
      <c r="DM1296" s="7">
        <f>12.26</f>
        <v>12.26</v>
      </c>
      <c r="DN1296" s="5" t="s">
        <v>238</v>
      </c>
      <c r="DO1296" s="5" t="s">
        <v>238</v>
      </c>
      <c r="DP1296" s="5" t="s">
        <v>238</v>
      </c>
      <c r="DQ1296" s="5" t="s">
        <v>238</v>
      </c>
      <c r="DT1296" s="5" t="s">
        <v>3021</v>
      </c>
      <c r="DU1296" s="5" t="s">
        <v>271</v>
      </c>
      <c r="GL1296" s="5" t="s">
        <v>3022</v>
      </c>
      <c r="HM1296" s="5" t="s">
        <v>313</v>
      </c>
      <c r="HP1296" s="5" t="s">
        <v>272</v>
      </c>
      <c r="HQ1296" s="5" t="s">
        <v>272</v>
      </c>
      <c r="HR1296" s="5" t="s">
        <v>238</v>
      </c>
      <c r="HS1296" s="5" t="s">
        <v>238</v>
      </c>
      <c r="HT1296" s="5" t="s">
        <v>238</v>
      </c>
      <c r="HU1296" s="5" t="s">
        <v>238</v>
      </c>
      <c r="HV1296" s="5" t="s">
        <v>238</v>
      </c>
      <c r="HW1296" s="5" t="s">
        <v>238</v>
      </c>
      <c r="HX1296" s="5" t="s">
        <v>238</v>
      </c>
      <c r="HY1296" s="5" t="s">
        <v>238</v>
      </c>
      <c r="HZ1296" s="5" t="s">
        <v>238</v>
      </c>
      <c r="IA1296" s="5" t="s">
        <v>238</v>
      </c>
      <c r="IB1296" s="5" t="s">
        <v>238</v>
      </c>
      <c r="IC1296" s="5" t="s">
        <v>238</v>
      </c>
      <c r="ID1296" s="5" t="s">
        <v>238</v>
      </c>
    </row>
    <row r="1297" spans="1:238" x14ac:dyDescent="0.4">
      <c r="A1297" s="5">
        <v>1640</v>
      </c>
      <c r="B1297" s="5">
        <v>1</v>
      </c>
      <c r="C1297" s="5">
        <v>4</v>
      </c>
      <c r="D1297" s="5" t="s">
        <v>3023</v>
      </c>
      <c r="E1297" s="5" t="s">
        <v>1183</v>
      </c>
      <c r="F1297" s="5" t="s">
        <v>282</v>
      </c>
      <c r="G1297" s="5" t="s">
        <v>327</v>
      </c>
      <c r="H1297" s="6" t="s">
        <v>3024</v>
      </c>
      <c r="I1297" s="5" t="s">
        <v>3006</v>
      </c>
      <c r="J1297" s="7">
        <f>8.26</f>
        <v>8.26</v>
      </c>
      <c r="K1297" s="5" t="s">
        <v>270</v>
      </c>
      <c r="L1297" s="8">
        <f>1379949</f>
        <v>1379949</v>
      </c>
      <c r="M1297" s="8">
        <f>2598761</f>
        <v>2598761</v>
      </c>
      <c r="N1297" s="6" t="s">
        <v>3019</v>
      </c>
      <c r="O1297" s="5" t="s">
        <v>268</v>
      </c>
      <c r="P1297" s="5" t="s">
        <v>379</v>
      </c>
      <c r="Q1297" s="8">
        <f>174116</f>
        <v>174116</v>
      </c>
      <c r="R1297" s="8">
        <f>1218812</f>
        <v>1218812</v>
      </c>
      <c r="S1297" s="5" t="s">
        <v>240</v>
      </c>
      <c r="T1297" s="5" t="s">
        <v>237</v>
      </c>
      <c r="U1297" s="5" t="s">
        <v>238</v>
      </c>
      <c r="V1297" s="5" t="s">
        <v>238</v>
      </c>
      <c r="W1297" s="5" t="s">
        <v>241</v>
      </c>
      <c r="X1297" s="5" t="s">
        <v>243</v>
      </c>
      <c r="Y1297" s="5" t="s">
        <v>238</v>
      </c>
      <c r="AB1297" s="5" t="s">
        <v>238</v>
      </c>
      <c r="AC1297" s="6" t="s">
        <v>238</v>
      </c>
      <c r="AD1297" s="6" t="s">
        <v>238</v>
      </c>
      <c r="AF1297" s="6" t="s">
        <v>238</v>
      </c>
      <c r="AG1297" s="6" t="s">
        <v>246</v>
      </c>
      <c r="AH1297" s="5" t="s">
        <v>247</v>
      </c>
      <c r="AI1297" s="5" t="s">
        <v>248</v>
      </c>
      <c r="AO1297" s="5" t="s">
        <v>238</v>
      </c>
      <c r="AP1297" s="5" t="s">
        <v>238</v>
      </c>
      <c r="AQ1297" s="5" t="s">
        <v>238</v>
      </c>
      <c r="AR1297" s="6" t="s">
        <v>238</v>
      </c>
      <c r="AS1297" s="6" t="s">
        <v>238</v>
      </c>
      <c r="AT1297" s="6" t="s">
        <v>238</v>
      </c>
      <c r="AW1297" s="5" t="s">
        <v>304</v>
      </c>
      <c r="AX1297" s="5" t="s">
        <v>304</v>
      </c>
      <c r="AY1297" s="5" t="s">
        <v>250</v>
      </c>
      <c r="AZ1297" s="5" t="s">
        <v>305</v>
      </c>
      <c r="BA1297" s="5" t="s">
        <v>251</v>
      </c>
      <c r="BB1297" s="5" t="s">
        <v>238</v>
      </c>
      <c r="BC1297" s="5" t="s">
        <v>253</v>
      </c>
      <c r="BD1297" s="5" t="s">
        <v>238</v>
      </c>
      <c r="BF1297" s="5" t="s">
        <v>710</v>
      </c>
      <c r="BH1297" s="5" t="s">
        <v>283</v>
      </c>
      <c r="BI1297" s="6" t="s">
        <v>293</v>
      </c>
      <c r="BJ1297" s="5" t="s">
        <v>294</v>
      </c>
      <c r="BK1297" s="5" t="s">
        <v>294</v>
      </c>
      <c r="BL1297" s="5" t="s">
        <v>238</v>
      </c>
      <c r="BM1297" s="7">
        <f>0</f>
        <v>0</v>
      </c>
      <c r="BN1297" s="8">
        <f>-174116</f>
        <v>-174116</v>
      </c>
      <c r="BO1297" s="5" t="s">
        <v>257</v>
      </c>
      <c r="BP1297" s="5" t="s">
        <v>258</v>
      </c>
      <c r="BQ1297" s="5" t="s">
        <v>238</v>
      </c>
      <c r="BR1297" s="5" t="s">
        <v>238</v>
      </c>
      <c r="BS1297" s="5" t="s">
        <v>238</v>
      </c>
      <c r="BT1297" s="5" t="s">
        <v>238</v>
      </c>
      <c r="CC1297" s="5" t="s">
        <v>258</v>
      </c>
      <c r="CD1297" s="5" t="s">
        <v>238</v>
      </c>
      <c r="CE1297" s="5" t="s">
        <v>238</v>
      </c>
      <c r="CI1297" s="5" t="s">
        <v>259</v>
      </c>
      <c r="CJ1297" s="5" t="s">
        <v>260</v>
      </c>
      <c r="CK1297" s="5" t="s">
        <v>238</v>
      </c>
      <c r="CM1297" s="5" t="s">
        <v>1358</v>
      </c>
      <c r="CN1297" s="6" t="s">
        <v>262</v>
      </c>
      <c r="CO1297" s="5" t="s">
        <v>263</v>
      </c>
      <c r="CP1297" s="5" t="s">
        <v>264</v>
      </c>
      <c r="CQ1297" s="5" t="s">
        <v>285</v>
      </c>
      <c r="CR1297" s="5" t="s">
        <v>238</v>
      </c>
      <c r="CS1297" s="5">
        <v>6.7000000000000004E-2</v>
      </c>
      <c r="CT1297" s="5" t="s">
        <v>265</v>
      </c>
      <c r="CU1297" s="5" t="s">
        <v>351</v>
      </c>
      <c r="CV1297" s="5" t="s">
        <v>3015</v>
      </c>
      <c r="CW1297" s="7">
        <f>0</f>
        <v>0</v>
      </c>
      <c r="CX1297" s="8">
        <f>2598761</f>
        <v>2598761</v>
      </c>
      <c r="CY1297" s="8">
        <f>1554065</f>
        <v>1554065</v>
      </c>
      <c r="DA1297" s="5" t="s">
        <v>238</v>
      </c>
      <c r="DB1297" s="5" t="s">
        <v>238</v>
      </c>
      <c r="DD1297" s="5" t="s">
        <v>238</v>
      </c>
      <c r="DE1297" s="8">
        <f>0</f>
        <v>0</v>
      </c>
      <c r="DG1297" s="5" t="s">
        <v>238</v>
      </c>
      <c r="DH1297" s="5" t="s">
        <v>238</v>
      </c>
      <c r="DI1297" s="5" t="s">
        <v>238</v>
      </c>
      <c r="DJ1297" s="5" t="s">
        <v>238</v>
      </c>
      <c r="DK1297" s="5" t="s">
        <v>271</v>
      </c>
      <c r="DL1297" s="5" t="s">
        <v>272</v>
      </c>
      <c r="DM1297" s="7">
        <f>8.26</f>
        <v>8.26</v>
      </c>
      <c r="DN1297" s="5" t="s">
        <v>238</v>
      </c>
      <c r="DO1297" s="5" t="s">
        <v>238</v>
      </c>
      <c r="DP1297" s="5" t="s">
        <v>238</v>
      </c>
      <c r="DQ1297" s="5" t="s">
        <v>238</v>
      </c>
      <c r="DT1297" s="5" t="s">
        <v>3025</v>
      </c>
      <c r="DU1297" s="5" t="s">
        <v>271</v>
      </c>
      <c r="GL1297" s="5" t="s">
        <v>3026</v>
      </c>
      <c r="HM1297" s="5" t="s">
        <v>313</v>
      </c>
      <c r="HP1297" s="5" t="s">
        <v>272</v>
      </c>
      <c r="HQ1297" s="5" t="s">
        <v>272</v>
      </c>
      <c r="HR1297" s="5" t="s">
        <v>238</v>
      </c>
      <c r="HS1297" s="5" t="s">
        <v>238</v>
      </c>
      <c r="HT1297" s="5" t="s">
        <v>238</v>
      </c>
      <c r="HU1297" s="5" t="s">
        <v>238</v>
      </c>
      <c r="HV1297" s="5" t="s">
        <v>238</v>
      </c>
      <c r="HW1297" s="5" t="s">
        <v>238</v>
      </c>
      <c r="HX1297" s="5" t="s">
        <v>238</v>
      </c>
      <c r="HY1297" s="5" t="s">
        <v>238</v>
      </c>
      <c r="HZ1297" s="5" t="s">
        <v>238</v>
      </c>
      <c r="IA1297" s="5" t="s">
        <v>238</v>
      </c>
      <c r="IB1297" s="5" t="s">
        <v>238</v>
      </c>
      <c r="IC1297" s="5" t="s">
        <v>238</v>
      </c>
      <c r="ID1297" s="5" t="s">
        <v>238</v>
      </c>
    </row>
    <row r="1298" spans="1:238" x14ac:dyDescent="0.4">
      <c r="A1298" s="5">
        <v>1641</v>
      </c>
      <c r="B1298" s="5">
        <v>1</v>
      </c>
      <c r="C1298" s="5">
        <v>4</v>
      </c>
      <c r="D1298" s="5" t="s">
        <v>1911</v>
      </c>
      <c r="E1298" s="5" t="s">
        <v>1912</v>
      </c>
      <c r="F1298" s="5" t="s">
        <v>282</v>
      </c>
      <c r="G1298" s="5" t="s">
        <v>327</v>
      </c>
      <c r="H1298" s="6" t="s">
        <v>1914</v>
      </c>
      <c r="I1298" s="5" t="s">
        <v>1910</v>
      </c>
      <c r="J1298" s="7">
        <f>155.84</f>
        <v>155.84</v>
      </c>
      <c r="K1298" s="5" t="s">
        <v>270</v>
      </c>
      <c r="L1298" s="8">
        <f>6171264</f>
        <v>6171264</v>
      </c>
      <c r="M1298" s="8">
        <f>28051200</f>
        <v>28051200</v>
      </c>
      <c r="N1298" s="6" t="s">
        <v>1913</v>
      </c>
      <c r="O1298" s="5" t="s">
        <v>279</v>
      </c>
      <c r="P1298" s="5" t="s">
        <v>971</v>
      </c>
      <c r="Q1298" s="8">
        <f>561024</f>
        <v>561024</v>
      </c>
      <c r="R1298" s="8">
        <f>21879936</f>
        <v>21879936</v>
      </c>
      <c r="S1298" s="5" t="s">
        <v>240</v>
      </c>
      <c r="T1298" s="5" t="s">
        <v>237</v>
      </c>
      <c r="U1298" s="5" t="s">
        <v>238</v>
      </c>
      <c r="V1298" s="5" t="s">
        <v>238</v>
      </c>
      <c r="W1298" s="5" t="s">
        <v>241</v>
      </c>
      <c r="X1298" s="5" t="s">
        <v>243</v>
      </c>
      <c r="Y1298" s="5" t="s">
        <v>238</v>
      </c>
      <c r="AB1298" s="5" t="s">
        <v>238</v>
      </c>
      <c r="AC1298" s="6" t="s">
        <v>238</v>
      </c>
      <c r="AD1298" s="6" t="s">
        <v>238</v>
      </c>
      <c r="AF1298" s="6" t="s">
        <v>238</v>
      </c>
      <c r="AG1298" s="6" t="s">
        <v>246</v>
      </c>
      <c r="AH1298" s="5" t="s">
        <v>247</v>
      </c>
      <c r="AI1298" s="5" t="s">
        <v>248</v>
      </c>
      <c r="AO1298" s="5" t="s">
        <v>238</v>
      </c>
      <c r="AP1298" s="5" t="s">
        <v>238</v>
      </c>
      <c r="AQ1298" s="5" t="s">
        <v>238</v>
      </c>
      <c r="AR1298" s="6" t="s">
        <v>238</v>
      </c>
      <c r="AS1298" s="6" t="s">
        <v>238</v>
      </c>
      <c r="AT1298" s="6" t="s">
        <v>238</v>
      </c>
      <c r="AW1298" s="5" t="s">
        <v>304</v>
      </c>
      <c r="AX1298" s="5" t="s">
        <v>304</v>
      </c>
      <c r="AY1298" s="5" t="s">
        <v>250</v>
      </c>
      <c r="AZ1298" s="5" t="s">
        <v>305</v>
      </c>
      <c r="BA1298" s="5" t="s">
        <v>251</v>
      </c>
      <c r="BB1298" s="5" t="s">
        <v>238</v>
      </c>
      <c r="BC1298" s="5" t="s">
        <v>253</v>
      </c>
      <c r="BD1298" s="5" t="s">
        <v>238</v>
      </c>
      <c r="BF1298" s="5" t="s">
        <v>238</v>
      </c>
      <c r="BH1298" s="5" t="s">
        <v>283</v>
      </c>
      <c r="BI1298" s="6" t="s">
        <v>293</v>
      </c>
      <c r="BJ1298" s="5" t="s">
        <v>294</v>
      </c>
      <c r="BK1298" s="5" t="s">
        <v>294</v>
      </c>
      <c r="BL1298" s="5" t="s">
        <v>238</v>
      </c>
      <c r="BM1298" s="7">
        <f>0</f>
        <v>0</v>
      </c>
      <c r="BN1298" s="8">
        <f>-561024</f>
        <v>-561024</v>
      </c>
      <c r="BO1298" s="5" t="s">
        <v>257</v>
      </c>
      <c r="BP1298" s="5" t="s">
        <v>258</v>
      </c>
      <c r="BQ1298" s="5" t="s">
        <v>238</v>
      </c>
      <c r="BR1298" s="5" t="s">
        <v>238</v>
      </c>
      <c r="BS1298" s="5" t="s">
        <v>238</v>
      </c>
      <c r="BT1298" s="5" t="s">
        <v>238</v>
      </c>
      <c r="CC1298" s="5" t="s">
        <v>258</v>
      </c>
      <c r="CD1298" s="5" t="s">
        <v>238</v>
      </c>
      <c r="CE1298" s="5" t="s">
        <v>238</v>
      </c>
      <c r="CI1298" s="5" t="s">
        <v>527</v>
      </c>
      <c r="CJ1298" s="5" t="s">
        <v>260</v>
      </c>
      <c r="CK1298" s="5" t="s">
        <v>238</v>
      </c>
      <c r="CM1298" s="5" t="s">
        <v>990</v>
      </c>
      <c r="CN1298" s="6" t="s">
        <v>262</v>
      </c>
      <c r="CO1298" s="5" t="s">
        <v>263</v>
      </c>
      <c r="CP1298" s="5" t="s">
        <v>264</v>
      </c>
      <c r="CQ1298" s="5" t="s">
        <v>285</v>
      </c>
      <c r="CR1298" s="5" t="s">
        <v>238</v>
      </c>
      <c r="CS1298" s="5">
        <v>0.02</v>
      </c>
      <c r="CT1298" s="5" t="s">
        <v>265</v>
      </c>
      <c r="CU1298" s="5" t="s">
        <v>1333</v>
      </c>
      <c r="CV1298" s="5" t="s">
        <v>308</v>
      </c>
      <c r="CW1298" s="7">
        <f>0</f>
        <v>0</v>
      </c>
      <c r="CX1298" s="8">
        <f>28051200</f>
        <v>28051200</v>
      </c>
      <c r="CY1298" s="8">
        <f>6732288</f>
        <v>6732288</v>
      </c>
      <c r="DA1298" s="5" t="s">
        <v>238</v>
      </c>
      <c r="DB1298" s="5" t="s">
        <v>238</v>
      </c>
      <c r="DD1298" s="5" t="s">
        <v>238</v>
      </c>
      <c r="DE1298" s="8">
        <f>0</f>
        <v>0</v>
      </c>
      <c r="DG1298" s="5" t="s">
        <v>238</v>
      </c>
      <c r="DH1298" s="5" t="s">
        <v>238</v>
      </c>
      <c r="DI1298" s="5" t="s">
        <v>238</v>
      </c>
      <c r="DJ1298" s="5" t="s">
        <v>238</v>
      </c>
      <c r="DK1298" s="5" t="s">
        <v>271</v>
      </c>
      <c r="DL1298" s="5" t="s">
        <v>272</v>
      </c>
      <c r="DM1298" s="7">
        <f>155.84</f>
        <v>155.84</v>
      </c>
      <c r="DN1298" s="5" t="s">
        <v>238</v>
      </c>
      <c r="DO1298" s="5" t="s">
        <v>238</v>
      </c>
      <c r="DP1298" s="5" t="s">
        <v>238</v>
      </c>
      <c r="DQ1298" s="5" t="s">
        <v>238</v>
      </c>
      <c r="DT1298" s="5" t="s">
        <v>1915</v>
      </c>
      <c r="DU1298" s="5" t="s">
        <v>271</v>
      </c>
      <c r="GL1298" s="5" t="s">
        <v>1916</v>
      </c>
      <c r="HM1298" s="5" t="s">
        <v>313</v>
      </c>
      <c r="HP1298" s="5" t="s">
        <v>272</v>
      </c>
      <c r="HQ1298" s="5" t="s">
        <v>272</v>
      </c>
      <c r="HR1298" s="5" t="s">
        <v>238</v>
      </c>
      <c r="HS1298" s="5" t="s">
        <v>238</v>
      </c>
      <c r="HT1298" s="5" t="s">
        <v>238</v>
      </c>
      <c r="HU1298" s="5" t="s">
        <v>238</v>
      </c>
      <c r="HV1298" s="5" t="s">
        <v>238</v>
      </c>
      <c r="HW1298" s="5" t="s">
        <v>238</v>
      </c>
      <c r="HX1298" s="5" t="s">
        <v>238</v>
      </c>
      <c r="HY1298" s="5" t="s">
        <v>238</v>
      </c>
      <c r="HZ1298" s="5" t="s">
        <v>238</v>
      </c>
      <c r="IA1298" s="5" t="s">
        <v>238</v>
      </c>
      <c r="IB1298" s="5" t="s">
        <v>238</v>
      </c>
      <c r="IC1298" s="5" t="s">
        <v>238</v>
      </c>
      <c r="ID1298" s="5" t="s">
        <v>238</v>
      </c>
    </row>
    <row r="1299" spans="1:238" x14ac:dyDescent="0.4">
      <c r="A1299" s="5">
        <v>1642</v>
      </c>
      <c r="B1299" s="5">
        <v>1</v>
      </c>
      <c r="C1299" s="5">
        <v>3</v>
      </c>
      <c r="D1299" s="5" t="s">
        <v>945</v>
      </c>
      <c r="E1299" s="5" t="s">
        <v>491</v>
      </c>
      <c r="F1299" s="5" t="s">
        <v>282</v>
      </c>
      <c r="G1299" s="5" t="s">
        <v>863</v>
      </c>
      <c r="H1299" s="6" t="s">
        <v>947</v>
      </c>
      <c r="I1299" s="5" t="s">
        <v>863</v>
      </c>
      <c r="J1299" s="7">
        <f>123.64</f>
        <v>123.64</v>
      </c>
      <c r="K1299" s="5" t="s">
        <v>270</v>
      </c>
      <c r="L1299" s="8">
        <f>1</f>
        <v>1</v>
      </c>
      <c r="M1299" s="8">
        <f>10756680</f>
        <v>10756680</v>
      </c>
      <c r="N1299" s="6" t="s">
        <v>946</v>
      </c>
      <c r="O1299" s="5" t="s">
        <v>286</v>
      </c>
      <c r="P1299" s="5" t="s">
        <v>818</v>
      </c>
      <c r="Q1299" s="8">
        <f>365732</f>
        <v>365732</v>
      </c>
      <c r="R1299" s="8">
        <f>10756679</f>
        <v>10756679</v>
      </c>
      <c r="S1299" s="5" t="s">
        <v>240</v>
      </c>
      <c r="T1299" s="5" t="s">
        <v>237</v>
      </c>
      <c r="U1299" s="5" t="s">
        <v>238</v>
      </c>
      <c r="V1299" s="5" t="s">
        <v>238</v>
      </c>
      <c r="W1299" s="5" t="s">
        <v>241</v>
      </c>
      <c r="X1299" s="5" t="s">
        <v>243</v>
      </c>
      <c r="Y1299" s="5" t="s">
        <v>238</v>
      </c>
      <c r="AB1299" s="5" t="s">
        <v>238</v>
      </c>
      <c r="AC1299" s="6" t="s">
        <v>238</v>
      </c>
      <c r="AD1299" s="6" t="s">
        <v>238</v>
      </c>
      <c r="AF1299" s="6" t="s">
        <v>238</v>
      </c>
      <c r="AG1299" s="6" t="s">
        <v>246</v>
      </c>
      <c r="AH1299" s="5" t="s">
        <v>247</v>
      </c>
      <c r="AI1299" s="5" t="s">
        <v>248</v>
      </c>
      <c r="AO1299" s="5" t="s">
        <v>238</v>
      </c>
      <c r="AP1299" s="5" t="s">
        <v>238</v>
      </c>
      <c r="AQ1299" s="5" t="s">
        <v>238</v>
      </c>
      <c r="AR1299" s="6" t="s">
        <v>238</v>
      </c>
      <c r="AS1299" s="6" t="s">
        <v>238</v>
      </c>
      <c r="AT1299" s="6" t="s">
        <v>238</v>
      </c>
      <c r="AW1299" s="5" t="s">
        <v>304</v>
      </c>
      <c r="AX1299" s="5" t="s">
        <v>304</v>
      </c>
      <c r="AY1299" s="5" t="s">
        <v>250</v>
      </c>
      <c r="AZ1299" s="5" t="s">
        <v>305</v>
      </c>
      <c r="BA1299" s="5" t="s">
        <v>251</v>
      </c>
      <c r="BB1299" s="5" t="s">
        <v>238</v>
      </c>
      <c r="BC1299" s="5" t="s">
        <v>253</v>
      </c>
      <c r="BD1299" s="5" t="s">
        <v>238</v>
      </c>
      <c r="BF1299" s="5" t="s">
        <v>238</v>
      </c>
      <c r="BH1299" s="5" t="s">
        <v>1076</v>
      </c>
      <c r="BI1299" s="6" t="s">
        <v>1077</v>
      </c>
      <c r="BJ1299" s="5" t="s">
        <v>294</v>
      </c>
      <c r="BK1299" s="5" t="s">
        <v>294</v>
      </c>
      <c r="BL1299" s="5" t="s">
        <v>238</v>
      </c>
      <c r="BM1299" s="7">
        <f>0</f>
        <v>0</v>
      </c>
      <c r="BN1299" s="8">
        <f>-365732</f>
        <v>-365732</v>
      </c>
      <c r="BO1299" s="5" t="s">
        <v>257</v>
      </c>
      <c r="BP1299" s="5" t="s">
        <v>258</v>
      </c>
      <c r="BQ1299" s="5" t="s">
        <v>238</v>
      </c>
      <c r="BR1299" s="5" t="s">
        <v>238</v>
      </c>
      <c r="BS1299" s="5" t="s">
        <v>238</v>
      </c>
      <c r="BT1299" s="5" t="s">
        <v>238</v>
      </c>
      <c r="CC1299" s="5" t="s">
        <v>258</v>
      </c>
      <c r="CD1299" s="5" t="s">
        <v>238</v>
      </c>
      <c r="CE1299" s="5" t="s">
        <v>238</v>
      </c>
      <c r="CI1299" s="5" t="s">
        <v>259</v>
      </c>
      <c r="CJ1299" s="5" t="s">
        <v>260</v>
      </c>
      <c r="CK1299" s="5" t="s">
        <v>238</v>
      </c>
      <c r="CM1299" s="5" t="s">
        <v>261</v>
      </c>
      <c r="CN1299" s="6" t="s">
        <v>262</v>
      </c>
      <c r="CO1299" s="5" t="s">
        <v>263</v>
      </c>
      <c r="CP1299" s="5" t="s">
        <v>264</v>
      </c>
      <c r="CQ1299" s="5" t="s">
        <v>285</v>
      </c>
      <c r="CR1299" s="5" t="s">
        <v>238</v>
      </c>
      <c r="CS1299" s="5">
        <v>4.5999999999999999E-2</v>
      </c>
      <c r="CT1299" s="5" t="s">
        <v>265</v>
      </c>
      <c r="CU1299" s="5" t="s">
        <v>1803</v>
      </c>
      <c r="CV1299" s="5" t="s">
        <v>267</v>
      </c>
      <c r="CW1299" s="7">
        <f>0</f>
        <v>0</v>
      </c>
      <c r="CX1299" s="8">
        <f>10756680</f>
        <v>10756680</v>
      </c>
      <c r="CY1299" s="8">
        <f>1</f>
        <v>1</v>
      </c>
      <c r="DA1299" s="5" t="s">
        <v>238</v>
      </c>
      <c r="DB1299" s="5" t="s">
        <v>238</v>
      </c>
      <c r="DD1299" s="5" t="s">
        <v>238</v>
      </c>
      <c r="DE1299" s="8">
        <f>0</f>
        <v>0</v>
      </c>
      <c r="DG1299" s="5" t="s">
        <v>238</v>
      </c>
      <c r="DH1299" s="5" t="s">
        <v>238</v>
      </c>
      <c r="DI1299" s="5" t="s">
        <v>238</v>
      </c>
      <c r="DJ1299" s="5" t="s">
        <v>238</v>
      </c>
      <c r="DK1299" s="5" t="s">
        <v>271</v>
      </c>
      <c r="DL1299" s="5" t="s">
        <v>272</v>
      </c>
      <c r="DM1299" s="7">
        <f>123.64</f>
        <v>123.64</v>
      </c>
      <c r="DN1299" s="5" t="s">
        <v>238</v>
      </c>
      <c r="DO1299" s="5" t="s">
        <v>238</v>
      </c>
      <c r="DP1299" s="5" t="s">
        <v>238</v>
      </c>
      <c r="DQ1299" s="5" t="s">
        <v>238</v>
      </c>
      <c r="DT1299" s="5" t="s">
        <v>948</v>
      </c>
      <c r="DU1299" s="5" t="s">
        <v>271</v>
      </c>
      <c r="GL1299" s="5" t="s">
        <v>1862</v>
      </c>
      <c r="HM1299" s="5" t="s">
        <v>313</v>
      </c>
      <c r="HP1299" s="5" t="s">
        <v>272</v>
      </c>
      <c r="HQ1299" s="5" t="s">
        <v>272</v>
      </c>
      <c r="HR1299" s="5" t="s">
        <v>238</v>
      </c>
      <c r="HS1299" s="5" t="s">
        <v>238</v>
      </c>
      <c r="HT1299" s="5" t="s">
        <v>238</v>
      </c>
      <c r="HU1299" s="5" t="s">
        <v>238</v>
      </c>
      <c r="HV1299" s="5" t="s">
        <v>238</v>
      </c>
      <c r="HW1299" s="5" t="s">
        <v>238</v>
      </c>
      <c r="HX1299" s="5" t="s">
        <v>238</v>
      </c>
      <c r="HY1299" s="5" t="s">
        <v>238</v>
      </c>
      <c r="HZ1299" s="5" t="s">
        <v>238</v>
      </c>
      <c r="IA1299" s="5" t="s">
        <v>238</v>
      </c>
      <c r="IB1299" s="5" t="s">
        <v>238</v>
      </c>
      <c r="IC1299" s="5" t="s">
        <v>238</v>
      </c>
      <c r="ID1299" s="5" t="s">
        <v>238</v>
      </c>
    </row>
    <row r="1300" spans="1:238" x14ac:dyDescent="0.4">
      <c r="A1300" s="5">
        <v>1643</v>
      </c>
      <c r="B1300" s="5">
        <v>1</v>
      </c>
      <c r="C1300" s="5">
        <v>1</v>
      </c>
      <c r="D1300" s="5" t="s">
        <v>945</v>
      </c>
      <c r="E1300" s="5" t="s">
        <v>491</v>
      </c>
      <c r="F1300" s="5" t="s">
        <v>282</v>
      </c>
      <c r="G1300" s="5" t="s">
        <v>239</v>
      </c>
      <c r="H1300" s="6" t="s">
        <v>947</v>
      </c>
      <c r="I1300" s="5" t="s">
        <v>239</v>
      </c>
      <c r="J1300" s="7">
        <f>11.73</f>
        <v>11.73</v>
      </c>
      <c r="K1300" s="5" t="s">
        <v>270</v>
      </c>
      <c r="L1300" s="8">
        <f>1</f>
        <v>1</v>
      </c>
      <c r="M1300" s="8">
        <f>1114350</f>
        <v>1114350</v>
      </c>
      <c r="N1300" s="6" t="s">
        <v>946</v>
      </c>
      <c r="O1300" s="5" t="s">
        <v>268</v>
      </c>
      <c r="P1300" s="5" t="s">
        <v>269</v>
      </c>
      <c r="R1300" s="8">
        <f>1114349</f>
        <v>1114349</v>
      </c>
      <c r="S1300" s="5" t="s">
        <v>240</v>
      </c>
      <c r="T1300" s="5" t="s">
        <v>237</v>
      </c>
      <c r="U1300" s="5" t="s">
        <v>238</v>
      </c>
      <c r="V1300" s="5" t="s">
        <v>238</v>
      </c>
      <c r="W1300" s="5" t="s">
        <v>241</v>
      </c>
      <c r="X1300" s="5" t="s">
        <v>243</v>
      </c>
      <c r="Y1300" s="5" t="s">
        <v>238</v>
      </c>
      <c r="AB1300" s="5" t="s">
        <v>238</v>
      </c>
      <c r="AD1300" s="6" t="s">
        <v>238</v>
      </c>
      <c r="AG1300" s="6" t="s">
        <v>246</v>
      </c>
      <c r="AH1300" s="5" t="s">
        <v>247</v>
      </c>
      <c r="AI1300" s="5" t="s">
        <v>248</v>
      </c>
      <c r="AY1300" s="5" t="s">
        <v>250</v>
      </c>
      <c r="AZ1300" s="5" t="s">
        <v>238</v>
      </c>
      <c r="BA1300" s="5" t="s">
        <v>251</v>
      </c>
      <c r="BB1300" s="5" t="s">
        <v>238</v>
      </c>
      <c r="BC1300" s="5" t="s">
        <v>253</v>
      </c>
      <c r="BD1300" s="5" t="s">
        <v>238</v>
      </c>
      <c r="BF1300" s="5" t="s">
        <v>238</v>
      </c>
      <c r="BH1300" s="5" t="s">
        <v>254</v>
      </c>
      <c r="BI1300" s="6" t="s">
        <v>246</v>
      </c>
      <c r="BJ1300" s="5" t="s">
        <v>255</v>
      </c>
      <c r="BK1300" s="5" t="s">
        <v>256</v>
      </c>
      <c r="BL1300" s="5" t="s">
        <v>238</v>
      </c>
      <c r="BM1300" s="7">
        <f>0</f>
        <v>0</v>
      </c>
      <c r="BN1300" s="8">
        <f>0</f>
        <v>0</v>
      </c>
      <c r="BO1300" s="5" t="s">
        <v>257</v>
      </c>
      <c r="BP1300" s="5" t="s">
        <v>258</v>
      </c>
      <c r="CD1300" s="5" t="s">
        <v>238</v>
      </c>
      <c r="CE1300" s="5" t="s">
        <v>238</v>
      </c>
      <c r="CI1300" s="5" t="s">
        <v>259</v>
      </c>
      <c r="CJ1300" s="5" t="s">
        <v>260</v>
      </c>
      <c r="CK1300" s="5" t="s">
        <v>238</v>
      </c>
      <c r="CM1300" s="5" t="s">
        <v>261</v>
      </c>
      <c r="CN1300" s="6" t="s">
        <v>262</v>
      </c>
      <c r="CO1300" s="5" t="s">
        <v>263</v>
      </c>
      <c r="CP1300" s="5" t="s">
        <v>264</v>
      </c>
      <c r="CQ1300" s="5" t="s">
        <v>238</v>
      </c>
      <c r="CR1300" s="5" t="s">
        <v>238</v>
      </c>
      <c r="CS1300" s="5">
        <v>0</v>
      </c>
      <c r="CT1300" s="5" t="s">
        <v>265</v>
      </c>
      <c r="CU1300" s="5" t="s">
        <v>266</v>
      </c>
      <c r="CV1300" s="5" t="s">
        <v>267</v>
      </c>
      <c r="CX1300" s="8">
        <f>1114350</f>
        <v>1114350</v>
      </c>
      <c r="CY1300" s="8">
        <f>0</f>
        <v>0</v>
      </c>
      <c r="DA1300" s="5" t="s">
        <v>238</v>
      </c>
      <c r="DB1300" s="5" t="s">
        <v>238</v>
      </c>
      <c r="DD1300" s="5" t="s">
        <v>238</v>
      </c>
      <c r="DG1300" s="5" t="s">
        <v>238</v>
      </c>
      <c r="DH1300" s="5" t="s">
        <v>238</v>
      </c>
      <c r="DI1300" s="5" t="s">
        <v>238</v>
      </c>
      <c r="DJ1300" s="5" t="s">
        <v>238</v>
      </c>
      <c r="DK1300" s="5" t="s">
        <v>271</v>
      </c>
      <c r="DL1300" s="5" t="s">
        <v>272</v>
      </c>
      <c r="DM1300" s="7">
        <f>11.73</f>
        <v>11.73</v>
      </c>
      <c r="DN1300" s="5" t="s">
        <v>238</v>
      </c>
      <c r="DO1300" s="5" t="s">
        <v>238</v>
      </c>
      <c r="DP1300" s="5" t="s">
        <v>238</v>
      </c>
      <c r="DQ1300" s="5" t="s">
        <v>238</v>
      </c>
      <c r="DT1300" s="5" t="s">
        <v>948</v>
      </c>
      <c r="DU1300" s="5" t="s">
        <v>274</v>
      </c>
      <c r="HM1300" s="5" t="s">
        <v>271</v>
      </c>
      <c r="HP1300" s="5" t="s">
        <v>272</v>
      </c>
      <c r="HQ1300" s="5" t="s">
        <v>272</v>
      </c>
    </row>
    <row r="1301" spans="1:238" x14ac:dyDescent="0.4">
      <c r="A1301" s="5">
        <v>1645</v>
      </c>
      <c r="B1301" s="5">
        <v>1</v>
      </c>
      <c r="C1301" s="5">
        <v>4</v>
      </c>
      <c r="D1301" s="5" t="s">
        <v>959</v>
      </c>
      <c r="E1301" s="5" t="s">
        <v>952</v>
      </c>
      <c r="F1301" s="5" t="s">
        <v>282</v>
      </c>
      <c r="G1301" s="5" t="s">
        <v>1807</v>
      </c>
      <c r="H1301" s="6" t="s">
        <v>961</v>
      </c>
      <c r="I1301" s="5" t="s">
        <v>1881</v>
      </c>
      <c r="J1301" s="7">
        <f>358</f>
        <v>358</v>
      </c>
      <c r="K1301" s="5" t="s">
        <v>270</v>
      </c>
      <c r="L1301" s="8">
        <f>8284120</f>
        <v>8284120</v>
      </c>
      <c r="M1301" s="8">
        <f>63724000</f>
        <v>63724000</v>
      </c>
      <c r="N1301" s="6" t="s">
        <v>960</v>
      </c>
      <c r="O1301" s="5" t="s">
        <v>755</v>
      </c>
      <c r="P1301" s="5" t="s">
        <v>784</v>
      </c>
      <c r="Q1301" s="8">
        <f>1911720</f>
        <v>1911720</v>
      </c>
      <c r="R1301" s="8">
        <f>55439880</f>
        <v>55439880</v>
      </c>
      <c r="S1301" s="5" t="s">
        <v>240</v>
      </c>
      <c r="T1301" s="5" t="s">
        <v>237</v>
      </c>
      <c r="U1301" s="5" t="s">
        <v>238</v>
      </c>
      <c r="V1301" s="5" t="s">
        <v>238</v>
      </c>
      <c r="W1301" s="5" t="s">
        <v>241</v>
      </c>
      <c r="X1301" s="5" t="s">
        <v>243</v>
      </c>
      <c r="Y1301" s="5" t="s">
        <v>238</v>
      </c>
      <c r="AB1301" s="5" t="s">
        <v>238</v>
      </c>
      <c r="AC1301" s="6" t="s">
        <v>238</v>
      </c>
      <c r="AD1301" s="6" t="s">
        <v>238</v>
      </c>
      <c r="AF1301" s="6" t="s">
        <v>238</v>
      </c>
      <c r="AG1301" s="6" t="s">
        <v>246</v>
      </c>
      <c r="AH1301" s="5" t="s">
        <v>247</v>
      </c>
      <c r="AI1301" s="5" t="s">
        <v>248</v>
      </c>
      <c r="AO1301" s="5" t="s">
        <v>238</v>
      </c>
      <c r="AP1301" s="5" t="s">
        <v>238</v>
      </c>
      <c r="AQ1301" s="5" t="s">
        <v>238</v>
      </c>
      <c r="AR1301" s="6" t="s">
        <v>238</v>
      </c>
      <c r="AS1301" s="6" t="s">
        <v>238</v>
      </c>
      <c r="AT1301" s="6" t="s">
        <v>238</v>
      </c>
      <c r="AW1301" s="5" t="s">
        <v>304</v>
      </c>
      <c r="AX1301" s="5" t="s">
        <v>304</v>
      </c>
      <c r="AY1301" s="5" t="s">
        <v>250</v>
      </c>
      <c r="AZ1301" s="5" t="s">
        <v>305</v>
      </c>
      <c r="BA1301" s="5" t="s">
        <v>251</v>
      </c>
      <c r="BB1301" s="5" t="s">
        <v>238</v>
      </c>
      <c r="BC1301" s="5" t="s">
        <v>253</v>
      </c>
      <c r="BD1301" s="5" t="s">
        <v>238</v>
      </c>
      <c r="BF1301" s="5" t="s">
        <v>238</v>
      </c>
      <c r="BH1301" s="5" t="s">
        <v>283</v>
      </c>
      <c r="BI1301" s="6" t="s">
        <v>293</v>
      </c>
      <c r="BJ1301" s="5" t="s">
        <v>294</v>
      </c>
      <c r="BK1301" s="5" t="s">
        <v>294</v>
      </c>
      <c r="BL1301" s="5" t="s">
        <v>238</v>
      </c>
      <c r="BM1301" s="7">
        <f>0</f>
        <v>0</v>
      </c>
      <c r="BN1301" s="8">
        <f>-1911720</f>
        <v>-1911720</v>
      </c>
      <c r="BO1301" s="5" t="s">
        <v>257</v>
      </c>
      <c r="BP1301" s="5" t="s">
        <v>258</v>
      </c>
      <c r="BQ1301" s="5" t="s">
        <v>238</v>
      </c>
      <c r="BR1301" s="5" t="s">
        <v>238</v>
      </c>
      <c r="BS1301" s="5" t="s">
        <v>238</v>
      </c>
      <c r="BT1301" s="5" t="s">
        <v>238</v>
      </c>
      <c r="CC1301" s="5" t="s">
        <v>258</v>
      </c>
      <c r="CD1301" s="5" t="s">
        <v>238</v>
      </c>
      <c r="CE1301" s="5" t="s">
        <v>238</v>
      </c>
      <c r="CI1301" s="5" t="s">
        <v>259</v>
      </c>
      <c r="CJ1301" s="5" t="s">
        <v>260</v>
      </c>
      <c r="CK1301" s="5" t="s">
        <v>238</v>
      </c>
      <c r="CM1301" s="5" t="s">
        <v>783</v>
      </c>
      <c r="CN1301" s="6" t="s">
        <v>262</v>
      </c>
      <c r="CO1301" s="5" t="s">
        <v>263</v>
      </c>
      <c r="CP1301" s="5" t="s">
        <v>264</v>
      </c>
      <c r="CQ1301" s="5" t="s">
        <v>285</v>
      </c>
      <c r="CR1301" s="5" t="s">
        <v>238</v>
      </c>
      <c r="CS1301" s="5">
        <v>0.03</v>
      </c>
      <c r="CT1301" s="5" t="s">
        <v>265</v>
      </c>
      <c r="CU1301" s="5" t="s">
        <v>1803</v>
      </c>
      <c r="CV1301" s="5" t="s">
        <v>649</v>
      </c>
      <c r="CW1301" s="7">
        <f>0</f>
        <v>0</v>
      </c>
      <c r="CX1301" s="8">
        <f>63724000</f>
        <v>63724000</v>
      </c>
      <c r="CY1301" s="8">
        <f>10195840</f>
        <v>10195840</v>
      </c>
      <c r="DA1301" s="5" t="s">
        <v>238</v>
      </c>
      <c r="DB1301" s="5" t="s">
        <v>238</v>
      </c>
      <c r="DD1301" s="5" t="s">
        <v>238</v>
      </c>
      <c r="DE1301" s="8">
        <f>0</f>
        <v>0</v>
      </c>
      <c r="DG1301" s="5" t="s">
        <v>238</v>
      </c>
      <c r="DH1301" s="5" t="s">
        <v>238</v>
      </c>
      <c r="DI1301" s="5" t="s">
        <v>238</v>
      </c>
      <c r="DJ1301" s="5" t="s">
        <v>238</v>
      </c>
      <c r="DK1301" s="5" t="s">
        <v>271</v>
      </c>
      <c r="DL1301" s="5" t="s">
        <v>272</v>
      </c>
      <c r="DM1301" s="7">
        <f>358</f>
        <v>358</v>
      </c>
      <c r="DN1301" s="5" t="s">
        <v>238</v>
      </c>
      <c r="DO1301" s="5" t="s">
        <v>238</v>
      </c>
      <c r="DP1301" s="5" t="s">
        <v>238</v>
      </c>
      <c r="DQ1301" s="5" t="s">
        <v>238</v>
      </c>
      <c r="DT1301" s="5" t="s">
        <v>962</v>
      </c>
      <c r="DU1301" s="5" t="s">
        <v>271</v>
      </c>
      <c r="GL1301" s="5" t="s">
        <v>1882</v>
      </c>
      <c r="HM1301" s="5" t="s">
        <v>313</v>
      </c>
      <c r="HP1301" s="5" t="s">
        <v>272</v>
      </c>
      <c r="HQ1301" s="5" t="s">
        <v>272</v>
      </c>
      <c r="HR1301" s="5" t="s">
        <v>238</v>
      </c>
      <c r="HS1301" s="5" t="s">
        <v>238</v>
      </c>
      <c r="HT1301" s="5" t="s">
        <v>238</v>
      </c>
      <c r="HU1301" s="5" t="s">
        <v>238</v>
      </c>
      <c r="HV1301" s="5" t="s">
        <v>238</v>
      </c>
      <c r="HW1301" s="5" t="s">
        <v>238</v>
      </c>
      <c r="HX1301" s="5" t="s">
        <v>238</v>
      </c>
      <c r="HY1301" s="5" t="s">
        <v>238</v>
      </c>
      <c r="HZ1301" s="5" t="s">
        <v>238</v>
      </c>
      <c r="IA1301" s="5" t="s">
        <v>238</v>
      </c>
      <c r="IB1301" s="5" t="s">
        <v>238</v>
      </c>
      <c r="IC1301" s="5" t="s">
        <v>238</v>
      </c>
      <c r="ID1301" s="5" t="s">
        <v>238</v>
      </c>
    </row>
    <row r="1302" spans="1:238" x14ac:dyDescent="0.4">
      <c r="A1302" s="5">
        <v>1646</v>
      </c>
      <c r="B1302" s="5">
        <v>1</v>
      </c>
      <c r="C1302" s="5">
        <v>1</v>
      </c>
      <c r="D1302" s="5" t="s">
        <v>959</v>
      </c>
      <c r="E1302" s="5" t="s">
        <v>952</v>
      </c>
      <c r="F1302" s="5" t="s">
        <v>282</v>
      </c>
      <c r="G1302" s="5" t="s">
        <v>239</v>
      </c>
      <c r="H1302" s="6" t="s">
        <v>961</v>
      </c>
      <c r="I1302" s="5" t="s">
        <v>239</v>
      </c>
      <c r="J1302" s="7">
        <f>64.61</f>
        <v>64.61</v>
      </c>
      <c r="K1302" s="5" t="s">
        <v>270</v>
      </c>
      <c r="L1302" s="8">
        <f>1</f>
        <v>1</v>
      </c>
      <c r="M1302" s="8">
        <f>6137950</f>
        <v>6137950</v>
      </c>
      <c r="N1302" s="6" t="s">
        <v>960</v>
      </c>
      <c r="O1302" s="5" t="s">
        <v>651</v>
      </c>
      <c r="P1302" s="5" t="s">
        <v>651</v>
      </c>
      <c r="R1302" s="8">
        <f>6137949</f>
        <v>6137949</v>
      </c>
      <c r="S1302" s="5" t="s">
        <v>240</v>
      </c>
      <c r="T1302" s="5" t="s">
        <v>237</v>
      </c>
      <c r="U1302" s="5" t="s">
        <v>238</v>
      </c>
      <c r="V1302" s="5" t="s">
        <v>238</v>
      </c>
      <c r="W1302" s="5" t="s">
        <v>241</v>
      </c>
      <c r="X1302" s="5" t="s">
        <v>243</v>
      </c>
      <c r="Y1302" s="5" t="s">
        <v>238</v>
      </c>
      <c r="AB1302" s="5" t="s">
        <v>238</v>
      </c>
      <c r="AD1302" s="6" t="s">
        <v>238</v>
      </c>
      <c r="AG1302" s="6" t="s">
        <v>246</v>
      </c>
      <c r="AH1302" s="5" t="s">
        <v>247</v>
      </c>
      <c r="AI1302" s="5" t="s">
        <v>248</v>
      </c>
      <c r="AY1302" s="5" t="s">
        <v>250</v>
      </c>
      <c r="AZ1302" s="5" t="s">
        <v>238</v>
      </c>
      <c r="BA1302" s="5" t="s">
        <v>251</v>
      </c>
      <c r="BB1302" s="5" t="s">
        <v>238</v>
      </c>
      <c r="BC1302" s="5" t="s">
        <v>253</v>
      </c>
      <c r="BD1302" s="5" t="s">
        <v>238</v>
      </c>
      <c r="BF1302" s="5" t="s">
        <v>238</v>
      </c>
      <c r="BH1302" s="5" t="s">
        <v>798</v>
      </c>
      <c r="BI1302" s="6" t="s">
        <v>799</v>
      </c>
      <c r="BJ1302" s="5" t="s">
        <v>255</v>
      </c>
      <c r="BK1302" s="5" t="s">
        <v>294</v>
      </c>
      <c r="BL1302" s="5" t="s">
        <v>238</v>
      </c>
      <c r="BM1302" s="7">
        <f>0</f>
        <v>0</v>
      </c>
      <c r="BN1302" s="8">
        <f>0</f>
        <v>0</v>
      </c>
      <c r="BO1302" s="5" t="s">
        <v>257</v>
      </c>
      <c r="BP1302" s="5" t="s">
        <v>258</v>
      </c>
      <c r="CD1302" s="5" t="s">
        <v>238</v>
      </c>
      <c r="CE1302" s="5" t="s">
        <v>238</v>
      </c>
      <c r="CI1302" s="5" t="s">
        <v>259</v>
      </c>
      <c r="CJ1302" s="5" t="s">
        <v>260</v>
      </c>
      <c r="CK1302" s="5" t="s">
        <v>238</v>
      </c>
      <c r="CM1302" s="5" t="s">
        <v>783</v>
      </c>
      <c r="CN1302" s="6" t="s">
        <v>262</v>
      </c>
      <c r="CO1302" s="5" t="s">
        <v>263</v>
      </c>
      <c r="CP1302" s="5" t="s">
        <v>264</v>
      </c>
      <c r="CQ1302" s="5" t="s">
        <v>238</v>
      </c>
      <c r="CR1302" s="5" t="s">
        <v>238</v>
      </c>
      <c r="CS1302" s="5">
        <v>0</v>
      </c>
      <c r="CT1302" s="5" t="s">
        <v>265</v>
      </c>
      <c r="CU1302" s="5" t="s">
        <v>266</v>
      </c>
      <c r="CV1302" s="5" t="s">
        <v>331</v>
      </c>
      <c r="CX1302" s="8">
        <f>6137950</f>
        <v>6137950</v>
      </c>
      <c r="CY1302" s="8">
        <f>0</f>
        <v>0</v>
      </c>
      <c r="DA1302" s="5" t="s">
        <v>238</v>
      </c>
      <c r="DB1302" s="5" t="s">
        <v>238</v>
      </c>
      <c r="DD1302" s="5" t="s">
        <v>238</v>
      </c>
      <c r="DG1302" s="5" t="s">
        <v>238</v>
      </c>
      <c r="DH1302" s="5" t="s">
        <v>238</v>
      </c>
      <c r="DI1302" s="5" t="s">
        <v>238</v>
      </c>
      <c r="DJ1302" s="5" t="s">
        <v>238</v>
      </c>
      <c r="DK1302" s="5" t="s">
        <v>271</v>
      </c>
      <c r="DL1302" s="5" t="s">
        <v>272</v>
      </c>
      <c r="DM1302" s="7">
        <f>64.61</f>
        <v>64.61</v>
      </c>
      <c r="DN1302" s="5" t="s">
        <v>238</v>
      </c>
      <c r="DO1302" s="5" t="s">
        <v>238</v>
      </c>
      <c r="DP1302" s="5" t="s">
        <v>238</v>
      </c>
      <c r="DQ1302" s="5" t="s">
        <v>238</v>
      </c>
      <c r="DT1302" s="5" t="s">
        <v>962</v>
      </c>
      <c r="DU1302" s="5" t="s">
        <v>274</v>
      </c>
      <c r="HM1302" s="5" t="s">
        <v>356</v>
      </c>
      <c r="HP1302" s="5" t="s">
        <v>272</v>
      </c>
      <c r="HQ1302" s="5" t="s">
        <v>272</v>
      </c>
    </row>
    <row r="1303" spans="1:238" x14ac:dyDescent="0.4">
      <c r="A1303" s="5">
        <v>1647</v>
      </c>
      <c r="B1303" s="5">
        <v>1</v>
      </c>
      <c r="C1303" s="5">
        <v>1</v>
      </c>
      <c r="D1303" s="5" t="s">
        <v>2340</v>
      </c>
      <c r="E1303" s="5" t="s">
        <v>1337</v>
      </c>
      <c r="F1303" s="5" t="s">
        <v>282</v>
      </c>
      <c r="G1303" s="5" t="s">
        <v>2324</v>
      </c>
      <c r="H1303" s="6" t="s">
        <v>2341</v>
      </c>
      <c r="I1303" s="5" t="s">
        <v>2324</v>
      </c>
      <c r="J1303" s="7">
        <f>172.24</f>
        <v>172.24</v>
      </c>
      <c r="K1303" s="5" t="s">
        <v>270</v>
      </c>
      <c r="L1303" s="8">
        <f>1</f>
        <v>1</v>
      </c>
      <c r="M1303" s="8">
        <f>10334400</f>
        <v>10334400</v>
      </c>
      <c r="N1303" s="6" t="s">
        <v>953</v>
      </c>
      <c r="O1303" s="5" t="s">
        <v>650</v>
      </c>
      <c r="P1303" s="5" t="s">
        <v>866</v>
      </c>
      <c r="R1303" s="8">
        <f>10334399</f>
        <v>10334399</v>
      </c>
      <c r="S1303" s="5" t="s">
        <v>240</v>
      </c>
      <c r="T1303" s="5" t="s">
        <v>237</v>
      </c>
      <c r="U1303" s="5" t="s">
        <v>238</v>
      </c>
      <c r="V1303" s="5" t="s">
        <v>238</v>
      </c>
      <c r="W1303" s="5" t="s">
        <v>241</v>
      </c>
      <c r="X1303" s="5" t="s">
        <v>243</v>
      </c>
      <c r="Y1303" s="5" t="s">
        <v>238</v>
      </c>
      <c r="AB1303" s="5" t="s">
        <v>238</v>
      </c>
      <c r="AD1303" s="6" t="s">
        <v>238</v>
      </c>
      <c r="AG1303" s="6" t="s">
        <v>246</v>
      </c>
      <c r="AH1303" s="5" t="s">
        <v>247</v>
      </c>
      <c r="AI1303" s="5" t="s">
        <v>248</v>
      </c>
      <c r="AY1303" s="5" t="s">
        <v>250</v>
      </c>
      <c r="AZ1303" s="5" t="s">
        <v>238</v>
      </c>
      <c r="BA1303" s="5" t="s">
        <v>251</v>
      </c>
      <c r="BB1303" s="5" t="s">
        <v>238</v>
      </c>
      <c r="BC1303" s="5" t="s">
        <v>253</v>
      </c>
      <c r="BD1303" s="5" t="s">
        <v>238</v>
      </c>
      <c r="BF1303" s="5" t="s">
        <v>238</v>
      </c>
      <c r="BH1303" s="5" t="s">
        <v>254</v>
      </c>
      <c r="BI1303" s="6" t="s">
        <v>246</v>
      </c>
      <c r="BJ1303" s="5" t="s">
        <v>255</v>
      </c>
      <c r="BK1303" s="5" t="s">
        <v>256</v>
      </c>
      <c r="BL1303" s="5" t="s">
        <v>238</v>
      </c>
      <c r="BM1303" s="7">
        <f>0</f>
        <v>0</v>
      </c>
      <c r="BN1303" s="8">
        <f>0</f>
        <v>0</v>
      </c>
      <c r="BO1303" s="5" t="s">
        <v>257</v>
      </c>
      <c r="BP1303" s="5" t="s">
        <v>258</v>
      </c>
      <c r="CD1303" s="5" t="s">
        <v>238</v>
      </c>
      <c r="CE1303" s="5" t="s">
        <v>238</v>
      </c>
      <c r="CI1303" s="5" t="s">
        <v>527</v>
      </c>
      <c r="CJ1303" s="5" t="s">
        <v>260</v>
      </c>
      <c r="CK1303" s="5" t="s">
        <v>238</v>
      </c>
      <c r="CM1303" s="5" t="s">
        <v>865</v>
      </c>
      <c r="CN1303" s="6" t="s">
        <v>262</v>
      </c>
      <c r="CO1303" s="5" t="s">
        <v>263</v>
      </c>
      <c r="CP1303" s="5" t="s">
        <v>264</v>
      </c>
      <c r="CQ1303" s="5" t="s">
        <v>238</v>
      </c>
      <c r="CR1303" s="5" t="s">
        <v>238</v>
      </c>
      <c r="CS1303" s="5">
        <v>0</v>
      </c>
      <c r="CT1303" s="5" t="s">
        <v>265</v>
      </c>
      <c r="CU1303" s="5" t="s">
        <v>2321</v>
      </c>
      <c r="CV1303" s="5" t="s">
        <v>649</v>
      </c>
      <c r="CX1303" s="8">
        <f>10334400</f>
        <v>10334400</v>
      </c>
      <c r="CY1303" s="8">
        <f>0</f>
        <v>0</v>
      </c>
      <c r="DA1303" s="5" t="s">
        <v>238</v>
      </c>
      <c r="DB1303" s="5" t="s">
        <v>238</v>
      </c>
      <c r="DD1303" s="5" t="s">
        <v>238</v>
      </c>
      <c r="DG1303" s="5" t="s">
        <v>238</v>
      </c>
      <c r="DH1303" s="5" t="s">
        <v>238</v>
      </c>
      <c r="DI1303" s="5" t="s">
        <v>238</v>
      </c>
      <c r="DJ1303" s="5" t="s">
        <v>238</v>
      </c>
      <c r="DK1303" s="5" t="s">
        <v>271</v>
      </c>
      <c r="DL1303" s="5" t="s">
        <v>272</v>
      </c>
      <c r="DM1303" s="7">
        <f>172.24</f>
        <v>172.24</v>
      </c>
      <c r="DN1303" s="5" t="s">
        <v>238</v>
      </c>
      <c r="DO1303" s="5" t="s">
        <v>238</v>
      </c>
      <c r="DP1303" s="5" t="s">
        <v>238</v>
      </c>
      <c r="DQ1303" s="5" t="s">
        <v>238</v>
      </c>
      <c r="DT1303" s="5" t="s">
        <v>2342</v>
      </c>
      <c r="DU1303" s="5" t="s">
        <v>271</v>
      </c>
      <c r="HM1303" s="5" t="s">
        <v>271</v>
      </c>
      <c r="HP1303" s="5" t="s">
        <v>272</v>
      </c>
      <c r="HQ1303" s="5" t="s">
        <v>272</v>
      </c>
    </row>
    <row r="1304" spans="1:238" x14ac:dyDescent="0.4">
      <c r="A1304" s="5">
        <v>1648</v>
      </c>
      <c r="B1304" s="5">
        <v>1</v>
      </c>
      <c r="C1304" s="5">
        <v>1</v>
      </c>
      <c r="D1304" s="5" t="s">
        <v>2340</v>
      </c>
      <c r="E1304" s="5" t="s">
        <v>1337</v>
      </c>
      <c r="F1304" s="5" t="s">
        <v>282</v>
      </c>
      <c r="G1304" s="5" t="s">
        <v>238</v>
      </c>
      <c r="H1304" s="6" t="s">
        <v>2341</v>
      </c>
      <c r="I1304" s="5" t="s">
        <v>2324</v>
      </c>
      <c r="J1304" s="7">
        <f>295</f>
        <v>295</v>
      </c>
      <c r="K1304" s="5" t="s">
        <v>270</v>
      </c>
      <c r="L1304" s="8">
        <f>1</f>
        <v>1</v>
      </c>
      <c r="M1304" s="8">
        <f>53100000</f>
        <v>53100000</v>
      </c>
      <c r="N1304" s="6" t="s">
        <v>953</v>
      </c>
      <c r="O1304" s="5" t="s">
        <v>650</v>
      </c>
      <c r="P1304" s="5" t="s">
        <v>639</v>
      </c>
      <c r="R1304" s="8">
        <f>53099999</f>
        <v>53099999</v>
      </c>
      <c r="S1304" s="5" t="s">
        <v>240</v>
      </c>
      <c r="T1304" s="5" t="s">
        <v>287</v>
      </c>
      <c r="U1304" s="5" t="s">
        <v>238</v>
      </c>
      <c r="V1304" s="5" t="s">
        <v>238</v>
      </c>
      <c r="W1304" s="5" t="s">
        <v>241</v>
      </c>
      <c r="X1304" s="5" t="s">
        <v>238</v>
      </c>
      <c r="Y1304" s="5" t="s">
        <v>238</v>
      </c>
      <c r="AB1304" s="5" t="s">
        <v>238</v>
      </c>
      <c r="AD1304" s="6" t="s">
        <v>238</v>
      </c>
      <c r="AG1304" s="6" t="s">
        <v>246</v>
      </c>
      <c r="AH1304" s="5" t="s">
        <v>247</v>
      </c>
      <c r="AI1304" s="5" t="s">
        <v>248</v>
      </c>
      <c r="AY1304" s="5" t="s">
        <v>250</v>
      </c>
      <c r="AZ1304" s="5" t="s">
        <v>238</v>
      </c>
      <c r="BA1304" s="5" t="s">
        <v>251</v>
      </c>
      <c r="BB1304" s="5" t="s">
        <v>238</v>
      </c>
      <c r="BC1304" s="5" t="s">
        <v>253</v>
      </c>
      <c r="BD1304" s="5" t="s">
        <v>238</v>
      </c>
      <c r="BF1304" s="5" t="s">
        <v>238</v>
      </c>
      <c r="BH1304" s="5" t="s">
        <v>859</v>
      </c>
      <c r="BI1304" s="6" t="s">
        <v>368</v>
      </c>
      <c r="BJ1304" s="5" t="s">
        <v>255</v>
      </c>
      <c r="BK1304" s="5" t="s">
        <v>1300</v>
      </c>
      <c r="BL1304" s="5" t="s">
        <v>238</v>
      </c>
      <c r="BM1304" s="7">
        <f>0</f>
        <v>0</v>
      </c>
      <c r="BN1304" s="8">
        <f>0</f>
        <v>0</v>
      </c>
      <c r="BO1304" s="5" t="s">
        <v>257</v>
      </c>
      <c r="BP1304" s="5" t="s">
        <v>258</v>
      </c>
      <c r="CD1304" s="5" t="s">
        <v>238</v>
      </c>
      <c r="CE1304" s="5" t="s">
        <v>238</v>
      </c>
      <c r="CI1304" s="5" t="s">
        <v>527</v>
      </c>
      <c r="CJ1304" s="5" t="s">
        <v>260</v>
      </c>
      <c r="CK1304" s="5" t="s">
        <v>238</v>
      </c>
      <c r="CM1304" s="5" t="s">
        <v>865</v>
      </c>
      <c r="CN1304" s="6" t="s">
        <v>262</v>
      </c>
      <c r="CO1304" s="5" t="s">
        <v>263</v>
      </c>
      <c r="CP1304" s="5" t="s">
        <v>264</v>
      </c>
      <c r="CQ1304" s="5" t="s">
        <v>238</v>
      </c>
      <c r="CR1304" s="5" t="s">
        <v>238</v>
      </c>
      <c r="CS1304" s="5">
        <v>0</v>
      </c>
      <c r="CT1304" s="5" t="s">
        <v>265</v>
      </c>
      <c r="CU1304" s="5" t="s">
        <v>2321</v>
      </c>
      <c r="CV1304" s="5" t="s">
        <v>649</v>
      </c>
      <c r="CX1304" s="8">
        <f>53100000</f>
        <v>53100000</v>
      </c>
      <c r="CY1304" s="8">
        <f>0</f>
        <v>0</v>
      </c>
      <c r="DA1304" s="5" t="s">
        <v>238</v>
      </c>
      <c r="DB1304" s="5" t="s">
        <v>238</v>
      </c>
      <c r="DD1304" s="5" t="s">
        <v>238</v>
      </c>
      <c r="DG1304" s="5" t="s">
        <v>238</v>
      </c>
      <c r="DH1304" s="5" t="s">
        <v>238</v>
      </c>
      <c r="DI1304" s="5" t="s">
        <v>238</v>
      </c>
      <c r="DJ1304" s="5" t="s">
        <v>238</v>
      </c>
      <c r="DK1304" s="5" t="s">
        <v>272</v>
      </c>
      <c r="DL1304" s="5" t="s">
        <v>272</v>
      </c>
      <c r="DM1304" s="7">
        <f>295</f>
        <v>295</v>
      </c>
      <c r="DN1304" s="5" t="s">
        <v>238</v>
      </c>
      <c r="DO1304" s="5" t="s">
        <v>238</v>
      </c>
      <c r="DP1304" s="5" t="s">
        <v>238</v>
      </c>
      <c r="DQ1304" s="5" t="s">
        <v>238</v>
      </c>
      <c r="DT1304" s="5" t="s">
        <v>2342</v>
      </c>
      <c r="DU1304" s="5" t="s">
        <v>274</v>
      </c>
      <c r="HM1304" s="5" t="s">
        <v>271</v>
      </c>
      <c r="HP1304" s="5" t="s">
        <v>272</v>
      </c>
      <c r="HQ1304" s="5" t="s">
        <v>272</v>
      </c>
    </row>
    <row r="1305" spans="1:238" x14ac:dyDescent="0.4">
      <c r="A1305" s="5">
        <v>1649</v>
      </c>
      <c r="B1305" s="5">
        <v>1</v>
      </c>
      <c r="C1305" s="5">
        <v>1</v>
      </c>
      <c r="D1305" s="5" t="s">
        <v>2340</v>
      </c>
      <c r="E1305" s="5" t="s">
        <v>1337</v>
      </c>
      <c r="F1305" s="5" t="s">
        <v>282</v>
      </c>
      <c r="G1305" s="5" t="s">
        <v>238</v>
      </c>
      <c r="H1305" s="6" t="s">
        <v>2341</v>
      </c>
      <c r="I1305" s="5" t="s">
        <v>2324</v>
      </c>
      <c r="J1305" s="7">
        <f>218</f>
        <v>218</v>
      </c>
      <c r="K1305" s="5" t="s">
        <v>270</v>
      </c>
      <c r="L1305" s="8">
        <f>1</f>
        <v>1</v>
      </c>
      <c r="M1305" s="8">
        <f>23820000</f>
        <v>23820000</v>
      </c>
      <c r="N1305" s="6" t="s">
        <v>953</v>
      </c>
      <c r="O1305" s="5" t="s">
        <v>268</v>
      </c>
      <c r="P1305" s="5" t="s">
        <v>639</v>
      </c>
      <c r="R1305" s="8">
        <f>23819999</f>
        <v>23819999</v>
      </c>
      <c r="S1305" s="5" t="s">
        <v>240</v>
      </c>
      <c r="T1305" s="5" t="s">
        <v>287</v>
      </c>
      <c r="U1305" s="5" t="s">
        <v>238</v>
      </c>
      <c r="V1305" s="5" t="s">
        <v>238</v>
      </c>
      <c r="W1305" s="5" t="s">
        <v>241</v>
      </c>
      <c r="X1305" s="5" t="s">
        <v>238</v>
      </c>
      <c r="Y1305" s="5" t="s">
        <v>238</v>
      </c>
      <c r="AB1305" s="5" t="s">
        <v>238</v>
      </c>
      <c r="AD1305" s="6" t="s">
        <v>238</v>
      </c>
      <c r="AG1305" s="6" t="s">
        <v>246</v>
      </c>
      <c r="AH1305" s="5" t="s">
        <v>247</v>
      </c>
      <c r="AI1305" s="5" t="s">
        <v>248</v>
      </c>
      <c r="AY1305" s="5" t="s">
        <v>250</v>
      </c>
      <c r="AZ1305" s="5" t="s">
        <v>238</v>
      </c>
      <c r="BA1305" s="5" t="s">
        <v>251</v>
      </c>
      <c r="BB1305" s="5" t="s">
        <v>238</v>
      </c>
      <c r="BC1305" s="5" t="s">
        <v>253</v>
      </c>
      <c r="BD1305" s="5" t="s">
        <v>238</v>
      </c>
      <c r="BF1305" s="5" t="s">
        <v>238</v>
      </c>
      <c r="BH1305" s="5" t="s">
        <v>697</v>
      </c>
      <c r="BI1305" s="6" t="s">
        <v>698</v>
      </c>
      <c r="BJ1305" s="5" t="s">
        <v>255</v>
      </c>
      <c r="BK1305" s="5" t="s">
        <v>1300</v>
      </c>
      <c r="BL1305" s="5" t="s">
        <v>238</v>
      </c>
      <c r="BM1305" s="7">
        <f>0</f>
        <v>0</v>
      </c>
      <c r="BN1305" s="8">
        <f>0</f>
        <v>0</v>
      </c>
      <c r="BO1305" s="5" t="s">
        <v>257</v>
      </c>
      <c r="BP1305" s="5" t="s">
        <v>258</v>
      </c>
      <c r="CD1305" s="5" t="s">
        <v>238</v>
      </c>
      <c r="CE1305" s="5" t="s">
        <v>238</v>
      </c>
      <c r="CI1305" s="5" t="s">
        <v>527</v>
      </c>
      <c r="CJ1305" s="5" t="s">
        <v>260</v>
      </c>
      <c r="CK1305" s="5" t="s">
        <v>238</v>
      </c>
      <c r="CM1305" s="5" t="s">
        <v>865</v>
      </c>
      <c r="CN1305" s="6" t="s">
        <v>262</v>
      </c>
      <c r="CO1305" s="5" t="s">
        <v>263</v>
      </c>
      <c r="CP1305" s="5" t="s">
        <v>264</v>
      </c>
      <c r="CQ1305" s="5" t="s">
        <v>238</v>
      </c>
      <c r="CR1305" s="5" t="s">
        <v>238</v>
      </c>
      <c r="CS1305" s="5">
        <v>0</v>
      </c>
      <c r="CT1305" s="5" t="s">
        <v>265</v>
      </c>
      <c r="CU1305" s="5" t="s">
        <v>2321</v>
      </c>
      <c r="CV1305" s="5" t="s">
        <v>267</v>
      </c>
      <c r="CX1305" s="8">
        <f>23820000</f>
        <v>23820000</v>
      </c>
      <c r="CY1305" s="8">
        <f>0</f>
        <v>0</v>
      </c>
      <c r="DA1305" s="5" t="s">
        <v>238</v>
      </c>
      <c r="DB1305" s="5" t="s">
        <v>238</v>
      </c>
      <c r="DD1305" s="5" t="s">
        <v>238</v>
      </c>
      <c r="DG1305" s="5" t="s">
        <v>238</v>
      </c>
      <c r="DH1305" s="5" t="s">
        <v>238</v>
      </c>
      <c r="DI1305" s="5" t="s">
        <v>238</v>
      </c>
      <c r="DJ1305" s="5" t="s">
        <v>238</v>
      </c>
      <c r="DK1305" s="5" t="s">
        <v>272</v>
      </c>
      <c r="DL1305" s="5" t="s">
        <v>272</v>
      </c>
      <c r="DM1305" s="7">
        <f>218</f>
        <v>218</v>
      </c>
      <c r="DN1305" s="5" t="s">
        <v>238</v>
      </c>
      <c r="DO1305" s="5" t="s">
        <v>238</v>
      </c>
      <c r="DP1305" s="5" t="s">
        <v>238</v>
      </c>
      <c r="DQ1305" s="5" t="s">
        <v>238</v>
      </c>
      <c r="DT1305" s="5" t="s">
        <v>2342</v>
      </c>
      <c r="DU1305" s="5" t="s">
        <v>356</v>
      </c>
      <c r="HM1305" s="5" t="s">
        <v>271</v>
      </c>
      <c r="HP1305" s="5" t="s">
        <v>272</v>
      </c>
      <c r="HQ1305" s="5" t="s">
        <v>272</v>
      </c>
    </row>
    <row r="1306" spans="1:238" x14ac:dyDescent="0.4">
      <c r="A1306" s="5">
        <v>1650</v>
      </c>
      <c r="B1306" s="5">
        <v>1</v>
      </c>
      <c r="C1306" s="5">
        <v>1</v>
      </c>
      <c r="D1306" s="5" t="s">
        <v>2376</v>
      </c>
      <c r="E1306" s="5" t="s">
        <v>1337</v>
      </c>
      <c r="F1306" s="5" t="s">
        <v>282</v>
      </c>
      <c r="G1306" s="5" t="s">
        <v>2324</v>
      </c>
      <c r="H1306" s="6" t="s">
        <v>2378</v>
      </c>
      <c r="I1306" s="5" t="s">
        <v>2324</v>
      </c>
      <c r="J1306" s="7">
        <f>200.4</f>
        <v>200.4</v>
      </c>
      <c r="K1306" s="5" t="s">
        <v>270</v>
      </c>
      <c r="L1306" s="8">
        <f>1</f>
        <v>1</v>
      </c>
      <c r="M1306" s="8">
        <f>12024000</f>
        <v>12024000</v>
      </c>
      <c r="N1306" s="6" t="s">
        <v>2377</v>
      </c>
      <c r="O1306" s="5" t="s">
        <v>268</v>
      </c>
      <c r="P1306" s="5" t="s">
        <v>650</v>
      </c>
      <c r="R1306" s="8">
        <f>12023999</f>
        <v>12023999</v>
      </c>
      <c r="S1306" s="5" t="s">
        <v>240</v>
      </c>
      <c r="T1306" s="5" t="s">
        <v>237</v>
      </c>
      <c r="U1306" s="5" t="s">
        <v>238</v>
      </c>
      <c r="V1306" s="5" t="s">
        <v>238</v>
      </c>
      <c r="W1306" s="5" t="s">
        <v>241</v>
      </c>
      <c r="X1306" s="5" t="s">
        <v>243</v>
      </c>
      <c r="Y1306" s="5" t="s">
        <v>238</v>
      </c>
      <c r="AB1306" s="5" t="s">
        <v>238</v>
      </c>
      <c r="AD1306" s="6" t="s">
        <v>238</v>
      </c>
      <c r="AG1306" s="6" t="s">
        <v>246</v>
      </c>
      <c r="AH1306" s="5" t="s">
        <v>247</v>
      </c>
      <c r="AI1306" s="5" t="s">
        <v>248</v>
      </c>
      <c r="AY1306" s="5" t="s">
        <v>250</v>
      </c>
      <c r="AZ1306" s="5" t="s">
        <v>238</v>
      </c>
      <c r="BA1306" s="5" t="s">
        <v>251</v>
      </c>
      <c r="BB1306" s="5" t="s">
        <v>238</v>
      </c>
      <c r="BC1306" s="5" t="s">
        <v>253</v>
      </c>
      <c r="BD1306" s="5" t="s">
        <v>238</v>
      </c>
      <c r="BF1306" s="5" t="s">
        <v>238</v>
      </c>
      <c r="BH1306" s="5" t="s">
        <v>798</v>
      </c>
      <c r="BI1306" s="6" t="s">
        <v>799</v>
      </c>
      <c r="BJ1306" s="5" t="s">
        <v>255</v>
      </c>
      <c r="BK1306" s="5" t="s">
        <v>256</v>
      </c>
      <c r="BL1306" s="5" t="s">
        <v>238</v>
      </c>
      <c r="BM1306" s="7">
        <f>0</f>
        <v>0</v>
      </c>
      <c r="BN1306" s="8">
        <f>0</f>
        <v>0</v>
      </c>
      <c r="BO1306" s="5" t="s">
        <v>257</v>
      </c>
      <c r="BP1306" s="5" t="s">
        <v>258</v>
      </c>
      <c r="CD1306" s="5" t="s">
        <v>238</v>
      </c>
      <c r="CE1306" s="5" t="s">
        <v>238</v>
      </c>
      <c r="CI1306" s="5" t="s">
        <v>527</v>
      </c>
      <c r="CJ1306" s="5" t="s">
        <v>260</v>
      </c>
      <c r="CK1306" s="5" t="s">
        <v>238</v>
      </c>
      <c r="CM1306" s="5" t="s">
        <v>877</v>
      </c>
      <c r="CN1306" s="6" t="s">
        <v>262</v>
      </c>
      <c r="CO1306" s="5" t="s">
        <v>263</v>
      </c>
      <c r="CP1306" s="5" t="s">
        <v>264</v>
      </c>
      <c r="CQ1306" s="5" t="s">
        <v>238</v>
      </c>
      <c r="CR1306" s="5" t="s">
        <v>238</v>
      </c>
      <c r="CS1306" s="5">
        <v>0</v>
      </c>
      <c r="CT1306" s="5" t="s">
        <v>265</v>
      </c>
      <c r="CU1306" s="5" t="s">
        <v>2321</v>
      </c>
      <c r="CV1306" s="5" t="s">
        <v>267</v>
      </c>
      <c r="CX1306" s="8">
        <f>12024000</f>
        <v>12024000</v>
      </c>
      <c r="CY1306" s="8">
        <f>0</f>
        <v>0</v>
      </c>
      <c r="DA1306" s="5" t="s">
        <v>238</v>
      </c>
      <c r="DB1306" s="5" t="s">
        <v>238</v>
      </c>
      <c r="DD1306" s="5" t="s">
        <v>238</v>
      </c>
      <c r="DG1306" s="5" t="s">
        <v>238</v>
      </c>
      <c r="DH1306" s="5" t="s">
        <v>238</v>
      </c>
      <c r="DI1306" s="5" t="s">
        <v>238</v>
      </c>
      <c r="DJ1306" s="5" t="s">
        <v>238</v>
      </c>
      <c r="DK1306" s="5" t="s">
        <v>271</v>
      </c>
      <c r="DL1306" s="5" t="s">
        <v>272</v>
      </c>
      <c r="DM1306" s="7">
        <f>200.4</f>
        <v>200.4</v>
      </c>
      <c r="DN1306" s="5" t="s">
        <v>238</v>
      </c>
      <c r="DO1306" s="5" t="s">
        <v>238</v>
      </c>
      <c r="DP1306" s="5" t="s">
        <v>238</v>
      </c>
      <c r="DQ1306" s="5" t="s">
        <v>238</v>
      </c>
      <c r="DT1306" s="5" t="s">
        <v>2379</v>
      </c>
      <c r="DU1306" s="5" t="s">
        <v>271</v>
      </c>
      <c r="HM1306" s="5" t="s">
        <v>271</v>
      </c>
      <c r="HP1306" s="5" t="s">
        <v>272</v>
      </c>
      <c r="HQ1306" s="5" t="s">
        <v>272</v>
      </c>
    </row>
    <row r="1307" spans="1:238" x14ac:dyDescent="0.4">
      <c r="A1307" s="5">
        <v>1653</v>
      </c>
      <c r="B1307" s="5">
        <v>1</v>
      </c>
      <c r="C1307" s="5">
        <v>4</v>
      </c>
      <c r="D1307" s="5" t="s">
        <v>1679</v>
      </c>
      <c r="E1307" s="5" t="s">
        <v>952</v>
      </c>
      <c r="F1307" s="5" t="s">
        <v>282</v>
      </c>
      <c r="G1307" s="5" t="s">
        <v>1251</v>
      </c>
      <c r="H1307" s="6" t="s">
        <v>1681</v>
      </c>
      <c r="I1307" s="5" t="s">
        <v>1678</v>
      </c>
      <c r="J1307" s="7">
        <f>902.5</f>
        <v>902.5</v>
      </c>
      <c r="K1307" s="5" t="s">
        <v>270</v>
      </c>
      <c r="L1307" s="8">
        <f>74727000</f>
        <v>74727000</v>
      </c>
      <c r="M1307" s="8">
        <f>162450000</f>
        <v>162450000</v>
      </c>
      <c r="N1307" s="6" t="s">
        <v>1680</v>
      </c>
      <c r="O1307" s="5" t="s">
        <v>755</v>
      </c>
      <c r="P1307" s="5" t="s">
        <v>269</v>
      </c>
      <c r="Q1307" s="8">
        <f>4873500</f>
        <v>4873500</v>
      </c>
      <c r="R1307" s="8">
        <f>87723000</f>
        <v>87723000</v>
      </c>
      <c r="S1307" s="5" t="s">
        <v>240</v>
      </c>
      <c r="T1307" s="5" t="s">
        <v>237</v>
      </c>
      <c r="U1307" s="5" t="s">
        <v>238</v>
      </c>
      <c r="V1307" s="5" t="s">
        <v>238</v>
      </c>
      <c r="W1307" s="5" t="s">
        <v>241</v>
      </c>
      <c r="X1307" s="5" t="s">
        <v>243</v>
      </c>
      <c r="Y1307" s="5" t="s">
        <v>238</v>
      </c>
      <c r="AB1307" s="5" t="s">
        <v>238</v>
      </c>
      <c r="AC1307" s="6" t="s">
        <v>238</v>
      </c>
      <c r="AD1307" s="6" t="s">
        <v>238</v>
      </c>
      <c r="AF1307" s="6" t="s">
        <v>238</v>
      </c>
      <c r="AG1307" s="6" t="s">
        <v>246</v>
      </c>
      <c r="AH1307" s="5" t="s">
        <v>247</v>
      </c>
      <c r="AI1307" s="5" t="s">
        <v>248</v>
      </c>
      <c r="AO1307" s="5" t="s">
        <v>238</v>
      </c>
      <c r="AP1307" s="5" t="s">
        <v>238</v>
      </c>
      <c r="AQ1307" s="5" t="s">
        <v>238</v>
      </c>
      <c r="AR1307" s="6" t="s">
        <v>238</v>
      </c>
      <c r="AS1307" s="6" t="s">
        <v>238</v>
      </c>
      <c r="AT1307" s="6" t="s">
        <v>238</v>
      </c>
      <c r="AW1307" s="5" t="s">
        <v>304</v>
      </c>
      <c r="AX1307" s="5" t="s">
        <v>304</v>
      </c>
      <c r="AY1307" s="5" t="s">
        <v>250</v>
      </c>
      <c r="AZ1307" s="5" t="s">
        <v>305</v>
      </c>
      <c r="BA1307" s="5" t="s">
        <v>251</v>
      </c>
      <c r="BB1307" s="5" t="s">
        <v>238</v>
      </c>
      <c r="BC1307" s="5" t="s">
        <v>253</v>
      </c>
      <c r="BD1307" s="5" t="s">
        <v>238</v>
      </c>
      <c r="BF1307" s="5" t="s">
        <v>710</v>
      </c>
      <c r="BH1307" s="5" t="s">
        <v>283</v>
      </c>
      <c r="BI1307" s="6" t="s">
        <v>293</v>
      </c>
      <c r="BJ1307" s="5" t="s">
        <v>294</v>
      </c>
      <c r="BK1307" s="5" t="s">
        <v>294</v>
      </c>
      <c r="BL1307" s="5" t="s">
        <v>238</v>
      </c>
      <c r="BM1307" s="7">
        <f>0</f>
        <v>0</v>
      </c>
      <c r="BN1307" s="8">
        <f>-4873500</f>
        <v>-4873500</v>
      </c>
      <c r="BO1307" s="5" t="s">
        <v>257</v>
      </c>
      <c r="BP1307" s="5" t="s">
        <v>258</v>
      </c>
      <c r="BQ1307" s="5" t="s">
        <v>238</v>
      </c>
      <c r="BR1307" s="5" t="s">
        <v>238</v>
      </c>
      <c r="BS1307" s="5" t="s">
        <v>238</v>
      </c>
      <c r="BT1307" s="5" t="s">
        <v>238</v>
      </c>
      <c r="CC1307" s="5" t="s">
        <v>258</v>
      </c>
      <c r="CD1307" s="5" t="s">
        <v>238</v>
      </c>
      <c r="CE1307" s="5" t="s">
        <v>238</v>
      </c>
      <c r="CI1307" s="5" t="s">
        <v>259</v>
      </c>
      <c r="CJ1307" s="5" t="s">
        <v>260</v>
      </c>
      <c r="CK1307" s="5" t="s">
        <v>238</v>
      </c>
      <c r="CM1307" s="5" t="s">
        <v>682</v>
      </c>
      <c r="CN1307" s="6" t="s">
        <v>262</v>
      </c>
      <c r="CO1307" s="5" t="s">
        <v>263</v>
      </c>
      <c r="CP1307" s="5" t="s">
        <v>264</v>
      </c>
      <c r="CQ1307" s="5" t="s">
        <v>285</v>
      </c>
      <c r="CR1307" s="5" t="s">
        <v>238</v>
      </c>
      <c r="CS1307" s="5">
        <v>0.03</v>
      </c>
      <c r="CT1307" s="5" t="s">
        <v>265</v>
      </c>
      <c r="CU1307" s="5" t="s">
        <v>1330</v>
      </c>
      <c r="CV1307" s="5" t="s">
        <v>649</v>
      </c>
      <c r="CW1307" s="7">
        <f>0</f>
        <v>0</v>
      </c>
      <c r="CX1307" s="8">
        <f>162450000</f>
        <v>162450000</v>
      </c>
      <c r="CY1307" s="8">
        <f>79600500</f>
        <v>79600500</v>
      </c>
      <c r="DA1307" s="5" t="s">
        <v>238</v>
      </c>
      <c r="DB1307" s="5" t="s">
        <v>238</v>
      </c>
      <c r="DD1307" s="5" t="s">
        <v>238</v>
      </c>
      <c r="DE1307" s="8">
        <f>0</f>
        <v>0</v>
      </c>
      <c r="DG1307" s="5" t="s">
        <v>238</v>
      </c>
      <c r="DH1307" s="5" t="s">
        <v>238</v>
      </c>
      <c r="DI1307" s="5" t="s">
        <v>238</v>
      </c>
      <c r="DJ1307" s="5" t="s">
        <v>238</v>
      </c>
      <c r="DK1307" s="5" t="s">
        <v>271</v>
      </c>
      <c r="DL1307" s="5" t="s">
        <v>272</v>
      </c>
      <c r="DM1307" s="7">
        <f>902.5</f>
        <v>902.5</v>
      </c>
      <c r="DN1307" s="5" t="s">
        <v>238</v>
      </c>
      <c r="DO1307" s="5" t="s">
        <v>238</v>
      </c>
      <c r="DP1307" s="5" t="s">
        <v>238</v>
      </c>
      <c r="DQ1307" s="5" t="s">
        <v>238</v>
      </c>
      <c r="DT1307" s="5" t="s">
        <v>1682</v>
      </c>
      <c r="DU1307" s="5" t="s">
        <v>271</v>
      </c>
      <c r="GL1307" s="5" t="s">
        <v>1683</v>
      </c>
      <c r="HM1307" s="5" t="s">
        <v>313</v>
      </c>
      <c r="HP1307" s="5" t="s">
        <v>272</v>
      </c>
      <c r="HQ1307" s="5" t="s">
        <v>272</v>
      </c>
      <c r="HR1307" s="5" t="s">
        <v>238</v>
      </c>
      <c r="HS1307" s="5" t="s">
        <v>238</v>
      </c>
      <c r="HT1307" s="5" t="s">
        <v>238</v>
      </c>
      <c r="HU1307" s="5" t="s">
        <v>238</v>
      </c>
      <c r="HV1307" s="5" t="s">
        <v>238</v>
      </c>
      <c r="HW1307" s="5" t="s">
        <v>238</v>
      </c>
      <c r="HX1307" s="5" t="s">
        <v>238</v>
      </c>
      <c r="HY1307" s="5" t="s">
        <v>238</v>
      </c>
      <c r="HZ1307" s="5" t="s">
        <v>238</v>
      </c>
      <c r="IA1307" s="5" t="s">
        <v>238</v>
      </c>
      <c r="IB1307" s="5" t="s">
        <v>238</v>
      </c>
      <c r="IC1307" s="5" t="s">
        <v>238</v>
      </c>
      <c r="ID1307" s="5" t="s">
        <v>238</v>
      </c>
    </row>
    <row r="1308" spans="1:238" x14ac:dyDescent="0.4">
      <c r="A1308" s="5">
        <v>1654</v>
      </c>
      <c r="B1308" s="5">
        <v>1</v>
      </c>
      <c r="C1308" s="5">
        <v>5</v>
      </c>
      <c r="D1308" s="5" t="s">
        <v>3031</v>
      </c>
      <c r="E1308" s="5" t="s">
        <v>440</v>
      </c>
      <c r="F1308" s="5" t="s">
        <v>282</v>
      </c>
      <c r="G1308" s="5" t="s">
        <v>327</v>
      </c>
      <c r="H1308" s="6" t="s">
        <v>3032</v>
      </c>
      <c r="I1308" s="5" t="s">
        <v>3865</v>
      </c>
      <c r="J1308" s="7">
        <f>244.8</f>
        <v>244.8</v>
      </c>
      <c r="K1308" s="5" t="s">
        <v>270</v>
      </c>
      <c r="L1308" s="8">
        <f>1281777</f>
        <v>1281777</v>
      </c>
      <c r="M1308" s="8">
        <f>37699200</f>
        <v>37699200</v>
      </c>
      <c r="N1308" s="6" t="s">
        <v>655</v>
      </c>
      <c r="O1308" s="5" t="s">
        <v>286</v>
      </c>
      <c r="P1308" s="5" t="s">
        <v>658</v>
      </c>
      <c r="Q1308" s="8">
        <f>1734163</f>
        <v>1734163</v>
      </c>
      <c r="R1308" s="8">
        <f>36417423</f>
        <v>36417423</v>
      </c>
      <c r="S1308" s="5" t="s">
        <v>240</v>
      </c>
      <c r="T1308" s="5" t="s">
        <v>237</v>
      </c>
      <c r="W1308" s="5" t="s">
        <v>241</v>
      </c>
      <c r="X1308" s="5" t="s">
        <v>243</v>
      </c>
      <c r="Y1308" s="5" t="s">
        <v>238</v>
      </c>
      <c r="AB1308" s="5" t="s">
        <v>238</v>
      </c>
      <c r="AC1308" s="6" t="s">
        <v>238</v>
      </c>
      <c r="AD1308" s="6" t="s">
        <v>238</v>
      </c>
      <c r="AF1308" s="6" t="s">
        <v>238</v>
      </c>
      <c r="AG1308" s="6" t="s">
        <v>246</v>
      </c>
      <c r="AH1308" s="5" t="s">
        <v>247</v>
      </c>
      <c r="AI1308" s="5" t="s">
        <v>248</v>
      </c>
      <c r="AO1308" s="5" t="s">
        <v>238</v>
      </c>
      <c r="AP1308" s="5" t="s">
        <v>238</v>
      </c>
      <c r="AQ1308" s="5" t="s">
        <v>238</v>
      </c>
      <c r="AR1308" s="6" t="s">
        <v>238</v>
      </c>
      <c r="AS1308" s="6" t="s">
        <v>238</v>
      </c>
      <c r="AT1308" s="6" t="s">
        <v>238</v>
      </c>
      <c r="AW1308" s="5" t="s">
        <v>304</v>
      </c>
      <c r="AX1308" s="5" t="s">
        <v>304</v>
      </c>
      <c r="AY1308" s="5" t="s">
        <v>250</v>
      </c>
      <c r="AZ1308" s="5" t="s">
        <v>305</v>
      </c>
      <c r="BA1308" s="5" t="s">
        <v>251</v>
      </c>
      <c r="BB1308" s="5" t="s">
        <v>238</v>
      </c>
      <c r="BC1308" s="5" t="s">
        <v>253</v>
      </c>
      <c r="BD1308" s="5" t="s">
        <v>238</v>
      </c>
      <c r="BF1308" s="5" t="s">
        <v>238</v>
      </c>
      <c r="BH1308" s="5" t="s">
        <v>283</v>
      </c>
      <c r="BI1308" s="6" t="s">
        <v>293</v>
      </c>
      <c r="BJ1308" s="5" t="s">
        <v>294</v>
      </c>
      <c r="BK1308" s="5" t="s">
        <v>294</v>
      </c>
      <c r="BL1308" s="5" t="s">
        <v>238</v>
      </c>
      <c r="BM1308" s="7">
        <f>0</f>
        <v>0</v>
      </c>
      <c r="BN1308" s="8">
        <f>-1734163</f>
        <v>-1734163</v>
      </c>
      <c r="BO1308" s="5" t="s">
        <v>257</v>
      </c>
      <c r="BP1308" s="5" t="s">
        <v>258</v>
      </c>
      <c r="BQ1308" s="5" t="s">
        <v>238</v>
      </c>
      <c r="BR1308" s="5" t="s">
        <v>238</v>
      </c>
      <c r="BS1308" s="5" t="s">
        <v>238</v>
      </c>
      <c r="BT1308" s="5" t="s">
        <v>238</v>
      </c>
      <c r="CC1308" s="5" t="s">
        <v>258</v>
      </c>
      <c r="CD1308" s="5" t="s">
        <v>238</v>
      </c>
      <c r="CE1308" s="5" t="s">
        <v>238</v>
      </c>
      <c r="CI1308" s="5" t="s">
        <v>259</v>
      </c>
      <c r="CJ1308" s="5" t="s">
        <v>260</v>
      </c>
      <c r="CK1308" s="5" t="s">
        <v>238</v>
      </c>
      <c r="CM1308" s="5" t="s">
        <v>657</v>
      </c>
      <c r="CN1308" s="6" t="s">
        <v>262</v>
      </c>
      <c r="CO1308" s="5" t="s">
        <v>263</v>
      </c>
      <c r="CP1308" s="5" t="s">
        <v>264</v>
      </c>
      <c r="CQ1308" s="5" t="s">
        <v>285</v>
      </c>
      <c r="CR1308" s="5" t="s">
        <v>238</v>
      </c>
      <c r="CS1308" s="5">
        <v>4.5999999999999999E-2</v>
      </c>
      <c r="CT1308" s="5" t="s">
        <v>265</v>
      </c>
      <c r="CU1308" s="5" t="s">
        <v>1803</v>
      </c>
      <c r="CV1308" s="5" t="s">
        <v>267</v>
      </c>
      <c r="CW1308" s="7">
        <f>0</f>
        <v>0</v>
      </c>
      <c r="CX1308" s="8">
        <f>37699200</f>
        <v>37699200</v>
      </c>
      <c r="CY1308" s="8">
        <f>1281777</f>
        <v>1281777</v>
      </c>
      <c r="DA1308" s="5" t="s">
        <v>238</v>
      </c>
      <c r="DB1308" s="5" t="s">
        <v>238</v>
      </c>
      <c r="DD1308" s="5" t="s">
        <v>238</v>
      </c>
      <c r="DE1308" s="8">
        <f>0</f>
        <v>0</v>
      </c>
      <c r="DG1308" s="5" t="s">
        <v>238</v>
      </c>
      <c r="DH1308" s="5" t="s">
        <v>238</v>
      </c>
      <c r="DI1308" s="5" t="s">
        <v>238</v>
      </c>
      <c r="DJ1308" s="5" t="s">
        <v>238</v>
      </c>
      <c r="DK1308" s="5" t="s">
        <v>271</v>
      </c>
      <c r="DL1308" s="5" t="s">
        <v>272</v>
      </c>
      <c r="DM1308" s="7">
        <f>312.98</f>
        <v>312.98</v>
      </c>
      <c r="DN1308" s="5" t="s">
        <v>238</v>
      </c>
      <c r="DO1308" s="5" t="s">
        <v>238</v>
      </c>
      <c r="DP1308" s="5" t="s">
        <v>238</v>
      </c>
      <c r="DQ1308" s="5" t="s">
        <v>238</v>
      </c>
      <c r="DT1308" s="5" t="s">
        <v>3033</v>
      </c>
      <c r="DU1308" s="5" t="s">
        <v>271</v>
      </c>
      <c r="GL1308" s="5" t="s">
        <v>3866</v>
      </c>
      <c r="HM1308" s="5" t="s">
        <v>313</v>
      </c>
      <c r="HP1308" s="5" t="s">
        <v>272</v>
      </c>
      <c r="HQ1308" s="5" t="s">
        <v>272</v>
      </c>
      <c r="HR1308" s="5" t="s">
        <v>238</v>
      </c>
      <c r="HS1308" s="5" t="s">
        <v>238</v>
      </c>
      <c r="HT1308" s="5" t="s">
        <v>238</v>
      </c>
      <c r="HU1308" s="5" t="s">
        <v>238</v>
      </c>
      <c r="HV1308" s="5" t="s">
        <v>238</v>
      </c>
      <c r="HW1308" s="5" t="s">
        <v>238</v>
      </c>
      <c r="HX1308" s="5" t="s">
        <v>238</v>
      </c>
      <c r="HY1308" s="5" t="s">
        <v>238</v>
      </c>
      <c r="HZ1308" s="5" t="s">
        <v>238</v>
      </c>
      <c r="IA1308" s="5" t="s">
        <v>238</v>
      </c>
      <c r="IB1308" s="5" t="s">
        <v>238</v>
      </c>
      <c r="IC1308" s="5" t="s">
        <v>238</v>
      </c>
      <c r="ID1308" s="5" t="s">
        <v>238</v>
      </c>
    </row>
    <row r="1309" spans="1:238" x14ac:dyDescent="0.4">
      <c r="A1309" s="5">
        <v>1655</v>
      </c>
      <c r="B1309" s="5">
        <v>1</v>
      </c>
      <c r="C1309" s="5">
        <v>4</v>
      </c>
      <c r="D1309" s="5" t="s">
        <v>3031</v>
      </c>
      <c r="E1309" s="5" t="s">
        <v>440</v>
      </c>
      <c r="F1309" s="5" t="s">
        <v>282</v>
      </c>
      <c r="G1309" s="5" t="s">
        <v>448</v>
      </c>
      <c r="H1309" s="6" t="s">
        <v>3032</v>
      </c>
      <c r="I1309" s="5" t="s">
        <v>3030</v>
      </c>
      <c r="J1309" s="7">
        <f>0</f>
        <v>0</v>
      </c>
      <c r="K1309" s="5" t="s">
        <v>270</v>
      </c>
      <c r="L1309" s="8">
        <f>262360</f>
        <v>262360</v>
      </c>
      <c r="M1309" s="8">
        <f>426600</f>
        <v>426600</v>
      </c>
      <c r="N1309" s="6" t="s">
        <v>358</v>
      </c>
      <c r="O1309" s="5" t="s">
        <v>319</v>
      </c>
      <c r="P1309" s="5" t="s">
        <v>356</v>
      </c>
      <c r="Q1309" s="8">
        <f>32848</f>
        <v>32848</v>
      </c>
      <c r="R1309" s="8">
        <f>164240</f>
        <v>164240</v>
      </c>
      <c r="S1309" s="5" t="s">
        <v>240</v>
      </c>
      <c r="T1309" s="5" t="s">
        <v>287</v>
      </c>
      <c r="U1309" s="5" t="s">
        <v>238</v>
      </c>
      <c r="V1309" s="5" t="s">
        <v>238</v>
      </c>
      <c r="W1309" s="5" t="s">
        <v>241</v>
      </c>
      <c r="X1309" s="5" t="s">
        <v>243</v>
      </c>
      <c r="Y1309" s="5" t="s">
        <v>238</v>
      </c>
      <c r="AB1309" s="5" t="s">
        <v>238</v>
      </c>
      <c r="AC1309" s="6" t="s">
        <v>238</v>
      </c>
      <c r="AD1309" s="6" t="s">
        <v>238</v>
      </c>
      <c r="AF1309" s="6" t="s">
        <v>238</v>
      </c>
      <c r="AG1309" s="6" t="s">
        <v>246</v>
      </c>
      <c r="AH1309" s="5" t="s">
        <v>247</v>
      </c>
      <c r="AI1309" s="5" t="s">
        <v>248</v>
      </c>
      <c r="AO1309" s="5" t="s">
        <v>238</v>
      </c>
      <c r="AP1309" s="5" t="s">
        <v>238</v>
      </c>
      <c r="AQ1309" s="5" t="s">
        <v>238</v>
      </c>
      <c r="AR1309" s="6" t="s">
        <v>238</v>
      </c>
      <c r="AS1309" s="6" t="s">
        <v>238</v>
      </c>
      <c r="AT1309" s="6" t="s">
        <v>238</v>
      </c>
      <c r="AW1309" s="5" t="s">
        <v>304</v>
      </c>
      <c r="AX1309" s="5" t="s">
        <v>304</v>
      </c>
      <c r="AY1309" s="5" t="s">
        <v>250</v>
      </c>
      <c r="AZ1309" s="5" t="s">
        <v>305</v>
      </c>
      <c r="BA1309" s="5" t="s">
        <v>251</v>
      </c>
      <c r="BB1309" s="5" t="s">
        <v>238</v>
      </c>
      <c r="BC1309" s="5" t="s">
        <v>253</v>
      </c>
      <c r="BD1309" s="5" t="s">
        <v>238</v>
      </c>
      <c r="BF1309" s="5" t="s">
        <v>238</v>
      </c>
      <c r="BH1309" s="5" t="s">
        <v>283</v>
      </c>
      <c r="BI1309" s="6" t="s">
        <v>293</v>
      </c>
      <c r="BJ1309" s="5" t="s">
        <v>294</v>
      </c>
      <c r="BK1309" s="5" t="s">
        <v>294</v>
      </c>
      <c r="BL1309" s="5" t="s">
        <v>238</v>
      </c>
      <c r="BM1309" s="7">
        <f>0</f>
        <v>0</v>
      </c>
      <c r="BN1309" s="8">
        <f>-32848</f>
        <v>-32848</v>
      </c>
      <c r="BO1309" s="5" t="s">
        <v>257</v>
      </c>
      <c r="BP1309" s="5" t="s">
        <v>258</v>
      </c>
      <c r="BQ1309" s="5" t="s">
        <v>238</v>
      </c>
      <c r="BR1309" s="5" t="s">
        <v>238</v>
      </c>
      <c r="BS1309" s="5" t="s">
        <v>238</v>
      </c>
      <c r="BT1309" s="5" t="s">
        <v>238</v>
      </c>
      <c r="CC1309" s="5" t="s">
        <v>258</v>
      </c>
      <c r="CD1309" s="5" t="s">
        <v>238</v>
      </c>
      <c r="CE1309" s="5" t="s">
        <v>238</v>
      </c>
      <c r="CI1309" s="5" t="s">
        <v>259</v>
      </c>
      <c r="CJ1309" s="5" t="s">
        <v>260</v>
      </c>
      <c r="CK1309" s="5" t="s">
        <v>238</v>
      </c>
      <c r="CM1309" s="5" t="s">
        <v>376</v>
      </c>
      <c r="CN1309" s="6" t="s">
        <v>262</v>
      </c>
      <c r="CO1309" s="5" t="s">
        <v>263</v>
      </c>
      <c r="CP1309" s="5" t="s">
        <v>264</v>
      </c>
      <c r="CQ1309" s="5" t="s">
        <v>285</v>
      </c>
      <c r="CR1309" s="5" t="s">
        <v>238</v>
      </c>
      <c r="CS1309" s="5">
        <v>7.6999999999999999E-2</v>
      </c>
      <c r="CT1309" s="5" t="s">
        <v>265</v>
      </c>
      <c r="CU1309" s="5" t="s">
        <v>351</v>
      </c>
      <c r="CV1309" s="5" t="s">
        <v>352</v>
      </c>
      <c r="CW1309" s="7">
        <f>0</f>
        <v>0</v>
      </c>
      <c r="CX1309" s="8">
        <f>426600</f>
        <v>426600</v>
      </c>
      <c r="CY1309" s="8">
        <f>295208</f>
        <v>295208</v>
      </c>
      <c r="DA1309" s="5" t="s">
        <v>238</v>
      </c>
      <c r="DB1309" s="5" t="s">
        <v>238</v>
      </c>
      <c r="DD1309" s="5" t="s">
        <v>238</v>
      </c>
      <c r="DE1309" s="8">
        <f>0</f>
        <v>0</v>
      </c>
      <c r="DG1309" s="5" t="s">
        <v>238</v>
      </c>
      <c r="DH1309" s="5" t="s">
        <v>238</v>
      </c>
      <c r="DI1309" s="5" t="s">
        <v>238</v>
      </c>
      <c r="DJ1309" s="5" t="s">
        <v>238</v>
      </c>
      <c r="DK1309" s="5" t="s">
        <v>272</v>
      </c>
      <c r="DL1309" s="5" t="s">
        <v>272</v>
      </c>
      <c r="DM1309" s="8" t="s">
        <v>238</v>
      </c>
      <c r="DN1309" s="5" t="s">
        <v>238</v>
      </c>
      <c r="DO1309" s="5" t="s">
        <v>238</v>
      </c>
      <c r="DP1309" s="5" t="s">
        <v>238</v>
      </c>
      <c r="DQ1309" s="5" t="s">
        <v>238</v>
      </c>
      <c r="DT1309" s="5" t="s">
        <v>3033</v>
      </c>
      <c r="DU1309" s="5" t="s">
        <v>274</v>
      </c>
      <c r="GL1309" s="5" t="s">
        <v>3034</v>
      </c>
      <c r="HM1309" s="5" t="s">
        <v>379</v>
      </c>
      <c r="HP1309" s="5" t="s">
        <v>272</v>
      </c>
      <c r="HQ1309" s="5" t="s">
        <v>272</v>
      </c>
      <c r="HR1309" s="5" t="s">
        <v>238</v>
      </c>
      <c r="HS1309" s="5" t="s">
        <v>238</v>
      </c>
      <c r="HT1309" s="5" t="s">
        <v>238</v>
      </c>
      <c r="HU1309" s="5" t="s">
        <v>238</v>
      </c>
      <c r="HV1309" s="5" t="s">
        <v>238</v>
      </c>
      <c r="HW1309" s="5" t="s">
        <v>238</v>
      </c>
      <c r="HX1309" s="5" t="s">
        <v>238</v>
      </c>
      <c r="HY1309" s="5" t="s">
        <v>238</v>
      </c>
      <c r="HZ1309" s="5" t="s">
        <v>238</v>
      </c>
      <c r="IA1309" s="5" t="s">
        <v>238</v>
      </c>
      <c r="IB1309" s="5" t="s">
        <v>238</v>
      </c>
      <c r="IC1309" s="5" t="s">
        <v>238</v>
      </c>
      <c r="ID1309" s="5" t="s">
        <v>238</v>
      </c>
    </row>
    <row r="1310" spans="1:238" x14ac:dyDescent="0.4">
      <c r="A1310" s="5">
        <v>1656</v>
      </c>
      <c r="B1310" s="5">
        <v>1</v>
      </c>
      <c r="C1310" s="5">
        <v>4</v>
      </c>
      <c r="D1310" s="5" t="s">
        <v>3031</v>
      </c>
      <c r="E1310" s="5" t="s">
        <v>440</v>
      </c>
      <c r="F1310" s="5" t="s">
        <v>282</v>
      </c>
      <c r="G1310" s="5" t="s">
        <v>349</v>
      </c>
      <c r="H1310" s="6" t="s">
        <v>3032</v>
      </c>
      <c r="I1310" s="5" t="s">
        <v>3035</v>
      </c>
      <c r="J1310" s="7">
        <f>0</f>
        <v>0</v>
      </c>
      <c r="K1310" s="5" t="s">
        <v>270</v>
      </c>
      <c r="L1310" s="8">
        <f>400158</f>
        <v>400158</v>
      </c>
      <c r="M1310" s="8">
        <f>473000</f>
        <v>473000</v>
      </c>
      <c r="N1310" s="6" t="s">
        <v>3036</v>
      </c>
      <c r="O1310" s="5" t="s">
        <v>319</v>
      </c>
      <c r="P1310" s="5" t="s">
        <v>272</v>
      </c>
      <c r="Q1310" s="8">
        <f>472999</f>
        <v>472999</v>
      </c>
      <c r="R1310" s="8">
        <f>72842</f>
        <v>72842</v>
      </c>
      <c r="S1310" s="5" t="s">
        <v>240</v>
      </c>
      <c r="T1310" s="5" t="s">
        <v>287</v>
      </c>
      <c r="U1310" s="5" t="s">
        <v>238</v>
      </c>
      <c r="V1310" s="5" t="s">
        <v>238</v>
      </c>
      <c r="W1310" s="5" t="s">
        <v>241</v>
      </c>
      <c r="X1310" s="5" t="s">
        <v>238</v>
      </c>
      <c r="Y1310" s="5" t="s">
        <v>238</v>
      </c>
      <c r="AB1310" s="5" t="s">
        <v>238</v>
      </c>
      <c r="AC1310" s="6" t="s">
        <v>238</v>
      </c>
      <c r="AD1310" s="6" t="s">
        <v>238</v>
      </c>
      <c r="AF1310" s="6" t="s">
        <v>238</v>
      </c>
      <c r="AG1310" s="6" t="s">
        <v>246</v>
      </c>
      <c r="AH1310" s="5" t="s">
        <v>247</v>
      </c>
      <c r="AI1310" s="5" t="s">
        <v>248</v>
      </c>
      <c r="AO1310" s="5" t="s">
        <v>238</v>
      </c>
      <c r="AP1310" s="5" t="s">
        <v>238</v>
      </c>
      <c r="AQ1310" s="5" t="s">
        <v>238</v>
      </c>
      <c r="AR1310" s="6" t="s">
        <v>238</v>
      </c>
      <c r="AS1310" s="6" t="s">
        <v>238</v>
      </c>
      <c r="AT1310" s="6" t="s">
        <v>238</v>
      </c>
      <c r="AW1310" s="5" t="s">
        <v>304</v>
      </c>
      <c r="AX1310" s="5" t="s">
        <v>304</v>
      </c>
      <c r="AY1310" s="5" t="s">
        <v>250</v>
      </c>
      <c r="AZ1310" s="5" t="s">
        <v>305</v>
      </c>
      <c r="BA1310" s="5" t="s">
        <v>251</v>
      </c>
      <c r="BB1310" s="5" t="s">
        <v>238</v>
      </c>
      <c r="BC1310" s="5" t="s">
        <v>253</v>
      </c>
      <c r="BD1310" s="5" t="s">
        <v>238</v>
      </c>
      <c r="BF1310" s="5" t="s">
        <v>238</v>
      </c>
      <c r="BH1310" s="5" t="s">
        <v>283</v>
      </c>
      <c r="BI1310" s="6" t="s">
        <v>293</v>
      </c>
      <c r="BJ1310" s="5" t="s">
        <v>294</v>
      </c>
      <c r="BK1310" s="5" t="s">
        <v>294</v>
      </c>
      <c r="BL1310" s="5" t="s">
        <v>238</v>
      </c>
      <c r="BM1310" s="7">
        <f>0</f>
        <v>0</v>
      </c>
      <c r="BN1310" s="8">
        <f>-36421</f>
        <v>-36421</v>
      </c>
      <c r="BO1310" s="5" t="s">
        <v>257</v>
      </c>
      <c r="BP1310" s="5" t="s">
        <v>258</v>
      </c>
      <c r="BQ1310" s="5" t="s">
        <v>238</v>
      </c>
      <c r="BR1310" s="5" t="s">
        <v>238</v>
      </c>
      <c r="BS1310" s="5" t="s">
        <v>238</v>
      </c>
      <c r="BT1310" s="5" t="s">
        <v>238</v>
      </c>
      <c r="CC1310" s="5" t="s">
        <v>258</v>
      </c>
      <c r="CD1310" s="5" t="s">
        <v>238</v>
      </c>
      <c r="CE1310" s="5" t="s">
        <v>238</v>
      </c>
      <c r="CI1310" s="5" t="s">
        <v>259</v>
      </c>
      <c r="CJ1310" s="5" t="s">
        <v>260</v>
      </c>
      <c r="CK1310" s="5" t="s">
        <v>238</v>
      </c>
      <c r="CM1310" s="5" t="s">
        <v>408</v>
      </c>
      <c r="CN1310" s="6" t="s">
        <v>262</v>
      </c>
      <c r="CO1310" s="5" t="s">
        <v>263</v>
      </c>
      <c r="CP1310" s="5" t="s">
        <v>264</v>
      </c>
      <c r="CQ1310" s="5" t="s">
        <v>285</v>
      </c>
      <c r="CR1310" s="5" t="s">
        <v>238</v>
      </c>
      <c r="CS1310" s="5">
        <v>7.6999999999999999E-2</v>
      </c>
      <c r="CT1310" s="5" t="s">
        <v>265</v>
      </c>
      <c r="CU1310" s="5" t="s">
        <v>351</v>
      </c>
      <c r="CV1310" s="5" t="s">
        <v>352</v>
      </c>
      <c r="CW1310" s="7">
        <f>0</f>
        <v>0</v>
      </c>
      <c r="CX1310" s="8">
        <f>473000</f>
        <v>473000</v>
      </c>
      <c r="CY1310" s="8">
        <f>436579</f>
        <v>436579</v>
      </c>
      <c r="DA1310" s="5" t="s">
        <v>238</v>
      </c>
      <c r="DB1310" s="5" t="s">
        <v>238</v>
      </c>
      <c r="DD1310" s="5" t="s">
        <v>238</v>
      </c>
      <c r="DE1310" s="8">
        <f>0</f>
        <v>0</v>
      </c>
      <c r="DG1310" s="5" t="s">
        <v>238</v>
      </c>
      <c r="DH1310" s="5" t="s">
        <v>238</v>
      </c>
      <c r="DI1310" s="5" t="s">
        <v>238</v>
      </c>
      <c r="DJ1310" s="5" t="s">
        <v>238</v>
      </c>
      <c r="DK1310" s="5" t="s">
        <v>272</v>
      </c>
      <c r="DL1310" s="5" t="s">
        <v>272</v>
      </c>
      <c r="DM1310" s="8" t="s">
        <v>238</v>
      </c>
      <c r="DN1310" s="5" t="s">
        <v>238</v>
      </c>
      <c r="DO1310" s="5" t="s">
        <v>238</v>
      </c>
      <c r="DP1310" s="5" t="s">
        <v>238</v>
      </c>
      <c r="DQ1310" s="5" t="s">
        <v>238</v>
      </c>
      <c r="DT1310" s="5" t="s">
        <v>3033</v>
      </c>
      <c r="DU1310" s="5" t="s">
        <v>356</v>
      </c>
      <c r="GL1310" s="5" t="s">
        <v>3037</v>
      </c>
      <c r="HM1310" s="5" t="s">
        <v>274</v>
      </c>
      <c r="HP1310" s="5" t="s">
        <v>272</v>
      </c>
      <c r="HQ1310" s="5" t="s">
        <v>272</v>
      </c>
      <c r="HR1310" s="5" t="s">
        <v>238</v>
      </c>
      <c r="HS1310" s="5" t="s">
        <v>238</v>
      </c>
      <c r="HT1310" s="5" t="s">
        <v>238</v>
      </c>
      <c r="HU1310" s="5" t="s">
        <v>238</v>
      </c>
      <c r="HV1310" s="5" t="s">
        <v>238</v>
      </c>
      <c r="HW1310" s="5" t="s">
        <v>238</v>
      </c>
      <c r="HX1310" s="5" t="s">
        <v>238</v>
      </c>
      <c r="HY1310" s="5" t="s">
        <v>238</v>
      </c>
      <c r="HZ1310" s="5" t="s">
        <v>238</v>
      </c>
      <c r="IA1310" s="5" t="s">
        <v>238</v>
      </c>
      <c r="IB1310" s="5" t="s">
        <v>238</v>
      </c>
      <c r="IC1310" s="5" t="s">
        <v>238</v>
      </c>
      <c r="ID1310" s="5" t="s">
        <v>238</v>
      </c>
    </row>
    <row r="1311" spans="1:238" x14ac:dyDescent="0.4">
      <c r="A1311" s="5">
        <v>1657</v>
      </c>
      <c r="B1311" s="5">
        <v>1</v>
      </c>
      <c r="C1311" s="5">
        <v>1</v>
      </c>
      <c r="D1311" s="5" t="s">
        <v>939</v>
      </c>
      <c r="E1311" s="5" t="s">
        <v>440</v>
      </c>
      <c r="F1311" s="5" t="s">
        <v>282</v>
      </c>
      <c r="G1311" s="5" t="s">
        <v>1326</v>
      </c>
      <c r="H1311" s="6" t="s">
        <v>940</v>
      </c>
      <c r="I1311" s="5" t="s">
        <v>1326</v>
      </c>
      <c r="J1311" s="7">
        <f>154.14</f>
        <v>154.13999999999999</v>
      </c>
      <c r="K1311" s="5" t="s">
        <v>270</v>
      </c>
      <c r="L1311" s="8">
        <f>1</f>
        <v>1</v>
      </c>
      <c r="M1311" s="8">
        <f>14643300</f>
        <v>14643300</v>
      </c>
      <c r="N1311" s="6" t="s">
        <v>906</v>
      </c>
      <c r="O1311" s="5" t="s">
        <v>651</v>
      </c>
      <c r="P1311" s="5" t="s">
        <v>909</v>
      </c>
      <c r="R1311" s="8">
        <f>14643299</f>
        <v>14643299</v>
      </c>
      <c r="S1311" s="5" t="s">
        <v>240</v>
      </c>
      <c r="T1311" s="5" t="s">
        <v>237</v>
      </c>
      <c r="U1311" s="5" t="s">
        <v>238</v>
      </c>
      <c r="V1311" s="5" t="s">
        <v>238</v>
      </c>
      <c r="W1311" s="5" t="s">
        <v>241</v>
      </c>
      <c r="X1311" s="5" t="s">
        <v>243</v>
      </c>
      <c r="Y1311" s="5" t="s">
        <v>238</v>
      </c>
      <c r="AB1311" s="5" t="s">
        <v>238</v>
      </c>
      <c r="AD1311" s="6" t="s">
        <v>238</v>
      </c>
      <c r="AG1311" s="6" t="s">
        <v>246</v>
      </c>
      <c r="AH1311" s="5" t="s">
        <v>247</v>
      </c>
      <c r="AI1311" s="5" t="s">
        <v>248</v>
      </c>
      <c r="AY1311" s="5" t="s">
        <v>250</v>
      </c>
      <c r="AZ1311" s="5" t="s">
        <v>238</v>
      </c>
      <c r="BA1311" s="5" t="s">
        <v>251</v>
      </c>
      <c r="BB1311" s="5" t="s">
        <v>238</v>
      </c>
      <c r="BC1311" s="5" t="s">
        <v>253</v>
      </c>
      <c r="BD1311" s="5" t="s">
        <v>238</v>
      </c>
      <c r="BF1311" s="5" t="s">
        <v>238</v>
      </c>
      <c r="BH1311" s="5" t="s">
        <v>697</v>
      </c>
      <c r="BI1311" s="6" t="s">
        <v>698</v>
      </c>
      <c r="BJ1311" s="5" t="s">
        <v>255</v>
      </c>
      <c r="BK1311" s="5" t="s">
        <v>256</v>
      </c>
      <c r="BL1311" s="5" t="s">
        <v>238</v>
      </c>
      <c r="BM1311" s="7">
        <f>0</f>
        <v>0</v>
      </c>
      <c r="BN1311" s="8">
        <f>0</f>
        <v>0</v>
      </c>
      <c r="BO1311" s="5" t="s">
        <v>257</v>
      </c>
      <c r="BP1311" s="5" t="s">
        <v>258</v>
      </c>
      <c r="CD1311" s="5" t="s">
        <v>238</v>
      </c>
      <c r="CE1311" s="5" t="s">
        <v>238</v>
      </c>
      <c r="CI1311" s="5" t="s">
        <v>527</v>
      </c>
      <c r="CJ1311" s="5" t="s">
        <v>260</v>
      </c>
      <c r="CK1311" s="5" t="s">
        <v>238</v>
      </c>
      <c r="CM1311" s="5" t="s">
        <v>908</v>
      </c>
      <c r="CN1311" s="6" t="s">
        <v>262</v>
      </c>
      <c r="CO1311" s="5" t="s">
        <v>263</v>
      </c>
      <c r="CP1311" s="5" t="s">
        <v>264</v>
      </c>
      <c r="CQ1311" s="5" t="s">
        <v>238</v>
      </c>
      <c r="CR1311" s="5" t="s">
        <v>238</v>
      </c>
      <c r="CS1311" s="5">
        <v>0</v>
      </c>
      <c r="CT1311" s="5" t="s">
        <v>265</v>
      </c>
      <c r="CU1311" s="5" t="s">
        <v>1325</v>
      </c>
      <c r="CV1311" s="5" t="s">
        <v>267</v>
      </c>
      <c r="CX1311" s="8">
        <f>14643300</f>
        <v>14643300</v>
      </c>
      <c r="CY1311" s="8">
        <f>0</f>
        <v>0</v>
      </c>
      <c r="DA1311" s="5" t="s">
        <v>238</v>
      </c>
      <c r="DB1311" s="5" t="s">
        <v>238</v>
      </c>
      <c r="DD1311" s="5" t="s">
        <v>238</v>
      </c>
      <c r="DG1311" s="5" t="s">
        <v>238</v>
      </c>
      <c r="DH1311" s="5" t="s">
        <v>238</v>
      </c>
      <c r="DI1311" s="5" t="s">
        <v>238</v>
      </c>
      <c r="DJ1311" s="5" t="s">
        <v>238</v>
      </c>
      <c r="DK1311" s="5" t="s">
        <v>271</v>
      </c>
      <c r="DL1311" s="5" t="s">
        <v>272</v>
      </c>
      <c r="DM1311" s="7">
        <f>154.14</f>
        <v>154.13999999999999</v>
      </c>
      <c r="DN1311" s="5" t="s">
        <v>238</v>
      </c>
      <c r="DO1311" s="5" t="s">
        <v>238</v>
      </c>
      <c r="DP1311" s="5" t="s">
        <v>238</v>
      </c>
      <c r="DQ1311" s="5" t="s">
        <v>238</v>
      </c>
      <c r="DT1311" s="5" t="s">
        <v>941</v>
      </c>
      <c r="DU1311" s="5" t="s">
        <v>271</v>
      </c>
      <c r="HM1311" s="5" t="s">
        <v>271</v>
      </c>
      <c r="HP1311" s="5" t="s">
        <v>272</v>
      </c>
      <c r="HQ1311" s="5" t="s">
        <v>272</v>
      </c>
    </row>
    <row r="1312" spans="1:238" x14ac:dyDescent="0.4">
      <c r="A1312" s="5">
        <v>1658</v>
      </c>
      <c r="B1312" s="5">
        <v>1</v>
      </c>
      <c r="C1312" s="5">
        <v>1</v>
      </c>
      <c r="D1312" s="5" t="s">
        <v>939</v>
      </c>
      <c r="E1312" s="5" t="s">
        <v>440</v>
      </c>
      <c r="F1312" s="5" t="s">
        <v>282</v>
      </c>
      <c r="G1312" s="5" t="s">
        <v>1309</v>
      </c>
      <c r="H1312" s="6" t="s">
        <v>940</v>
      </c>
      <c r="I1312" s="5" t="s">
        <v>1309</v>
      </c>
      <c r="J1312" s="7">
        <f>10.89</f>
        <v>10.89</v>
      </c>
      <c r="K1312" s="5" t="s">
        <v>270</v>
      </c>
      <c r="L1312" s="8">
        <f>1</f>
        <v>1</v>
      </c>
      <c r="M1312" s="8">
        <f>1034550</f>
        <v>1034550</v>
      </c>
      <c r="N1312" s="6" t="s">
        <v>906</v>
      </c>
      <c r="O1312" s="5" t="s">
        <v>268</v>
      </c>
      <c r="P1312" s="5" t="s">
        <v>909</v>
      </c>
      <c r="R1312" s="8">
        <f>1034549</f>
        <v>1034549</v>
      </c>
      <c r="S1312" s="5" t="s">
        <v>240</v>
      </c>
      <c r="T1312" s="5" t="s">
        <v>237</v>
      </c>
      <c r="U1312" s="5" t="s">
        <v>238</v>
      </c>
      <c r="V1312" s="5" t="s">
        <v>238</v>
      </c>
      <c r="W1312" s="5" t="s">
        <v>241</v>
      </c>
      <c r="X1312" s="5" t="s">
        <v>243</v>
      </c>
      <c r="Y1312" s="5" t="s">
        <v>238</v>
      </c>
      <c r="AB1312" s="5" t="s">
        <v>238</v>
      </c>
      <c r="AD1312" s="6" t="s">
        <v>238</v>
      </c>
      <c r="AG1312" s="6" t="s">
        <v>246</v>
      </c>
      <c r="AH1312" s="5" t="s">
        <v>247</v>
      </c>
      <c r="AI1312" s="5" t="s">
        <v>248</v>
      </c>
      <c r="AY1312" s="5" t="s">
        <v>250</v>
      </c>
      <c r="AZ1312" s="5" t="s">
        <v>238</v>
      </c>
      <c r="BA1312" s="5" t="s">
        <v>251</v>
      </c>
      <c r="BB1312" s="5" t="s">
        <v>238</v>
      </c>
      <c r="BC1312" s="5" t="s">
        <v>253</v>
      </c>
      <c r="BD1312" s="5" t="s">
        <v>238</v>
      </c>
      <c r="BF1312" s="5" t="s">
        <v>238</v>
      </c>
      <c r="BH1312" s="5" t="s">
        <v>798</v>
      </c>
      <c r="BI1312" s="6" t="s">
        <v>799</v>
      </c>
      <c r="BJ1312" s="5" t="s">
        <v>255</v>
      </c>
      <c r="BK1312" s="5" t="s">
        <v>256</v>
      </c>
      <c r="BL1312" s="5" t="s">
        <v>238</v>
      </c>
      <c r="BM1312" s="7">
        <f>0</f>
        <v>0</v>
      </c>
      <c r="BN1312" s="8">
        <f>0</f>
        <v>0</v>
      </c>
      <c r="BO1312" s="5" t="s">
        <v>257</v>
      </c>
      <c r="BP1312" s="5" t="s">
        <v>258</v>
      </c>
      <c r="CD1312" s="5" t="s">
        <v>238</v>
      </c>
      <c r="CE1312" s="5" t="s">
        <v>238</v>
      </c>
      <c r="CI1312" s="5" t="s">
        <v>527</v>
      </c>
      <c r="CJ1312" s="5" t="s">
        <v>260</v>
      </c>
      <c r="CK1312" s="5" t="s">
        <v>238</v>
      </c>
      <c r="CM1312" s="5" t="s">
        <v>908</v>
      </c>
      <c r="CN1312" s="6" t="s">
        <v>262</v>
      </c>
      <c r="CO1312" s="5" t="s">
        <v>263</v>
      </c>
      <c r="CP1312" s="5" t="s">
        <v>264</v>
      </c>
      <c r="CQ1312" s="5" t="s">
        <v>238</v>
      </c>
      <c r="CR1312" s="5" t="s">
        <v>238</v>
      </c>
      <c r="CS1312" s="5">
        <v>0</v>
      </c>
      <c r="CT1312" s="5" t="s">
        <v>265</v>
      </c>
      <c r="CU1312" s="5" t="s">
        <v>1342</v>
      </c>
      <c r="CV1312" s="5" t="s">
        <v>267</v>
      </c>
      <c r="CX1312" s="8">
        <f>1034550</f>
        <v>1034550</v>
      </c>
      <c r="CY1312" s="8">
        <f>0</f>
        <v>0</v>
      </c>
      <c r="DA1312" s="5" t="s">
        <v>238</v>
      </c>
      <c r="DB1312" s="5" t="s">
        <v>238</v>
      </c>
      <c r="DD1312" s="5" t="s">
        <v>238</v>
      </c>
      <c r="DG1312" s="5" t="s">
        <v>238</v>
      </c>
      <c r="DH1312" s="5" t="s">
        <v>238</v>
      </c>
      <c r="DI1312" s="5" t="s">
        <v>238</v>
      </c>
      <c r="DJ1312" s="5" t="s">
        <v>238</v>
      </c>
      <c r="DK1312" s="5" t="s">
        <v>271</v>
      </c>
      <c r="DL1312" s="5" t="s">
        <v>272</v>
      </c>
      <c r="DM1312" s="7">
        <f>10.89</f>
        <v>10.89</v>
      </c>
      <c r="DN1312" s="5" t="s">
        <v>238</v>
      </c>
      <c r="DO1312" s="5" t="s">
        <v>238</v>
      </c>
      <c r="DP1312" s="5" t="s">
        <v>238</v>
      </c>
      <c r="DQ1312" s="5" t="s">
        <v>238</v>
      </c>
      <c r="DT1312" s="5" t="s">
        <v>941</v>
      </c>
      <c r="DU1312" s="5" t="s">
        <v>274</v>
      </c>
      <c r="HM1312" s="5" t="s">
        <v>271</v>
      </c>
      <c r="HP1312" s="5" t="s">
        <v>272</v>
      </c>
      <c r="HQ1312" s="5" t="s">
        <v>272</v>
      </c>
    </row>
    <row r="1313" spans="1:238" x14ac:dyDescent="0.4">
      <c r="A1313" s="5">
        <v>1659</v>
      </c>
      <c r="B1313" s="5">
        <v>1</v>
      </c>
      <c r="C1313" s="5">
        <v>1</v>
      </c>
      <c r="D1313" s="5" t="s">
        <v>939</v>
      </c>
      <c r="E1313" s="5" t="s">
        <v>440</v>
      </c>
      <c r="F1313" s="5" t="s">
        <v>282</v>
      </c>
      <c r="G1313" s="5" t="s">
        <v>239</v>
      </c>
      <c r="H1313" s="6" t="s">
        <v>940</v>
      </c>
      <c r="I1313" s="5" t="s">
        <v>239</v>
      </c>
      <c r="J1313" s="7">
        <f>6.62</f>
        <v>6.62</v>
      </c>
      <c r="K1313" s="5" t="s">
        <v>270</v>
      </c>
      <c r="L1313" s="8">
        <f>1</f>
        <v>1</v>
      </c>
      <c r="M1313" s="8">
        <f>397200</f>
        <v>397200</v>
      </c>
      <c r="N1313" s="6" t="s">
        <v>906</v>
      </c>
      <c r="O1313" s="5" t="s">
        <v>268</v>
      </c>
      <c r="P1313" s="5" t="s">
        <v>909</v>
      </c>
      <c r="R1313" s="8">
        <f>397199</f>
        <v>397199</v>
      </c>
      <c r="S1313" s="5" t="s">
        <v>240</v>
      </c>
      <c r="T1313" s="5" t="s">
        <v>237</v>
      </c>
      <c r="U1313" s="5" t="s">
        <v>238</v>
      </c>
      <c r="V1313" s="5" t="s">
        <v>238</v>
      </c>
      <c r="W1313" s="5" t="s">
        <v>241</v>
      </c>
      <c r="X1313" s="5" t="s">
        <v>243</v>
      </c>
      <c r="Y1313" s="5" t="s">
        <v>238</v>
      </c>
      <c r="AB1313" s="5" t="s">
        <v>238</v>
      </c>
      <c r="AD1313" s="6" t="s">
        <v>238</v>
      </c>
      <c r="AG1313" s="6" t="s">
        <v>246</v>
      </c>
      <c r="AH1313" s="5" t="s">
        <v>247</v>
      </c>
      <c r="AI1313" s="5" t="s">
        <v>248</v>
      </c>
      <c r="AY1313" s="5" t="s">
        <v>250</v>
      </c>
      <c r="AZ1313" s="5" t="s">
        <v>238</v>
      </c>
      <c r="BA1313" s="5" t="s">
        <v>251</v>
      </c>
      <c r="BB1313" s="5" t="s">
        <v>238</v>
      </c>
      <c r="BC1313" s="5" t="s">
        <v>253</v>
      </c>
      <c r="BD1313" s="5" t="s">
        <v>238</v>
      </c>
      <c r="BF1313" s="5" t="s">
        <v>238</v>
      </c>
      <c r="BH1313" s="5" t="s">
        <v>254</v>
      </c>
      <c r="BI1313" s="6" t="s">
        <v>246</v>
      </c>
      <c r="BJ1313" s="5" t="s">
        <v>255</v>
      </c>
      <c r="BK1313" s="5" t="s">
        <v>256</v>
      </c>
      <c r="BL1313" s="5" t="s">
        <v>238</v>
      </c>
      <c r="BM1313" s="7">
        <f>0</f>
        <v>0</v>
      </c>
      <c r="BN1313" s="8">
        <f>0</f>
        <v>0</v>
      </c>
      <c r="BO1313" s="5" t="s">
        <v>257</v>
      </c>
      <c r="BP1313" s="5" t="s">
        <v>258</v>
      </c>
      <c r="CD1313" s="5" t="s">
        <v>238</v>
      </c>
      <c r="CE1313" s="5" t="s">
        <v>238</v>
      </c>
      <c r="CI1313" s="5" t="s">
        <v>527</v>
      </c>
      <c r="CJ1313" s="5" t="s">
        <v>260</v>
      </c>
      <c r="CK1313" s="5" t="s">
        <v>238</v>
      </c>
      <c r="CM1313" s="5" t="s">
        <v>908</v>
      </c>
      <c r="CN1313" s="6" t="s">
        <v>262</v>
      </c>
      <c r="CO1313" s="5" t="s">
        <v>263</v>
      </c>
      <c r="CP1313" s="5" t="s">
        <v>264</v>
      </c>
      <c r="CQ1313" s="5" t="s">
        <v>238</v>
      </c>
      <c r="CR1313" s="5" t="s">
        <v>238</v>
      </c>
      <c r="CS1313" s="5">
        <v>0</v>
      </c>
      <c r="CT1313" s="5" t="s">
        <v>265</v>
      </c>
      <c r="CU1313" s="5" t="s">
        <v>266</v>
      </c>
      <c r="CV1313" s="5" t="s">
        <v>267</v>
      </c>
      <c r="CX1313" s="8">
        <f>397200</f>
        <v>397200</v>
      </c>
      <c r="CY1313" s="8">
        <f>0</f>
        <v>0</v>
      </c>
      <c r="DA1313" s="5" t="s">
        <v>238</v>
      </c>
      <c r="DB1313" s="5" t="s">
        <v>238</v>
      </c>
      <c r="DD1313" s="5" t="s">
        <v>238</v>
      </c>
      <c r="DG1313" s="5" t="s">
        <v>238</v>
      </c>
      <c r="DH1313" s="5" t="s">
        <v>238</v>
      </c>
      <c r="DI1313" s="5" t="s">
        <v>238</v>
      </c>
      <c r="DJ1313" s="5" t="s">
        <v>238</v>
      </c>
      <c r="DK1313" s="5" t="s">
        <v>271</v>
      </c>
      <c r="DL1313" s="5" t="s">
        <v>272</v>
      </c>
      <c r="DM1313" s="7">
        <f>6.62</f>
        <v>6.62</v>
      </c>
      <c r="DN1313" s="5" t="s">
        <v>238</v>
      </c>
      <c r="DO1313" s="5" t="s">
        <v>238</v>
      </c>
      <c r="DP1313" s="5" t="s">
        <v>238</v>
      </c>
      <c r="DQ1313" s="5" t="s">
        <v>238</v>
      </c>
      <c r="DT1313" s="5" t="s">
        <v>941</v>
      </c>
      <c r="DU1313" s="5" t="s">
        <v>356</v>
      </c>
      <c r="HM1313" s="5" t="s">
        <v>271</v>
      </c>
      <c r="HP1313" s="5" t="s">
        <v>272</v>
      </c>
      <c r="HQ1313" s="5" t="s">
        <v>272</v>
      </c>
    </row>
    <row r="1314" spans="1:238" x14ac:dyDescent="0.4">
      <c r="A1314" s="5">
        <v>1660</v>
      </c>
      <c r="B1314" s="5">
        <v>1</v>
      </c>
      <c r="C1314" s="5">
        <v>1</v>
      </c>
      <c r="D1314" s="5" t="s">
        <v>939</v>
      </c>
      <c r="E1314" s="5" t="s">
        <v>440</v>
      </c>
      <c r="F1314" s="5" t="s">
        <v>282</v>
      </c>
      <c r="G1314" s="5" t="s">
        <v>239</v>
      </c>
      <c r="H1314" s="6" t="s">
        <v>940</v>
      </c>
      <c r="I1314" s="5" t="s">
        <v>239</v>
      </c>
      <c r="J1314" s="7">
        <f>19.87</f>
        <v>19.87</v>
      </c>
      <c r="K1314" s="5" t="s">
        <v>270</v>
      </c>
      <c r="L1314" s="8">
        <f>1</f>
        <v>1</v>
      </c>
      <c r="M1314" s="8">
        <f>1192200</f>
        <v>1192200</v>
      </c>
      <c r="N1314" s="6" t="s">
        <v>906</v>
      </c>
      <c r="O1314" s="5" t="s">
        <v>268</v>
      </c>
      <c r="P1314" s="5" t="s">
        <v>909</v>
      </c>
      <c r="R1314" s="8">
        <f>1192199</f>
        <v>1192199</v>
      </c>
      <c r="S1314" s="5" t="s">
        <v>240</v>
      </c>
      <c r="T1314" s="5" t="s">
        <v>237</v>
      </c>
      <c r="U1314" s="5" t="s">
        <v>238</v>
      </c>
      <c r="V1314" s="5" t="s">
        <v>238</v>
      </c>
      <c r="W1314" s="5" t="s">
        <v>241</v>
      </c>
      <c r="X1314" s="5" t="s">
        <v>243</v>
      </c>
      <c r="Y1314" s="5" t="s">
        <v>238</v>
      </c>
      <c r="AB1314" s="5" t="s">
        <v>238</v>
      </c>
      <c r="AD1314" s="6" t="s">
        <v>238</v>
      </c>
      <c r="AG1314" s="6" t="s">
        <v>246</v>
      </c>
      <c r="AH1314" s="5" t="s">
        <v>247</v>
      </c>
      <c r="AI1314" s="5" t="s">
        <v>248</v>
      </c>
      <c r="AY1314" s="5" t="s">
        <v>250</v>
      </c>
      <c r="AZ1314" s="5" t="s">
        <v>238</v>
      </c>
      <c r="BA1314" s="5" t="s">
        <v>251</v>
      </c>
      <c r="BB1314" s="5" t="s">
        <v>238</v>
      </c>
      <c r="BC1314" s="5" t="s">
        <v>253</v>
      </c>
      <c r="BD1314" s="5" t="s">
        <v>238</v>
      </c>
      <c r="BF1314" s="5" t="s">
        <v>238</v>
      </c>
      <c r="BH1314" s="5" t="s">
        <v>859</v>
      </c>
      <c r="BI1314" s="6" t="s">
        <v>368</v>
      </c>
      <c r="BJ1314" s="5" t="s">
        <v>255</v>
      </c>
      <c r="BK1314" s="5" t="s">
        <v>256</v>
      </c>
      <c r="BL1314" s="5" t="s">
        <v>238</v>
      </c>
      <c r="BM1314" s="7">
        <f>0</f>
        <v>0</v>
      </c>
      <c r="BN1314" s="8">
        <f>0</f>
        <v>0</v>
      </c>
      <c r="BO1314" s="5" t="s">
        <v>257</v>
      </c>
      <c r="BP1314" s="5" t="s">
        <v>258</v>
      </c>
      <c r="CD1314" s="5" t="s">
        <v>238</v>
      </c>
      <c r="CE1314" s="5" t="s">
        <v>238</v>
      </c>
      <c r="CI1314" s="5" t="s">
        <v>527</v>
      </c>
      <c r="CJ1314" s="5" t="s">
        <v>260</v>
      </c>
      <c r="CK1314" s="5" t="s">
        <v>238</v>
      </c>
      <c r="CM1314" s="5" t="s">
        <v>908</v>
      </c>
      <c r="CN1314" s="6" t="s">
        <v>262</v>
      </c>
      <c r="CO1314" s="5" t="s">
        <v>263</v>
      </c>
      <c r="CP1314" s="5" t="s">
        <v>264</v>
      </c>
      <c r="CQ1314" s="5" t="s">
        <v>238</v>
      </c>
      <c r="CR1314" s="5" t="s">
        <v>238</v>
      </c>
      <c r="CS1314" s="5">
        <v>0</v>
      </c>
      <c r="CT1314" s="5" t="s">
        <v>265</v>
      </c>
      <c r="CU1314" s="5" t="s">
        <v>266</v>
      </c>
      <c r="CV1314" s="5" t="s">
        <v>267</v>
      </c>
      <c r="CX1314" s="8">
        <f>1192200</f>
        <v>1192200</v>
      </c>
      <c r="CY1314" s="8">
        <f>0</f>
        <v>0</v>
      </c>
      <c r="DA1314" s="5" t="s">
        <v>238</v>
      </c>
      <c r="DB1314" s="5" t="s">
        <v>238</v>
      </c>
      <c r="DD1314" s="5" t="s">
        <v>238</v>
      </c>
      <c r="DG1314" s="5" t="s">
        <v>238</v>
      </c>
      <c r="DH1314" s="5" t="s">
        <v>238</v>
      </c>
      <c r="DI1314" s="5" t="s">
        <v>238</v>
      </c>
      <c r="DJ1314" s="5" t="s">
        <v>238</v>
      </c>
      <c r="DK1314" s="5" t="s">
        <v>271</v>
      </c>
      <c r="DL1314" s="5" t="s">
        <v>272</v>
      </c>
      <c r="DM1314" s="7">
        <f>19.87</f>
        <v>19.87</v>
      </c>
      <c r="DN1314" s="5" t="s">
        <v>238</v>
      </c>
      <c r="DO1314" s="5" t="s">
        <v>238</v>
      </c>
      <c r="DP1314" s="5" t="s">
        <v>238</v>
      </c>
      <c r="DQ1314" s="5" t="s">
        <v>238</v>
      </c>
      <c r="DT1314" s="5" t="s">
        <v>941</v>
      </c>
      <c r="DU1314" s="5" t="s">
        <v>310</v>
      </c>
      <c r="HM1314" s="5" t="s">
        <v>271</v>
      </c>
      <c r="HP1314" s="5" t="s">
        <v>272</v>
      </c>
      <c r="HQ1314" s="5" t="s">
        <v>272</v>
      </c>
    </row>
    <row r="1315" spans="1:238" x14ac:dyDescent="0.4">
      <c r="A1315" s="5">
        <v>1661</v>
      </c>
      <c r="B1315" s="5">
        <v>1</v>
      </c>
      <c r="C1315" s="5">
        <v>1</v>
      </c>
      <c r="D1315" s="5" t="s">
        <v>4319</v>
      </c>
      <c r="E1315" s="5" t="s">
        <v>1344</v>
      </c>
      <c r="F1315" s="5" t="s">
        <v>282</v>
      </c>
      <c r="G1315" s="5" t="s">
        <v>1309</v>
      </c>
      <c r="H1315" s="6" t="s">
        <v>4320</v>
      </c>
      <c r="I1315" s="5" t="s">
        <v>4318</v>
      </c>
      <c r="J1315" s="7">
        <f>13.6</f>
        <v>13.6</v>
      </c>
      <c r="K1315" s="5" t="s">
        <v>270</v>
      </c>
      <c r="L1315" s="8">
        <f>1</f>
        <v>1</v>
      </c>
      <c r="M1315" s="8">
        <f>1292000</f>
        <v>1292000</v>
      </c>
      <c r="N1315" s="6" t="s">
        <v>906</v>
      </c>
      <c r="O1315" s="5" t="s">
        <v>268</v>
      </c>
      <c r="P1315" s="5" t="s">
        <v>909</v>
      </c>
      <c r="Q1315" s="8" t="s">
        <v>238</v>
      </c>
      <c r="R1315" s="8">
        <f>1291999</f>
        <v>1291999</v>
      </c>
      <c r="S1315" s="5" t="s">
        <v>240</v>
      </c>
      <c r="T1315" s="5" t="s">
        <v>237</v>
      </c>
      <c r="W1315" s="5" t="s">
        <v>241</v>
      </c>
      <c r="X1315" s="5" t="s">
        <v>243</v>
      </c>
      <c r="Y1315" s="5" t="s">
        <v>238</v>
      </c>
      <c r="AB1315" s="5" t="s">
        <v>238</v>
      </c>
      <c r="AC1315" s="6" t="s">
        <v>238</v>
      </c>
      <c r="AD1315" s="6" t="s">
        <v>238</v>
      </c>
      <c r="AE1315" s="5" t="s">
        <v>238</v>
      </c>
      <c r="AF1315" s="6" t="s">
        <v>238</v>
      </c>
      <c r="AG1315" s="6" t="s">
        <v>246</v>
      </c>
      <c r="AH1315" s="5" t="s">
        <v>247</v>
      </c>
      <c r="AI1315" s="5" t="s">
        <v>248</v>
      </c>
      <c r="AO1315" s="5" t="s">
        <v>238</v>
      </c>
      <c r="AP1315" s="5" t="s">
        <v>238</v>
      </c>
      <c r="AQ1315" s="5" t="s">
        <v>238</v>
      </c>
      <c r="AR1315" s="6" t="s">
        <v>238</v>
      </c>
      <c r="AS1315" s="6" t="s">
        <v>238</v>
      </c>
      <c r="AY1315" s="5" t="s">
        <v>250</v>
      </c>
      <c r="AZ1315" s="5" t="s">
        <v>281</v>
      </c>
      <c r="BA1315" s="5" t="s">
        <v>251</v>
      </c>
      <c r="BB1315" s="5" t="s">
        <v>3190</v>
      </c>
      <c r="BC1315" s="5" t="s">
        <v>253</v>
      </c>
      <c r="BD1315" s="5" t="s">
        <v>3170</v>
      </c>
      <c r="BF1315" s="5" t="s">
        <v>710</v>
      </c>
      <c r="BH1315" s="5" t="s">
        <v>697</v>
      </c>
      <c r="BI1315" s="6" t="s">
        <v>293</v>
      </c>
      <c r="BJ1315" s="5" t="s">
        <v>255</v>
      </c>
      <c r="BK1315" s="5" t="s">
        <v>256</v>
      </c>
      <c r="BL1315" s="5" t="s">
        <v>238</v>
      </c>
      <c r="BM1315" s="7">
        <f>0</f>
        <v>0</v>
      </c>
      <c r="BN1315" s="8">
        <f>0</f>
        <v>0</v>
      </c>
      <c r="BO1315" s="5" t="s">
        <v>257</v>
      </c>
      <c r="BP1315" s="5" t="s">
        <v>258</v>
      </c>
      <c r="BY1315" s="6" t="s">
        <v>238</v>
      </c>
      <c r="BZ1315" s="5" t="s">
        <v>238</v>
      </c>
      <c r="CA1315" s="5" t="s">
        <v>238</v>
      </c>
      <c r="CB1315" s="5" t="s">
        <v>238</v>
      </c>
      <c r="CD1315" s="5" t="s">
        <v>238</v>
      </c>
      <c r="CE1315" s="5" t="s">
        <v>238</v>
      </c>
      <c r="CI1315" s="5" t="s">
        <v>527</v>
      </c>
      <c r="CJ1315" s="5" t="s">
        <v>260</v>
      </c>
      <c r="CK1315" s="5" t="s">
        <v>272</v>
      </c>
      <c r="CM1315" s="5" t="s">
        <v>908</v>
      </c>
      <c r="CN1315" s="6" t="s">
        <v>262</v>
      </c>
      <c r="CO1315" s="5" t="s">
        <v>263</v>
      </c>
      <c r="CP1315" s="5" t="s">
        <v>264</v>
      </c>
      <c r="CQ1315" s="5" t="s">
        <v>238</v>
      </c>
      <c r="CR1315" s="5" t="s">
        <v>238</v>
      </c>
      <c r="CS1315" s="5">
        <v>0</v>
      </c>
      <c r="CT1315" s="5" t="s">
        <v>265</v>
      </c>
      <c r="CU1315" s="5" t="s">
        <v>1342</v>
      </c>
      <c r="CV1315" s="5" t="s">
        <v>267</v>
      </c>
      <c r="CW1315" s="7" t="s">
        <v>238</v>
      </c>
      <c r="CX1315" s="8">
        <f>1292000</f>
        <v>1292000</v>
      </c>
      <c r="CY1315" s="8">
        <f>0</f>
        <v>0</v>
      </c>
      <c r="CZ1315" s="8" t="s">
        <v>238</v>
      </c>
      <c r="DA1315" s="5" t="s">
        <v>238</v>
      </c>
      <c r="DB1315" s="5" t="s">
        <v>238</v>
      </c>
      <c r="DD1315" s="5" t="s">
        <v>238</v>
      </c>
      <c r="DE1315" s="8" t="s">
        <v>238</v>
      </c>
      <c r="DF1315" s="6" t="s">
        <v>238</v>
      </c>
      <c r="DG1315" s="5" t="s">
        <v>238</v>
      </c>
      <c r="DH1315" s="5" t="s">
        <v>238</v>
      </c>
      <c r="DI1315" s="5" t="s">
        <v>238</v>
      </c>
      <c r="DJ1315" s="5" t="s">
        <v>238</v>
      </c>
      <c r="DK1315" s="5" t="s">
        <v>271</v>
      </c>
      <c r="DL1315" s="5" t="s">
        <v>272</v>
      </c>
      <c r="DM1315" s="7">
        <f>13.6</f>
        <v>13.6</v>
      </c>
      <c r="DN1315" s="5" t="s">
        <v>238</v>
      </c>
      <c r="DO1315" s="5" t="s">
        <v>247</v>
      </c>
      <c r="DP1315" s="5" t="s">
        <v>3170</v>
      </c>
      <c r="DQ1315" s="5" t="s">
        <v>3170</v>
      </c>
      <c r="DR1315" s="5" t="s">
        <v>238</v>
      </c>
      <c r="DS1315" s="5" t="s">
        <v>238</v>
      </c>
      <c r="DT1315" s="5" t="s">
        <v>4321</v>
      </c>
      <c r="DU1315" s="5" t="s">
        <v>271</v>
      </c>
      <c r="HP1315" s="5" t="s">
        <v>272</v>
      </c>
      <c r="HQ1315" s="5" t="s">
        <v>272</v>
      </c>
    </row>
    <row r="1316" spans="1:238" x14ac:dyDescent="0.4">
      <c r="A1316" s="5">
        <v>1662</v>
      </c>
      <c r="B1316" s="5">
        <v>1</v>
      </c>
      <c r="C1316" s="5">
        <v>1</v>
      </c>
      <c r="D1316" s="5" t="s">
        <v>3235</v>
      </c>
      <c r="E1316" s="5" t="s">
        <v>1344</v>
      </c>
      <c r="F1316" s="5" t="s">
        <v>282</v>
      </c>
      <c r="G1316" s="5" t="s">
        <v>1326</v>
      </c>
      <c r="H1316" s="6" t="s">
        <v>1858</v>
      </c>
      <c r="I1316" s="5" t="s">
        <v>1326</v>
      </c>
      <c r="J1316" s="7">
        <f>39.69</f>
        <v>39.69</v>
      </c>
      <c r="K1316" s="5" t="s">
        <v>270</v>
      </c>
      <c r="L1316" s="8">
        <f>1</f>
        <v>1</v>
      </c>
      <c r="M1316" s="8">
        <f>7025130</f>
        <v>7025130</v>
      </c>
      <c r="N1316" s="6" t="s">
        <v>689</v>
      </c>
      <c r="O1316" s="5" t="s">
        <v>651</v>
      </c>
      <c r="P1316" s="5" t="s">
        <v>1091</v>
      </c>
      <c r="Q1316" s="8" t="s">
        <v>238</v>
      </c>
      <c r="R1316" s="8">
        <f>7025129</f>
        <v>7025129</v>
      </c>
      <c r="S1316" s="5" t="s">
        <v>240</v>
      </c>
      <c r="T1316" s="5" t="s">
        <v>237</v>
      </c>
      <c r="W1316" s="5" t="s">
        <v>241</v>
      </c>
      <c r="X1316" s="5" t="s">
        <v>243</v>
      </c>
      <c r="Y1316" s="5" t="s">
        <v>238</v>
      </c>
      <c r="AB1316" s="5" t="s">
        <v>238</v>
      </c>
      <c r="AC1316" s="6" t="s">
        <v>238</v>
      </c>
      <c r="AD1316" s="6" t="s">
        <v>238</v>
      </c>
      <c r="AE1316" s="5" t="s">
        <v>238</v>
      </c>
      <c r="AF1316" s="6" t="s">
        <v>238</v>
      </c>
      <c r="AG1316" s="6" t="s">
        <v>246</v>
      </c>
      <c r="AH1316" s="5" t="s">
        <v>247</v>
      </c>
      <c r="AI1316" s="5" t="s">
        <v>248</v>
      </c>
      <c r="AO1316" s="5" t="s">
        <v>238</v>
      </c>
      <c r="AP1316" s="5" t="s">
        <v>238</v>
      </c>
      <c r="AQ1316" s="5" t="s">
        <v>238</v>
      </c>
      <c r="AR1316" s="6" t="s">
        <v>238</v>
      </c>
      <c r="AS1316" s="6" t="s">
        <v>238</v>
      </c>
      <c r="AY1316" s="5" t="s">
        <v>250</v>
      </c>
      <c r="AZ1316" s="5" t="s">
        <v>281</v>
      </c>
      <c r="BA1316" s="5" t="s">
        <v>251</v>
      </c>
      <c r="BB1316" s="5" t="s">
        <v>3190</v>
      </c>
      <c r="BC1316" s="5" t="s">
        <v>253</v>
      </c>
      <c r="BD1316" s="5" t="s">
        <v>3170</v>
      </c>
      <c r="BF1316" s="5" t="s">
        <v>710</v>
      </c>
      <c r="BH1316" s="5" t="s">
        <v>798</v>
      </c>
      <c r="BI1316" s="6" t="s">
        <v>293</v>
      </c>
      <c r="BJ1316" s="5" t="s">
        <v>255</v>
      </c>
      <c r="BK1316" s="5" t="s">
        <v>256</v>
      </c>
      <c r="BL1316" s="5" t="s">
        <v>238</v>
      </c>
      <c r="BM1316" s="7">
        <f>0</f>
        <v>0</v>
      </c>
      <c r="BN1316" s="8">
        <f>0</f>
        <v>0</v>
      </c>
      <c r="BO1316" s="5" t="s">
        <v>257</v>
      </c>
      <c r="BP1316" s="5" t="s">
        <v>258</v>
      </c>
      <c r="BY1316" s="6" t="s">
        <v>238</v>
      </c>
      <c r="BZ1316" s="5" t="s">
        <v>238</v>
      </c>
      <c r="CA1316" s="5" t="s">
        <v>238</v>
      </c>
      <c r="CB1316" s="5" t="s">
        <v>238</v>
      </c>
      <c r="CD1316" s="5" t="s">
        <v>238</v>
      </c>
      <c r="CE1316" s="5" t="s">
        <v>238</v>
      </c>
      <c r="CI1316" s="5" t="s">
        <v>259</v>
      </c>
      <c r="CJ1316" s="5" t="s">
        <v>260</v>
      </c>
      <c r="CK1316" s="5" t="s">
        <v>272</v>
      </c>
      <c r="CM1316" s="5" t="s">
        <v>306</v>
      </c>
      <c r="CN1316" s="6" t="s">
        <v>262</v>
      </c>
      <c r="CO1316" s="5" t="s">
        <v>263</v>
      </c>
      <c r="CP1316" s="5" t="s">
        <v>264</v>
      </c>
      <c r="CQ1316" s="5" t="s">
        <v>238</v>
      </c>
      <c r="CR1316" s="5" t="s">
        <v>238</v>
      </c>
      <c r="CS1316" s="5">
        <v>0</v>
      </c>
      <c r="CT1316" s="5" t="s">
        <v>265</v>
      </c>
      <c r="CU1316" s="5" t="s">
        <v>1325</v>
      </c>
      <c r="CV1316" s="5" t="s">
        <v>267</v>
      </c>
      <c r="CW1316" s="7" t="s">
        <v>238</v>
      </c>
      <c r="CX1316" s="8">
        <f>7025130</f>
        <v>7025130</v>
      </c>
      <c r="CY1316" s="8">
        <f>0</f>
        <v>0</v>
      </c>
      <c r="CZ1316" s="8" t="s">
        <v>238</v>
      </c>
      <c r="DA1316" s="5" t="s">
        <v>238</v>
      </c>
      <c r="DB1316" s="5" t="s">
        <v>238</v>
      </c>
      <c r="DD1316" s="5" t="s">
        <v>238</v>
      </c>
      <c r="DE1316" s="8" t="s">
        <v>238</v>
      </c>
      <c r="DF1316" s="6" t="s">
        <v>238</v>
      </c>
      <c r="DG1316" s="5" t="s">
        <v>238</v>
      </c>
      <c r="DH1316" s="5" t="s">
        <v>238</v>
      </c>
      <c r="DI1316" s="5" t="s">
        <v>238</v>
      </c>
      <c r="DJ1316" s="5" t="s">
        <v>238</v>
      </c>
      <c r="DK1316" s="5" t="s">
        <v>271</v>
      </c>
      <c r="DL1316" s="5" t="s">
        <v>272</v>
      </c>
      <c r="DM1316" s="7">
        <f>39.69</f>
        <v>39.69</v>
      </c>
      <c r="DN1316" s="5" t="s">
        <v>238</v>
      </c>
      <c r="DO1316" s="5" t="s">
        <v>247</v>
      </c>
      <c r="DP1316" s="5" t="s">
        <v>3170</v>
      </c>
      <c r="DQ1316" s="5" t="s">
        <v>3170</v>
      </c>
      <c r="DR1316" s="5" t="s">
        <v>238</v>
      </c>
      <c r="DS1316" s="5" t="s">
        <v>238</v>
      </c>
      <c r="DT1316" s="5" t="s">
        <v>3236</v>
      </c>
      <c r="DU1316" s="5" t="s">
        <v>271</v>
      </c>
      <c r="HP1316" s="5" t="s">
        <v>272</v>
      </c>
      <c r="HQ1316" s="5" t="s">
        <v>272</v>
      </c>
    </row>
    <row r="1317" spans="1:238" x14ac:dyDescent="0.4">
      <c r="A1317" s="5">
        <v>1663</v>
      </c>
      <c r="B1317" s="5">
        <v>1</v>
      </c>
      <c r="C1317" s="5">
        <v>1</v>
      </c>
      <c r="D1317" s="5" t="s">
        <v>3081</v>
      </c>
      <c r="E1317" s="5" t="s">
        <v>1344</v>
      </c>
      <c r="F1317" s="5" t="s">
        <v>282</v>
      </c>
      <c r="G1317" s="5" t="s">
        <v>1007</v>
      </c>
      <c r="H1317" s="6" t="s">
        <v>3083</v>
      </c>
      <c r="I1317" s="5" t="s">
        <v>3080</v>
      </c>
      <c r="J1317" s="7">
        <f>12</f>
        <v>12</v>
      </c>
      <c r="K1317" s="5" t="s">
        <v>270</v>
      </c>
      <c r="L1317" s="8">
        <f>1</f>
        <v>1</v>
      </c>
      <c r="M1317" s="8">
        <f>1476000</f>
        <v>1476000</v>
      </c>
      <c r="N1317" s="6" t="s">
        <v>3082</v>
      </c>
      <c r="O1317" s="5" t="s">
        <v>354</v>
      </c>
      <c r="P1317" s="5" t="s">
        <v>269</v>
      </c>
      <c r="R1317" s="8">
        <f>1475999</f>
        <v>1475999</v>
      </c>
      <c r="S1317" s="5" t="s">
        <v>240</v>
      </c>
      <c r="T1317" s="5" t="s">
        <v>237</v>
      </c>
      <c r="U1317" s="5" t="s">
        <v>238</v>
      </c>
      <c r="V1317" s="5" t="s">
        <v>238</v>
      </c>
      <c r="W1317" s="5" t="s">
        <v>241</v>
      </c>
      <c r="X1317" s="5" t="s">
        <v>243</v>
      </c>
      <c r="Y1317" s="5" t="s">
        <v>238</v>
      </c>
      <c r="AB1317" s="5" t="s">
        <v>238</v>
      </c>
      <c r="AD1317" s="6" t="s">
        <v>238</v>
      </c>
      <c r="AG1317" s="6" t="s">
        <v>246</v>
      </c>
      <c r="AH1317" s="5" t="s">
        <v>247</v>
      </c>
      <c r="AI1317" s="5" t="s">
        <v>248</v>
      </c>
      <c r="AY1317" s="5" t="s">
        <v>250</v>
      </c>
      <c r="AZ1317" s="5" t="s">
        <v>238</v>
      </c>
      <c r="BA1317" s="5" t="s">
        <v>251</v>
      </c>
      <c r="BB1317" s="5" t="s">
        <v>238</v>
      </c>
      <c r="BC1317" s="5" t="s">
        <v>253</v>
      </c>
      <c r="BD1317" s="5" t="s">
        <v>238</v>
      </c>
      <c r="BF1317" s="5" t="s">
        <v>710</v>
      </c>
      <c r="BH1317" s="5" t="s">
        <v>254</v>
      </c>
      <c r="BI1317" s="6" t="s">
        <v>246</v>
      </c>
      <c r="BJ1317" s="5" t="s">
        <v>255</v>
      </c>
      <c r="BK1317" s="5" t="s">
        <v>256</v>
      </c>
      <c r="BL1317" s="5" t="s">
        <v>238</v>
      </c>
      <c r="BM1317" s="7">
        <f>0</f>
        <v>0</v>
      </c>
      <c r="BN1317" s="8">
        <f>0</f>
        <v>0</v>
      </c>
      <c r="BO1317" s="5" t="s">
        <v>257</v>
      </c>
      <c r="BP1317" s="5" t="s">
        <v>258</v>
      </c>
      <c r="CD1317" s="5" t="s">
        <v>238</v>
      </c>
      <c r="CE1317" s="5" t="s">
        <v>238</v>
      </c>
      <c r="CI1317" s="5" t="s">
        <v>259</v>
      </c>
      <c r="CJ1317" s="5" t="s">
        <v>260</v>
      </c>
      <c r="CK1317" s="5" t="s">
        <v>238</v>
      </c>
      <c r="CM1317" s="5" t="s">
        <v>261</v>
      </c>
      <c r="CN1317" s="6" t="s">
        <v>262</v>
      </c>
      <c r="CO1317" s="5" t="s">
        <v>263</v>
      </c>
      <c r="CP1317" s="5" t="s">
        <v>264</v>
      </c>
      <c r="CQ1317" s="5" t="s">
        <v>238</v>
      </c>
      <c r="CR1317" s="5" t="s">
        <v>238</v>
      </c>
      <c r="CS1317" s="5">
        <v>0</v>
      </c>
      <c r="CT1317" s="5" t="s">
        <v>265</v>
      </c>
      <c r="CU1317" s="5" t="s">
        <v>351</v>
      </c>
      <c r="CV1317" s="5" t="s">
        <v>3046</v>
      </c>
      <c r="CX1317" s="8">
        <f>1476000</f>
        <v>1476000</v>
      </c>
      <c r="CY1317" s="8">
        <f>0</f>
        <v>0</v>
      </c>
      <c r="DA1317" s="5" t="s">
        <v>238</v>
      </c>
      <c r="DB1317" s="5" t="s">
        <v>238</v>
      </c>
      <c r="DD1317" s="5" t="s">
        <v>238</v>
      </c>
      <c r="DG1317" s="5" t="s">
        <v>238</v>
      </c>
      <c r="DH1317" s="5" t="s">
        <v>238</v>
      </c>
      <c r="DI1317" s="5" t="s">
        <v>238</v>
      </c>
      <c r="DJ1317" s="5" t="s">
        <v>238</v>
      </c>
      <c r="DK1317" s="5" t="s">
        <v>271</v>
      </c>
      <c r="DL1317" s="5" t="s">
        <v>272</v>
      </c>
      <c r="DM1317" s="7">
        <f>12</f>
        <v>12</v>
      </c>
      <c r="DN1317" s="5" t="s">
        <v>238</v>
      </c>
      <c r="DO1317" s="5" t="s">
        <v>238</v>
      </c>
      <c r="DP1317" s="5" t="s">
        <v>238</v>
      </c>
      <c r="DQ1317" s="5" t="s">
        <v>238</v>
      </c>
      <c r="DT1317" s="5" t="s">
        <v>3084</v>
      </c>
      <c r="DU1317" s="5" t="s">
        <v>271</v>
      </c>
      <c r="HM1317" s="5" t="s">
        <v>271</v>
      </c>
      <c r="HP1317" s="5" t="s">
        <v>272</v>
      </c>
      <c r="HQ1317" s="5" t="s">
        <v>272</v>
      </c>
    </row>
    <row r="1318" spans="1:238" x14ac:dyDescent="0.4">
      <c r="A1318" s="5">
        <v>1664</v>
      </c>
      <c r="B1318" s="5">
        <v>1</v>
      </c>
      <c r="C1318" s="5">
        <v>2</v>
      </c>
      <c r="D1318" s="5" t="s">
        <v>3031</v>
      </c>
      <c r="E1318" s="5" t="s">
        <v>440</v>
      </c>
      <c r="F1318" s="5" t="s">
        <v>282</v>
      </c>
      <c r="G1318" s="5" t="s">
        <v>327</v>
      </c>
      <c r="H1318" s="6" t="s">
        <v>3032</v>
      </c>
      <c r="I1318" s="5" t="s">
        <v>3269</v>
      </c>
      <c r="J1318" s="7">
        <f>29.8</f>
        <v>29.8</v>
      </c>
      <c r="K1318" s="5" t="s">
        <v>270</v>
      </c>
      <c r="L1318" s="8">
        <f>1</f>
        <v>1</v>
      </c>
      <c r="M1318" s="8">
        <f>3059980</f>
        <v>3059980</v>
      </c>
      <c r="N1318" s="6" t="s">
        <v>655</v>
      </c>
      <c r="O1318" s="5" t="s">
        <v>268</v>
      </c>
      <c r="P1318" s="5" t="s">
        <v>268</v>
      </c>
      <c r="R1318" s="8">
        <f>3059979</f>
        <v>3059979</v>
      </c>
      <c r="S1318" s="5" t="s">
        <v>240</v>
      </c>
      <c r="T1318" s="5" t="s">
        <v>237</v>
      </c>
      <c r="W1318" s="5" t="s">
        <v>241</v>
      </c>
      <c r="X1318" s="5" t="s">
        <v>243</v>
      </c>
      <c r="Y1318" s="5" t="s">
        <v>238</v>
      </c>
      <c r="AB1318" s="5" t="s">
        <v>238</v>
      </c>
      <c r="AC1318" s="6" t="s">
        <v>238</v>
      </c>
      <c r="AD1318" s="6" t="s">
        <v>238</v>
      </c>
      <c r="AF1318" s="6" t="s">
        <v>238</v>
      </c>
      <c r="AG1318" s="6" t="s">
        <v>246</v>
      </c>
      <c r="AH1318" s="5" t="s">
        <v>247</v>
      </c>
      <c r="AI1318" s="5" t="s">
        <v>248</v>
      </c>
      <c r="AT1318" s="6" t="s">
        <v>238</v>
      </c>
      <c r="AW1318" s="5" t="s">
        <v>304</v>
      </c>
      <c r="AX1318" s="5" t="s">
        <v>304</v>
      </c>
      <c r="AY1318" s="5" t="s">
        <v>250</v>
      </c>
      <c r="AZ1318" s="5" t="s">
        <v>305</v>
      </c>
      <c r="BA1318" s="5" t="s">
        <v>251</v>
      </c>
      <c r="BB1318" s="5" t="s">
        <v>238</v>
      </c>
      <c r="BC1318" s="5" t="s">
        <v>253</v>
      </c>
      <c r="BD1318" s="5" t="s">
        <v>238</v>
      </c>
      <c r="BF1318" s="5" t="s">
        <v>710</v>
      </c>
      <c r="BH1318" s="5" t="s">
        <v>283</v>
      </c>
      <c r="BI1318" s="6" t="s">
        <v>293</v>
      </c>
      <c r="BJ1318" s="5" t="s">
        <v>255</v>
      </c>
      <c r="BK1318" s="5" t="s">
        <v>294</v>
      </c>
      <c r="BL1318" s="5" t="s">
        <v>238</v>
      </c>
      <c r="BM1318" s="7">
        <f>9.93</f>
        <v>9.93</v>
      </c>
      <c r="BN1318" s="8">
        <f>0</f>
        <v>0</v>
      </c>
      <c r="BO1318" s="5" t="s">
        <v>257</v>
      </c>
      <c r="BP1318" s="5" t="s">
        <v>258</v>
      </c>
      <c r="BQ1318" s="5" t="s">
        <v>238</v>
      </c>
      <c r="BR1318" s="5" t="s">
        <v>238</v>
      </c>
      <c r="BS1318" s="5" t="s">
        <v>238</v>
      </c>
      <c r="BT1318" s="5" t="s">
        <v>238</v>
      </c>
      <c r="CC1318" s="5" t="s">
        <v>258</v>
      </c>
      <c r="CD1318" s="5" t="s">
        <v>238</v>
      </c>
      <c r="CE1318" s="5" t="s">
        <v>238</v>
      </c>
      <c r="CI1318" s="5" t="s">
        <v>259</v>
      </c>
      <c r="CJ1318" s="5" t="s">
        <v>260</v>
      </c>
      <c r="CK1318" s="5" t="s">
        <v>238</v>
      </c>
      <c r="CM1318" s="5" t="s">
        <v>657</v>
      </c>
      <c r="CN1318" s="6" t="s">
        <v>262</v>
      </c>
      <c r="CO1318" s="5" t="s">
        <v>263</v>
      </c>
      <c r="CP1318" s="5" t="s">
        <v>264</v>
      </c>
      <c r="CQ1318" s="5" t="s">
        <v>285</v>
      </c>
      <c r="CR1318" s="5" t="s">
        <v>238</v>
      </c>
      <c r="CS1318" s="5">
        <v>0</v>
      </c>
      <c r="CT1318" s="5" t="s">
        <v>265</v>
      </c>
      <c r="CU1318" s="5" t="s">
        <v>2254</v>
      </c>
      <c r="CV1318" s="5" t="s">
        <v>267</v>
      </c>
      <c r="CW1318" s="7">
        <f>0</f>
        <v>0</v>
      </c>
      <c r="CX1318" s="8">
        <f>3059980</f>
        <v>3059980</v>
      </c>
      <c r="CY1318" s="8">
        <f>1</f>
        <v>1</v>
      </c>
      <c r="DA1318" s="5" t="s">
        <v>238</v>
      </c>
      <c r="DB1318" s="5" t="s">
        <v>238</v>
      </c>
      <c r="DD1318" s="5" t="s">
        <v>238</v>
      </c>
      <c r="DE1318" s="8">
        <f>0</f>
        <v>0</v>
      </c>
      <c r="DG1318" s="5" t="s">
        <v>238</v>
      </c>
      <c r="DH1318" s="5" t="s">
        <v>238</v>
      </c>
      <c r="DI1318" s="5" t="s">
        <v>238</v>
      </c>
      <c r="DJ1318" s="5" t="s">
        <v>238</v>
      </c>
      <c r="DK1318" s="5" t="s">
        <v>271</v>
      </c>
      <c r="DL1318" s="5" t="s">
        <v>272</v>
      </c>
      <c r="DM1318" s="7">
        <f>19.87</f>
        <v>19.87</v>
      </c>
      <c r="DN1318" s="5" t="s">
        <v>238</v>
      </c>
      <c r="DO1318" s="5" t="s">
        <v>238</v>
      </c>
      <c r="DP1318" s="5" t="s">
        <v>238</v>
      </c>
      <c r="DQ1318" s="5" t="s">
        <v>238</v>
      </c>
      <c r="DT1318" s="5" t="s">
        <v>3270</v>
      </c>
      <c r="DU1318" s="5" t="s">
        <v>271</v>
      </c>
      <c r="HM1318" s="5" t="s">
        <v>274</v>
      </c>
      <c r="HP1318" s="5" t="s">
        <v>272</v>
      </c>
      <c r="HQ1318" s="5" t="s">
        <v>272</v>
      </c>
      <c r="HR1318" s="5" t="s">
        <v>238</v>
      </c>
      <c r="HS1318" s="5" t="s">
        <v>238</v>
      </c>
      <c r="HT1318" s="5" t="s">
        <v>238</v>
      </c>
      <c r="HU1318" s="5" t="s">
        <v>238</v>
      </c>
      <c r="HV1318" s="5" t="s">
        <v>238</v>
      </c>
      <c r="HW1318" s="5" t="s">
        <v>238</v>
      </c>
      <c r="HX1318" s="5" t="s">
        <v>238</v>
      </c>
      <c r="HY1318" s="5" t="s">
        <v>238</v>
      </c>
      <c r="HZ1318" s="5" t="s">
        <v>238</v>
      </c>
      <c r="IA1318" s="5" t="s">
        <v>238</v>
      </c>
      <c r="IB1318" s="5" t="s">
        <v>238</v>
      </c>
      <c r="IC1318" s="5" t="s">
        <v>238</v>
      </c>
      <c r="ID1318" s="5" t="s">
        <v>238</v>
      </c>
    </row>
    <row r="1319" spans="1:238" x14ac:dyDescent="0.4">
      <c r="A1319" s="5">
        <v>1665</v>
      </c>
      <c r="B1319" s="5">
        <v>1</v>
      </c>
      <c r="C1319" s="5">
        <v>1</v>
      </c>
      <c r="D1319" s="5" t="s">
        <v>2367</v>
      </c>
      <c r="E1319" s="5" t="s">
        <v>440</v>
      </c>
      <c r="F1319" s="5" t="s">
        <v>282</v>
      </c>
      <c r="G1319" s="5" t="s">
        <v>2324</v>
      </c>
      <c r="H1319" s="6" t="s">
        <v>2368</v>
      </c>
      <c r="I1319" s="5" t="s">
        <v>2324</v>
      </c>
      <c r="J1319" s="7">
        <f>119.18</f>
        <v>119.18</v>
      </c>
      <c r="K1319" s="5" t="s">
        <v>270</v>
      </c>
      <c r="L1319" s="8">
        <f>1</f>
        <v>1</v>
      </c>
      <c r="M1319" s="8">
        <f>21571580</f>
        <v>21571580</v>
      </c>
      <c r="N1319" s="6" t="s">
        <v>306</v>
      </c>
      <c r="O1319" s="5" t="s">
        <v>268</v>
      </c>
      <c r="P1319" s="5" t="s">
        <v>784</v>
      </c>
      <c r="R1319" s="8">
        <f>21571579</f>
        <v>21571579</v>
      </c>
      <c r="S1319" s="5" t="s">
        <v>240</v>
      </c>
      <c r="T1319" s="5" t="s">
        <v>237</v>
      </c>
      <c r="U1319" s="5" t="s">
        <v>238</v>
      </c>
      <c r="V1319" s="5" t="s">
        <v>238</v>
      </c>
      <c r="W1319" s="5" t="s">
        <v>241</v>
      </c>
      <c r="X1319" s="5" t="s">
        <v>243</v>
      </c>
      <c r="Y1319" s="5" t="s">
        <v>238</v>
      </c>
      <c r="AB1319" s="5" t="s">
        <v>238</v>
      </c>
      <c r="AD1319" s="6" t="s">
        <v>238</v>
      </c>
      <c r="AG1319" s="6" t="s">
        <v>246</v>
      </c>
      <c r="AH1319" s="5" t="s">
        <v>247</v>
      </c>
      <c r="AI1319" s="5" t="s">
        <v>248</v>
      </c>
      <c r="AY1319" s="5" t="s">
        <v>250</v>
      </c>
      <c r="AZ1319" s="5" t="s">
        <v>238</v>
      </c>
      <c r="BA1319" s="5" t="s">
        <v>251</v>
      </c>
      <c r="BB1319" s="5" t="s">
        <v>238</v>
      </c>
      <c r="BC1319" s="5" t="s">
        <v>253</v>
      </c>
      <c r="BD1319" s="5" t="s">
        <v>238</v>
      </c>
      <c r="BF1319" s="5" t="s">
        <v>710</v>
      </c>
      <c r="BH1319" s="5" t="s">
        <v>697</v>
      </c>
      <c r="BI1319" s="6" t="s">
        <v>698</v>
      </c>
      <c r="BJ1319" s="5" t="s">
        <v>255</v>
      </c>
      <c r="BK1319" s="5" t="s">
        <v>256</v>
      </c>
      <c r="BL1319" s="5" t="s">
        <v>238</v>
      </c>
      <c r="BM1319" s="7">
        <f>0</f>
        <v>0</v>
      </c>
      <c r="BN1319" s="8">
        <f>0</f>
        <v>0</v>
      </c>
      <c r="BO1319" s="5" t="s">
        <v>257</v>
      </c>
      <c r="BP1319" s="5" t="s">
        <v>258</v>
      </c>
      <c r="CD1319" s="5" t="s">
        <v>238</v>
      </c>
      <c r="CE1319" s="5" t="s">
        <v>238</v>
      </c>
      <c r="CI1319" s="5" t="s">
        <v>259</v>
      </c>
      <c r="CJ1319" s="5" t="s">
        <v>260</v>
      </c>
      <c r="CK1319" s="5" t="s">
        <v>238</v>
      </c>
      <c r="CM1319" s="5" t="s">
        <v>1064</v>
      </c>
      <c r="CN1319" s="6" t="s">
        <v>262</v>
      </c>
      <c r="CO1319" s="5" t="s">
        <v>263</v>
      </c>
      <c r="CP1319" s="5" t="s">
        <v>264</v>
      </c>
      <c r="CQ1319" s="5" t="s">
        <v>238</v>
      </c>
      <c r="CR1319" s="5" t="s">
        <v>238</v>
      </c>
      <c r="CS1319" s="5">
        <v>0</v>
      </c>
      <c r="CT1319" s="5" t="s">
        <v>265</v>
      </c>
      <c r="CU1319" s="5" t="s">
        <v>2321</v>
      </c>
      <c r="CV1319" s="5" t="s">
        <v>267</v>
      </c>
      <c r="CX1319" s="8">
        <f>21571580</f>
        <v>21571580</v>
      </c>
      <c r="CY1319" s="8">
        <f>0</f>
        <v>0</v>
      </c>
      <c r="DA1319" s="5" t="s">
        <v>238</v>
      </c>
      <c r="DB1319" s="5" t="s">
        <v>238</v>
      </c>
      <c r="DD1319" s="5" t="s">
        <v>238</v>
      </c>
      <c r="DG1319" s="5" t="s">
        <v>238</v>
      </c>
      <c r="DH1319" s="5" t="s">
        <v>238</v>
      </c>
      <c r="DI1319" s="5" t="s">
        <v>238</v>
      </c>
      <c r="DJ1319" s="5" t="s">
        <v>238</v>
      </c>
      <c r="DK1319" s="5" t="s">
        <v>271</v>
      </c>
      <c r="DL1319" s="5" t="s">
        <v>272</v>
      </c>
      <c r="DM1319" s="7">
        <f>119.18</f>
        <v>119.18</v>
      </c>
      <c r="DN1319" s="5" t="s">
        <v>238</v>
      </c>
      <c r="DO1319" s="5" t="s">
        <v>238</v>
      </c>
      <c r="DP1319" s="5" t="s">
        <v>238</v>
      </c>
      <c r="DQ1319" s="5" t="s">
        <v>238</v>
      </c>
      <c r="DT1319" s="5" t="s">
        <v>2369</v>
      </c>
      <c r="DU1319" s="5" t="s">
        <v>271</v>
      </c>
      <c r="HM1319" s="5" t="s">
        <v>271</v>
      </c>
      <c r="HP1319" s="5" t="s">
        <v>272</v>
      </c>
      <c r="HQ1319" s="5" t="s">
        <v>272</v>
      </c>
    </row>
    <row r="1320" spans="1:238" x14ac:dyDescent="0.4">
      <c r="A1320" s="5">
        <v>1666</v>
      </c>
      <c r="B1320" s="5">
        <v>1</v>
      </c>
      <c r="C1320" s="5">
        <v>1</v>
      </c>
      <c r="D1320" s="5" t="s">
        <v>1479</v>
      </c>
      <c r="E1320" s="5" t="s">
        <v>440</v>
      </c>
      <c r="F1320" s="5" t="s">
        <v>282</v>
      </c>
      <c r="G1320" s="5" t="s">
        <v>1007</v>
      </c>
      <c r="H1320" s="6" t="s">
        <v>443</v>
      </c>
      <c r="I1320" s="5" t="s">
        <v>1478</v>
      </c>
      <c r="J1320" s="7">
        <f>139.12</f>
        <v>139.12</v>
      </c>
      <c r="K1320" s="5" t="s">
        <v>270</v>
      </c>
      <c r="L1320" s="8">
        <f>1</f>
        <v>1</v>
      </c>
      <c r="M1320" s="8">
        <f>29771680</f>
        <v>29771680</v>
      </c>
      <c r="N1320" s="6" t="s">
        <v>1034</v>
      </c>
      <c r="O1320" s="5" t="s">
        <v>651</v>
      </c>
      <c r="P1320" s="5" t="s">
        <v>640</v>
      </c>
      <c r="R1320" s="8">
        <f>29771679</f>
        <v>29771679</v>
      </c>
      <c r="S1320" s="5" t="s">
        <v>240</v>
      </c>
      <c r="T1320" s="5" t="s">
        <v>237</v>
      </c>
      <c r="U1320" s="5" t="s">
        <v>238</v>
      </c>
      <c r="V1320" s="5" t="s">
        <v>238</v>
      </c>
      <c r="W1320" s="5" t="s">
        <v>241</v>
      </c>
      <c r="X1320" s="5" t="s">
        <v>243</v>
      </c>
      <c r="Y1320" s="5" t="s">
        <v>238</v>
      </c>
      <c r="AB1320" s="5" t="s">
        <v>238</v>
      </c>
      <c r="AD1320" s="6" t="s">
        <v>238</v>
      </c>
      <c r="AG1320" s="6" t="s">
        <v>246</v>
      </c>
      <c r="AH1320" s="5" t="s">
        <v>247</v>
      </c>
      <c r="AI1320" s="5" t="s">
        <v>248</v>
      </c>
      <c r="AY1320" s="5" t="s">
        <v>250</v>
      </c>
      <c r="AZ1320" s="5" t="s">
        <v>238</v>
      </c>
      <c r="BA1320" s="5" t="s">
        <v>251</v>
      </c>
      <c r="BB1320" s="5" t="s">
        <v>238</v>
      </c>
      <c r="BC1320" s="5" t="s">
        <v>253</v>
      </c>
      <c r="BD1320" s="5" t="s">
        <v>238</v>
      </c>
      <c r="BF1320" s="5" t="s">
        <v>710</v>
      </c>
      <c r="BH1320" s="5" t="s">
        <v>798</v>
      </c>
      <c r="BI1320" s="6" t="s">
        <v>799</v>
      </c>
      <c r="BJ1320" s="5" t="s">
        <v>255</v>
      </c>
      <c r="BK1320" s="5" t="s">
        <v>256</v>
      </c>
      <c r="BL1320" s="5" t="s">
        <v>238</v>
      </c>
      <c r="BM1320" s="7">
        <f>0</f>
        <v>0</v>
      </c>
      <c r="BN1320" s="8">
        <f>0</f>
        <v>0</v>
      </c>
      <c r="BO1320" s="5" t="s">
        <v>257</v>
      </c>
      <c r="BP1320" s="5" t="s">
        <v>258</v>
      </c>
      <c r="CD1320" s="5" t="s">
        <v>238</v>
      </c>
      <c r="CE1320" s="5" t="s">
        <v>238</v>
      </c>
      <c r="CI1320" s="5" t="s">
        <v>259</v>
      </c>
      <c r="CJ1320" s="5" t="s">
        <v>260</v>
      </c>
      <c r="CK1320" s="5" t="s">
        <v>238</v>
      </c>
      <c r="CM1320" s="5" t="s">
        <v>342</v>
      </c>
      <c r="CN1320" s="6" t="s">
        <v>262</v>
      </c>
      <c r="CO1320" s="5" t="s">
        <v>263</v>
      </c>
      <c r="CP1320" s="5" t="s">
        <v>264</v>
      </c>
      <c r="CQ1320" s="5" t="s">
        <v>238</v>
      </c>
      <c r="CR1320" s="5" t="s">
        <v>238</v>
      </c>
      <c r="CS1320" s="5">
        <v>0</v>
      </c>
      <c r="CT1320" s="5" t="s">
        <v>265</v>
      </c>
      <c r="CU1320" s="5" t="s">
        <v>1325</v>
      </c>
      <c r="CV1320" s="5" t="s">
        <v>267</v>
      </c>
      <c r="CX1320" s="8">
        <f>29771680</f>
        <v>29771680</v>
      </c>
      <c r="CY1320" s="8">
        <f>0</f>
        <v>0</v>
      </c>
      <c r="DA1320" s="5" t="s">
        <v>238</v>
      </c>
      <c r="DB1320" s="5" t="s">
        <v>238</v>
      </c>
      <c r="DD1320" s="5" t="s">
        <v>238</v>
      </c>
      <c r="DG1320" s="5" t="s">
        <v>238</v>
      </c>
      <c r="DH1320" s="5" t="s">
        <v>238</v>
      </c>
      <c r="DI1320" s="5" t="s">
        <v>238</v>
      </c>
      <c r="DJ1320" s="5" t="s">
        <v>238</v>
      </c>
      <c r="DK1320" s="5" t="s">
        <v>271</v>
      </c>
      <c r="DL1320" s="5" t="s">
        <v>272</v>
      </c>
      <c r="DM1320" s="7">
        <f>139.12</f>
        <v>139.12</v>
      </c>
      <c r="DN1320" s="5" t="s">
        <v>238</v>
      </c>
      <c r="DO1320" s="5" t="s">
        <v>238</v>
      </c>
      <c r="DP1320" s="5" t="s">
        <v>238</v>
      </c>
      <c r="DQ1320" s="5" t="s">
        <v>238</v>
      </c>
      <c r="DT1320" s="5" t="s">
        <v>1480</v>
      </c>
      <c r="DU1320" s="5" t="s">
        <v>271</v>
      </c>
      <c r="HM1320" s="5" t="s">
        <v>271</v>
      </c>
      <c r="HP1320" s="5" t="s">
        <v>272</v>
      </c>
      <c r="HQ1320" s="5" t="s">
        <v>272</v>
      </c>
    </row>
    <row r="1321" spans="1:238" x14ac:dyDescent="0.4">
      <c r="A1321" s="5">
        <v>1668</v>
      </c>
      <c r="B1321" s="5">
        <v>1</v>
      </c>
      <c r="C1321" s="5">
        <v>4</v>
      </c>
      <c r="D1321" s="5" t="s">
        <v>1442</v>
      </c>
      <c r="E1321" s="5" t="s">
        <v>440</v>
      </c>
      <c r="F1321" s="5" t="s">
        <v>282</v>
      </c>
      <c r="G1321" s="5" t="s">
        <v>1372</v>
      </c>
      <c r="H1321" s="6" t="s">
        <v>1444</v>
      </c>
      <c r="I1321" s="5" t="s">
        <v>1441</v>
      </c>
      <c r="J1321" s="7">
        <f>683.06</f>
        <v>683.06</v>
      </c>
      <c r="K1321" s="5" t="s">
        <v>270</v>
      </c>
      <c r="L1321" s="8">
        <f>105139332</f>
        <v>105139332</v>
      </c>
      <c r="M1321" s="8">
        <f>520491720</f>
        <v>520491720</v>
      </c>
      <c r="N1321" s="6" t="s">
        <v>1443</v>
      </c>
      <c r="O1321" s="5" t="s">
        <v>651</v>
      </c>
      <c r="P1321" s="5" t="s">
        <v>631</v>
      </c>
      <c r="Q1321" s="8">
        <f>21860652</f>
        <v>21860652</v>
      </c>
      <c r="R1321" s="8">
        <f>415352388</f>
        <v>415352388</v>
      </c>
      <c r="S1321" s="5" t="s">
        <v>240</v>
      </c>
      <c r="T1321" s="5" t="s">
        <v>237</v>
      </c>
      <c r="U1321" s="5" t="s">
        <v>238</v>
      </c>
      <c r="V1321" s="5" t="s">
        <v>238</v>
      </c>
      <c r="W1321" s="5" t="s">
        <v>241</v>
      </c>
      <c r="X1321" s="5" t="s">
        <v>243</v>
      </c>
      <c r="Y1321" s="5" t="s">
        <v>238</v>
      </c>
      <c r="AB1321" s="5" t="s">
        <v>238</v>
      </c>
      <c r="AC1321" s="6" t="s">
        <v>238</v>
      </c>
      <c r="AD1321" s="6" t="s">
        <v>238</v>
      </c>
      <c r="AF1321" s="6" t="s">
        <v>238</v>
      </c>
      <c r="AG1321" s="6" t="s">
        <v>246</v>
      </c>
      <c r="AH1321" s="5" t="s">
        <v>247</v>
      </c>
      <c r="AI1321" s="5" t="s">
        <v>248</v>
      </c>
      <c r="AO1321" s="5" t="s">
        <v>238</v>
      </c>
      <c r="AP1321" s="5" t="s">
        <v>238</v>
      </c>
      <c r="AQ1321" s="5" t="s">
        <v>238</v>
      </c>
      <c r="AR1321" s="6" t="s">
        <v>238</v>
      </c>
      <c r="AS1321" s="6" t="s">
        <v>238</v>
      </c>
      <c r="AT1321" s="6" t="s">
        <v>238</v>
      </c>
      <c r="AW1321" s="5" t="s">
        <v>304</v>
      </c>
      <c r="AX1321" s="5" t="s">
        <v>304</v>
      </c>
      <c r="AY1321" s="5" t="s">
        <v>250</v>
      </c>
      <c r="AZ1321" s="5" t="s">
        <v>305</v>
      </c>
      <c r="BA1321" s="5" t="s">
        <v>251</v>
      </c>
      <c r="BB1321" s="5" t="s">
        <v>238</v>
      </c>
      <c r="BC1321" s="5" t="s">
        <v>253</v>
      </c>
      <c r="BD1321" s="5" t="s">
        <v>238</v>
      </c>
      <c r="BF1321" s="5" t="s">
        <v>710</v>
      </c>
      <c r="BH1321" s="5" t="s">
        <v>283</v>
      </c>
      <c r="BI1321" s="6" t="s">
        <v>293</v>
      </c>
      <c r="BJ1321" s="5" t="s">
        <v>294</v>
      </c>
      <c r="BK1321" s="5" t="s">
        <v>294</v>
      </c>
      <c r="BL1321" s="5" t="s">
        <v>238</v>
      </c>
      <c r="BM1321" s="7">
        <f>0</f>
        <v>0</v>
      </c>
      <c r="BN1321" s="8">
        <f>-21860652</f>
        <v>-21860652</v>
      </c>
      <c r="BO1321" s="5" t="s">
        <v>257</v>
      </c>
      <c r="BP1321" s="5" t="s">
        <v>258</v>
      </c>
      <c r="BQ1321" s="5" t="s">
        <v>238</v>
      </c>
      <c r="BR1321" s="5" t="s">
        <v>238</v>
      </c>
      <c r="BS1321" s="5" t="s">
        <v>238</v>
      </c>
      <c r="BT1321" s="5" t="s">
        <v>238</v>
      </c>
      <c r="CC1321" s="5" t="s">
        <v>258</v>
      </c>
      <c r="CD1321" s="5" t="s">
        <v>238</v>
      </c>
      <c r="CE1321" s="5" t="s">
        <v>238</v>
      </c>
      <c r="CI1321" s="5" t="s">
        <v>259</v>
      </c>
      <c r="CJ1321" s="5" t="s">
        <v>260</v>
      </c>
      <c r="CK1321" s="5" t="s">
        <v>238</v>
      </c>
      <c r="CM1321" s="5" t="s">
        <v>807</v>
      </c>
      <c r="CN1321" s="6" t="s">
        <v>262</v>
      </c>
      <c r="CO1321" s="5" t="s">
        <v>263</v>
      </c>
      <c r="CP1321" s="5" t="s">
        <v>264</v>
      </c>
      <c r="CQ1321" s="5" t="s">
        <v>285</v>
      </c>
      <c r="CR1321" s="5" t="s">
        <v>238</v>
      </c>
      <c r="CS1321" s="5">
        <v>4.2000000000000003E-2</v>
      </c>
      <c r="CT1321" s="5" t="s">
        <v>265</v>
      </c>
      <c r="CU1321" s="5" t="s">
        <v>1325</v>
      </c>
      <c r="CV1321" s="5" t="s">
        <v>267</v>
      </c>
      <c r="CW1321" s="7">
        <f>0</f>
        <v>0</v>
      </c>
      <c r="CX1321" s="8">
        <f>520491720</f>
        <v>520491720</v>
      </c>
      <c r="CY1321" s="8">
        <f>126999984</f>
        <v>126999984</v>
      </c>
      <c r="DA1321" s="5" t="s">
        <v>238</v>
      </c>
      <c r="DB1321" s="5" t="s">
        <v>238</v>
      </c>
      <c r="DD1321" s="5" t="s">
        <v>238</v>
      </c>
      <c r="DE1321" s="8">
        <f>0</f>
        <v>0</v>
      </c>
      <c r="DG1321" s="5" t="s">
        <v>238</v>
      </c>
      <c r="DH1321" s="5" t="s">
        <v>238</v>
      </c>
      <c r="DI1321" s="5" t="s">
        <v>238</v>
      </c>
      <c r="DJ1321" s="5" t="s">
        <v>238</v>
      </c>
      <c r="DK1321" s="5" t="s">
        <v>271</v>
      </c>
      <c r="DL1321" s="5" t="s">
        <v>272</v>
      </c>
      <c r="DM1321" s="7">
        <f>683.06</f>
        <v>683.06</v>
      </c>
      <c r="DN1321" s="5" t="s">
        <v>238</v>
      </c>
      <c r="DO1321" s="5" t="s">
        <v>238</v>
      </c>
      <c r="DP1321" s="5" t="s">
        <v>238</v>
      </c>
      <c r="DQ1321" s="5" t="s">
        <v>238</v>
      </c>
      <c r="DT1321" s="5" t="s">
        <v>1445</v>
      </c>
      <c r="DU1321" s="5" t="s">
        <v>271</v>
      </c>
      <c r="GL1321" s="5" t="s">
        <v>1446</v>
      </c>
      <c r="HM1321" s="5" t="s">
        <v>389</v>
      </c>
      <c r="HP1321" s="5" t="s">
        <v>272</v>
      </c>
      <c r="HQ1321" s="5" t="s">
        <v>272</v>
      </c>
      <c r="HR1321" s="5" t="s">
        <v>238</v>
      </c>
      <c r="HS1321" s="5" t="s">
        <v>238</v>
      </c>
      <c r="HT1321" s="5" t="s">
        <v>238</v>
      </c>
      <c r="HU1321" s="5" t="s">
        <v>238</v>
      </c>
      <c r="HV1321" s="5" t="s">
        <v>238</v>
      </c>
      <c r="HW1321" s="5" t="s">
        <v>238</v>
      </c>
      <c r="HX1321" s="5" t="s">
        <v>238</v>
      </c>
      <c r="HY1321" s="5" t="s">
        <v>238</v>
      </c>
      <c r="HZ1321" s="5" t="s">
        <v>238</v>
      </c>
      <c r="IA1321" s="5" t="s">
        <v>238</v>
      </c>
      <c r="IB1321" s="5" t="s">
        <v>238</v>
      </c>
      <c r="IC1321" s="5" t="s">
        <v>238</v>
      </c>
      <c r="ID1321" s="5" t="s">
        <v>238</v>
      </c>
    </row>
    <row r="1322" spans="1:238" x14ac:dyDescent="0.4">
      <c r="A1322" s="5">
        <v>1669</v>
      </c>
      <c r="B1322" s="5">
        <v>1</v>
      </c>
      <c r="C1322" s="5">
        <v>4</v>
      </c>
      <c r="D1322" s="5" t="s">
        <v>1442</v>
      </c>
      <c r="E1322" s="5" t="s">
        <v>440</v>
      </c>
      <c r="F1322" s="5" t="s">
        <v>282</v>
      </c>
      <c r="G1322" s="5" t="s">
        <v>349</v>
      </c>
      <c r="H1322" s="6" t="s">
        <v>1444</v>
      </c>
      <c r="I1322" s="5" t="s">
        <v>3000</v>
      </c>
      <c r="J1322" s="7">
        <f>0</f>
        <v>0</v>
      </c>
      <c r="K1322" s="5" t="s">
        <v>270</v>
      </c>
      <c r="L1322" s="8">
        <f>432890</f>
        <v>432890</v>
      </c>
      <c r="M1322" s="8">
        <f>520300</f>
        <v>520300</v>
      </c>
      <c r="N1322" s="6" t="s">
        <v>3001</v>
      </c>
      <c r="O1322" s="5" t="s">
        <v>395</v>
      </c>
      <c r="P1322" s="5" t="s">
        <v>272</v>
      </c>
      <c r="Q1322" s="8">
        <f>520299</f>
        <v>520299</v>
      </c>
      <c r="R1322" s="8">
        <f>87410</f>
        <v>87410</v>
      </c>
      <c r="S1322" s="5" t="s">
        <v>240</v>
      </c>
      <c r="T1322" s="5" t="s">
        <v>287</v>
      </c>
      <c r="U1322" s="5" t="s">
        <v>238</v>
      </c>
      <c r="V1322" s="5" t="s">
        <v>238</v>
      </c>
      <c r="W1322" s="5" t="s">
        <v>241</v>
      </c>
      <c r="X1322" s="5" t="s">
        <v>238</v>
      </c>
      <c r="Y1322" s="5" t="s">
        <v>238</v>
      </c>
      <c r="AB1322" s="5" t="s">
        <v>238</v>
      </c>
      <c r="AC1322" s="6" t="s">
        <v>238</v>
      </c>
      <c r="AD1322" s="6" t="s">
        <v>238</v>
      </c>
      <c r="AF1322" s="6" t="s">
        <v>238</v>
      </c>
      <c r="AG1322" s="6" t="s">
        <v>246</v>
      </c>
      <c r="AH1322" s="5" t="s">
        <v>247</v>
      </c>
      <c r="AI1322" s="5" t="s">
        <v>248</v>
      </c>
      <c r="AO1322" s="5" t="s">
        <v>238</v>
      </c>
      <c r="AP1322" s="5" t="s">
        <v>238</v>
      </c>
      <c r="AQ1322" s="5" t="s">
        <v>238</v>
      </c>
      <c r="AR1322" s="6" t="s">
        <v>238</v>
      </c>
      <c r="AS1322" s="6" t="s">
        <v>238</v>
      </c>
      <c r="AT1322" s="6" t="s">
        <v>238</v>
      </c>
      <c r="AW1322" s="5" t="s">
        <v>304</v>
      </c>
      <c r="AX1322" s="5" t="s">
        <v>304</v>
      </c>
      <c r="AY1322" s="5" t="s">
        <v>250</v>
      </c>
      <c r="AZ1322" s="5" t="s">
        <v>305</v>
      </c>
      <c r="BA1322" s="5" t="s">
        <v>251</v>
      </c>
      <c r="BB1322" s="5" t="s">
        <v>238</v>
      </c>
      <c r="BC1322" s="5" t="s">
        <v>253</v>
      </c>
      <c r="BD1322" s="5" t="s">
        <v>238</v>
      </c>
      <c r="BF1322" s="5" t="s">
        <v>238</v>
      </c>
      <c r="BH1322" s="5" t="s">
        <v>283</v>
      </c>
      <c r="BI1322" s="6" t="s">
        <v>293</v>
      </c>
      <c r="BJ1322" s="5" t="s">
        <v>294</v>
      </c>
      <c r="BK1322" s="5" t="s">
        <v>294</v>
      </c>
      <c r="BL1322" s="5" t="s">
        <v>238</v>
      </c>
      <c r="BM1322" s="7">
        <f>0</f>
        <v>0</v>
      </c>
      <c r="BN1322" s="8">
        <f>-43705</f>
        <v>-43705</v>
      </c>
      <c r="BO1322" s="5" t="s">
        <v>257</v>
      </c>
      <c r="BP1322" s="5" t="s">
        <v>258</v>
      </c>
      <c r="BQ1322" s="5" t="s">
        <v>238</v>
      </c>
      <c r="BR1322" s="5" t="s">
        <v>238</v>
      </c>
      <c r="BS1322" s="5" t="s">
        <v>238</v>
      </c>
      <c r="BT1322" s="5" t="s">
        <v>238</v>
      </c>
      <c r="CC1322" s="5" t="s">
        <v>258</v>
      </c>
      <c r="CD1322" s="5" t="s">
        <v>238</v>
      </c>
      <c r="CE1322" s="5" t="s">
        <v>238</v>
      </c>
      <c r="CI1322" s="5" t="s">
        <v>259</v>
      </c>
      <c r="CJ1322" s="5" t="s">
        <v>260</v>
      </c>
      <c r="CK1322" s="5" t="s">
        <v>238</v>
      </c>
      <c r="CM1322" s="5" t="s">
        <v>408</v>
      </c>
      <c r="CN1322" s="6" t="s">
        <v>262</v>
      </c>
      <c r="CO1322" s="5" t="s">
        <v>263</v>
      </c>
      <c r="CP1322" s="5" t="s">
        <v>264</v>
      </c>
      <c r="CQ1322" s="5" t="s">
        <v>285</v>
      </c>
      <c r="CR1322" s="5" t="s">
        <v>238</v>
      </c>
      <c r="CS1322" s="5">
        <v>8.4000000000000005E-2</v>
      </c>
      <c r="CT1322" s="5" t="s">
        <v>265</v>
      </c>
      <c r="CU1322" s="5" t="s">
        <v>351</v>
      </c>
      <c r="CV1322" s="5" t="s">
        <v>2977</v>
      </c>
      <c r="CW1322" s="7">
        <f>0</f>
        <v>0</v>
      </c>
      <c r="CX1322" s="8">
        <f>520300</f>
        <v>520300</v>
      </c>
      <c r="CY1322" s="8">
        <f>476595</f>
        <v>476595</v>
      </c>
      <c r="DA1322" s="5" t="s">
        <v>238</v>
      </c>
      <c r="DB1322" s="5" t="s">
        <v>238</v>
      </c>
      <c r="DD1322" s="5" t="s">
        <v>238</v>
      </c>
      <c r="DE1322" s="8">
        <f>0</f>
        <v>0</v>
      </c>
      <c r="DG1322" s="5" t="s">
        <v>238</v>
      </c>
      <c r="DH1322" s="5" t="s">
        <v>238</v>
      </c>
      <c r="DI1322" s="5" t="s">
        <v>238</v>
      </c>
      <c r="DJ1322" s="5" t="s">
        <v>238</v>
      </c>
      <c r="DK1322" s="5" t="s">
        <v>272</v>
      </c>
      <c r="DL1322" s="5" t="s">
        <v>272</v>
      </c>
      <c r="DM1322" s="8" t="s">
        <v>238</v>
      </c>
      <c r="DN1322" s="5" t="s">
        <v>238</v>
      </c>
      <c r="DO1322" s="5" t="s">
        <v>238</v>
      </c>
      <c r="DP1322" s="5" t="s">
        <v>238</v>
      </c>
      <c r="DQ1322" s="5" t="s">
        <v>238</v>
      </c>
      <c r="DT1322" s="5" t="s">
        <v>1445</v>
      </c>
      <c r="DU1322" s="5" t="s">
        <v>274</v>
      </c>
      <c r="GL1322" s="5" t="s">
        <v>3038</v>
      </c>
      <c r="HM1322" s="5" t="s">
        <v>274</v>
      </c>
      <c r="HP1322" s="5" t="s">
        <v>272</v>
      </c>
      <c r="HQ1322" s="5" t="s">
        <v>272</v>
      </c>
      <c r="HR1322" s="5" t="s">
        <v>238</v>
      </c>
      <c r="HS1322" s="5" t="s">
        <v>238</v>
      </c>
      <c r="HT1322" s="5" t="s">
        <v>238</v>
      </c>
      <c r="HU1322" s="5" t="s">
        <v>238</v>
      </c>
      <c r="HV1322" s="5" t="s">
        <v>238</v>
      </c>
      <c r="HW1322" s="5" t="s">
        <v>238</v>
      </c>
      <c r="HX1322" s="5" t="s">
        <v>238</v>
      </c>
      <c r="HY1322" s="5" t="s">
        <v>238</v>
      </c>
      <c r="HZ1322" s="5" t="s">
        <v>238</v>
      </c>
      <c r="IA1322" s="5" t="s">
        <v>238</v>
      </c>
      <c r="IB1322" s="5" t="s">
        <v>238</v>
      </c>
      <c r="IC1322" s="5" t="s">
        <v>238</v>
      </c>
      <c r="ID1322" s="5" t="s">
        <v>238</v>
      </c>
    </row>
    <row r="1323" spans="1:238" x14ac:dyDescent="0.4">
      <c r="A1323" s="5">
        <v>1670</v>
      </c>
      <c r="B1323" s="5">
        <v>1</v>
      </c>
      <c r="C1323" s="5">
        <v>1</v>
      </c>
      <c r="D1323" s="5" t="s">
        <v>4302</v>
      </c>
      <c r="E1323" s="5" t="s">
        <v>1344</v>
      </c>
      <c r="F1323" s="5" t="s">
        <v>282</v>
      </c>
      <c r="G1323" s="5" t="s">
        <v>1309</v>
      </c>
      <c r="H1323" s="6" t="s">
        <v>4303</v>
      </c>
      <c r="I1323" s="5" t="s">
        <v>4301</v>
      </c>
      <c r="J1323" s="7">
        <f>11.47</f>
        <v>11.47</v>
      </c>
      <c r="K1323" s="5" t="s">
        <v>270</v>
      </c>
      <c r="L1323" s="8">
        <f>1</f>
        <v>1</v>
      </c>
      <c r="M1323" s="8">
        <f>1089650</f>
        <v>1089650</v>
      </c>
      <c r="N1323" s="6" t="s">
        <v>906</v>
      </c>
      <c r="O1323" s="5" t="s">
        <v>268</v>
      </c>
      <c r="P1323" s="5" t="s">
        <v>909</v>
      </c>
      <c r="Q1323" s="8" t="s">
        <v>238</v>
      </c>
      <c r="R1323" s="8">
        <f>1089649</f>
        <v>1089649</v>
      </c>
      <c r="S1323" s="5" t="s">
        <v>240</v>
      </c>
      <c r="T1323" s="5" t="s">
        <v>237</v>
      </c>
      <c r="W1323" s="5" t="s">
        <v>241</v>
      </c>
      <c r="X1323" s="5" t="s">
        <v>243</v>
      </c>
      <c r="Y1323" s="5" t="s">
        <v>238</v>
      </c>
      <c r="AB1323" s="5" t="s">
        <v>238</v>
      </c>
      <c r="AC1323" s="6" t="s">
        <v>238</v>
      </c>
      <c r="AD1323" s="6" t="s">
        <v>238</v>
      </c>
      <c r="AE1323" s="5" t="s">
        <v>238</v>
      </c>
      <c r="AF1323" s="6" t="s">
        <v>238</v>
      </c>
      <c r="AG1323" s="6" t="s">
        <v>246</v>
      </c>
      <c r="AH1323" s="5" t="s">
        <v>247</v>
      </c>
      <c r="AI1323" s="5" t="s">
        <v>248</v>
      </c>
      <c r="AO1323" s="5" t="s">
        <v>238</v>
      </c>
      <c r="AP1323" s="5" t="s">
        <v>238</v>
      </c>
      <c r="AQ1323" s="5" t="s">
        <v>238</v>
      </c>
      <c r="AR1323" s="6" t="s">
        <v>238</v>
      </c>
      <c r="AS1323" s="6" t="s">
        <v>238</v>
      </c>
      <c r="AY1323" s="5" t="s">
        <v>250</v>
      </c>
      <c r="AZ1323" s="5" t="s">
        <v>281</v>
      </c>
      <c r="BA1323" s="5" t="s">
        <v>251</v>
      </c>
      <c r="BB1323" s="5" t="s">
        <v>3190</v>
      </c>
      <c r="BC1323" s="5" t="s">
        <v>253</v>
      </c>
      <c r="BD1323" s="5" t="s">
        <v>3170</v>
      </c>
      <c r="BF1323" s="5" t="s">
        <v>710</v>
      </c>
      <c r="BH1323" s="5" t="s">
        <v>798</v>
      </c>
      <c r="BI1323" s="6" t="s">
        <v>293</v>
      </c>
      <c r="BJ1323" s="5" t="s">
        <v>255</v>
      </c>
      <c r="BK1323" s="5" t="s">
        <v>256</v>
      </c>
      <c r="BL1323" s="5" t="s">
        <v>238</v>
      </c>
      <c r="BM1323" s="7">
        <f>0</f>
        <v>0</v>
      </c>
      <c r="BN1323" s="8">
        <f>0</f>
        <v>0</v>
      </c>
      <c r="BO1323" s="5" t="s">
        <v>257</v>
      </c>
      <c r="BP1323" s="5" t="s">
        <v>258</v>
      </c>
      <c r="BY1323" s="6" t="s">
        <v>238</v>
      </c>
      <c r="BZ1323" s="5" t="s">
        <v>238</v>
      </c>
      <c r="CA1323" s="5" t="s">
        <v>238</v>
      </c>
      <c r="CB1323" s="5" t="s">
        <v>238</v>
      </c>
      <c r="CD1323" s="5" t="s">
        <v>238</v>
      </c>
      <c r="CE1323" s="5" t="s">
        <v>238</v>
      </c>
      <c r="CI1323" s="5" t="s">
        <v>527</v>
      </c>
      <c r="CJ1323" s="5" t="s">
        <v>260</v>
      </c>
      <c r="CK1323" s="5" t="s">
        <v>272</v>
      </c>
      <c r="CM1323" s="5" t="s">
        <v>908</v>
      </c>
      <c r="CN1323" s="6" t="s">
        <v>262</v>
      </c>
      <c r="CO1323" s="5" t="s">
        <v>263</v>
      </c>
      <c r="CP1323" s="5" t="s">
        <v>264</v>
      </c>
      <c r="CQ1323" s="5" t="s">
        <v>238</v>
      </c>
      <c r="CR1323" s="5" t="s">
        <v>238</v>
      </c>
      <c r="CS1323" s="5">
        <v>0</v>
      </c>
      <c r="CT1323" s="5" t="s">
        <v>265</v>
      </c>
      <c r="CU1323" s="5" t="s">
        <v>1342</v>
      </c>
      <c r="CV1323" s="5" t="s">
        <v>267</v>
      </c>
      <c r="CW1323" s="7" t="s">
        <v>238</v>
      </c>
      <c r="CX1323" s="8">
        <f>1089650</f>
        <v>1089650</v>
      </c>
      <c r="CY1323" s="8">
        <f>0</f>
        <v>0</v>
      </c>
      <c r="CZ1323" s="8" t="s">
        <v>238</v>
      </c>
      <c r="DA1323" s="5" t="s">
        <v>238</v>
      </c>
      <c r="DB1323" s="5" t="s">
        <v>238</v>
      </c>
      <c r="DD1323" s="5" t="s">
        <v>238</v>
      </c>
      <c r="DE1323" s="8" t="s">
        <v>238</v>
      </c>
      <c r="DF1323" s="6" t="s">
        <v>238</v>
      </c>
      <c r="DG1323" s="5" t="s">
        <v>238</v>
      </c>
      <c r="DH1323" s="5" t="s">
        <v>238</v>
      </c>
      <c r="DI1323" s="5" t="s">
        <v>238</v>
      </c>
      <c r="DJ1323" s="5" t="s">
        <v>238</v>
      </c>
      <c r="DK1323" s="5" t="s">
        <v>271</v>
      </c>
      <c r="DL1323" s="5" t="s">
        <v>272</v>
      </c>
      <c r="DM1323" s="7">
        <f>11.47</f>
        <v>11.47</v>
      </c>
      <c r="DN1323" s="5" t="s">
        <v>238</v>
      </c>
      <c r="DO1323" s="5" t="s">
        <v>247</v>
      </c>
      <c r="DP1323" s="5" t="s">
        <v>3170</v>
      </c>
      <c r="DQ1323" s="5" t="s">
        <v>3170</v>
      </c>
      <c r="DR1323" s="5" t="s">
        <v>238</v>
      </c>
      <c r="DS1323" s="5" t="s">
        <v>238</v>
      </c>
      <c r="DT1323" s="5" t="s">
        <v>4304</v>
      </c>
      <c r="DU1323" s="5" t="s">
        <v>271</v>
      </c>
      <c r="HP1323" s="5" t="s">
        <v>272</v>
      </c>
      <c r="HQ1323" s="5" t="s">
        <v>272</v>
      </c>
    </row>
    <row r="1324" spans="1:238" x14ac:dyDescent="0.4">
      <c r="A1324" s="5">
        <v>1671</v>
      </c>
      <c r="B1324" s="5">
        <v>1</v>
      </c>
      <c r="C1324" s="5">
        <v>3</v>
      </c>
      <c r="D1324" s="5" t="s">
        <v>3862</v>
      </c>
      <c r="E1324" s="5" t="s">
        <v>1344</v>
      </c>
      <c r="F1324" s="5" t="s">
        <v>282</v>
      </c>
      <c r="G1324" s="5" t="s">
        <v>1807</v>
      </c>
      <c r="H1324" s="6" t="s">
        <v>3863</v>
      </c>
      <c r="I1324" s="5" t="s">
        <v>1809</v>
      </c>
      <c r="J1324" s="7">
        <f>441.43</f>
        <v>441.43</v>
      </c>
      <c r="K1324" s="5" t="s">
        <v>270</v>
      </c>
      <c r="L1324" s="8">
        <f>39922946</f>
        <v>39922946</v>
      </c>
      <c r="M1324" s="8">
        <f>142581890</f>
        <v>142581890</v>
      </c>
      <c r="N1324" s="6" t="s">
        <v>1128</v>
      </c>
      <c r="O1324" s="5" t="s">
        <v>755</v>
      </c>
      <c r="P1324" s="5" t="s">
        <v>286</v>
      </c>
      <c r="Q1324" s="8">
        <f>4277456</f>
        <v>4277456</v>
      </c>
      <c r="R1324" s="8">
        <f>102658944</f>
        <v>102658944</v>
      </c>
      <c r="S1324" s="5" t="s">
        <v>240</v>
      </c>
      <c r="T1324" s="5" t="s">
        <v>237</v>
      </c>
      <c r="W1324" s="5" t="s">
        <v>241</v>
      </c>
      <c r="X1324" s="5" t="s">
        <v>243</v>
      </c>
      <c r="Y1324" s="5" t="s">
        <v>238</v>
      </c>
      <c r="AB1324" s="5" t="s">
        <v>238</v>
      </c>
      <c r="AC1324" s="6" t="s">
        <v>238</v>
      </c>
      <c r="AD1324" s="6" t="s">
        <v>238</v>
      </c>
      <c r="AF1324" s="6" t="s">
        <v>238</v>
      </c>
      <c r="AG1324" s="6" t="s">
        <v>246</v>
      </c>
      <c r="AH1324" s="5" t="s">
        <v>247</v>
      </c>
      <c r="AI1324" s="5" t="s">
        <v>248</v>
      </c>
      <c r="AT1324" s="6" t="s">
        <v>238</v>
      </c>
      <c r="AW1324" s="5" t="s">
        <v>304</v>
      </c>
      <c r="AX1324" s="5" t="s">
        <v>304</v>
      </c>
      <c r="AY1324" s="5" t="s">
        <v>250</v>
      </c>
      <c r="AZ1324" s="5" t="s">
        <v>305</v>
      </c>
      <c r="BA1324" s="5" t="s">
        <v>251</v>
      </c>
      <c r="BB1324" s="5" t="s">
        <v>238</v>
      </c>
      <c r="BC1324" s="5" t="s">
        <v>253</v>
      </c>
      <c r="BD1324" s="5" t="s">
        <v>238</v>
      </c>
      <c r="BF1324" s="5" t="s">
        <v>710</v>
      </c>
      <c r="BH1324" s="5" t="s">
        <v>283</v>
      </c>
      <c r="BI1324" s="6" t="s">
        <v>293</v>
      </c>
      <c r="BJ1324" s="5" t="s">
        <v>294</v>
      </c>
      <c r="BK1324" s="5" t="s">
        <v>294</v>
      </c>
      <c r="BL1324" s="5" t="s">
        <v>238</v>
      </c>
      <c r="BM1324" s="7">
        <f>0</f>
        <v>0</v>
      </c>
      <c r="BN1324" s="8">
        <f>-4277456</f>
        <v>-4277456</v>
      </c>
      <c r="BO1324" s="5" t="s">
        <v>257</v>
      </c>
      <c r="BP1324" s="5" t="s">
        <v>258</v>
      </c>
      <c r="BQ1324" s="5" t="s">
        <v>238</v>
      </c>
      <c r="BR1324" s="5" t="s">
        <v>238</v>
      </c>
      <c r="BS1324" s="5" t="s">
        <v>238</v>
      </c>
      <c r="BT1324" s="5" t="s">
        <v>238</v>
      </c>
      <c r="CC1324" s="5" t="s">
        <v>258</v>
      </c>
      <c r="CD1324" s="5" t="s">
        <v>238</v>
      </c>
      <c r="CE1324" s="5" t="s">
        <v>238</v>
      </c>
      <c r="CI1324" s="5" t="s">
        <v>259</v>
      </c>
      <c r="CJ1324" s="5" t="s">
        <v>260</v>
      </c>
      <c r="CK1324" s="5" t="s">
        <v>238</v>
      </c>
      <c r="CM1324" s="5" t="s">
        <v>330</v>
      </c>
      <c r="CN1324" s="6" t="s">
        <v>262</v>
      </c>
      <c r="CO1324" s="5" t="s">
        <v>263</v>
      </c>
      <c r="CP1324" s="5" t="s">
        <v>264</v>
      </c>
      <c r="CQ1324" s="5" t="s">
        <v>285</v>
      </c>
      <c r="CR1324" s="5" t="s">
        <v>238</v>
      </c>
      <c r="CS1324" s="5">
        <v>0.03</v>
      </c>
      <c r="CT1324" s="5" t="s">
        <v>265</v>
      </c>
      <c r="CU1324" s="5" t="s">
        <v>1803</v>
      </c>
      <c r="CV1324" s="5" t="s">
        <v>649</v>
      </c>
      <c r="CW1324" s="7">
        <f>0</f>
        <v>0</v>
      </c>
      <c r="CX1324" s="8">
        <f>142581890</f>
        <v>142581890</v>
      </c>
      <c r="CY1324" s="8">
        <f>44200402</f>
        <v>44200402</v>
      </c>
      <c r="DA1324" s="5" t="s">
        <v>238</v>
      </c>
      <c r="DB1324" s="5" t="s">
        <v>238</v>
      </c>
      <c r="DD1324" s="5" t="s">
        <v>238</v>
      </c>
      <c r="DE1324" s="8">
        <f>0</f>
        <v>0</v>
      </c>
      <c r="DG1324" s="5" t="s">
        <v>238</v>
      </c>
      <c r="DH1324" s="5" t="s">
        <v>238</v>
      </c>
      <c r="DI1324" s="5" t="s">
        <v>238</v>
      </c>
      <c r="DJ1324" s="5" t="s">
        <v>238</v>
      </c>
      <c r="DK1324" s="5" t="s">
        <v>271</v>
      </c>
      <c r="DL1324" s="5" t="s">
        <v>272</v>
      </c>
      <c r="DM1324" s="7">
        <f>441.43</f>
        <v>441.43</v>
      </c>
      <c r="DN1324" s="5" t="s">
        <v>238</v>
      </c>
      <c r="DO1324" s="5" t="s">
        <v>238</v>
      </c>
      <c r="DP1324" s="5" t="s">
        <v>238</v>
      </c>
      <c r="DQ1324" s="5" t="s">
        <v>238</v>
      </c>
      <c r="DT1324" s="5" t="s">
        <v>3864</v>
      </c>
      <c r="DU1324" s="5" t="s">
        <v>271</v>
      </c>
      <c r="HM1324" s="5" t="s">
        <v>389</v>
      </c>
      <c r="HP1324" s="5" t="s">
        <v>272</v>
      </c>
      <c r="HQ1324" s="5" t="s">
        <v>272</v>
      </c>
      <c r="HR1324" s="5" t="s">
        <v>238</v>
      </c>
      <c r="HS1324" s="5" t="s">
        <v>238</v>
      </c>
      <c r="HT1324" s="5" t="s">
        <v>238</v>
      </c>
      <c r="HU1324" s="5" t="s">
        <v>238</v>
      </c>
      <c r="HV1324" s="5" t="s">
        <v>238</v>
      </c>
      <c r="HW1324" s="5" t="s">
        <v>238</v>
      </c>
      <c r="HX1324" s="5" t="s">
        <v>238</v>
      </c>
      <c r="HY1324" s="5" t="s">
        <v>238</v>
      </c>
      <c r="HZ1324" s="5" t="s">
        <v>238</v>
      </c>
      <c r="IA1324" s="5" t="s">
        <v>238</v>
      </c>
      <c r="IB1324" s="5" t="s">
        <v>238</v>
      </c>
      <c r="IC1324" s="5" t="s">
        <v>238</v>
      </c>
      <c r="ID1324" s="5" t="s">
        <v>238</v>
      </c>
    </row>
    <row r="1325" spans="1:238" x14ac:dyDescent="0.4">
      <c r="A1325" s="5">
        <v>1672</v>
      </c>
      <c r="B1325" s="5">
        <v>1</v>
      </c>
      <c r="C1325" s="5">
        <v>1</v>
      </c>
      <c r="D1325" s="5" t="s">
        <v>3862</v>
      </c>
      <c r="E1325" s="5" t="s">
        <v>1344</v>
      </c>
      <c r="F1325" s="5" t="s">
        <v>282</v>
      </c>
      <c r="G1325" s="5" t="s">
        <v>1309</v>
      </c>
      <c r="H1325" s="6" t="s">
        <v>3863</v>
      </c>
      <c r="I1325" s="5" t="s">
        <v>4305</v>
      </c>
      <c r="J1325" s="7">
        <f>9.94</f>
        <v>9.94</v>
      </c>
      <c r="K1325" s="5" t="s">
        <v>270</v>
      </c>
      <c r="L1325" s="8">
        <f>1</f>
        <v>1</v>
      </c>
      <c r="M1325" s="8">
        <f>1461180</f>
        <v>1461180</v>
      </c>
      <c r="N1325" s="6" t="s">
        <v>1128</v>
      </c>
      <c r="O1325" s="5" t="s">
        <v>268</v>
      </c>
      <c r="P1325" s="5" t="s">
        <v>631</v>
      </c>
      <c r="Q1325" s="8" t="s">
        <v>238</v>
      </c>
      <c r="R1325" s="8">
        <f>1461179</f>
        <v>1461179</v>
      </c>
      <c r="S1325" s="5" t="s">
        <v>240</v>
      </c>
      <c r="T1325" s="5" t="s">
        <v>237</v>
      </c>
      <c r="W1325" s="5" t="s">
        <v>241</v>
      </c>
      <c r="X1325" s="5" t="s">
        <v>243</v>
      </c>
      <c r="Y1325" s="5" t="s">
        <v>238</v>
      </c>
      <c r="AB1325" s="5" t="s">
        <v>238</v>
      </c>
      <c r="AC1325" s="6" t="s">
        <v>238</v>
      </c>
      <c r="AD1325" s="6" t="s">
        <v>238</v>
      </c>
      <c r="AE1325" s="5" t="s">
        <v>238</v>
      </c>
      <c r="AF1325" s="6" t="s">
        <v>238</v>
      </c>
      <c r="AG1325" s="6" t="s">
        <v>246</v>
      </c>
      <c r="AH1325" s="5" t="s">
        <v>247</v>
      </c>
      <c r="AI1325" s="5" t="s">
        <v>248</v>
      </c>
      <c r="AO1325" s="5" t="s">
        <v>238</v>
      </c>
      <c r="AP1325" s="5" t="s">
        <v>238</v>
      </c>
      <c r="AQ1325" s="5" t="s">
        <v>238</v>
      </c>
      <c r="AR1325" s="6" t="s">
        <v>238</v>
      </c>
      <c r="AS1325" s="6" t="s">
        <v>238</v>
      </c>
      <c r="AY1325" s="5" t="s">
        <v>250</v>
      </c>
      <c r="AZ1325" s="5" t="s">
        <v>281</v>
      </c>
      <c r="BA1325" s="5" t="s">
        <v>251</v>
      </c>
      <c r="BB1325" s="5" t="s">
        <v>3190</v>
      </c>
      <c r="BC1325" s="5" t="s">
        <v>253</v>
      </c>
      <c r="BD1325" s="5" t="s">
        <v>3170</v>
      </c>
      <c r="BF1325" s="5" t="s">
        <v>710</v>
      </c>
      <c r="BH1325" s="5" t="s">
        <v>859</v>
      </c>
      <c r="BI1325" s="6" t="s">
        <v>293</v>
      </c>
      <c r="BJ1325" s="5" t="s">
        <v>255</v>
      </c>
      <c r="BK1325" s="5" t="s">
        <v>256</v>
      </c>
      <c r="BL1325" s="5" t="s">
        <v>238</v>
      </c>
      <c r="BM1325" s="7">
        <f>0</f>
        <v>0</v>
      </c>
      <c r="BN1325" s="8">
        <f>0</f>
        <v>0</v>
      </c>
      <c r="BO1325" s="5" t="s">
        <v>257</v>
      </c>
      <c r="BP1325" s="5" t="s">
        <v>258</v>
      </c>
      <c r="BY1325" s="6" t="s">
        <v>238</v>
      </c>
      <c r="BZ1325" s="5" t="s">
        <v>238</v>
      </c>
      <c r="CA1325" s="5" t="s">
        <v>238</v>
      </c>
      <c r="CB1325" s="5" t="s">
        <v>238</v>
      </c>
      <c r="CD1325" s="5" t="s">
        <v>238</v>
      </c>
      <c r="CE1325" s="5" t="s">
        <v>238</v>
      </c>
      <c r="CI1325" s="5" t="s">
        <v>259</v>
      </c>
      <c r="CJ1325" s="5" t="s">
        <v>260</v>
      </c>
      <c r="CK1325" s="5" t="s">
        <v>272</v>
      </c>
      <c r="CM1325" s="5" t="s">
        <v>330</v>
      </c>
      <c r="CN1325" s="6" t="s">
        <v>262</v>
      </c>
      <c r="CO1325" s="5" t="s">
        <v>263</v>
      </c>
      <c r="CP1325" s="5" t="s">
        <v>264</v>
      </c>
      <c r="CQ1325" s="5" t="s">
        <v>238</v>
      </c>
      <c r="CR1325" s="5" t="s">
        <v>238</v>
      </c>
      <c r="CS1325" s="5">
        <v>0</v>
      </c>
      <c r="CT1325" s="5" t="s">
        <v>265</v>
      </c>
      <c r="CU1325" s="5" t="s">
        <v>1342</v>
      </c>
      <c r="CV1325" s="5" t="s">
        <v>267</v>
      </c>
      <c r="CW1325" s="7" t="s">
        <v>238</v>
      </c>
      <c r="CX1325" s="8">
        <f>1461180</f>
        <v>1461180</v>
      </c>
      <c r="CY1325" s="8">
        <f>0</f>
        <v>0</v>
      </c>
      <c r="CZ1325" s="8" t="s">
        <v>238</v>
      </c>
      <c r="DA1325" s="5" t="s">
        <v>238</v>
      </c>
      <c r="DB1325" s="5" t="s">
        <v>238</v>
      </c>
      <c r="DD1325" s="5" t="s">
        <v>238</v>
      </c>
      <c r="DE1325" s="8" t="s">
        <v>238</v>
      </c>
      <c r="DF1325" s="6" t="s">
        <v>238</v>
      </c>
      <c r="DG1325" s="5" t="s">
        <v>238</v>
      </c>
      <c r="DH1325" s="5" t="s">
        <v>238</v>
      </c>
      <c r="DI1325" s="5" t="s">
        <v>238</v>
      </c>
      <c r="DJ1325" s="5" t="s">
        <v>238</v>
      </c>
      <c r="DK1325" s="5" t="s">
        <v>271</v>
      </c>
      <c r="DL1325" s="5" t="s">
        <v>272</v>
      </c>
      <c r="DM1325" s="7">
        <f>9.94</f>
        <v>9.94</v>
      </c>
      <c r="DN1325" s="5" t="s">
        <v>238</v>
      </c>
      <c r="DO1325" s="5" t="s">
        <v>247</v>
      </c>
      <c r="DP1325" s="5" t="s">
        <v>3170</v>
      </c>
      <c r="DQ1325" s="5" t="s">
        <v>3170</v>
      </c>
      <c r="DR1325" s="5" t="s">
        <v>238</v>
      </c>
      <c r="DS1325" s="5" t="s">
        <v>238</v>
      </c>
      <c r="DT1325" s="5" t="s">
        <v>3864</v>
      </c>
      <c r="DU1325" s="5" t="s">
        <v>274</v>
      </c>
      <c r="HP1325" s="5" t="s">
        <v>272</v>
      </c>
      <c r="HQ1325" s="5" t="s">
        <v>272</v>
      </c>
    </row>
    <row r="1326" spans="1:238" x14ac:dyDescent="0.4">
      <c r="A1326" s="5">
        <v>1673</v>
      </c>
      <c r="B1326" s="5">
        <v>1</v>
      </c>
      <c r="C1326" s="5">
        <v>1</v>
      </c>
      <c r="D1326" s="5" t="s">
        <v>3862</v>
      </c>
      <c r="E1326" s="5" t="s">
        <v>1344</v>
      </c>
      <c r="F1326" s="5" t="s">
        <v>282</v>
      </c>
      <c r="G1326" s="5" t="s">
        <v>239</v>
      </c>
      <c r="H1326" s="6" t="s">
        <v>3863</v>
      </c>
      <c r="I1326" s="5" t="s">
        <v>4263</v>
      </c>
      <c r="J1326" s="7">
        <f>6.55</f>
        <v>6.55</v>
      </c>
      <c r="K1326" s="5" t="s">
        <v>270</v>
      </c>
      <c r="L1326" s="8">
        <f>1</f>
        <v>1</v>
      </c>
      <c r="M1326" s="8">
        <f>596050</f>
        <v>596050</v>
      </c>
      <c r="N1326" s="6" t="s">
        <v>1128</v>
      </c>
      <c r="O1326" s="5" t="s">
        <v>268</v>
      </c>
      <c r="P1326" s="5" t="s">
        <v>631</v>
      </c>
      <c r="Q1326" s="8" t="s">
        <v>238</v>
      </c>
      <c r="R1326" s="8">
        <f>596049</f>
        <v>596049</v>
      </c>
      <c r="S1326" s="5" t="s">
        <v>240</v>
      </c>
      <c r="T1326" s="5" t="s">
        <v>237</v>
      </c>
      <c r="W1326" s="5" t="s">
        <v>241</v>
      </c>
      <c r="X1326" s="5" t="s">
        <v>243</v>
      </c>
      <c r="Y1326" s="5" t="s">
        <v>238</v>
      </c>
      <c r="AB1326" s="5" t="s">
        <v>238</v>
      </c>
      <c r="AC1326" s="6" t="s">
        <v>238</v>
      </c>
      <c r="AD1326" s="6" t="s">
        <v>238</v>
      </c>
      <c r="AE1326" s="5" t="s">
        <v>238</v>
      </c>
      <c r="AF1326" s="6" t="s">
        <v>238</v>
      </c>
      <c r="AG1326" s="6" t="s">
        <v>246</v>
      </c>
      <c r="AH1326" s="5" t="s">
        <v>247</v>
      </c>
      <c r="AI1326" s="5" t="s">
        <v>248</v>
      </c>
      <c r="AO1326" s="5" t="s">
        <v>238</v>
      </c>
      <c r="AP1326" s="5" t="s">
        <v>238</v>
      </c>
      <c r="AQ1326" s="5" t="s">
        <v>238</v>
      </c>
      <c r="AR1326" s="6" t="s">
        <v>238</v>
      </c>
      <c r="AS1326" s="6" t="s">
        <v>238</v>
      </c>
      <c r="AY1326" s="5" t="s">
        <v>250</v>
      </c>
      <c r="AZ1326" s="5" t="s">
        <v>281</v>
      </c>
      <c r="BA1326" s="5" t="s">
        <v>251</v>
      </c>
      <c r="BB1326" s="5" t="s">
        <v>3190</v>
      </c>
      <c r="BC1326" s="5" t="s">
        <v>253</v>
      </c>
      <c r="BD1326" s="5" t="s">
        <v>3170</v>
      </c>
      <c r="BF1326" s="5" t="s">
        <v>710</v>
      </c>
      <c r="BH1326" s="5" t="s">
        <v>697</v>
      </c>
      <c r="BI1326" s="6" t="s">
        <v>293</v>
      </c>
      <c r="BJ1326" s="5" t="s">
        <v>255</v>
      </c>
      <c r="BK1326" s="5" t="s">
        <v>256</v>
      </c>
      <c r="BL1326" s="5" t="s">
        <v>238</v>
      </c>
      <c r="BM1326" s="7">
        <f>0</f>
        <v>0</v>
      </c>
      <c r="BN1326" s="8">
        <f>0</f>
        <v>0</v>
      </c>
      <c r="BO1326" s="5" t="s">
        <v>257</v>
      </c>
      <c r="BP1326" s="5" t="s">
        <v>258</v>
      </c>
      <c r="BY1326" s="6" t="s">
        <v>238</v>
      </c>
      <c r="BZ1326" s="5" t="s">
        <v>238</v>
      </c>
      <c r="CA1326" s="5" t="s">
        <v>238</v>
      </c>
      <c r="CB1326" s="5" t="s">
        <v>238</v>
      </c>
      <c r="CD1326" s="5" t="s">
        <v>238</v>
      </c>
      <c r="CE1326" s="5" t="s">
        <v>238</v>
      </c>
      <c r="CI1326" s="5" t="s">
        <v>259</v>
      </c>
      <c r="CJ1326" s="5" t="s">
        <v>260</v>
      </c>
      <c r="CK1326" s="5" t="s">
        <v>272</v>
      </c>
      <c r="CM1326" s="5" t="s">
        <v>330</v>
      </c>
      <c r="CN1326" s="6" t="s">
        <v>262</v>
      </c>
      <c r="CO1326" s="5" t="s">
        <v>263</v>
      </c>
      <c r="CP1326" s="5" t="s">
        <v>264</v>
      </c>
      <c r="CQ1326" s="5" t="s">
        <v>238</v>
      </c>
      <c r="CR1326" s="5" t="s">
        <v>238</v>
      </c>
      <c r="CS1326" s="5">
        <v>0</v>
      </c>
      <c r="CT1326" s="5" t="s">
        <v>265</v>
      </c>
      <c r="CU1326" s="5" t="s">
        <v>266</v>
      </c>
      <c r="CV1326" s="5" t="s">
        <v>267</v>
      </c>
      <c r="CW1326" s="7" t="s">
        <v>238</v>
      </c>
      <c r="CX1326" s="8">
        <f>596050</f>
        <v>596050</v>
      </c>
      <c r="CY1326" s="8">
        <f>0</f>
        <v>0</v>
      </c>
      <c r="CZ1326" s="8" t="s">
        <v>238</v>
      </c>
      <c r="DA1326" s="5" t="s">
        <v>238</v>
      </c>
      <c r="DB1326" s="5" t="s">
        <v>238</v>
      </c>
      <c r="DD1326" s="5" t="s">
        <v>238</v>
      </c>
      <c r="DE1326" s="8" t="s">
        <v>238</v>
      </c>
      <c r="DF1326" s="6" t="s">
        <v>238</v>
      </c>
      <c r="DG1326" s="5" t="s">
        <v>238</v>
      </c>
      <c r="DH1326" s="5" t="s">
        <v>238</v>
      </c>
      <c r="DI1326" s="5" t="s">
        <v>238</v>
      </c>
      <c r="DJ1326" s="5" t="s">
        <v>238</v>
      </c>
      <c r="DK1326" s="5" t="s">
        <v>271</v>
      </c>
      <c r="DL1326" s="5" t="s">
        <v>272</v>
      </c>
      <c r="DM1326" s="7">
        <f>6.55</f>
        <v>6.55</v>
      </c>
      <c r="DN1326" s="5" t="s">
        <v>238</v>
      </c>
      <c r="DO1326" s="5" t="s">
        <v>247</v>
      </c>
      <c r="DP1326" s="5" t="s">
        <v>3170</v>
      </c>
      <c r="DQ1326" s="5" t="s">
        <v>3170</v>
      </c>
      <c r="DR1326" s="5" t="s">
        <v>238</v>
      </c>
      <c r="DS1326" s="5" t="s">
        <v>238</v>
      </c>
      <c r="DT1326" s="5" t="s">
        <v>3864</v>
      </c>
      <c r="DU1326" s="5" t="s">
        <v>356</v>
      </c>
      <c r="HP1326" s="5" t="s">
        <v>272</v>
      </c>
      <c r="HQ1326" s="5" t="s">
        <v>272</v>
      </c>
    </row>
    <row r="1327" spans="1:238" x14ac:dyDescent="0.4">
      <c r="A1327" s="5">
        <v>1674</v>
      </c>
      <c r="B1327" s="5">
        <v>1</v>
      </c>
      <c r="C1327" s="5">
        <v>3</v>
      </c>
      <c r="D1327" s="5" t="s">
        <v>3862</v>
      </c>
      <c r="E1327" s="5" t="s">
        <v>1344</v>
      </c>
      <c r="F1327" s="5" t="s">
        <v>282</v>
      </c>
      <c r="G1327" s="5" t="s">
        <v>349</v>
      </c>
      <c r="H1327" s="6" t="s">
        <v>3863</v>
      </c>
      <c r="I1327" s="5" t="s">
        <v>3239</v>
      </c>
      <c r="J1327" s="7">
        <f>449.84</f>
        <v>449.84</v>
      </c>
      <c r="K1327" s="5" t="s">
        <v>270</v>
      </c>
      <c r="L1327" s="8">
        <f>17828556</f>
        <v>17828556</v>
      </c>
      <c r="M1327" s="8">
        <f>20259720</f>
        <v>20259720</v>
      </c>
      <c r="N1327" s="6" t="s">
        <v>799</v>
      </c>
      <c r="O1327" s="5" t="s">
        <v>755</v>
      </c>
      <c r="P1327" s="5" t="s">
        <v>274</v>
      </c>
      <c r="Q1327" s="8">
        <f>607791</f>
        <v>607791</v>
      </c>
      <c r="R1327" s="8">
        <f>2431164</f>
        <v>2431164</v>
      </c>
      <c r="S1327" s="5" t="s">
        <v>240</v>
      </c>
      <c r="T1327" s="5" t="s">
        <v>287</v>
      </c>
      <c r="W1327" s="5" t="s">
        <v>241</v>
      </c>
      <c r="X1327" s="5" t="s">
        <v>238</v>
      </c>
      <c r="Y1327" s="5" t="s">
        <v>238</v>
      </c>
      <c r="AB1327" s="5" t="s">
        <v>238</v>
      </c>
      <c r="AC1327" s="6" t="s">
        <v>238</v>
      </c>
      <c r="AD1327" s="6" t="s">
        <v>238</v>
      </c>
      <c r="AF1327" s="6" t="s">
        <v>238</v>
      </c>
      <c r="AG1327" s="6" t="s">
        <v>246</v>
      </c>
      <c r="AH1327" s="5" t="s">
        <v>247</v>
      </c>
      <c r="AI1327" s="5" t="s">
        <v>248</v>
      </c>
      <c r="AT1327" s="6" t="s">
        <v>238</v>
      </c>
      <c r="AW1327" s="5" t="s">
        <v>304</v>
      </c>
      <c r="AX1327" s="5" t="s">
        <v>304</v>
      </c>
      <c r="AY1327" s="5" t="s">
        <v>250</v>
      </c>
      <c r="AZ1327" s="5" t="s">
        <v>305</v>
      </c>
      <c r="BA1327" s="5" t="s">
        <v>251</v>
      </c>
      <c r="BB1327" s="5" t="s">
        <v>238</v>
      </c>
      <c r="BC1327" s="5" t="s">
        <v>253</v>
      </c>
      <c r="BD1327" s="5" t="s">
        <v>238</v>
      </c>
      <c r="BF1327" s="5" t="s">
        <v>238</v>
      </c>
      <c r="BH1327" s="5" t="s">
        <v>283</v>
      </c>
      <c r="BI1327" s="6" t="s">
        <v>293</v>
      </c>
      <c r="BJ1327" s="5" t="s">
        <v>294</v>
      </c>
      <c r="BK1327" s="5" t="s">
        <v>294</v>
      </c>
      <c r="BL1327" s="5" t="s">
        <v>238</v>
      </c>
      <c r="BM1327" s="7">
        <f>0</f>
        <v>0</v>
      </c>
      <c r="BN1327" s="8">
        <f>-607791</f>
        <v>-607791</v>
      </c>
      <c r="BO1327" s="5" t="s">
        <v>257</v>
      </c>
      <c r="BP1327" s="5" t="s">
        <v>258</v>
      </c>
      <c r="BQ1327" s="5" t="s">
        <v>238</v>
      </c>
      <c r="BR1327" s="5" t="s">
        <v>238</v>
      </c>
      <c r="BS1327" s="5" t="s">
        <v>238</v>
      </c>
      <c r="BT1327" s="5" t="s">
        <v>238</v>
      </c>
      <c r="CC1327" s="5" t="s">
        <v>258</v>
      </c>
      <c r="CD1327" s="5" t="s">
        <v>238</v>
      </c>
      <c r="CE1327" s="5" t="s">
        <v>238</v>
      </c>
      <c r="CI1327" s="5" t="s">
        <v>259</v>
      </c>
      <c r="CJ1327" s="5" t="s">
        <v>260</v>
      </c>
      <c r="CK1327" s="5" t="s">
        <v>238</v>
      </c>
      <c r="CM1327" s="5" t="s">
        <v>402</v>
      </c>
      <c r="CN1327" s="6" t="s">
        <v>262</v>
      </c>
      <c r="CO1327" s="5" t="s">
        <v>263</v>
      </c>
      <c r="CP1327" s="5" t="s">
        <v>264</v>
      </c>
      <c r="CQ1327" s="5" t="s">
        <v>285</v>
      </c>
      <c r="CR1327" s="5" t="s">
        <v>238</v>
      </c>
      <c r="CS1327" s="5">
        <v>0.03</v>
      </c>
      <c r="CT1327" s="5" t="s">
        <v>265</v>
      </c>
      <c r="CU1327" s="5" t="s">
        <v>1803</v>
      </c>
      <c r="CV1327" s="5" t="s">
        <v>649</v>
      </c>
      <c r="CW1327" s="7">
        <f>0</f>
        <v>0</v>
      </c>
      <c r="CX1327" s="8">
        <f>20259720</f>
        <v>20259720</v>
      </c>
      <c r="CY1327" s="8">
        <f>18436347</f>
        <v>18436347</v>
      </c>
      <c r="DA1327" s="5" t="s">
        <v>238</v>
      </c>
      <c r="DB1327" s="5" t="s">
        <v>238</v>
      </c>
      <c r="DD1327" s="5" t="s">
        <v>238</v>
      </c>
      <c r="DE1327" s="8">
        <f>0</f>
        <v>0</v>
      </c>
      <c r="DG1327" s="5" t="s">
        <v>238</v>
      </c>
      <c r="DH1327" s="5" t="s">
        <v>238</v>
      </c>
      <c r="DI1327" s="5" t="s">
        <v>238</v>
      </c>
      <c r="DJ1327" s="5" t="s">
        <v>238</v>
      </c>
      <c r="DK1327" s="5" t="s">
        <v>272</v>
      </c>
      <c r="DL1327" s="5" t="s">
        <v>272</v>
      </c>
      <c r="DM1327" s="7">
        <f>449.84</f>
        <v>449.84</v>
      </c>
      <c r="DN1327" s="5" t="s">
        <v>238</v>
      </c>
      <c r="DO1327" s="5" t="s">
        <v>238</v>
      </c>
      <c r="DP1327" s="5" t="s">
        <v>238</v>
      </c>
      <c r="DQ1327" s="5" t="s">
        <v>238</v>
      </c>
      <c r="DT1327" s="5" t="s">
        <v>3864</v>
      </c>
      <c r="DU1327" s="5" t="s">
        <v>310</v>
      </c>
      <c r="HM1327" s="5" t="s">
        <v>379</v>
      </c>
      <c r="HP1327" s="5" t="s">
        <v>272</v>
      </c>
      <c r="HQ1327" s="5" t="s">
        <v>272</v>
      </c>
      <c r="HR1327" s="5" t="s">
        <v>238</v>
      </c>
      <c r="HS1327" s="5" t="s">
        <v>238</v>
      </c>
      <c r="HT1327" s="5" t="s">
        <v>238</v>
      </c>
      <c r="HU1327" s="5" t="s">
        <v>238</v>
      </c>
      <c r="HV1327" s="5" t="s">
        <v>238</v>
      </c>
      <c r="HW1327" s="5" t="s">
        <v>238</v>
      </c>
      <c r="HX1327" s="5" t="s">
        <v>238</v>
      </c>
      <c r="HY1327" s="5" t="s">
        <v>238</v>
      </c>
      <c r="HZ1327" s="5" t="s">
        <v>238</v>
      </c>
      <c r="IA1327" s="5" t="s">
        <v>238</v>
      </c>
      <c r="IB1327" s="5" t="s">
        <v>238</v>
      </c>
      <c r="IC1327" s="5" t="s">
        <v>238</v>
      </c>
      <c r="ID1327" s="5" t="s">
        <v>238</v>
      </c>
    </row>
    <row r="1328" spans="1:238" x14ac:dyDescent="0.4">
      <c r="A1328" s="5">
        <v>1675</v>
      </c>
      <c r="B1328" s="5">
        <v>1</v>
      </c>
      <c r="C1328" s="5">
        <v>8</v>
      </c>
      <c r="D1328" s="5" t="s">
        <v>2208</v>
      </c>
      <c r="E1328" s="5" t="s">
        <v>852</v>
      </c>
      <c r="F1328" s="5" t="s">
        <v>282</v>
      </c>
      <c r="G1328" s="5" t="s">
        <v>1341</v>
      </c>
      <c r="H1328" s="6" t="s">
        <v>2209</v>
      </c>
      <c r="I1328" s="5" t="s">
        <v>1309</v>
      </c>
      <c r="J1328" s="7">
        <f>40.43</f>
        <v>40.43</v>
      </c>
      <c r="K1328" s="5" t="s">
        <v>270</v>
      </c>
      <c r="L1328" s="8">
        <f>4722874</f>
        <v>4722874</v>
      </c>
      <c r="M1328" s="8">
        <f>15848560</f>
        <v>15848560</v>
      </c>
      <c r="N1328" s="6" t="s">
        <v>638</v>
      </c>
      <c r="O1328" s="5" t="s">
        <v>639</v>
      </c>
      <c r="P1328" s="5" t="s">
        <v>651</v>
      </c>
      <c r="Q1328" s="8">
        <f>427911</f>
        <v>427911</v>
      </c>
      <c r="R1328" s="8">
        <f>11125686</f>
        <v>11125686</v>
      </c>
      <c r="S1328" s="5" t="s">
        <v>240</v>
      </c>
      <c r="T1328" s="5" t="s">
        <v>237</v>
      </c>
      <c r="U1328" s="5" t="s">
        <v>238</v>
      </c>
      <c r="V1328" s="5" t="s">
        <v>238</v>
      </c>
      <c r="W1328" s="5" t="s">
        <v>241</v>
      </c>
      <c r="X1328" s="5" t="s">
        <v>243</v>
      </c>
      <c r="Y1328" s="5" t="s">
        <v>238</v>
      </c>
      <c r="AB1328" s="5" t="s">
        <v>238</v>
      </c>
      <c r="AC1328" s="6" t="s">
        <v>238</v>
      </c>
      <c r="AD1328" s="6" t="s">
        <v>238</v>
      </c>
      <c r="AF1328" s="6" t="s">
        <v>238</v>
      </c>
      <c r="AG1328" s="6" t="s">
        <v>246</v>
      </c>
      <c r="AH1328" s="5" t="s">
        <v>247</v>
      </c>
      <c r="AI1328" s="5" t="s">
        <v>248</v>
      </c>
      <c r="AO1328" s="5" t="s">
        <v>238</v>
      </c>
      <c r="AP1328" s="5" t="s">
        <v>238</v>
      </c>
      <c r="AQ1328" s="5" t="s">
        <v>238</v>
      </c>
      <c r="AR1328" s="6" t="s">
        <v>238</v>
      </c>
      <c r="AS1328" s="6" t="s">
        <v>238</v>
      </c>
      <c r="AT1328" s="6" t="s">
        <v>238</v>
      </c>
      <c r="AW1328" s="5" t="s">
        <v>304</v>
      </c>
      <c r="AX1328" s="5" t="s">
        <v>304</v>
      </c>
      <c r="AY1328" s="5" t="s">
        <v>250</v>
      </c>
      <c r="AZ1328" s="5" t="s">
        <v>305</v>
      </c>
      <c r="BA1328" s="5" t="s">
        <v>251</v>
      </c>
      <c r="BB1328" s="5" t="s">
        <v>238</v>
      </c>
      <c r="BC1328" s="5" t="s">
        <v>253</v>
      </c>
      <c r="BD1328" s="5" t="s">
        <v>238</v>
      </c>
      <c r="BF1328" s="5" t="s">
        <v>710</v>
      </c>
      <c r="BH1328" s="5" t="s">
        <v>283</v>
      </c>
      <c r="BI1328" s="6" t="s">
        <v>293</v>
      </c>
      <c r="BJ1328" s="5" t="s">
        <v>294</v>
      </c>
      <c r="BK1328" s="5" t="s">
        <v>294</v>
      </c>
      <c r="BL1328" s="5" t="s">
        <v>238</v>
      </c>
      <c r="BM1328" s="7">
        <f>0</f>
        <v>0</v>
      </c>
      <c r="BN1328" s="8">
        <f>-427911</f>
        <v>-427911</v>
      </c>
      <c r="BO1328" s="5" t="s">
        <v>257</v>
      </c>
      <c r="BP1328" s="5" t="s">
        <v>258</v>
      </c>
      <c r="BQ1328" s="5" t="s">
        <v>238</v>
      </c>
      <c r="BR1328" s="5" t="s">
        <v>238</v>
      </c>
      <c r="BS1328" s="5" t="s">
        <v>238</v>
      </c>
      <c r="BT1328" s="5" t="s">
        <v>238</v>
      </c>
      <c r="CC1328" s="5" t="s">
        <v>258</v>
      </c>
      <c r="CD1328" s="5" t="s">
        <v>238</v>
      </c>
      <c r="CE1328" s="5" t="s">
        <v>238</v>
      </c>
      <c r="CI1328" s="5" t="s">
        <v>259</v>
      </c>
      <c r="CJ1328" s="5" t="s">
        <v>260</v>
      </c>
      <c r="CK1328" s="5" t="s">
        <v>238</v>
      </c>
      <c r="CM1328" s="5" t="s">
        <v>648</v>
      </c>
      <c r="CN1328" s="6" t="s">
        <v>262</v>
      </c>
      <c r="CO1328" s="5" t="s">
        <v>263</v>
      </c>
      <c r="CP1328" s="5" t="s">
        <v>264</v>
      </c>
      <c r="CQ1328" s="5" t="s">
        <v>285</v>
      </c>
      <c r="CR1328" s="5" t="s">
        <v>238</v>
      </c>
      <c r="CS1328" s="5">
        <v>2.7E-2</v>
      </c>
      <c r="CT1328" s="5" t="s">
        <v>265</v>
      </c>
      <c r="CU1328" s="5" t="s">
        <v>1342</v>
      </c>
      <c r="CV1328" s="5" t="s">
        <v>308</v>
      </c>
      <c r="CW1328" s="7">
        <f>0</f>
        <v>0</v>
      </c>
      <c r="CX1328" s="8">
        <f>15848560</f>
        <v>15848560</v>
      </c>
      <c r="CY1328" s="8">
        <f>5150785</f>
        <v>5150785</v>
      </c>
      <c r="DA1328" s="5" t="s">
        <v>238</v>
      </c>
      <c r="DB1328" s="5" t="s">
        <v>238</v>
      </c>
      <c r="DD1328" s="5" t="s">
        <v>238</v>
      </c>
      <c r="DE1328" s="8">
        <f>0</f>
        <v>0</v>
      </c>
      <c r="DG1328" s="5" t="s">
        <v>238</v>
      </c>
      <c r="DH1328" s="5" t="s">
        <v>238</v>
      </c>
      <c r="DI1328" s="5" t="s">
        <v>238</v>
      </c>
      <c r="DJ1328" s="5" t="s">
        <v>238</v>
      </c>
      <c r="DK1328" s="5" t="s">
        <v>271</v>
      </c>
      <c r="DL1328" s="5" t="s">
        <v>272</v>
      </c>
      <c r="DM1328" s="7">
        <f>40.43</f>
        <v>40.43</v>
      </c>
      <c r="DN1328" s="5" t="s">
        <v>238</v>
      </c>
      <c r="DO1328" s="5" t="s">
        <v>238</v>
      </c>
      <c r="DP1328" s="5" t="s">
        <v>238</v>
      </c>
      <c r="DQ1328" s="5" t="s">
        <v>238</v>
      </c>
      <c r="DT1328" s="5" t="s">
        <v>2210</v>
      </c>
      <c r="DU1328" s="5" t="s">
        <v>271</v>
      </c>
      <c r="GL1328" s="5" t="s">
        <v>2211</v>
      </c>
      <c r="HM1328" s="5" t="s">
        <v>313</v>
      </c>
      <c r="HP1328" s="5" t="s">
        <v>272</v>
      </c>
      <c r="HQ1328" s="5" t="s">
        <v>272</v>
      </c>
      <c r="HR1328" s="5" t="s">
        <v>238</v>
      </c>
      <c r="HS1328" s="5" t="s">
        <v>238</v>
      </c>
      <c r="HT1328" s="5" t="s">
        <v>238</v>
      </c>
      <c r="HU1328" s="5" t="s">
        <v>238</v>
      </c>
      <c r="HV1328" s="5" t="s">
        <v>238</v>
      </c>
      <c r="HW1328" s="5" t="s">
        <v>238</v>
      </c>
      <c r="HX1328" s="5" t="s">
        <v>238</v>
      </c>
      <c r="HY1328" s="5" t="s">
        <v>238</v>
      </c>
      <c r="HZ1328" s="5" t="s">
        <v>238</v>
      </c>
      <c r="IA1328" s="5" t="s">
        <v>238</v>
      </c>
      <c r="IB1328" s="5" t="s">
        <v>238</v>
      </c>
      <c r="IC1328" s="5" t="s">
        <v>238</v>
      </c>
      <c r="ID1328" s="5" t="s">
        <v>238</v>
      </c>
    </row>
    <row r="1329" spans="1:238" x14ac:dyDescent="0.4">
      <c r="A1329" s="5">
        <v>1676</v>
      </c>
      <c r="B1329" s="5">
        <v>1</v>
      </c>
      <c r="C1329" s="5">
        <v>1</v>
      </c>
      <c r="D1329" s="5" t="s">
        <v>2188</v>
      </c>
      <c r="E1329" s="5" t="s">
        <v>852</v>
      </c>
      <c r="F1329" s="5" t="s">
        <v>282</v>
      </c>
      <c r="G1329" s="5" t="s">
        <v>1309</v>
      </c>
      <c r="H1329" s="6" t="s">
        <v>2190</v>
      </c>
      <c r="I1329" s="5" t="s">
        <v>1309</v>
      </c>
      <c r="J1329" s="7">
        <f>11.11</f>
        <v>11.11</v>
      </c>
      <c r="K1329" s="5" t="s">
        <v>270</v>
      </c>
      <c r="L1329" s="8">
        <f>1</f>
        <v>1</v>
      </c>
      <c r="M1329" s="8">
        <f>1111000</f>
        <v>1111000</v>
      </c>
      <c r="N1329" s="6" t="s">
        <v>2189</v>
      </c>
      <c r="O1329" s="5" t="s">
        <v>755</v>
      </c>
      <c r="P1329" s="5" t="s">
        <v>1017</v>
      </c>
      <c r="R1329" s="8">
        <f>1110999</f>
        <v>1110999</v>
      </c>
      <c r="S1329" s="5" t="s">
        <v>240</v>
      </c>
      <c r="T1329" s="5" t="s">
        <v>237</v>
      </c>
      <c r="U1329" s="5" t="s">
        <v>238</v>
      </c>
      <c r="V1329" s="5" t="s">
        <v>238</v>
      </c>
      <c r="W1329" s="5" t="s">
        <v>241</v>
      </c>
      <c r="X1329" s="5" t="s">
        <v>243</v>
      </c>
      <c r="Y1329" s="5" t="s">
        <v>238</v>
      </c>
      <c r="AB1329" s="5" t="s">
        <v>238</v>
      </c>
      <c r="AD1329" s="6" t="s">
        <v>238</v>
      </c>
      <c r="AG1329" s="6" t="s">
        <v>246</v>
      </c>
      <c r="AH1329" s="5" t="s">
        <v>247</v>
      </c>
      <c r="AI1329" s="5" t="s">
        <v>248</v>
      </c>
      <c r="AY1329" s="5" t="s">
        <v>250</v>
      </c>
      <c r="AZ1329" s="5" t="s">
        <v>238</v>
      </c>
      <c r="BA1329" s="5" t="s">
        <v>251</v>
      </c>
      <c r="BB1329" s="5" t="s">
        <v>238</v>
      </c>
      <c r="BC1329" s="5" t="s">
        <v>253</v>
      </c>
      <c r="BD1329" s="5" t="s">
        <v>238</v>
      </c>
      <c r="BF1329" s="5" t="s">
        <v>710</v>
      </c>
      <c r="BH1329" s="5" t="s">
        <v>859</v>
      </c>
      <c r="BI1329" s="6" t="s">
        <v>368</v>
      </c>
      <c r="BJ1329" s="5" t="s">
        <v>255</v>
      </c>
      <c r="BK1329" s="5" t="s">
        <v>256</v>
      </c>
      <c r="BL1329" s="5" t="s">
        <v>238</v>
      </c>
      <c r="BM1329" s="7">
        <f>0</f>
        <v>0</v>
      </c>
      <c r="BN1329" s="8">
        <f>0</f>
        <v>0</v>
      </c>
      <c r="BO1329" s="5" t="s">
        <v>257</v>
      </c>
      <c r="BP1329" s="5" t="s">
        <v>258</v>
      </c>
      <c r="CD1329" s="5" t="s">
        <v>238</v>
      </c>
      <c r="CE1329" s="5" t="s">
        <v>238</v>
      </c>
      <c r="CI1329" s="5" t="s">
        <v>527</v>
      </c>
      <c r="CJ1329" s="5" t="s">
        <v>260</v>
      </c>
      <c r="CK1329" s="5" t="s">
        <v>238</v>
      </c>
      <c r="CM1329" s="5" t="s">
        <v>1016</v>
      </c>
      <c r="CN1329" s="6" t="s">
        <v>262</v>
      </c>
      <c r="CO1329" s="5" t="s">
        <v>263</v>
      </c>
      <c r="CP1329" s="5" t="s">
        <v>264</v>
      </c>
      <c r="CQ1329" s="5" t="s">
        <v>238</v>
      </c>
      <c r="CR1329" s="5" t="s">
        <v>238</v>
      </c>
      <c r="CS1329" s="5">
        <v>0</v>
      </c>
      <c r="CT1329" s="5" t="s">
        <v>265</v>
      </c>
      <c r="CU1329" s="5" t="s">
        <v>1342</v>
      </c>
      <c r="CV1329" s="5" t="s">
        <v>754</v>
      </c>
      <c r="CX1329" s="8">
        <f>1111000</f>
        <v>1111000</v>
      </c>
      <c r="CY1329" s="8">
        <f>0</f>
        <v>0</v>
      </c>
      <c r="DA1329" s="5" t="s">
        <v>238</v>
      </c>
      <c r="DB1329" s="5" t="s">
        <v>238</v>
      </c>
      <c r="DD1329" s="5" t="s">
        <v>238</v>
      </c>
      <c r="DG1329" s="5" t="s">
        <v>238</v>
      </c>
      <c r="DH1329" s="5" t="s">
        <v>238</v>
      </c>
      <c r="DI1329" s="5" t="s">
        <v>238</v>
      </c>
      <c r="DJ1329" s="5" t="s">
        <v>238</v>
      </c>
      <c r="DK1329" s="5" t="s">
        <v>271</v>
      </c>
      <c r="DL1329" s="5" t="s">
        <v>272</v>
      </c>
      <c r="DM1329" s="7">
        <f>11.11</f>
        <v>11.11</v>
      </c>
      <c r="DN1329" s="5" t="s">
        <v>238</v>
      </c>
      <c r="DO1329" s="5" t="s">
        <v>238</v>
      </c>
      <c r="DP1329" s="5" t="s">
        <v>238</v>
      </c>
      <c r="DQ1329" s="5" t="s">
        <v>238</v>
      </c>
      <c r="DT1329" s="5" t="s">
        <v>2191</v>
      </c>
      <c r="DU1329" s="5" t="s">
        <v>271</v>
      </c>
      <c r="HM1329" s="5" t="s">
        <v>271</v>
      </c>
      <c r="HP1329" s="5" t="s">
        <v>272</v>
      </c>
      <c r="HQ1329" s="5" t="s">
        <v>272</v>
      </c>
    </row>
    <row r="1330" spans="1:238" x14ac:dyDescent="0.4">
      <c r="A1330" s="5">
        <v>1677</v>
      </c>
      <c r="B1330" s="5">
        <v>1</v>
      </c>
      <c r="C1330" s="5">
        <v>1</v>
      </c>
      <c r="D1330" s="5" t="s">
        <v>2192</v>
      </c>
      <c r="E1330" s="5" t="s">
        <v>852</v>
      </c>
      <c r="F1330" s="5" t="s">
        <v>282</v>
      </c>
      <c r="G1330" s="5" t="s">
        <v>1309</v>
      </c>
      <c r="H1330" s="6" t="s">
        <v>2193</v>
      </c>
      <c r="I1330" s="5" t="s">
        <v>1309</v>
      </c>
      <c r="J1330" s="7">
        <f>5.4</f>
        <v>5.4</v>
      </c>
      <c r="K1330" s="5" t="s">
        <v>270</v>
      </c>
      <c r="L1330" s="8">
        <f>1</f>
        <v>1</v>
      </c>
      <c r="M1330" s="8">
        <f>837000</f>
        <v>837000</v>
      </c>
      <c r="N1330" s="6" t="s">
        <v>906</v>
      </c>
      <c r="O1330" s="5" t="s">
        <v>639</v>
      </c>
      <c r="P1330" s="5" t="s">
        <v>909</v>
      </c>
      <c r="R1330" s="8">
        <f>836999</f>
        <v>836999</v>
      </c>
      <c r="S1330" s="5" t="s">
        <v>240</v>
      </c>
      <c r="T1330" s="5" t="s">
        <v>237</v>
      </c>
      <c r="U1330" s="5" t="s">
        <v>238</v>
      </c>
      <c r="V1330" s="5" t="s">
        <v>238</v>
      </c>
      <c r="W1330" s="5" t="s">
        <v>241</v>
      </c>
      <c r="X1330" s="5" t="s">
        <v>243</v>
      </c>
      <c r="Y1330" s="5" t="s">
        <v>238</v>
      </c>
      <c r="AB1330" s="5" t="s">
        <v>238</v>
      </c>
      <c r="AD1330" s="6" t="s">
        <v>238</v>
      </c>
      <c r="AG1330" s="6" t="s">
        <v>246</v>
      </c>
      <c r="AH1330" s="5" t="s">
        <v>247</v>
      </c>
      <c r="AI1330" s="5" t="s">
        <v>248</v>
      </c>
      <c r="AY1330" s="5" t="s">
        <v>250</v>
      </c>
      <c r="AZ1330" s="5" t="s">
        <v>238</v>
      </c>
      <c r="BA1330" s="5" t="s">
        <v>251</v>
      </c>
      <c r="BB1330" s="5" t="s">
        <v>238</v>
      </c>
      <c r="BC1330" s="5" t="s">
        <v>253</v>
      </c>
      <c r="BD1330" s="5" t="s">
        <v>238</v>
      </c>
      <c r="BF1330" s="5" t="s">
        <v>710</v>
      </c>
      <c r="BH1330" s="5" t="s">
        <v>697</v>
      </c>
      <c r="BI1330" s="6" t="s">
        <v>698</v>
      </c>
      <c r="BJ1330" s="5" t="s">
        <v>255</v>
      </c>
      <c r="BK1330" s="5" t="s">
        <v>256</v>
      </c>
      <c r="BL1330" s="5" t="s">
        <v>238</v>
      </c>
      <c r="BM1330" s="7">
        <f>0</f>
        <v>0</v>
      </c>
      <c r="BN1330" s="8">
        <f>0</f>
        <v>0</v>
      </c>
      <c r="BO1330" s="5" t="s">
        <v>257</v>
      </c>
      <c r="BP1330" s="5" t="s">
        <v>258</v>
      </c>
      <c r="CD1330" s="5" t="s">
        <v>238</v>
      </c>
      <c r="CE1330" s="5" t="s">
        <v>238</v>
      </c>
      <c r="CI1330" s="5" t="s">
        <v>527</v>
      </c>
      <c r="CJ1330" s="5" t="s">
        <v>260</v>
      </c>
      <c r="CK1330" s="5" t="s">
        <v>238</v>
      </c>
      <c r="CM1330" s="5" t="s">
        <v>908</v>
      </c>
      <c r="CN1330" s="6" t="s">
        <v>262</v>
      </c>
      <c r="CO1330" s="5" t="s">
        <v>263</v>
      </c>
      <c r="CP1330" s="5" t="s">
        <v>264</v>
      </c>
      <c r="CQ1330" s="5" t="s">
        <v>238</v>
      </c>
      <c r="CR1330" s="5" t="s">
        <v>238</v>
      </c>
      <c r="CS1330" s="5">
        <v>0</v>
      </c>
      <c r="CT1330" s="5" t="s">
        <v>265</v>
      </c>
      <c r="CU1330" s="5" t="s">
        <v>1342</v>
      </c>
      <c r="CV1330" s="5" t="s">
        <v>308</v>
      </c>
      <c r="CX1330" s="8">
        <f>837000</f>
        <v>837000</v>
      </c>
      <c r="CY1330" s="8">
        <f>0</f>
        <v>0</v>
      </c>
      <c r="DA1330" s="5" t="s">
        <v>238</v>
      </c>
      <c r="DB1330" s="5" t="s">
        <v>238</v>
      </c>
      <c r="DD1330" s="5" t="s">
        <v>238</v>
      </c>
      <c r="DG1330" s="5" t="s">
        <v>238</v>
      </c>
      <c r="DH1330" s="5" t="s">
        <v>238</v>
      </c>
      <c r="DI1330" s="5" t="s">
        <v>238</v>
      </c>
      <c r="DJ1330" s="5" t="s">
        <v>238</v>
      </c>
      <c r="DK1330" s="5" t="s">
        <v>271</v>
      </c>
      <c r="DL1330" s="5" t="s">
        <v>272</v>
      </c>
      <c r="DM1330" s="7">
        <f>5.4</f>
        <v>5.4</v>
      </c>
      <c r="DN1330" s="5" t="s">
        <v>238</v>
      </c>
      <c r="DO1330" s="5" t="s">
        <v>238</v>
      </c>
      <c r="DP1330" s="5" t="s">
        <v>238</v>
      </c>
      <c r="DQ1330" s="5" t="s">
        <v>238</v>
      </c>
      <c r="DT1330" s="5" t="s">
        <v>2194</v>
      </c>
      <c r="DU1330" s="5" t="s">
        <v>271</v>
      </c>
      <c r="HM1330" s="5" t="s">
        <v>271</v>
      </c>
      <c r="HP1330" s="5" t="s">
        <v>272</v>
      </c>
      <c r="HQ1330" s="5" t="s">
        <v>272</v>
      </c>
    </row>
    <row r="1331" spans="1:238" x14ac:dyDescent="0.4">
      <c r="A1331" s="5">
        <v>1678</v>
      </c>
      <c r="B1331" s="5">
        <v>1</v>
      </c>
      <c r="C1331" s="5">
        <v>1</v>
      </c>
      <c r="D1331" s="5" t="s">
        <v>2472</v>
      </c>
      <c r="E1331" s="5" t="s">
        <v>244</v>
      </c>
      <c r="F1331" s="5" t="s">
        <v>282</v>
      </c>
      <c r="G1331" s="5" t="s">
        <v>1007</v>
      </c>
      <c r="H1331" s="6" t="s">
        <v>2474</v>
      </c>
      <c r="I1331" s="5" t="s">
        <v>2471</v>
      </c>
      <c r="J1331" s="7">
        <f>2.88</f>
        <v>2.88</v>
      </c>
      <c r="K1331" s="5" t="s">
        <v>270</v>
      </c>
      <c r="L1331" s="8">
        <f>1</f>
        <v>1</v>
      </c>
      <c r="M1331" s="8">
        <f>999360</f>
        <v>999360</v>
      </c>
      <c r="N1331" s="6" t="s">
        <v>2473</v>
      </c>
      <c r="O1331" s="5" t="s">
        <v>268</v>
      </c>
      <c r="P1331" s="5" t="s">
        <v>268</v>
      </c>
      <c r="R1331" s="8">
        <f>999359</f>
        <v>999359</v>
      </c>
      <c r="S1331" s="5" t="s">
        <v>240</v>
      </c>
      <c r="T1331" s="5" t="s">
        <v>237</v>
      </c>
      <c r="U1331" s="5" t="s">
        <v>238</v>
      </c>
      <c r="V1331" s="5" t="s">
        <v>238</v>
      </c>
      <c r="W1331" s="5" t="s">
        <v>241</v>
      </c>
      <c r="X1331" s="5" t="s">
        <v>243</v>
      </c>
      <c r="Y1331" s="5" t="s">
        <v>238</v>
      </c>
      <c r="AB1331" s="5" t="s">
        <v>238</v>
      </c>
      <c r="AD1331" s="6" t="s">
        <v>238</v>
      </c>
      <c r="AG1331" s="6" t="s">
        <v>246</v>
      </c>
      <c r="AH1331" s="5" t="s">
        <v>247</v>
      </c>
      <c r="AI1331" s="5" t="s">
        <v>248</v>
      </c>
      <c r="AY1331" s="5" t="s">
        <v>250</v>
      </c>
      <c r="AZ1331" s="5" t="s">
        <v>238</v>
      </c>
      <c r="BA1331" s="5" t="s">
        <v>251</v>
      </c>
      <c r="BB1331" s="5" t="s">
        <v>238</v>
      </c>
      <c r="BC1331" s="5" t="s">
        <v>253</v>
      </c>
      <c r="BD1331" s="5" t="s">
        <v>238</v>
      </c>
      <c r="BF1331" s="5" t="s">
        <v>710</v>
      </c>
      <c r="BH1331" s="5" t="s">
        <v>798</v>
      </c>
      <c r="BI1331" s="6" t="s">
        <v>799</v>
      </c>
      <c r="BJ1331" s="5" t="s">
        <v>255</v>
      </c>
      <c r="BK1331" s="5" t="s">
        <v>294</v>
      </c>
      <c r="BL1331" s="5" t="s">
        <v>238</v>
      </c>
      <c r="BM1331" s="7">
        <f>0</f>
        <v>0</v>
      </c>
      <c r="BN1331" s="8">
        <f>0</f>
        <v>0</v>
      </c>
      <c r="BO1331" s="5" t="s">
        <v>257</v>
      </c>
      <c r="BP1331" s="5" t="s">
        <v>258</v>
      </c>
      <c r="CD1331" s="5" t="s">
        <v>238</v>
      </c>
      <c r="CE1331" s="5" t="s">
        <v>238</v>
      </c>
      <c r="CI1331" s="5" t="s">
        <v>259</v>
      </c>
      <c r="CJ1331" s="5" t="s">
        <v>260</v>
      </c>
      <c r="CK1331" s="5" t="s">
        <v>238</v>
      </c>
      <c r="CM1331" s="5" t="s">
        <v>682</v>
      </c>
      <c r="CN1331" s="6" t="s">
        <v>262</v>
      </c>
      <c r="CO1331" s="5" t="s">
        <v>263</v>
      </c>
      <c r="CP1331" s="5" t="s">
        <v>264</v>
      </c>
      <c r="CQ1331" s="5" t="s">
        <v>238</v>
      </c>
      <c r="CR1331" s="5" t="s">
        <v>238</v>
      </c>
      <c r="CS1331" s="5">
        <v>0</v>
      </c>
      <c r="CT1331" s="5" t="s">
        <v>265</v>
      </c>
      <c r="CU1331" s="5" t="s">
        <v>2381</v>
      </c>
      <c r="CV1331" s="5" t="s">
        <v>267</v>
      </c>
      <c r="CX1331" s="8">
        <f>999360</f>
        <v>999360</v>
      </c>
      <c r="CY1331" s="8">
        <f>0</f>
        <v>0</v>
      </c>
      <c r="DA1331" s="5" t="s">
        <v>238</v>
      </c>
      <c r="DB1331" s="5" t="s">
        <v>238</v>
      </c>
      <c r="DD1331" s="5" t="s">
        <v>238</v>
      </c>
      <c r="DG1331" s="5" t="s">
        <v>238</v>
      </c>
      <c r="DH1331" s="5" t="s">
        <v>238</v>
      </c>
      <c r="DI1331" s="5" t="s">
        <v>238</v>
      </c>
      <c r="DJ1331" s="5" t="s">
        <v>238</v>
      </c>
      <c r="DK1331" s="5" t="s">
        <v>271</v>
      </c>
      <c r="DL1331" s="5" t="s">
        <v>272</v>
      </c>
      <c r="DM1331" s="7">
        <f>2.88</f>
        <v>2.88</v>
      </c>
      <c r="DN1331" s="5" t="s">
        <v>238</v>
      </c>
      <c r="DO1331" s="5" t="s">
        <v>238</v>
      </c>
      <c r="DP1331" s="5" t="s">
        <v>238</v>
      </c>
      <c r="DQ1331" s="5" t="s">
        <v>238</v>
      </c>
      <c r="DT1331" s="5" t="s">
        <v>2475</v>
      </c>
      <c r="DU1331" s="5" t="s">
        <v>271</v>
      </c>
      <c r="HM1331" s="5" t="s">
        <v>379</v>
      </c>
      <c r="HP1331" s="5" t="s">
        <v>272</v>
      </c>
      <c r="HQ1331" s="5" t="s">
        <v>272</v>
      </c>
    </row>
    <row r="1332" spans="1:238" x14ac:dyDescent="0.4">
      <c r="A1332" s="5">
        <v>1680</v>
      </c>
      <c r="B1332" s="5">
        <v>1</v>
      </c>
      <c r="C1332" s="5">
        <v>1</v>
      </c>
      <c r="D1332" s="5" t="s">
        <v>1134</v>
      </c>
      <c r="E1332" s="5" t="s">
        <v>1135</v>
      </c>
      <c r="F1332" s="5" t="s">
        <v>282</v>
      </c>
      <c r="G1332" s="5" t="s">
        <v>239</v>
      </c>
      <c r="H1332" s="6" t="s">
        <v>1136</v>
      </c>
      <c r="I1332" s="5" t="s">
        <v>239</v>
      </c>
      <c r="J1332" s="7">
        <f>370.97</f>
        <v>370.97</v>
      </c>
      <c r="K1332" s="5" t="s">
        <v>270</v>
      </c>
      <c r="L1332" s="8">
        <f>1</f>
        <v>1</v>
      </c>
      <c r="M1332" s="8">
        <f>22258200</f>
        <v>22258200</v>
      </c>
      <c r="N1332" s="6" t="s">
        <v>906</v>
      </c>
      <c r="O1332" s="5" t="s">
        <v>268</v>
      </c>
      <c r="P1332" s="5" t="s">
        <v>909</v>
      </c>
      <c r="R1332" s="8">
        <f>22258199</f>
        <v>22258199</v>
      </c>
      <c r="S1332" s="5" t="s">
        <v>240</v>
      </c>
      <c r="T1332" s="5" t="s">
        <v>237</v>
      </c>
      <c r="U1332" s="5" t="s">
        <v>238</v>
      </c>
      <c r="V1332" s="5" t="s">
        <v>238</v>
      </c>
      <c r="W1332" s="5" t="s">
        <v>241</v>
      </c>
      <c r="X1332" s="5" t="s">
        <v>243</v>
      </c>
      <c r="Y1332" s="5" t="s">
        <v>238</v>
      </c>
      <c r="AB1332" s="5" t="s">
        <v>238</v>
      </c>
      <c r="AD1332" s="6" t="s">
        <v>238</v>
      </c>
      <c r="AG1332" s="6" t="s">
        <v>246</v>
      </c>
      <c r="AH1332" s="5" t="s">
        <v>247</v>
      </c>
      <c r="AI1332" s="5" t="s">
        <v>248</v>
      </c>
      <c r="AY1332" s="5" t="s">
        <v>250</v>
      </c>
      <c r="AZ1332" s="5" t="s">
        <v>238</v>
      </c>
      <c r="BA1332" s="5" t="s">
        <v>251</v>
      </c>
      <c r="BB1332" s="5" t="s">
        <v>238</v>
      </c>
      <c r="BC1332" s="5" t="s">
        <v>253</v>
      </c>
      <c r="BD1332" s="5" t="s">
        <v>238</v>
      </c>
      <c r="BF1332" s="5" t="s">
        <v>710</v>
      </c>
      <c r="BH1332" s="5" t="s">
        <v>859</v>
      </c>
      <c r="BI1332" s="6" t="s">
        <v>368</v>
      </c>
      <c r="BJ1332" s="5" t="s">
        <v>255</v>
      </c>
      <c r="BK1332" s="5" t="s">
        <v>256</v>
      </c>
      <c r="BL1332" s="5" t="s">
        <v>238</v>
      </c>
      <c r="BM1332" s="7">
        <f>0</f>
        <v>0</v>
      </c>
      <c r="BN1332" s="8">
        <f>0</f>
        <v>0</v>
      </c>
      <c r="BO1332" s="5" t="s">
        <v>257</v>
      </c>
      <c r="BP1332" s="5" t="s">
        <v>258</v>
      </c>
      <c r="CD1332" s="5" t="s">
        <v>238</v>
      </c>
      <c r="CE1332" s="5" t="s">
        <v>238</v>
      </c>
      <c r="CI1332" s="5" t="s">
        <v>527</v>
      </c>
      <c r="CJ1332" s="5" t="s">
        <v>260</v>
      </c>
      <c r="CK1332" s="5" t="s">
        <v>238</v>
      </c>
      <c r="CM1332" s="5" t="s">
        <v>908</v>
      </c>
      <c r="CN1332" s="6" t="s">
        <v>262</v>
      </c>
      <c r="CO1332" s="5" t="s">
        <v>263</v>
      </c>
      <c r="CP1332" s="5" t="s">
        <v>264</v>
      </c>
      <c r="CQ1332" s="5" t="s">
        <v>238</v>
      </c>
      <c r="CR1332" s="5" t="s">
        <v>238</v>
      </c>
      <c r="CS1332" s="5">
        <v>0</v>
      </c>
      <c r="CT1332" s="5" t="s">
        <v>265</v>
      </c>
      <c r="CU1332" s="5" t="s">
        <v>266</v>
      </c>
      <c r="CV1332" s="5" t="s">
        <v>267</v>
      </c>
      <c r="CX1332" s="8">
        <f>22258200</f>
        <v>22258200</v>
      </c>
      <c r="CY1332" s="8">
        <f>0</f>
        <v>0</v>
      </c>
      <c r="DA1332" s="5" t="s">
        <v>238</v>
      </c>
      <c r="DB1332" s="5" t="s">
        <v>238</v>
      </c>
      <c r="DD1332" s="5" t="s">
        <v>238</v>
      </c>
      <c r="DG1332" s="5" t="s">
        <v>238</v>
      </c>
      <c r="DH1332" s="5" t="s">
        <v>238</v>
      </c>
      <c r="DI1332" s="5" t="s">
        <v>238</v>
      </c>
      <c r="DJ1332" s="5" t="s">
        <v>238</v>
      </c>
      <c r="DK1332" s="5" t="s">
        <v>271</v>
      </c>
      <c r="DL1332" s="5" t="s">
        <v>272</v>
      </c>
      <c r="DM1332" s="7">
        <f>370.97</f>
        <v>370.97</v>
      </c>
      <c r="DN1332" s="5" t="s">
        <v>238</v>
      </c>
      <c r="DO1332" s="5" t="s">
        <v>238</v>
      </c>
      <c r="DP1332" s="5" t="s">
        <v>238</v>
      </c>
      <c r="DQ1332" s="5" t="s">
        <v>238</v>
      </c>
      <c r="DT1332" s="5" t="s">
        <v>1137</v>
      </c>
      <c r="DU1332" s="5" t="s">
        <v>271</v>
      </c>
      <c r="HM1332" s="5" t="s">
        <v>271</v>
      </c>
      <c r="HP1332" s="5" t="s">
        <v>272</v>
      </c>
      <c r="HQ1332" s="5" t="s">
        <v>272</v>
      </c>
    </row>
    <row r="1333" spans="1:238" x14ac:dyDescent="0.4">
      <c r="A1333" s="5">
        <v>1681</v>
      </c>
      <c r="B1333" s="5">
        <v>1</v>
      </c>
      <c r="C1333" s="5">
        <v>1</v>
      </c>
      <c r="D1333" s="5" t="s">
        <v>1164</v>
      </c>
      <c r="E1333" s="5" t="s">
        <v>324</v>
      </c>
      <c r="F1333" s="5" t="s">
        <v>282</v>
      </c>
      <c r="G1333" s="5" t="s">
        <v>1158</v>
      </c>
      <c r="H1333" s="6" t="s">
        <v>1166</v>
      </c>
      <c r="I1333" s="5" t="s">
        <v>1158</v>
      </c>
      <c r="J1333" s="7">
        <f>14.02</f>
        <v>14.02</v>
      </c>
      <c r="K1333" s="5" t="s">
        <v>270</v>
      </c>
      <c r="L1333" s="8">
        <f>1</f>
        <v>1</v>
      </c>
      <c r="M1333" s="8">
        <f>841200</f>
        <v>841200</v>
      </c>
      <c r="N1333" s="6" t="s">
        <v>1165</v>
      </c>
      <c r="O1333" s="5" t="s">
        <v>651</v>
      </c>
      <c r="P1333" s="5" t="s">
        <v>915</v>
      </c>
      <c r="R1333" s="8">
        <f>841199</f>
        <v>841199</v>
      </c>
      <c r="S1333" s="5" t="s">
        <v>240</v>
      </c>
      <c r="T1333" s="5" t="s">
        <v>237</v>
      </c>
      <c r="U1333" s="5" t="s">
        <v>238</v>
      </c>
      <c r="V1333" s="5" t="s">
        <v>238</v>
      </c>
      <c r="W1333" s="5" t="s">
        <v>241</v>
      </c>
      <c r="X1333" s="5" t="s">
        <v>243</v>
      </c>
      <c r="Y1333" s="5" t="s">
        <v>238</v>
      </c>
      <c r="AB1333" s="5" t="s">
        <v>238</v>
      </c>
      <c r="AD1333" s="6" t="s">
        <v>238</v>
      </c>
      <c r="AG1333" s="6" t="s">
        <v>246</v>
      </c>
      <c r="AH1333" s="5" t="s">
        <v>247</v>
      </c>
      <c r="AI1333" s="5" t="s">
        <v>248</v>
      </c>
      <c r="AY1333" s="5" t="s">
        <v>250</v>
      </c>
      <c r="AZ1333" s="5" t="s">
        <v>238</v>
      </c>
      <c r="BA1333" s="5" t="s">
        <v>251</v>
      </c>
      <c r="BB1333" s="5" t="s">
        <v>238</v>
      </c>
      <c r="BC1333" s="5" t="s">
        <v>253</v>
      </c>
      <c r="BD1333" s="5" t="s">
        <v>238</v>
      </c>
      <c r="BF1333" s="5" t="s">
        <v>710</v>
      </c>
      <c r="BH1333" s="5" t="s">
        <v>697</v>
      </c>
      <c r="BI1333" s="6" t="s">
        <v>698</v>
      </c>
      <c r="BJ1333" s="5" t="s">
        <v>255</v>
      </c>
      <c r="BK1333" s="5" t="s">
        <v>256</v>
      </c>
      <c r="BL1333" s="5" t="s">
        <v>238</v>
      </c>
      <c r="BM1333" s="7">
        <f>0</f>
        <v>0</v>
      </c>
      <c r="BN1333" s="8">
        <f>0</f>
        <v>0</v>
      </c>
      <c r="BO1333" s="5" t="s">
        <v>257</v>
      </c>
      <c r="BP1333" s="5" t="s">
        <v>258</v>
      </c>
      <c r="CD1333" s="5" t="s">
        <v>238</v>
      </c>
      <c r="CE1333" s="5" t="s">
        <v>238</v>
      </c>
      <c r="CI1333" s="5" t="s">
        <v>527</v>
      </c>
      <c r="CJ1333" s="5" t="s">
        <v>260</v>
      </c>
      <c r="CK1333" s="5" t="s">
        <v>238</v>
      </c>
      <c r="CM1333" s="5" t="s">
        <v>914</v>
      </c>
      <c r="CN1333" s="6" t="s">
        <v>262</v>
      </c>
      <c r="CO1333" s="5" t="s">
        <v>263</v>
      </c>
      <c r="CP1333" s="5" t="s">
        <v>264</v>
      </c>
      <c r="CQ1333" s="5" t="s">
        <v>238</v>
      </c>
      <c r="CR1333" s="5" t="s">
        <v>238</v>
      </c>
      <c r="CS1333" s="5">
        <v>0</v>
      </c>
      <c r="CT1333" s="5" t="s">
        <v>265</v>
      </c>
      <c r="CU1333" s="5" t="s">
        <v>1159</v>
      </c>
      <c r="CV1333" s="5" t="s">
        <v>331</v>
      </c>
      <c r="CX1333" s="8">
        <f>841200</f>
        <v>841200</v>
      </c>
      <c r="CY1333" s="8">
        <f>0</f>
        <v>0</v>
      </c>
      <c r="DA1333" s="5" t="s">
        <v>238</v>
      </c>
      <c r="DB1333" s="5" t="s">
        <v>238</v>
      </c>
      <c r="DD1333" s="5" t="s">
        <v>238</v>
      </c>
      <c r="DG1333" s="5" t="s">
        <v>238</v>
      </c>
      <c r="DH1333" s="5" t="s">
        <v>238</v>
      </c>
      <c r="DI1333" s="5" t="s">
        <v>238</v>
      </c>
      <c r="DJ1333" s="5" t="s">
        <v>238</v>
      </c>
      <c r="DK1333" s="5" t="s">
        <v>271</v>
      </c>
      <c r="DL1333" s="5" t="s">
        <v>272</v>
      </c>
      <c r="DM1333" s="7">
        <f>14.02</f>
        <v>14.02</v>
      </c>
      <c r="DN1333" s="5" t="s">
        <v>238</v>
      </c>
      <c r="DO1333" s="5" t="s">
        <v>238</v>
      </c>
      <c r="DP1333" s="5" t="s">
        <v>238</v>
      </c>
      <c r="DQ1333" s="5" t="s">
        <v>238</v>
      </c>
      <c r="DT1333" s="5" t="s">
        <v>1167</v>
      </c>
      <c r="DU1333" s="5" t="s">
        <v>271</v>
      </c>
      <c r="HM1333" s="5" t="s">
        <v>271</v>
      </c>
      <c r="HP1333" s="5" t="s">
        <v>272</v>
      </c>
      <c r="HQ1333" s="5" t="s">
        <v>272</v>
      </c>
    </row>
    <row r="1334" spans="1:238" x14ac:dyDescent="0.4">
      <c r="A1334" s="5">
        <v>1682</v>
      </c>
      <c r="B1334" s="5">
        <v>1</v>
      </c>
      <c r="C1334" s="5">
        <v>1</v>
      </c>
      <c r="D1334" s="5" t="s">
        <v>1036</v>
      </c>
      <c r="E1334" s="5" t="s">
        <v>338</v>
      </c>
      <c r="F1334" s="5" t="s">
        <v>282</v>
      </c>
      <c r="G1334" s="5" t="s">
        <v>1809</v>
      </c>
      <c r="H1334" s="6" t="s">
        <v>1037</v>
      </c>
      <c r="I1334" s="5" t="s">
        <v>1809</v>
      </c>
      <c r="J1334" s="7">
        <f>498.23</f>
        <v>498.23</v>
      </c>
      <c r="K1334" s="5" t="s">
        <v>270</v>
      </c>
      <c r="L1334" s="8">
        <f>1</f>
        <v>1</v>
      </c>
      <c r="M1334" s="8">
        <f>79716800</f>
        <v>79716800</v>
      </c>
      <c r="N1334" s="6" t="s">
        <v>1063</v>
      </c>
      <c r="O1334" s="5" t="s">
        <v>286</v>
      </c>
      <c r="P1334" s="5" t="s">
        <v>784</v>
      </c>
      <c r="R1334" s="8">
        <f>79716799</f>
        <v>79716799</v>
      </c>
      <c r="S1334" s="5" t="s">
        <v>240</v>
      </c>
      <c r="T1334" s="5" t="s">
        <v>237</v>
      </c>
      <c r="U1334" s="5" t="s">
        <v>238</v>
      </c>
      <c r="V1334" s="5" t="s">
        <v>238</v>
      </c>
      <c r="W1334" s="5" t="s">
        <v>241</v>
      </c>
      <c r="X1334" s="5" t="s">
        <v>243</v>
      </c>
      <c r="Y1334" s="5" t="s">
        <v>238</v>
      </c>
      <c r="AB1334" s="5" t="s">
        <v>238</v>
      </c>
      <c r="AD1334" s="6" t="s">
        <v>238</v>
      </c>
      <c r="AG1334" s="6" t="s">
        <v>246</v>
      </c>
      <c r="AH1334" s="5" t="s">
        <v>247</v>
      </c>
      <c r="AI1334" s="5" t="s">
        <v>248</v>
      </c>
      <c r="AY1334" s="5" t="s">
        <v>250</v>
      </c>
      <c r="AZ1334" s="5" t="s">
        <v>238</v>
      </c>
      <c r="BA1334" s="5" t="s">
        <v>251</v>
      </c>
      <c r="BB1334" s="5" t="s">
        <v>238</v>
      </c>
      <c r="BC1334" s="5" t="s">
        <v>253</v>
      </c>
      <c r="BD1334" s="5" t="s">
        <v>238</v>
      </c>
      <c r="BF1334" s="5" t="s">
        <v>238</v>
      </c>
      <c r="BH1334" s="5" t="s">
        <v>798</v>
      </c>
      <c r="BI1334" s="6" t="s">
        <v>799</v>
      </c>
      <c r="BJ1334" s="5" t="s">
        <v>255</v>
      </c>
      <c r="BK1334" s="5" t="s">
        <v>256</v>
      </c>
      <c r="BL1334" s="5" t="s">
        <v>238</v>
      </c>
      <c r="BM1334" s="7">
        <f>0</f>
        <v>0</v>
      </c>
      <c r="BN1334" s="8">
        <f>0</f>
        <v>0</v>
      </c>
      <c r="BO1334" s="5" t="s">
        <v>257</v>
      </c>
      <c r="BP1334" s="5" t="s">
        <v>258</v>
      </c>
      <c r="CD1334" s="5" t="s">
        <v>238</v>
      </c>
      <c r="CE1334" s="5" t="s">
        <v>238</v>
      </c>
      <c r="CI1334" s="5" t="s">
        <v>259</v>
      </c>
      <c r="CJ1334" s="5" t="s">
        <v>260</v>
      </c>
      <c r="CK1334" s="5" t="s">
        <v>238</v>
      </c>
      <c r="CM1334" s="5" t="s">
        <v>1064</v>
      </c>
      <c r="CN1334" s="6" t="s">
        <v>262</v>
      </c>
      <c r="CO1334" s="5" t="s">
        <v>263</v>
      </c>
      <c r="CP1334" s="5" t="s">
        <v>264</v>
      </c>
      <c r="CQ1334" s="5" t="s">
        <v>238</v>
      </c>
      <c r="CR1334" s="5" t="s">
        <v>238</v>
      </c>
      <c r="CS1334" s="5">
        <v>0</v>
      </c>
      <c r="CT1334" s="5" t="s">
        <v>265</v>
      </c>
      <c r="CU1334" s="5" t="s">
        <v>1803</v>
      </c>
      <c r="CV1334" s="5" t="s">
        <v>267</v>
      </c>
      <c r="CX1334" s="8">
        <f>79716800</f>
        <v>79716800</v>
      </c>
      <c r="CY1334" s="8">
        <f>0</f>
        <v>0</v>
      </c>
      <c r="DA1334" s="5" t="s">
        <v>238</v>
      </c>
      <c r="DB1334" s="5" t="s">
        <v>238</v>
      </c>
      <c r="DD1334" s="5" t="s">
        <v>238</v>
      </c>
      <c r="DG1334" s="5" t="s">
        <v>238</v>
      </c>
      <c r="DH1334" s="5" t="s">
        <v>238</v>
      </c>
      <c r="DI1334" s="5" t="s">
        <v>238</v>
      </c>
      <c r="DJ1334" s="5" t="s">
        <v>238</v>
      </c>
      <c r="DK1334" s="5" t="s">
        <v>271</v>
      </c>
      <c r="DL1334" s="5" t="s">
        <v>272</v>
      </c>
      <c r="DM1334" s="7">
        <f>498.23</f>
        <v>498.23</v>
      </c>
      <c r="DN1334" s="5" t="s">
        <v>238</v>
      </c>
      <c r="DO1334" s="5" t="s">
        <v>238</v>
      </c>
      <c r="DP1334" s="5" t="s">
        <v>238</v>
      </c>
      <c r="DQ1334" s="5" t="s">
        <v>238</v>
      </c>
      <c r="DT1334" s="5" t="s">
        <v>1038</v>
      </c>
      <c r="DU1334" s="5" t="s">
        <v>271</v>
      </c>
      <c r="HM1334" s="5" t="s">
        <v>271</v>
      </c>
      <c r="HP1334" s="5" t="s">
        <v>272</v>
      </c>
      <c r="HQ1334" s="5" t="s">
        <v>272</v>
      </c>
    </row>
    <row r="1335" spans="1:238" x14ac:dyDescent="0.4">
      <c r="A1335" s="5">
        <v>1683</v>
      </c>
      <c r="B1335" s="5">
        <v>1</v>
      </c>
      <c r="C1335" s="5">
        <v>1</v>
      </c>
      <c r="D1335" s="5" t="s">
        <v>1036</v>
      </c>
      <c r="E1335" s="5" t="s">
        <v>338</v>
      </c>
      <c r="F1335" s="5" t="s">
        <v>282</v>
      </c>
      <c r="G1335" s="5" t="s">
        <v>239</v>
      </c>
      <c r="H1335" s="6" t="s">
        <v>1037</v>
      </c>
      <c r="I1335" s="5" t="s">
        <v>239</v>
      </c>
      <c r="J1335" s="7">
        <f>19.87</f>
        <v>19.87</v>
      </c>
      <c r="K1335" s="5" t="s">
        <v>270</v>
      </c>
      <c r="L1335" s="8">
        <f>1</f>
        <v>1</v>
      </c>
      <c r="M1335" s="8">
        <f>1192200</f>
        <v>1192200</v>
      </c>
      <c r="N1335" s="6" t="s">
        <v>906</v>
      </c>
      <c r="O1335" s="5" t="s">
        <v>268</v>
      </c>
      <c r="P1335" s="5" t="s">
        <v>909</v>
      </c>
      <c r="R1335" s="8">
        <f>1192199</f>
        <v>1192199</v>
      </c>
      <c r="S1335" s="5" t="s">
        <v>240</v>
      </c>
      <c r="T1335" s="5" t="s">
        <v>237</v>
      </c>
      <c r="U1335" s="5" t="s">
        <v>238</v>
      </c>
      <c r="V1335" s="5" t="s">
        <v>238</v>
      </c>
      <c r="W1335" s="5" t="s">
        <v>241</v>
      </c>
      <c r="X1335" s="5" t="s">
        <v>243</v>
      </c>
      <c r="Y1335" s="5" t="s">
        <v>238</v>
      </c>
      <c r="AB1335" s="5" t="s">
        <v>238</v>
      </c>
      <c r="AD1335" s="6" t="s">
        <v>238</v>
      </c>
      <c r="AG1335" s="6" t="s">
        <v>246</v>
      </c>
      <c r="AH1335" s="5" t="s">
        <v>247</v>
      </c>
      <c r="AI1335" s="5" t="s">
        <v>248</v>
      </c>
      <c r="AY1335" s="5" t="s">
        <v>250</v>
      </c>
      <c r="AZ1335" s="5" t="s">
        <v>238</v>
      </c>
      <c r="BA1335" s="5" t="s">
        <v>251</v>
      </c>
      <c r="BB1335" s="5" t="s">
        <v>238</v>
      </c>
      <c r="BC1335" s="5" t="s">
        <v>253</v>
      </c>
      <c r="BD1335" s="5" t="s">
        <v>238</v>
      </c>
      <c r="BF1335" s="5" t="s">
        <v>238</v>
      </c>
      <c r="BH1335" s="5" t="s">
        <v>254</v>
      </c>
      <c r="BI1335" s="6" t="s">
        <v>246</v>
      </c>
      <c r="BJ1335" s="5" t="s">
        <v>255</v>
      </c>
      <c r="BK1335" s="5" t="s">
        <v>256</v>
      </c>
      <c r="BL1335" s="5" t="s">
        <v>238</v>
      </c>
      <c r="BM1335" s="7">
        <f>0</f>
        <v>0</v>
      </c>
      <c r="BN1335" s="8">
        <f>0</f>
        <v>0</v>
      </c>
      <c r="BO1335" s="5" t="s">
        <v>257</v>
      </c>
      <c r="BP1335" s="5" t="s">
        <v>258</v>
      </c>
      <c r="CD1335" s="5" t="s">
        <v>238</v>
      </c>
      <c r="CE1335" s="5" t="s">
        <v>238</v>
      </c>
      <c r="CI1335" s="5" t="s">
        <v>527</v>
      </c>
      <c r="CJ1335" s="5" t="s">
        <v>260</v>
      </c>
      <c r="CK1335" s="5" t="s">
        <v>238</v>
      </c>
      <c r="CM1335" s="5" t="s">
        <v>908</v>
      </c>
      <c r="CN1335" s="6" t="s">
        <v>262</v>
      </c>
      <c r="CO1335" s="5" t="s">
        <v>263</v>
      </c>
      <c r="CP1335" s="5" t="s">
        <v>264</v>
      </c>
      <c r="CQ1335" s="5" t="s">
        <v>238</v>
      </c>
      <c r="CR1335" s="5" t="s">
        <v>238</v>
      </c>
      <c r="CS1335" s="5">
        <v>0</v>
      </c>
      <c r="CT1335" s="5" t="s">
        <v>265</v>
      </c>
      <c r="CU1335" s="5" t="s">
        <v>266</v>
      </c>
      <c r="CV1335" s="5" t="s">
        <v>267</v>
      </c>
      <c r="CX1335" s="8">
        <f>1192200</f>
        <v>1192200</v>
      </c>
      <c r="CY1335" s="8">
        <f>0</f>
        <v>0</v>
      </c>
      <c r="DA1335" s="5" t="s">
        <v>238</v>
      </c>
      <c r="DB1335" s="5" t="s">
        <v>238</v>
      </c>
      <c r="DD1335" s="5" t="s">
        <v>238</v>
      </c>
      <c r="DG1335" s="5" t="s">
        <v>238</v>
      </c>
      <c r="DH1335" s="5" t="s">
        <v>238</v>
      </c>
      <c r="DI1335" s="5" t="s">
        <v>238</v>
      </c>
      <c r="DJ1335" s="5" t="s">
        <v>238</v>
      </c>
      <c r="DK1335" s="5" t="s">
        <v>271</v>
      </c>
      <c r="DL1335" s="5" t="s">
        <v>272</v>
      </c>
      <c r="DM1335" s="7">
        <f>19.87</f>
        <v>19.87</v>
      </c>
      <c r="DN1335" s="5" t="s">
        <v>238</v>
      </c>
      <c r="DO1335" s="5" t="s">
        <v>238</v>
      </c>
      <c r="DP1335" s="5" t="s">
        <v>238</v>
      </c>
      <c r="DQ1335" s="5" t="s">
        <v>238</v>
      </c>
      <c r="DT1335" s="5" t="s">
        <v>1038</v>
      </c>
      <c r="DU1335" s="5" t="s">
        <v>274</v>
      </c>
      <c r="HM1335" s="5" t="s">
        <v>271</v>
      </c>
      <c r="HP1335" s="5" t="s">
        <v>272</v>
      </c>
      <c r="HQ1335" s="5" t="s">
        <v>272</v>
      </c>
    </row>
    <row r="1336" spans="1:238" x14ac:dyDescent="0.4">
      <c r="A1336" s="5">
        <v>1684</v>
      </c>
      <c r="B1336" s="5">
        <v>1</v>
      </c>
      <c r="C1336" s="5">
        <v>1</v>
      </c>
      <c r="D1336" s="5" t="s">
        <v>1036</v>
      </c>
      <c r="E1336" s="5" t="s">
        <v>338</v>
      </c>
      <c r="F1336" s="5" t="s">
        <v>282</v>
      </c>
      <c r="G1336" s="5" t="s">
        <v>1309</v>
      </c>
      <c r="H1336" s="6" t="s">
        <v>1037</v>
      </c>
      <c r="I1336" s="5" t="s">
        <v>1309</v>
      </c>
      <c r="J1336" s="7">
        <f>9.94</f>
        <v>9.94</v>
      </c>
      <c r="K1336" s="5" t="s">
        <v>270</v>
      </c>
      <c r="L1336" s="8">
        <f>1</f>
        <v>1</v>
      </c>
      <c r="M1336" s="8">
        <f>944300</f>
        <v>944300</v>
      </c>
      <c r="N1336" s="6" t="s">
        <v>906</v>
      </c>
      <c r="O1336" s="5" t="s">
        <v>268</v>
      </c>
      <c r="P1336" s="5" t="s">
        <v>909</v>
      </c>
      <c r="R1336" s="8">
        <f>944299</f>
        <v>944299</v>
      </c>
      <c r="S1336" s="5" t="s">
        <v>240</v>
      </c>
      <c r="T1336" s="5" t="s">
        <v>237</v>
      </c>
      <c r="U1336" s="5" t="s">
        <v>238</v>
      </c>
      <c r="V1336" s="5" t="s">
        <v>238</v>
      </c>
      <c r="W1336" s="5" t="s">
        <v>241</v>
      </c>
      <c r="X1336" s="5" t="s">
        <v>243</v>
      </c>
      <c r="Y1336" s="5" t="s">
        <v>238</v>
      </c>
      <c r="AB1336" s="5" t="s">
        <v>238</v>
      </c>
      <c r="AD1336" s="6" t="s">
        <v>238</v>
      </c>
      <c r="AG1336" s="6" t="s">
        <v>246</v>
      </c>
      <c r="AH1336" s="5" t="s">
        <v>247</v>
      </c>
      <c r="AI1336" s="5" t="s">
        <v>248</v>
      </c>
      <c r="AY1336" s="5" t="s">
        <v>250</v>
      </c>
      <c r="AZ1336" s="5" t="s">
        <v>238</v>
      </c>
      <c r="BA1336" s="5" t="s">
        <v>251</v>
      </c>
      <c r="BB1336" s="5" t="s">
        <v>238</v>
      </c>
      <c r="BC1336" s="5" t="s">
        <v>253</v>
      </c>
      <c r="BD1336" s="5" t="s">
        <v>238</v>
      </c>
      <c r="BF1336" s="5" t="s">
        <v>238</v>
      </c>
      <c r="BH1336" s="5" t="s">
        <v>859</v>
      </c>
      <c r="BI1336" s="6" t="s">
        <v>368</v>
      </c>
      <c r="BJ1336" s="5" t="s">
        <v>255</v>
      </c>
      <c r="BK1336" s="5" t="s">
        <v>256</v>
      </c>
      <c r="BL1336" s="5" t="s">
        <v>238</v>
      </c>
      <c r="BM1336" s="7">
        <f>0</f>
        <v>0</v>
      </c>
      <c r="BN1336" s="8">
        <f>0</f>
        <v>0</v>
      </c>
      <c r="BO1336" s="5" t="s">
        <v>257</v>
      </c>
      <c r="BP1336" s="5" t="s">
        <v>258</v>
      </c>
      <c r="CD1336" s="5" t="s">
        <v>238</v>
      </c>
      <c r="CE1336" s="5" t="s">
        <v>238</v>
      </c>
      <c r="CI1336" s="5" t="s">
        <v>527</v>
      </c>
      <c r="CJ1336" s="5" t="s">
        <v>260</v>
      </c>
      <c r="CK1336" s="5" t="s">
        <v>238</v>
      </c>
      <c r="CM1336" s="5" t="s">
        <v>908</v>
      </c>
      <c r="CN1336" s="6" t="s">
        <v>262</v>
      </c>
      <c r="CO1336" s="5" t="s">
        <v>263</v>
      </c>
      <c r="CP1336" s="5" t="s">
        <v>264</v>
      </c>
      <c r="CQ1336" s="5" t="s">
        <v>238</v>
      </c>
      <c r="CR1336" s="5" t="s">
        <v>238</v>
      </c>
      <c r="CS1336" s="5">
        <v>0</v>
      </c>
      <c r="CT1336" s="5" t="s">
        <v>265</v>
      </c>
      <c r="CU1336" s="5" t="s">
        <v>1342</v>
      </c>
      <c r="CV1336" s="5" t="s">
        <v>267</v>
      </c>
      <c r="CX1336" s="8">
        <f>944300</f>
        <v>944300</v>
      </c>
      <c r="CY1336" s="8">
        <f>0</f>
        <v>0</v>
      </c>
      <c r="DA1336" s="5" t="s">
        <v>238</v>
      </c>
      <c r="DB1336" s="5" t="s">
        <v>238</v>
      </c>
      <c r="DD1336" s="5" t="s">
        <v>238</v>
      </c>
      <c r="DG1336" s="5" t="s">
        <v>238</v>
      </c>
      <c r="DH1336" s="5" t="s">
        <v>238</v>
      </c>
      <c r="DI1336" s="5" t="s">
        <v>238</v>
      </c>
      <c r="DJ1336" s="5" t="s">
        <v>238</v>
      </c>
      <c r="DK1336" s="5" t="s">
        <v>271</v>
      </c>
      <c r="DL1336" s="5" t="s">
        <v>272</v>
      </c>
      <c r="DM1336" s="7">
        <f>9.94</f>
        <v>9.94</v>
      </c>
      <c r="DN1336" s="5" t="s">
        <v>238</v>
      </c>
      <c r="DO1336" s="5" t="s">
        <v>238</v>
      </c>
      <c r="DP1336" s="5" t="s">
        <v>238</v>
      </c>
      <c r="DQ1336" s="5" t="s">
        <v>238</v>
      </c>
      <c r="DT1336" s="5" t="s">
        <v>1038</v>
      </c>
      <c r="DU1336" s="5" t="s">
        <v>356</v>
      </c>
      <c r="HM1336" s="5" t="s">
        <v>271</v>
      </c>
      <c r="HP1336" s="5" t="s">
        <v>272</v>
      </c>
      <c r="HQ1336" s="5" t="s">
        <v>272</v>
      </c>
    </row>
    <row r="1337" spans="1:238" x14ac:dyDescent="0.4">
      <c r="A1337" s="5">
        <v>1685</v>
      </c>
      <c r="B1337" s="5">
        <v>1</v>
      </c>
      <c r="C1337" s="5">
        <v>4</v>
      </c>
      <c r="D1337" s="5" t="s">
        <v>1036</v>
      </c>
      <c r="E1337" s="5" t="s">
        <v>338</v>
      </c>
      <c r="F1337" s="5" t="s">
        <v>282</v>
      </c>
      <c r="G1337" s="5" t="s">
        <v>1278</v>
      </c>
      <c r="H1337" s="6" t="s">
        <v>1037</v>
      </c>
      <c r="I1337" s="5" t="s">
        <v>1878</v>
      </c>
      <c r="J1337" s="7">
        <f>0</f>
        <v>0</v>
      </c>
      <c r="K1337" s="5" t="s">
        <v>270</v>
      </c>
      <c r="L1337" s="8">
        <f>3846150</f>
        <v>3846150</v>
      </c>
      <c r="M1337" s="8">
        <f>4995000</f>
        <v>4995000</v>
      </c>
      <c r="N1337" s="6" t="s">
        <v>1879</v>
      </c>
      <c r="O1337" s="5" t="s">
        <v>286</v>
      </c>
      <c r="P1337" s="5" t="s">
        <v>356</v>
      </c>
      <c r="Q1337" s="8">
        <f>229770</f>
        <v>229770</v>
      </c>
      <c r="R1337" s="8">
        <f>1148850</f>
        <v>1148850</v>
      </c>
      <c r="S1337" s="5" t="s">
        <v>240</v>
      </c>
      <c r="T1337" s="5" t="s">
        <v>287</v>
      </c>
      <c r="U1337" s="5" t="s">
        <v>238</v>
      </c>
      <c r="V1337" s="5" t="s">
        <v>238</v>
      </c>
      <c r="W1337" s="5" t="s">
        <v>241</v>
      </c>
      <c r="X1337" s="5" t="s">
        <v>337</v>
      </c>
      <c r="Y1337" s="5" t="s">
        <v>238</v>
      </c>
      <c r="AB1337" s="5" t="s">
        <v>238</v>
      </c>
      <c r="AC1337" s="6" t="s">
        <v>238</v>
      </c>
      <c r="AD1337" s="6" t="s">
        <v>238</v>
      </c>
      <c r="AF1337" s="6" t="s">
        <v>238</v>
      </c>
      <c r="AG1337" s="6" t="s">
        <v>246</v>
      </c>
      <c r="AH1337" s="5" t="s">
        <v>247</v>
      </c>
      <c r="AI1337" s="5" t="s">
        <v>248</v>
      </c>
      <c r="AO1337" s="5" t="s">
        <v>238</v>
      </c>
      <c r="AP1337" s="5" t="s">
        <v>238</v>
      </c>
      <c r="AQ1337" s="5" t="s">
        <v>238</v>
      </c>
      <c r="AR1337" s="6" t="s">
        <v>238</v>
      </c>
      <c r="AS1337" s="6" t="s">
        <v>238</v>
      </c>
      <c r="AT1337" s="6" t="s">
        <v>238</v>
      </c>
      <c r="AW1337" s="5" t="s">
        <v>304</v>
      </c>
      <c r="AX1337" s="5" t="s">
        <v>304</v>
      </c>
      <c r="AY1337" s="5" t="s">
        <v>250</v>
      </c>
      <c r="AZ1337" s="5" t="s">
        <v>305</v>
      </c>
      <c r="BA1337" s="5" t="s">
        <v>251</v>
      </c>
      <c r="BB1337" s="5" t="s">
        <v>238</v>
      </c>
      <c r="BC1337" s="5" t="s">
        <v>253</v>
      </c>
      <c r="BD1337" s="5" t="s">
        <v>238</v>
      </c>
      <c r="BF1337" s="5" t="s">
        <v>238</v>
      </c>
      <c r="BH1337" s="5" t="s">
        <v>283</v>
      </c>
      <c r="BI1337" s="6" t="s">
        <v>293</v>
      </c>
      <c r="BJ1337" s="5" t="s">
        <v>294</v>
      </c>
      <c r="BK1337" s="5" t="s">
        <v>294</v>
      </c>
      <c r="BL1337" s="5" t="s">
        <v>238</v>
      </c>
      <c r="BM1337" s="7">
        <f>0</f>
        <v>0</v>
      </c>
      <c r="BN1337" s="8">
        <f>-229770</f>
        <v>-229770</v>
      </c>
      <c r="BO1337" s="5" t="s">
        <v>257</v>
      </c>
      <c r="BP1337" s="5" t="s">
        <v>258</v>
      </c>
      <c r="BQ1337" s="5" t="s">
        <v>238</v>
      </c>
      <c r="BR1337" s="5" t="s">
        <v>238</v>
      </c>
      <c r="BS1337" s="5" t="s">
        <v>238</v>
      </c>
      <c r="BT1337" s="5" t="s">
        <v>238</v>
      </c>
      <c r="CC1337" s="5" t="s">
        <v>258</v>
      </c>
      <c r="CD1337" s="5" t="s">
        <v>238</v>
      </c>
      <c r="CE1337" s="5" t="s">
        <v>238</v>
      </c>
      <c r="CI1337" s="5" t="s">
        <v>259</v>
      </c>
      <c r="CJ1337" s="5" t="s">
        <v>260</v>
      </c>
      <c r="CK1337" s="5" t="s">
        <v>238</v>
      </c>
      <c r="CM1337" s="5" t="s">
        <v>376</v>
      </c>
      <c r="CN1337" s="6" t="s">
        <v>262</v>
      </c>
      <c r="CO1337" s="5" t="s">
        <v>263</v>
      </c>
      <c r="CP1337" s="5" t="s">
        <v>264</v>
      </c>
      <c r="CQ1337" s="5" t="s">
        <v>285</v>
      </c>
      <c r="CR1337" s="5" t="s">
        <v>238</v>
      </c>
      <c r="CS1337" s="5">
        <v>4.5999999999999999E-2</v>
      </c>
      <c r="CT1337" s="5" t="s">
        <v>265</v>
      </c>
      <c r="CU1337" s="5" t="s">
        <v>1803</v>
      </c>
      <c r="CV1337" s="5" t="s">
        <v>267</v>
      </c>
      <c r="CW1337" s="7">
        <f>0</f>
        <v>0</v>
      </c>
      <c r="CX1337" s="8">
        <f>4995000</f>
        <v>4995000</v>
      </c>
      <c r="CY1337" s="8">
        <f>4075920</f>
        <v>4075920</v>
      </c>
      <c r="DA1337" s="5" t="s">
        <v>238</v>
      </c>
      <c r="DB1337" s="5" t="s">
        <v>238</v>
      </c>
      <c r="DD1337" s="5" t="s">
        <v>238</v>
      </c>
      <c r="DE1337" s="8">
        <f>0</f>
        <v>0</v>
      </c>
      <c r="DG1337" s="5" t="s">
        <v>238</v>
      </c>
      <c r="DH1337" s="5" t="s">
        <v>238</v>
      </c>
      <c r="DI1337" s="5" t="s">
        <v>238</v>
      </c>
      <c r="DJ1337" s="5" t="s">
        <v>238</v>
      </c>
      <c r="DK1337" s="5" t="s">
        <v>272</v>
      </c>
      <c r="DL1337" s="5" t="s">
        <v>272</v>
      </c>
      <c r="DM1337" s="8" t="s">
        <v>238</v>
      </c>
      <c r="DN1337" s="5" t="s">
        <v>238</v>
      </c>
      <c r="DO1337" s="5" t="s">
        <v>238</v>
      </c>
      <c r="DP1337" s="5" t="s">
        <v>238</v>
      </c>
      <c r="DQ1337" s="5" t="s">
        <v>238</v>
      </c>
      <c r="DT1337" s="5" t="s">
        <v>1038</v>
      </c>
      <c r="DU1337" s="5" t="s">
        <v>310</v>
      </c>
      <c r="GL1337" s="5" t="s">
        <v>1880</v>
      </c>
      <c r="HM1337" s="5" t="s">
        <v>379</v>
      </c>
      <c r="HP1337" s="5" t="s">
        <v>272</v>
      </c>
      <c r="HQ1337" s="5" t="s">
        <v>272</v>
      </c>
      <c r="HR1337" s="5" t="s">
        <v>238</v>
      </c>
      <c r="HS1337" s="5" t="s">
        <v>238</v>
      </c>
      <c r="HT1337" s="5" t="s">
        <v>238</v>
      </c>
      <c r="HU1337" s="5" t="s">
        <v>238</v>
      </c>
      <c r="HV1337" s="5" t="s">
        <v>238</v>
      </c>
      <c r="HW1337" s="5" t="s">
        <v>238</v>
      </c>
      <c r="HX1337" s="5" t="s">
        <v>238</v>
      </c>
      <c r="HY1337" s="5" t="s">
        <v>238</v>
      </c>
      <c r="HZ1337" s="5" t="s">
        <v>238</v>
      </c>
      <c r="IA1337" s="5" t="s">
        <v>238</v>
      </c>
      <c r="IB1337" s="5" t="s">
        <v>238</v>
      </c>
      <c r="IC1337" s="5" t="s">
        <v>238</v>
      </c>
      <c r="ID1337" s="5" t="s">
        <v>238</v>
      </c>
    </row>
    <row r="1338" spans="1:238" x14ac:dyDescent="0.4">
      <c r="A1338" s="5">
        <v>1686</v>
      </c>
      <c r="B1338" s="5">
        <v>1</v>
      </c>
      <c r="C1338" s="5">
        <v>4</v>
      </c>
      <c r="D1338" s="5" t="s">
        <v>1467</v>
      </c>
      <c r="E1338" s="5" t="s">
        <v>338</v>
      </c>
      <c r="F1338" s="5" t="s">
        <v>282</v>
      </c>
      <c r="G1338" s="5" t="s">
        <v>327</v>
      </c>
      <c r="H1338" s="6" t="s">
        <v>1469</v>
      </c>
      <c r="I1338" s="5" t="s">
        <v>1466</v>
      </c>
      <c r="J1338" s="7">
        <f>481.29</f>
        <v>481.29</v>
      </c>
      <c r="K1338" s="5" t="s">
        <v>270</v>
      </c>
      <c r="L1338" s="8">
        <f>29006394</f>
        <v>29006394</v>
      </c>
      <c r="M1338" s="8">
        <f>118878630</f>
        <v>118878630</v>
      </c>
      <c r="N1338" s="6" t="s">
        <v>1468</v>
      </c>
      <c r="O1338" s="5" t="s">
        <v>651</v>
      </c>
      <c r="P1338" s="5" t="s">
        <v>269</v>
      </c>
      <c r="Q1338" s="8">
        <f>4992902</f>
        <v>4992902</v>
      </c>
      <c r="R1338" s="8">
        <f>89872236</f>
        <v>89872236</v>
      </c>
      <c r="S1338" s="5" t="s">
        <v>240</v>
      </c>
      <c r="T1338" s="5" t="s">
        <v>237</v>
      </c>
      <c r="U1338" s="5" t="s">
        <v>238</v>
      </c>
      <c r="V1338" s="5" t="s">
        <v>238</v>
      </c>
      <c r="W1338" s="5" t="s">
        <v>241</v>
      </c>
      <c r="X1338" s="5" t="s">
        <v>243</v>
      </c>
      <c r="Y1338" s="5" t="s">
        <v>238</v>
      </c>
      <c r="AB1338" s="5" t="s">
        <v>238</v>
      </c>
      <c r="AC1338" s="6" t="s">
        <v>238</v>
      </c>
      <c r="AD1338" s="6" t="s">
        <v>238</v>
      </c>
      <c r="AF1338" s="6" t="s">
        <v>238</v>
      </c>
      <c r="AG1338" s="6" t="s">
        <v>246</v>
      </c>
      <c r="AH1338" s="5" t="s">
        <v>247</v>
      </c>
      <c r="AI1338" s="5" t="s">
        <v>248</v>
      </c>
      <c r="AO1338" s="5" t="s">
        <v>238</v>
      </c>
      <c r="AP1338" s="5" t="s">
        <v>238</v>
      </c>
      <c r="AQ1338" s="5" t="s">
        <v>238</v>
      </c>
      <c r="AR1338" s="6" t="s">
        <v>238</v>
      </c>
      <c r="AS1338" s="6" t="s">
        <v>238</v>
      </c>
      <c r="AT1338" s="6" t="s">
        <v>238</v>
      </c>
      <c r="AW1338" s="5" t="s">
        <v>304</v>
      </c>
      <c r="AX1338" s="5" t="s">
        <v>304</v>
      </c>
      <c r="AY1338" s="5" t="s">
        <v>250</v>
      </c>
      <c r="AZ1338" s="5" t="s">
        <v>305</v>
      </c>
      <c r="BA1338" s="5" t="s">
        <v>251</v>
      </c>
      <c r="BB1338" s="5" t="s">
        <v>238</v>
      </c>
      <c r="BC1338" s="5" t="s">
        <v>253</v>
      </c>
      <c r="BD1338" s="5" t="s">
        <v>238</v>
      </c>
      <c r="BF1338" s="5" t="s">
        <v>238</v>
      </c>
      <c r="BH1338" s="5" t="s">
        <v>283</v>
      </c>
      <c r="BI1338" s="6" t="s">
        <v>293</v>
      </c>
      <c r="BJ1338" s="5" t="s">
        <v>294</v>
      </c>
      <c r="BK1338" s="5" t="s">
        <v>294</v>
      </c>
      <c r="BL1338" s="5" t="s">
        <v>238</v>
      </c>
      <c r="BM1338" s="7">
        <f>0</f>
        <v>0</v>
      </c>
      <c r="BN1338" s="8">
        <f>-4992902</f>
        <v>-4992902</v>
      </c>
      <c r="BO1338" s="5" t="s">
        <v>257</v>
      </c>
      <c r="BP1338" s="5" t="s">
        <v>258</v>
      </c>
      <c r="BQ1338" s="5" t="s">
        <v>238</v>
      </c>
      <c r="BR1338" s="5" t="s">
        <v>238</v>
      </c>
      <c r="BS1338" s="5" t="s">
        <v>238</v>
      </c>
      <c r="BT1338" s="5" t="s">
        <v>238</v>
      </c>
      <c r="CC1338" s="5" t="s">
        <v>258</v>
      </c>
      <c r="CD1338" s="5" t="s">
        <v>238</v>
      </c>
      <c r="CE1338" s="5" t="s">
        <v>238</v>
      </c>
      <c r="CI1338" s="5" t="s">
        <v>259</v>
      </c>
      <c r="CJ1338" s="5" t="s">
        <v>260</v>
      </c>
      <c r="CK1338" s="5" t="s">
        <v>238</v>
      </c>
      <c r="CM1338" s="5" t="s">
        <v>682</v>
      </c>
      <c r="CN1338" s="6" t="s">
        <v>262</v>
      </c>
      <c r="CO1338" s="5" t="s">
        <v>263</v>
      </c>
      <c r="CP1338" s="5" t="s">
        <v>264</v>
      </c>
      <c r="CQ1338" s="5" t="s">
        <v>285</v>
      </c>
      <c r="CR1338" s="5" t="s">
        <v>238</v>
      </c>
      <c r="CS1338" s="5">
        <v>4.2000000000000003E-2</v>
      </c>
      <c r="CT1338" s="5" t="s">
        <v>265</v>
      </c>
      <c r="CU1338" s="5" t="s">
        <v>1325</v>
      </c>
      <c r="CV1338" s="5" t="s">
        <v>267</v>
      </c>
      <c r="CW1338" s="7">
        <f>0</f>
        <v>0</v>
      </c>
      <c r="CX1338" s="8">
        <f>118878630</f>
        <v>118878630</v>
      </c>
      <c r="CY1338" s="8">
        <f>33999296</f>
        <v>33999296</v>
      </c>
      <c r="DA1338" s="5" t="s">
        <v>238</v>
      </c>
      <c r="DB1338" s="5" t="s">
        <v>238</v>
      </c>
      <c r="DD1338" s="5" t="s">
        <v>238</v>
      </c>
      <c r="DE1338" s="8">
        <f>0</f>
        <v>0</v>
      </c>
      <c r="DG1338" s="5" t="s">
        <v>238</v>
      </c>
      <c r="DH1338" s="5" t="s">
        <v>238</v>
      </c>
      <c r="DI1338" s="5" t="s">
        <v>238</v>
      </c>
      <c r="DJ1338" s="5" t="s">
        <v>238</v>
      </c>
      <c r="DK1338" s="5" t="s">
        <v>271</v>
      </c>
      <c r="DL1338" s="5" t="s">
        <v>272</v>
      </c>
      <c r="DM1338" s="7">
        <f>481.29</f>
        <v>481.29</v>
      </c>
      <c r="DN1338" s="5" t="s">
        <v>238</v>
      </c>
      <c r="DO1338" s="5" t="s">
        <v>238</v>
      </c>
      <c r="DP1338" s="5" t="s">
        <v>238</v>
      </c>
      <c r="DQ1338" s="5" t="s">
        <v>238</v>
      </c>
      <c r="DT1338" s="5" t="s">
        <v>1470</v>
      </c>
      <c r="DU1338" s="5" t="s">
        <v>271</v>
      </c>
      <c r="GL1338" s="5" t="s">
        <v>1471</v>
      </c>
      <c r="HM1338" s="5" t="s">
        <v>313</v>
      </c>
      <c r="HP1338" s="5" t="s">
        <v>272</v>
      </c>
      <c r="HQ1338" s="5" t="s">
        <v>272</v>
      </c>
      <c r="HR1338" s="5" t="s">
        <v>238</v>
      </c>
      <c r="HS1338" s="5" t="s">
        <v>238</v>
      </c>
      <c r="HT1338" s="5" t="s">
        <v>238</v>
      </c>
      <c r="HU1338" s="5" t="s">
        <v>238</v>
      </c>
      <c r="HV1338" s="5" t="s">
        <v>238</v>
      </c>
      <c r="HW1338" s="5" t="s">
        <v>238</v>
      </c>
      <c r="HX1338" s="5" t="s">
        <v>238</v>
      </c>
      <c r="HY1338" s="5" t="s">
        <v>238</v>
      </c>
      <c r="HZ1338" s="5" t="s">
        <v>238</v>
      </c>
      <c r="IA1338" s="5" t="s">
        <v>238</v>
      </c>
      <c r="IB1338" s="5" t="s">
        <v>238</v>
      </c>
      <c r="IC1338" s="5" t="s">
        <v>238</v>
      </c>
      <c r="ID1338" s="5" t="s">
        <v>238</v>
      </c>
    </row>
    <row r="1339" spans="1:238" x14ac:dyDescent="0.4">
      <c r="A1339" s="5">
        <v>1687</v>
      </c>
      <c r="B1339" s="5">
        <v>1</v>
      </c>
      <c r="C1339" s="5">
        <v>1</v>
      </c>
      <c r="D1339" s="5" t="s">
        <v>1467</v>
      </c>
      <c r="E1339" s="5" t="s">
        <v>338</v>
      </c>
      <c r="F1339" s="5" t="s">
        <v>282</v>
      </c>
      <c r="G1339" s="5" t="s">
        <v>1309</v>
      </c>
      <c r="H1339" s="6" t="s">
        <v>1469</v>
      </c>
      <c r="I1339" s="5" t="s">
        <v>1309</v>
      </c>
      <c r="J1339" s="7">
        <f>40.57</f>
        <v>40.57</v>
      </c>
      <c r="K1339" s="5" t="s">
        <v>270</v>
      </c>
      <c r="L1339" s="8">
        <f>1</f>
        <v>1</v>
      </c>
      <c r="M1339" s="8">
        <f>8763120</f>
        <v>8763120</v>
      </c>
      <c r="N1339" s="6" t="s">
        <v>1468</v>
      </c>
      <c r="O1339" s="5" t="s">
        <v>268</v>
      </c>
      <c r="P1339" s="5" t="s">
        <v>268</v>
      </c>
      <c r="R1339" s="8">
        <f>8763119</f>
        <v>8763119</v>
      </c>
      <c r="S1339" s="5" t="s">
        <v>240</v>
      </c>
      <c r="T1339" s="5" t="s">
        <v>237</v>
      </c>
      <c r="U1339" s="5" t="s">
        <v>238</v>
      </c>
      <c r="V1339" s="5" t="s">
        <v>238</v>
      </c>
      <c r="W1339" s="5" t="s">
        <v>241</v>
      </c>
      <c r="X1339" s="5" t="s">
        <v>243</v>
      </c>
      <c r="Y1339" s="5" t="s">
        <v>238</v>
      </c>
      <c r="AB1339" s="5" t="s">
        <v>238</v>
      </c>
      <c r="AD1339" s="6" t="s">
        <v>238</v>
      </c>
      <c r="AG1339" s="6" t="s">
        <v>246</v>
      </c>
      <c r="AH1339" s="5" t="s">
        <v>247</v>
      </c>
      <c r="AI1339" s="5" t="s">
        <v>248</v>
      </c>
      <c r="AY1339" s="5" t="s">
        <v>250</v>
      </c>
      <c r="AZ1339" s="5" t="s">
        <v>238</v>
      </c>
      <c r="BA1339" s="5" t="s">
        <v>251</v>
      </c>
      <c r="BB1339" s="5" t="s">
        <v>238</v>
      </c>
      <c r="BC1339" s="5" t="s">
        <v>253</v>
      </c>
      <c r="BD1339" s="5" t="s">
        <v>238</v>
      </c>
      <c r="BF1339" s="5" t="s">
        <v>238</v>
      </c>
      <c r="BH1339" s="5" t="s">
        <v>254</v>
      </c>
      <c r="BI1339" s="6" t="s">
        <v>246</v>
      </c>
      <c r="BJ1339" s="5" t="s">
        <v>255</v>
      </c>
      <c r="BK1339" s="5" t="s">
        <v>294</v>
      </c>
      <c r="BL1339" s="5" t="s">
        <v>238</v>
      </c>
      <c r="BM1339" s="7">
        <f>0</f>
        <v>0</v>
      </c>
      <c r="BN1339" s="8">
        <f>0</f>
        <v>0</v>
      </c>
      <c r="BO1339" s="5" t="s">
        <v>257</v>
      </c>
      <c r="BP1339" s="5" t="s">
        <v>258</v>
      </c>
      <c r="CD1339" s="5" t="s">
        <v>238</v>
      </c>
      <c r="CE1339" s="5" t="s">
        <v>238</v>
      </c>
      <c r="CI1339" s="5" t="s">
        <v>259</v>
      </c>
      <c r="CJ1339" s="5" t="s">
        <v>260</v>
      </c>
      <c r="CK1339" s="5" t="s">
        <v>238</v>
      </c>
      <c r="CM1339" s="5" t="s">
        <v>682</v>
      </c>
      <c r="CN1339" s="6" t="s">
        <v>262</v>
      </c>
      <c r="CO1339" s="5" t="s">
        <v>263</v>
      </c>
      <c r="CP1339" s="5" t="s">
        <v>264</v>
      </c>
      <c r="CQ1339" s="5" t="s">
        <v>238</v>
      </c>
      <c r="CR1339" s="5" t="s">
        <v>238</v>
      </c>
      <c r="CS1339" s="5">
        <v>0</v>
      </c>
      <c r="CT1339" s="5" t="s">
        <v>265</v>
      </c>
      <c r="CU1339" s="5" t="s">
        <v>1342</v>
      </c>
      <c r="CV1339" s="5" t="s">
        <v>267</v>
      </c>
      <c r="CX1339" s="8">
        <f>8763120</f>
        <v>8763120</v>
      </c>
      <c r="CY1339" s="8">
        <f>0</f>
        <v>0</v>
      </c>
      <c r="DA1339" s="5" t="s">
        <v>238</v>
      </c>
      <c r="DB1339" s="5" t="s">
        <v>238</v>
      </c>
      <c r="DD1339" s="5" t="s">
        <v>238</v>
      </c>
      <c r="DG1339" s="5" t="s">
        <v>238</v>
      </c>
      <c r="DH1339" s="5" t="s">
        <v>238</v>
      </c>
      <c r="DI1339" s="5" t="s">
        <v>238</v>
      </c>
      <c r="DJ1339" s="5" t="s">
        <v>238</v>
      </c>
      <c r="DK1339" s="5" t="s">
        <v>271</v>
      </c>
      <c r="DL1339" s="5" t="s">
        <v>272</v>
      </c>
      <c r="DM1339" s="7">
        <f>40.57</f>
        <v>40.57</v>
      </c>
      <c r="DN1339" s="5" t="s">
        <v>238</v>
      </c>
      <c r="DO1339" s="5" t="s">
        <v>238</v>
      </c>
      <c r="DP1339" s="5" t="s">
        <v>238</v>
      </c>
      <c r="DQ1339" s="5" t="s">
        <v>238</v>
      </c>
      <c r="DT1339" s="5" t="s">
        <v>1470</v>
      </c>
      <c r="DU1339" s="5" t="s">
        <v>274</v>
      </c>
      <c r="HM1339" s="5" t="s">
        <v>379</v>
      </c>
      <c r="HP1339" s="5" t="s">
        <v>272</v>
      </c>
      <c r="HQ1339" s="5" t="s">
        <v>272</v>
      </c>
    </row>
    <row r="1340" spans="1:238" x14ac:dyDescent="0.4">
      <c r="A1340" s="5">
        <v>1688</v>
      </c>
      <c r="B1340" s="5">
        <v>1</v>
      </c>
      <c r="C1340" s="5">
        <v>1</v>
      </c>
      <c r="D1340" s="5" t="s">
        <v>924</v>
      </c>
      <c r="E1340" s="5" t="s">
        <v>338</v>
      </c>
      <c r="F1340" s="5" t="s">
        <v>282</v>
      </c>
      <c r="G1340" s="5" t="s">
        <v>1384</v>
      </c>
      <c r="H1340" s="6" t="s">
        <v>925</v>
      </c>
      <c r="I1340" s="5" t="s">
        <v>1434</v>
      </c>
      <c r="J1340" s="7">
        <f>165.98</f>
        <v>165.98</v>
      </c>
      <c r="K1340" s="5" t="s">
        <v>270</v>
      </c>
      <c r="L1340" s="8">
        <f>1</f>
        <v>1</v>
      </c>
      <c r="M1340" s="8">
        <f>15768100</f>
        <v>15768100</v>
      </c>
      <c r="N1340" s="6" t="s">
        <v>906</v>
      </c>
      <c r="O1340" s="5" t="s">
        <v>651</v>
      </c>
      <c r="P1340" s="5" t="s">
        <v>909</v>
      </c>
      <c r="R1340" s="8">
        <f>15768099</f>
        <v>15768099</v>
      </c>
      <c r="S1340" s="5" t="s">
        <v>240</v>
      </c>
      <c r="T1340" s="5" t="s">
        <v>237</v>
      </c>
      <c r="U1340" s="5" t="s">
        <v>238</v>
      </c>
      <c r="V1340" s="5" t="s">
        <v>238</v>
      </c>
      <c r="W1340" s="5" t="s">
        <v>241</v>
      </c>
      <c r="X1340" s="5" t="s">
        <v>243</v>
      </c>
      <c r="Y1340" s="5" t="s">
        <v>238</v>
      </c>
      <c r="AB1340" s="5" t="s">
        <v>238</v>
      </c>
      <c r="AD1340" s="6" t="s">
        <v>238</v>
      </c>
      <c r="AG1340" s="6" t="s">
        <v>246</v>
      </c>
      <c r="AH1340" s="5" t="s">
        <v>247</v>
      </c>
      <c r="AI1340" s="5" t="s">
        <v>248</v>
      </c>
      <c r="AY1340" s="5" t="s">
        <v>250</v>
      </c>
      <c r="AZ1340" s="5" t="s">
        <v>238</v>
      </c>
      <c r="BA1340" s="5" t="s">
        <v>251</v>
      </c>
      <c r="BB1340" s="5" t="s">
        <v>238</v>
      </c>
      <c r="BC1340" s="5" t="s">
        <v>253</v>
      </c>
      <c r="BD1340" s="5" t="s">
        <v>238</v>
      </c>
      <c r="BF1340" s="5" t="s">
        <v>238</v>
      </c>
      <c r="BH1340" s="5" t="s">
        <v>254</v>
      </c>
      <c r="BI1340" s="6" t="s">
        <v>246</v>
      </c>
      <c r="BJ1340" s="5" t="s">
        <v>255</v>
      </c>
      <c r="BK1340" s="5" t="s">
        <v>256</v>
      </c>
      <c r="BL1340" s="5" t="s">
        <v>238</v>
      </c>
      <c r="BM1340" s="7">
        <f>0</f>
        <v>0</v>
      </c>
      <c r="BN1340" s="8">
        <f>0</f>
        <v>0</v>
      </c>
      <c r="BO1340" s="5" t="s">
        <v>257</v>
      </c>
      <c r="BP1340" s="5" t="s">
        <v>258</v>
      </c>
      <c r="CD1340" s="5" t="s">
        <v>238</v>
      </c>
      <c r="CE1340" s="5" t="s">
        <v>238</v>
      </c>
      <c r="CI1340" s="5" t="s">
        <v>527</v>
      </c>
      <c r="CJ1340" s="5" t="s">
        <v>260</v>
      </c>
      <c r="CK1340" s="5" t="s">
        <v>238</v>
      </c>
      <c r="CM1340" s="5" t="s">
        <v>908</v>
      </c>
      <c r="CN1340" s="6" t="s">
        <v>262</v>
      </c>
      <c r="CO1340" s="5" t="s">
        <v>263</v>
      </c>
      <c r="CP1340" s="5" t="s">
        <v>264</v>
      </c>
      <c r="CQ1340" s="5" t="s">
        <v>238</v>
      </c>
      <c r="CR1340" s="5" t="s">
        <v>238</v>
      </c>
      <c r="CS1340" s="5">
        <v>0</v>
      </c>
      <c r="CT1340" s="5" t="s">
        <v>265</v>
      </c>
      <c r="CU1340" s="5" t="s">
        <v>1325</v>
      </c>
      <c r="CV1340" s="5" t="s">
        <v>267</v>
      </c>
      <c r="CX1340" s="8">
        <f>15768100</f>
        <v>15768100</v>
      </c>
      <c r="CY1340" s="8">
        <f>0</f>
        <v>0</v>
      </c>
      <c r="DA1340" s="5" t="s">
        <v>238</v>
      </c>
      <c r="DB1340" s="5" t="s">
        <v>238</v>
      </c>
      <c r="DD1340" s="5" t="s">
        <v>238</v>
      </c>
      <c r="DG1340" s="5" t="s">
        <v>238</v>
      </c>
      <c r="DH1340" s="5" t="s">
        <v>238</v>
      </c>
      <c r="DI1340" s="5" t="s">
        <v>238</v>
      </c>
      <c r="DJ1340" s="5" t="s">
        <v>238</v>
      </c>
      <c r="DK1340" s="5" t="s">
        <v>271</v>
      </c>
      <c r="DL1340" s="5" t="s">
        <v>272</v>
      </c>
      <c r="DM1340" s="7">
        <f>165.98</f>
        <v>165.98</v>
      </c>
      <c r="DN1340" s="5" t="s">
        <v>238</v>
      </c>
      <c r="DO1340" s="5" t="s">
        <v>238</v>
      </c>
      <c r="DP1340" s="5" t="s">
        <v>238</v>
      </c>
      <c r="DQ1340" s="5" t="s">
        <v>238</v>
      </c>
      <c r="DT1340" s="5" t="s">
        <v>926</v>
      </c>
      <c r="DU1340" s="5" t="s">
        <v>271</v>
      </c>
      <c r="HM1340" s="5" t="s">
        <v>271</v>
      </c>
      <c r="HP1340" s="5" t="s">
        <v>272</v>
      </c>
      <c r="HQ1340" s="5" t="s">
        <v>272</v>
      </c>
    </row>
    <row r="1341" spans="1:238" x14ac:dyDescent="0.4">
      <c r="A1341" s="5">
        <v>1689</v>
      </c>
      <c r="B1341" s="5">
        <v>1</v>
      </c>
      <c r="C1341" s="5">
        <v>1</v>
      </c>
      <c r="D1341" s="5" t="s">
        <v>924</v>
      </c>
      <c r="E1341" s="5" t="s">
        <v>338</v>
      </c>
      <c r="F1341" s="5" t="s">
        <v>282</v>
      </c>
      <c r="G1341" s="5" t="s">
        <v>1181</v>
      </c>
      <c r="H1341" s="6" t="s">
        <v>925</v>
      </c>
      <c r="I1341" s="5" t="s">
        <v>1181</v>
      </c>
      <c r="J1341" s="7">
        <f>9.94</f>
        <v>9.94</v>
      </c>
      <c r="K1341" s="5" t="s">
        <v>270</v>
      </c>
      <c r="L1341" s="8">
        <f>1</f>
        <v>1</v>
      </c>
      <c r="M1341" s="8">
        <f>596400</f>
        <v>596400</v>
      </c>
      <c r="N1341" s="6" t="s">
        <v>906</v>
      </c>
      <c r="O1341" s="5" t="s">
        <v>631</v>
      </c>
      <c r="P1341" s="5" t="s">
        <v>909</v>
      </c>
      <c r="R1341" s="8">
        <f>596399</f>
        <v>596399</v>
      </c>
      <c r="S1341" s="5" t="s">
        <v>240</v>
      </c>
      <c r="T1341" s="5" t="s">
        <v>237</v>
      </c>
      <c r="U1341" s="5" t="s">
        <v>238</v>
      </c>
      <c r="V1341" s="5" t="s">
        <v>238</v>
      </c>
      <c r="W1341" s="5" t="s">
        <v>241</v>
      </c>
      <c r="X1341" s="5" t="s">
        <v>243</v>
      </c>
      <c r="Y1341" s="5" t="s">
        <v>238</v>
      </c>
      <c r="AB1341" s="5" t="s">
        <v>238</v>
      </c>
      <c r="AD1341" s="6" t="s">
        <v>238</v>
      </c>
      <c r="AG1341" s="6" t="s">
        <v>246</v>
      </c>
      <c r="AH1341" s="5" t="s">
        <v>247</v>
      </c>
      <c r="AI1341" s="5" t="s">
        <v>248</v>
      </c>
      <c r="AY1341" s="5" t="s">
        <v>250</v>
      </c>
      <c r="AZ1341" s="5" t="s">
        <v>238</v>
      </c>
      <c r="BA1341" s="5" t="s">
        <v>251</v>
      </c>
      <c r="BB1341" s="5" t="s">
        <v>238</v>
      </c>
      <c r="BC1341" s="5" t="s">
        <v>253</v>
      </c>
      <c r="BD1341" s="5" t="s">
        <v>238</v>
      </c>
      <c r="BF1341" s="5" t="s">
        <v>238</v>
      </c>
      <c r="BH1341" s="5" t="s">
        <v>254</v>
      </c>
      <c r="BI1341" s="6" t="s">
        <v>246</v>
      </c>
      <c r="BJ1341" s="5" t="s">
        <v>255</v>
      </c>
      <c r="BK1341" s="5" t="s">
        <v>256</v>
      </c>
      <c r="BL1341" s="5" t="s">
        <v>238</v>
      </c>
      <c r="BM1341" s="7">
        <f>0</f>
        <v>0</v>
      </c>
      <c r="BN1341" s="8">
        <f>0</f>
        <v>0</v>
      </c>
      <c r="BO1341" s="5" t="s">
        <v>257</v>
      </c>
      <c r="BP1341" s="5" t="s">
        <v>258</v>
      </c>
      <c r="CD1341" s="5" t="s">
        <v>238</v>
      </c>
      <c r="CE1341" s="5" t="s">
        <v>238</v>
      </c>
      <c r="CI1341" s="5" t="s">
        <v>527</v>
      </c>
      <c r="CJ1341" s="5" t="s">
        <v>260</v>
      </c>
      <c r="CK1341" s="5" t="s">
        <v>238</v>
      </c>
      <c r="CM1341" s="5" t="s">
        <v>908</v>
      </c>
      <c r="CN1341" s="6" t="s">
        <v>262</v>
      </c>
      <c r="CO1341" s="5" t="s">
        <v>263</v>
      </c>
      <c r="CP1341" s="5" t="s">
        <v>264</v>
      </c>
      <c r="CQ1341" s="5" t="s">
        <v>238</v>
      </c>
      <c r="CR1341" s="5" t="s">
        <v>238</v>
      </c>
      <c r="CS1341" s="5">
        <v>0</v>
      </c>
      <c r="CT1341" s="5" t="s">
        <v>265</v>
      </c>
      <c r="CU1341" s="5" t="s">
        <v>1187</v>
      </c>
      <c r="CV1341" s="5" t="s">
        <v>267</v>
      </c>
      <c r="CX1341" s="8">
        <f>596400</f>
        <v>596400</v>
      </c>
      <c r="CY1341" s="8">
        <f>0</f>
        <v>0</v>
      </c>
      <c r="DA1341" s="5" t="s">
        <v>238</v>
      </c>
      <c r="DB1341" s="5" t="s">
        <v>238</v>
      </c>
      <c r="DD1341" s="5" t="s">
        <v>238</v>
      </c>
      <c r="DG1341" s="5" t="s">
        <v>238</v>
      </c>
      <c r="DH1341" s="5" t="s">
        <v>238</v>
      </c>
      <c r="DI1341" s="5" t="s">
        <v>238</v>
      </c>
      <c r="DJ1341" s="5" t="s">
        <v>238</v>
      </c>
      <c r="DK1341" s="5" t="s">
        <v>271</v>
      </c>
      <c r="DL1341" s="5" t="s">
        <v>272</v>
      </c>
      <c r="DM1341" s="7">
        <f>9.94</f>
        <v>9.94</v>
      </c>
      <c r="DN1341" s="5" t="s">
        <v>238</v>
      </c>
      <c r="DO1341" s="5" t="s">
        <v>238</v>
      </c>
      <c r="DP1341" s="5" t="s">
        <v>238</v>
      </c>
      <c r="DQ1341" s="5" t="s">
        <v>238</v>
      </c>
      <c r="DT1341" s="5" t="s">
        <v>926</v>
      </c>
      <c r="DU1341" s="5" t="s">
        <v>274</v>
      </c>
      <c r="HM1341" s="5" t="s">
        <v>271</v>
      </c>
      <c r="HP1341" s="5" t="s">
        <v>272</v>
      </c>
      <c r="HQ1341" s="5" t="s">
        <v>272</v>
      </c>
    </row>
    <row r="1342" spans="1:238" x14ac:dyDescent="0.4">
      <c r="A1342" s="5">
        <v>1690</v>
      </c>
      <c r="B1342" s="5">
        <v>1</v>
      </c>
      <c r="C1342" s="5">
        <v>1</v>
      </c>
      <c r="D1342" s="5" t="s">
        <v>924</v>
      </c>
      <c r="E1342" s="5" t="s">
        <v>338</v>
      </c>
      <c r="F1342" s="5" t="s">
        <v>282</v>
      </c>
      <c r="G1342" s="5" t="s">
        <v>239</v>
      </c>
      <c r="H1342" s="6" t="s">
        <v>925</v>
      </c>
      <c r="I1342" s="5" t="s">
        <v>239</v>
      </c>
      <c r="J1342" s="7">
        <f>9.94</f>
        <v>9.94</v>
      </c>
      <c r="K1342" s="5" t="s">
        <v>270</v>
      </c>
      <c r="L1342" s="8">
        <f>1</f>
        <v>1</v>
      </c>
      <c r="M1342" s="8">
        <f>596400</f>
        <v>596400</v>
      </c>
      <c r="N1342" s="6" t="s">
        <v>906</v>
      </c>
      <c r="O1342" s="5" t="s">
        <v>268</v>
      </c>
      <c r="P1342" s="5" t="s">
        <v>909</v>
      </c>
      <c r="R1342" s="8">
        <f>596399</f>
        <v>596399</v>
      </c>
      <c r="S1342" s="5" t="s">
        <v>240</v>
      </c>
      <c r="T1342" s="5" t="s">
        <v>237</v>
      </c>
      <c r="U1342" s="5" t="s">
        <v>238</v>
      </c>
      <c r="V1342" s="5" t="s">
        <v>238</v>
      </c>
      <c r="W1342" s="5" t="s">
        <v>241</v>
      </c>
      <c r="X1342" s="5" t="s">
        <v>243</v>
      </c>
      <c r="Y1342" s="5" t="s">
        <v>238</v>
      </c>
      <c r="AB1342" s="5" t="s">
        <v>238</v>
      </c>
      <c r="AD1342" s="6" t="s">
        <v>238</v>
      </c>
      <c r="AG1342" s="6" t="s">
        <v>246</v>
      </c>
      <c r="AH1342" s="5" t="s">
        <v>247</v>
      </c>
      <c r="AI1342" s="5" t="s">
        <v>248</v>
      </c>
      <c r="AY1342" s="5" t="s">
        <v>250</v>
      </c>
      <c r="AZ1342" s="5" t="s">
        <v>238</v>
      </c>
      <c r="BA1342" s="5" t="s">
        <v>251</v>
      </c>
      <c r="BB1342" s="5" t="s">
        <v>238</v>
      </c>
      <c r="BC1342" s="5" t="s">
        <v>253</v>
      </c>
      <c r="BD1342" s="5" t="s">
        <v>238</v>
      </c>
      <c r="BF1342" s="5" t="s">
        <v>238</v>
      </c>
      <c r="BH1342" s="5" t="s">
        <v>254</v>
      </c>
      <c r="BI1342" s="6" t="s">
        <v>246</v>
      </c>
      <c r="BJ1342" s="5" t="s">
        <v>255</v>
      </c>
      <c r="BK1342" s="5" t="s">
        <v>256</v>
      </c>
      <c r="BL1342" s="5" t="s">
        <v>238</v>
      </c>
      <c r="BM1342" s="7">
        <f>0</f>
        <v>0</v>
      </c>
      <c r="BN1342" s="8">
        <f>0</f>
        <v>0</v>
      </c>
      <c r="BO1342" s="5" t="s">
        <v>257</v>
      </c>
      <c r="BP1342" s="5" t="s">
        <v>258</v>
      </c>
      <c r="CD1342" s="5" t="s">
        <v>238</v>
      </c>
      <c r="CE1342" s="5" t="s">
        <v>238</v>
      </c>
      <c r="CI1342" s="5" t="s">
        <v>527</v>
      </c>
      <c r="CJ1342" s="5" t="s">
        <v>260</v>
      </c>
      <c r="CK1342" s="5" t="s">
        <v>238</v>
      </c>
      <c r="CM1342" s="5" t="s">
        <v>908</v>
      </c>
      <c r="CN1342" s="6" t="s">
        <v>262</v>
      </c>
      <c r="CO1342" s="5" t="s">
        <v>263</v>
      </c>
      <c r="CP1342" s="5" t="s">
        <v>264</v>
      </c>
      <c r="CQ1342" s="5" t="s">
        <v>238</v>
      </c>
      <c r="CR1342" s="5" t="s">
        <v>238</v>
      </c>
      <c r="CS1342" s="5">
        <v>0</v>
      </c>
      <c r="CT1342" s="5" t="s">
        <v>265</v>
      </c>
      <c r="CU1342" s="5" t="s">
        <v>266</v>
      </c>
      <c r="CV1342" s="5" t="s">
        <v>267</v>
      </c>
      <c r="CX1342" s="8">
        <f>596400</f>
        <v>596400</v>
      </c>
      <c r="CY1342" s="8">
        <f>0</f>
        <v>0</v>
      </c>
      <c r="DA1342" s="5" t="s">
        <v>238</v>
      </c>
      <c r="DB1342" s="5" t="s">
        <v>238</v>
      </c>
      <c r="DD1342" s="5" t="s">
        <v>238</v>
      </c>
      <c r="DG1342" s="5" t="s">
        <v>238</v>
      </c>
      <c r="DH1342" s="5" t="s">
        <v>238</v>
      </c>
      <c r="DI1342" s="5" t="s">
        <v>238</v>
      </c>
      <c r="DJ1342" s="5" t="s">
        <v>238</v>
      </c>
      <c r="DK1342" s="5" t="s">
        <v>271</v>
      </c>
      <c r="DL1342" s="5" t="s">
        <v>272</v>
      </c>
      <c r="DM1342" s="7">
        <f>9.94</f>
        <v>9.94</v>
      </c>
      <c r="DN1342" s="5" t="s">
        <v>238</v>
      </c>
      <c r="DO1342" s="5" t="s">
        <v>238</v>
      </c>
      <c r="DP1342" s="5" t="s">
        <v>238</v>
      </c>
      <c r="DQ1342" s="5" t="s">
        <v>238</v>
      </c>
      <c r="DT1342" s="5" t="s">
        <v>926</v>
      </c>
      <c r="DU1342" s="5" t="s">
        <v>356</v>
      </c>
      <c r="HM1342" s="5" t="s">
        <v>271</v>
      </c>
      <c r="HP1342" s="5" t="s">
        <v>272</v>
      </c>
      <c r="HQ1342" s="5" t="s">
        <v>272</v>
      </c>
    </row>
    <row r="1343" spans="1:238" x14ac:dyDescent="0.4">
      <c r="A1343" s="5">
        <v>1691</v>
      </c>
      <c r="B1343" s="5">
        <v>1</v>
      </c>
      <c r="C1343" s="5">
        <v>1</v>
      </c>
      <c r="D1343" s="5" t="s">
        <v>1450</v>
      </c>
      <c r="E1343" s="5" t="s">
        <v>338</v>
      </c>
      <c r="F1343" s="5" t="s">
        <v>282</v>
      </c>
      <c r="G1343" s="5" t="s">
        <v>1007</v>
      </c>
      <c r="H1343" s="6" t="s">
        <v>1452</v>
      </c>
      <c r="I1343" s="5" t="s">
        <v>1449</v>
      </c>
      <c r="J1343" s="7">
        <f>195</f>
        <v>195</v>
      </c>
      <c r="K1343" s="5" t="s">
        <v>270</v>
      </c>
      <c r="L1343" s="8">
        <f>1</f>
        <v>1</v>
      </c>
      <c r="M1343" s="8">
        <f>84240000</f>
        <v>84240000</v>
      </c>
      <c r="N1343" s="6" t="s">
        <v>1451</v>
      </c>
      <c r="O1343" s="5" t="s">
        <v>651</v>
      </c>
      <c r="P1343" s="5" t="s">
        <v>651</v>
      </c>
      <c r="R1343" s="8">
        <f>84239999</f>
        <v>84239999</v>
      </c>
      <c r="S1343" s="5" t="s">
        <v>240</v>
      </c>
      <c r="T1343" s="5" t="s">
        <v>237</v>
      </c>
      <c r="U1343" s="5" t="s">
        <v>238</v>
      </c>
      <c r="V1343" s="5" t="s">
        <v>238</v>
      </c>
      <c r="W1343" s="5" t="s">
        <v>241</v>
      </c>
      <c r="X1343" s="5" t="s">
        <v>243</v>
      </c>
      <c r="Y1343" s="5" t="s">
        <v>238</v>
      </c>
      <c r="AB1343" s="5" t="s">
        <v>238</v>
      </c>
      <c r="AD1343" s="6" t="s">
        <v>238</v>
      </c>
      <c r="AG1343" s="6" t="s">
        <v>246</v>
      </c>
      <c r="AH1343" s="5" t="s">
        <v>247</v>
      </c>
      <c r="AI1343" s="5" t="s">
        <v>248</v>
      </c>
      <c r="AY1343" s="5" t="s">
        <v>250</v>
      </c>
      <c r="AZ1343" s="5" t="s">
        <v>238</v>
      </c>
      <c r="BA1343" s="5" t="s">
        <v>251</v>
      </c>
      <c r="BB1343" s="5" t="s">
        <v>238</v>
      </c>
      <c r="BC1343" s="5" t="s">
        <v>253</v>
      </c>
      <c r="BD1343" s="5" t="s">
        <v>238</v>
      </c>
      <c r="BF1343" s="5" t="s">
        <v>238</v>
      </c>
      <c r="BH1343" s="5" t="s">
        <v>254</v>
      </c>
      <c r="BI1343" s="6" t="s">
        <v>246</v>
      </c>
      <c r="BJ1343" s="5" t="s">
        <v>255</v>
      </c>
      <c r="BK1343" s="5" t="s">
        <v>294</v>
      </c>
      <c r="BL1343" s="5" t="s">
        <v>238</v>
      </c>
      <c r="BM1343" s="7">
        <f>0</f>
        <v>0</v>
      </c>
      <c r="BN1343" s="8">
        <f>0</f>
        <v>0</v>
      </c>
      <c r="BO1343" s="5" t="s">
        <v>257</v>
      </c>
      <c r="BP1343" s="5" t="s">
        <v>258</v>
      </c>
      <c r="CD1343" s="5" t="s">
        <v>238</v>
      </c>
      <c r="CE1343" s="5" t="s">
        <v>238</v>
      </c>
      <c r="CI1343" s="5" t="s">
        <v>259</v>
      </c>
      <c r="CJ1343" s="5" t="s">
        <v>260</v>
      </c>
      <c r="CK1343" s="5" t="s">
        <v>238</v>
      </c>
      <c r="CM1343" s="5" t="s">
        <v>638</v>
      </c>
      <c r="CN1343" s="6" t="s">
        <v>262</v>
      </c>
      <c r="CO1343" s="5" t="s">
        <v>263</v>
      </c>
      <c r="CP1343" s="5" t="s">
        <v>264</v>
      </c>
      <c r="CQ1343" s="5" t="s">
        <v>238</v>
      </c>
      <c r="CR1343" s="5" t="s">
        <v>238</v>
      </c>
      <c r="CS1343" s="5">
        <v>0</v>
      </c>
      <c r="CT1343" s="5" t="s">
        <v>265</v>
      </c>
      <c r="CU1343" s="5" t="s">
        <v>1325</v>
      </c>
      <c r="CV1343" s="5" t="s">
        <v>267</v>
      </c>
      <c r="CX1343" s="8">
        <f>84240000</f>
        <v>84240000</v>
      </c>
      <c r="CY1343" s="8">
        <f>0</f>
        <v>0</v>
      </c>
      <c r="DA1343" s="5" t="s">
        <v>238</v>
      </c>
      <c r="DB1343" s="5" t="s">
        <v>238</v>
      </c>
      <c r="DD1343" s="5" t="s">
        <v>238</v>
      </c>
      <c r="DG1343" s="5" t="s">
        <v>238</v>
      </c>
      <c r="DH1343" s="5" t="s">
        <v>238</v>
      </c>
      <c r="DI1343" s="5" t="s">
        <v>238</v>
      </c>
      <c r="DJ1343" s="5" t="s">
        <v>238</v>
      </c>
      <c r="DK1343" s="5" t="s">
        <v>271</v>
      </c>
      <c r="DL1343" s="5" t="s">
        <v>272</v>
      </c>
      <c r="DM1343" s="7">
        <f>195</f>
        <v>195</v>
      </c>
      <c r="DN1343" s="5" t="s">
        <v>238</v>
      </c>
      <c r="DO1343" s="5" t="s">
        <v>238</v>
      </c>
      <c r="DP1343" s="5" t="s">
        <v>238</v>
      </c>
      <c r="DQ1343" s="5" t="s">
        <v>238</v>
      </c>
      <c r="DT1343" s="5" t="s">
        <v>1453</v>
      </c>
      <c r="DU1343" s="5" t="s">
        <v>271</v>
      </c>
      <c r="HM1343" s="5" t="s">
        <v>379</v>
      </c>
      <c r="HP1343" s="5" t="s">
        <v>272</v>
      </c>
      <c r="HQ1343" s="5" t="s">
        <v>272</v>
      </c>
    </row>
    <row r="1344" spans="1:238" x14ac:dyDescent="0.4">
      <c r="A1344" s="5">
        <v>1692</v>
      </c>
      <c r="B1344" s="5">
        <v>1</v>
      </c>
      <c r="C1344" s="5">
        <v>4</v>
      </c>
      <c r="D1344" s="5" t="s">
        <v>1450</v>
      </c>
      <c r="E1344" s="5" t="s">
        <v>338</v>
      </c>
      <c r="F1344" s="5" t="s">
        <v>282</v>
      </c>
      <c r="G1344" s="5" t="s">
        <v>327</v>
      </c>
      <c r="H1344" s="6" t="s">
        <v>1452</v>
      </c>
      <c r="I1344" s="5" t="s">
        <v>1449</v>
      </c>
      <c r="J1344" s="7">
        <f>303</f>
        <v>303</v>
      </c>
      <c r="K1344" s="5" t="s">
        <v>270</v>
      </c>
      <c r="L1344" s="8">
        <f>30053358</f>
        <v>30053358</v>
      </c>
      <c r="M1344" s="8">
        <f>110898000</f>
        <v>110898000</v>
      </c>
      <c r="N1344" s="6" t="s">
        <v>1451</v>
      </c>
      <c r="O1344" s="5" t="s">
        <v>639</v>
      </c>
      <c r="P1344" s="5" t="s">
        <v>640</v>
      </c>
      <c r="Q1344" s="8">
        <f>2994246</f>
        <v>2994246</v>
      </c>
      <c r="R1344" s="8">
        <f>80844642</f>
        <v>80844642</v>
      </c>
      <c r="S1344" s="5" t="s">
        <v>240</v>
      </c>
      <c r="T1344" s="5" t="s">
        <v>237</v>
      </c>
      <c r="U1344" s="5" t="s">
        <v>238</v>
      </c>
      <c r="V1344" s="5" t="s">
        <v>238</v>
      </c>
      <c r="W1344" s="5" t="s">
        <v>241</v>
      </c>
      <c r="X1344" s="5" t="s">
        <v>243</v>
      </c>
      <c r="Y1344" s="5" t="s">
        <v>238</v>
      </c>
      <c r="AB1344" s="5" t="s">
        <v>238</v>
      </c>
      <c r="AC1344" s="6" t="s">
        <v>238</v>
      </c>
      <c r="AD1344" s="6" t="s">
        <v>238</v>
      </c>
      <c r="AF1344" s="6" t="s">
        <v>238</v>
      </c>
      <c r="AG1344" s="6" t="s">
        <v>246</v>
      </c>
      <c r="AH1344" s="5" t="s">
        <v>247</v>
      </c>
      <c r="AI1344" s="5" t="s">
        <v>248</v>
      </c>
      <c r="AO1344" s="5" t="s">
        <v>238</v>
      </c>
      <c r="AP1344" s="5" t="s">
        <v>238</v>
      </c>
      <c r="AQ1344" s="5" t="s">
        <v>238</v>
      </c>
      <c r="AR1344" s="6" t="s">
        <v>238</v>
      </c>
      <c r="AS1344" s="6" t="s">
        <v>238</v>
      </c>
      <c r="AT1344" s="6" t="s">
        <v>238</v>
      </c>
      <c r="AW1344" s="5" t="s">
        <v>304</v>
      </c>
      <c r="AX1344" s="5" t="s">
        <v>304</v>
      </c>
      <c r="AY1344" s="5" t="s">
        <v>250</v>
      </c>
      <c r="AZ1344" s="5" t="s">
        <v>305</v>
      </c>
      <c r="BA1344" s="5" t="s">
        <v>251</v>
      </c>
      <c r="BB1344" s="5" t="s">
        <v>238</v>
      </c>
      <c r="BC1344" s="5" t="s">
        <v>253</v>
      </c>
      <c r="BD1344" s="5" t="s">
        <v>238</v>
      </c>
      <c r="BF1344" s="5" t="s">
        <v>238</v>
      </c>
      <c r="BH1344" s="5" t="s">
        <v>283</v>
      </c>
      <c r="BI1344" s="6" t="s">
        <v>293</v>
      </c>
      <c r="BJ1344" s="5" t="s">
        <v>294</v>
      </c>
      <c r="BK1344" s="5" t="s">
        <v>294</v>
      </c>
      <c r="BL1344" s="5" t="s">
        <v>238</v>
      </c>
      <c r="BM1344" s="7">
        <f>0</f>
        <v>0</v>
      </c>
      <c r="BN1344" s="8">
        <f>-2994246</f>
        <v>-2994246</v>
      </c>
      <c r="BO1344" s="5" t="s">
        <v>257</v>
      </c>
      <c r="BP1344" s="5" t="s">
        <v>258</v>
      </c>
      <c r="BQ1344" s="5" t="s">
        <v>238</v>
      </c>
      <c r="BR1344" s="5" t="s">
        <v>238</v>
      </c>
      <c r="BS1344" s="5" t="s">
        <v>238</v>
      </c>
      <c r="BT1344" s="5" t="s">
        <v>238</v>
      </c>
      <c r="CC1344" s="5" t="s">
        <v>258</v>
      </c>
      <c r="CD1344" s="5" t="s">
        <v>238</v>
      </c>
      <c r="CE1344" s="5" t="s">
        <v>238</v>
      </c>
      <c r="CI1344" s="5" t="s">
        <v>259</v>
      </c>
      <c r="CJ1344" s="5" t="s">
        <v>260</v>
      </c>
      <c r="CK1344" s="5" t="s">
        <v>238</v>
      </c>
      <c r="CM1344" s="5" t="s">
        <v>638</v>
      </c>
      <c r="CN1344" s="6" t="s">
        <v>262</v>
      </c>
      <c r="CO1344" s="5" t="s">
        <v>263</v>
      </c>
      <c r="CP1344" s="5" t="s">
        <v>264</v>
      </c>
      <c r="CQ1344" s="5" t="s">
        <v>285</v>
      </c>
      <c r="CR1344" s="5" t="s">
        <v>238</v>
      </c>
      <c r="CS1344" s="5">
        <v>2.7E-2</v>
      </c>
      <c r="CT1344" s="5" t="s">
        <v>265</v>
      </c>
      <c r="CU1344" s="5" t="s">
        <v>1325</v>
      </c>
      <c r="CV1344" s="5" t="s">
        <v>649</v>
      </c>
      <c r="CW1344" s="7">
        <f>0</f>
        <v>0</v>
      </c>
      <c r="CX1344" s="8">
        <f>110898000</f>
        <v>110898000</v>
      </c>
      <c r="CY1344" s="8">
        <f>33047604</f>
        <v>33047604</v>
      </c>
      <c r="DA1344" s="5" t="s">
        <v>238</v>
      </c>
      <c r="DB1344" s="5" t="s">
        <v>238</v>
      </c>
      <c r="DD1344" s="5" t="s">
        <v>238</v>
      </c>
      <c r="DE1344" s="8">
        <f>0</f>
        <v>0</v>
      </c>
      <c r="DG1344" s="5" t="s">
        <v>238</v>
      </c>
      <c r="DH1344" s="5" t="s">
        <v>238</v>
      </c>
      <c r="DI1344" s="5" t="s">
        <v>238</v>
      </c>
      <c r="DJ1344" s="5" t="s">
        <v>238</v>
      </c>
      <c r="DK1344" s="5" t="s">
        <v>271</v>
      </c>
      <c r="DL1344" s="5" t="s">
        <v>272</v>
      </c>
      <c r="DM1344" s="7">
        <f>303</f>
        <v>303</v>
      </c>
      <c r="DN1344" s="5" t="s">
        <v>238</v>
      </c>
      <c r="DO1344" s="5" t="s">
        <v>238</v>
      </c>
      <c r="DP1344" s="5" t="s">
        <v>238</v>
      </c>
      <c r="DQ1344" s="5" t="s">
        <v>238</v>
      </c>
      <c r="DT1344" s="5" t="s">
        <v>1453</v>
      </c>
      <c r="DU1344" s="5" t="s">
        <v>274</v>
      </c>
      <c r="GL1344" s="5" t="s">
        <v>1454</v>
      </c>
      <c r="HM1344" s="5" t="s">
        <v>313</v>
      </c>
      <c r="HP1344" s="5" t="s">
        <v>272</v>
      </c>
      <c r="HQ1344" s="5" t="s">
        <v>272</v>
      </c>
      <c r="HR1344" s="5" t="s">
        <v>238</v>
      </c>
      <c r="HS1344" s="5" t="s">
        <v>238</v>
      </c>
      <c r="HT1344" s="5" t="s">
        <v>238</v>
      </c>
      <c r="HU1344" s="5" t="s">
        <v>238</v>
      </c>
      <c r="HV1344" s="5" t="s">
        <v>238</v>
      </c>
      <c r="HW1344" s="5" t="s">
        <v>238</v>
      </c>
      <c r="HX1344" s="5" t="s">
        <v>238</v>
      </c>
      <c r="HY1344" s="5" t="s">
        <v>238</v>
      </c>
      <c r="HZ1344" s="5" t="s">
        <v>238</v>
      </c>
      <c r="IA1344" s="5" t="s">
        <v>238</v>
      </c>
      <c r="IB1344" s="5" t="s">
        <v>238</v>
      </c>
      <c r="IC1344" s="5" t="s">
        <v>238</v>
      </c>
      <c r="ID1344" s="5" t="s">
        <v>238</v>
      </c>
    </row>
    <row r="1345" spans="1:238" x14ac:dyDescent="0.4">
      <c r="A1345" s="5">
        <v>1693</v>
      </c>
      <c r="B1345" s="5">
        <v>1</v>
      </c>
      <c r="C1345" s="5">
        <v>1</v>
      </c>
      <c r="D1345" s="5" t="s">
        <v>2212</v>
      </c>
      <c r="E1345" s="5" t="s">
        <v>338</v>
      </c>
      <c r="F1345" s="5" t="s">
        <v>282</v>
      </c>
      <c r="G1345" s="5" t="s">
        <v>1309</v>
      </c>
      <c r="H1345" s="6" t="s">
        <v>2213</v>
      </c>
      <c r="I1345" s="5" t="s">
        <v>1309</v>
      </c>
      <c r="J1345" s="7">
        <f>9.9</f>
        <v>9.9</v>
      </c>
      <c r="K1345" s="5" t="s">
        <v>270</v>
      </c>
      <c r="L1345" s="8">
        <f>1</f>
        <v>1</v>
      </c>
      <c r="M1345" s="8">
        <f>940500</f>
        <v>940500</v>
      </c>
      <c r="N1345" s="6" t="s">
        <v>906</v>
      </c>
      <c r="O1345" s="5" t="s">
        <v>268</v>
      </c>
      <c r="P1345" s="5" t="s">
        <v>909</v>
      </c>
      <c r="R1345" s="8">
        <f>940499</f>
        <v>940499</v>
      </c>
      <c r="S1345" s="5" t="s">
        <v>240</v>
      </c>
      <c r="T1345" s="5" t="s">
        <v>237</v>
      </c>
      <c r="U1345" s="5" t="s">
        <v>238</v>
      </c>
      <c r="V1345" s="5" t="s">
        <v>238</v>
      </c>
      <c r="W1345" s="5" t="s">
        <v>241</v>
      </c>
      <c r="X1345" s="5" t="s">
        <v>243</v>
      </c>
      <c r="Y1345" s="5" t="s">
        <v>238</v>
      </c>
      <c r="AB1345" s="5" t="s">
        <v>238</v>
      </c>
      <c r="AD1345" s="6" t="s">
        <v>238</v>
      </c>
      <c r="AG1345" s="6" t="s">
        <v>246</v>
      </c>
      <c r="AH1345" s="5" t="s">
        <v>247</v>
      </c>
      <c r="AI1345" s="5" t="s">
        <v>248</v>
      </c>
      <c r="AY1345" s="5" t="s">
        <v>250</v>
      </c>
      <c r="AZ1345" s="5" t="s">
        <v>238</v>
      </c>
      <c r="BA1345" s="5" t="s">
        <v>251</v>
      </c>
      <c r="BB1345" s="5" t="s">
        <v>238</v>
      </c>
      <c r="BC1345" s="5" t="s">
        <v>253</v>
      </c>
      <c r="BD1345" s="5" t="s">
        <v>238</v>
      </c>
      <c r="BF1345" s="5" t="s">
        <v>710</v>
      </c>
      <c r="BH1345" s="5" t="s">
        <v>859</v>
      </c>
      <c r="BI1345" s="6" t="s">
        <v>368</v>
      </c>
      <c r="BJ1345" s="5" t="s">
        <v>255</v>
      </c>
      <c r="BK1345" s="5" t="s">
        <v>256</v>
      </c>
      <c r="BL1345" s="5" t="s">
        <v>238</v>
      </c>
      <c r="BM1345" s="7">
        <f>0</f>
        <v>0</v>
      </c>
      <c r="BN1345" s="8">
        <f>0</f>
        <v>0</v>
      </c>
      <c r="BO1345" s="5" t="s">
        <v>257</v>
      </c>
      <c r="BP1345" s="5" t="s">
        <v>258</v>
      </c>
      <c r="CD1345" s="5" t="s">
        <v>238</v>
      </c>
      <c r="CE1345" s="5" t="s">
        <v>238</v>
      </c>
      <c r="CI1345" s="5" t="s">
        <v>527</v>
      </c>
      <c r="CJ1345" s="5" t="s">
        <v>260</v>
      </c>
      <c r="CK1345" s="5" t="s">
        <v>238</v>
      </c>
      <c r="CM1345" s="5" t="s">
        <v>908</v>
      </c>
      <c r="CN1345" s="6" t="s">
        <v>262</v>
      </c>
      <c r="CO1345" s="5" t="s">
        <v>263</v>
      </c>
      <c r="CP1345" s="5" t="s">
        <v>264</v>
      </c>
      <c r="CQ1345" s="5" t="s">
        <v>238</v>
      </c>
      <c r="CR1345" s="5" t="s">
        <v>238</v>
      </c>
      <c r="CS1345" s="5">
        <v>0</v>
      </c>
      <c r="CT1345" s="5" t="s">
        <v>265</v>
      </c>
      <c r="CU1345" s="5" t="s">
        <v>1342</v>
      </c>
      <c r="CV1345" s="5" t="s">
        <v>267</v>
      </c>
      <c r="CX1345" s="8">
        <f>940500</f>
        <v>940500</v>
      </c>
      <c r="CY1345" s="8">
        <f>0</f>
        <v>0</v>
      </c>
      <c r="DA1345" s="5" t="s">
        <v>238</v>
      </c>
      <c r="DB1345" s="5" t="s">
        <v>238</v>
      </c>
      <c r="DD1345" s="5" t="s">
        <v>238</v>
      </c>
      <c r="DG1345" s="5" t="s">
        <v>238</v>
      </c>
      <c r="DH1345" s="5" t="s">
        <v>238</v>
      </c>
      <c r="DI1345" s="5" t="s">
        <v>238</v>
      </c>
      <c r="DJ1345" s="5" t="s">
        <v>238</v>
      </c>
      <c r="DK1345" s="5" t="s">
        <v>271</v>
      </c>
      <c r="DL1345" s="5" t="s">
        <v>272</v>
      </c>
      <c r="DM1345" s="7">
        <f>9.9</f>
        <v>9.9</v>
      </c>
      <c r="DN1345" s="5" t="s">
        <v>238</v>
      </c>
      <c r="DO1345" s="5" t="s">
        <v>238</v>
      </c>
      <c r="DP1345" s="5" t="s">
        <v>238</v>
      </c>
      <c r="DQ1345" s="5" t="s">
        <v>238</v>
      </c>
      <c r="DT1345" s="5" t="s">
        <v>2214</v>
      </c>
      <c r="DU1345" s="5" t="s">
        <v>271</v>
      </c>
      <c r="HM1345" s="5" t="s">
        <v>271</v>
      </c>
      <c r="HP1345" s="5" t="s">
        <v>272</v>
      </c>
      <c r="HQ1345" s="5" t="s">
        <v>272</v>
      </c>
    </row>
    <row r="1346" spans="1:238" x14ac:dyDescent="0.4">
      <c r="A1346" s="5">
        <v>1694</v>
      </c>
      <c r="B1346" s="5">
        <v>1</v>
      </c>
      <c r="C1346" s="5">
        <v>1</v>
      </c>
      <c r="D1346" s="5" t="s">
        <v>1436</v>
      </c>
      <c r="E1346" s="5" t="s">
        <v>338</v>
      </c>
      <c r="F1346" s="5" t="s">
        <v>282</v>
      </c>
      <c r="G1346" s="5" t="s">
        <v>1007</v>
      </c>
      <c r="H1346" s="6" t="s">
        <v>1437</v>
      </c>
      <c r="I1346" s="5" t="s">
        <v>1435</v>
      </c>
      <c r="J1346" s="7">
        <f>57</f>
        <v>57</v>
      </c>
      <c r="K1346" s="5" t="s">
        <v>270</v>
      </c>
      <c r="L1346" s="8">
        <f>1</f>
        <v>1</v>
      </c>
      <c r="M1346" s="8">
        <f>5415000</f>
        <v>5415000</v>
      </c>
      <c r="N1346" s="6" t="s">
        <v>906</v>
      </c>
      <c r="O1346" s="5" t="s">
        <v>651</v>
      </c>
      <c r="P1346" s="5" t="s">
        <v>909</v>
      </c>
      <c r="R1346" s="8">
        <f>5414999</f>
        <v>5414999</v>
      </c>
      <c r="S1346" s="5" t="s">
        <v>240</v>
      </c>
      <c r="T1346" s="5" t="s">
        <v>237</v>
      </c>
      <c r="U1346" s="5" t="s">
        <v>238</v>
      </c>
      <c r="V1346" s="5" t="s">
        <v>238</v>
      </c>
      <c r="W1346" s="5" t="s">
        <v>241</v>
      </c>
      <c r="X1346" s="5" t="s">
        <v>243</v>
      </c>
      <c r="Y1346" s="5" t="s">
        <v>238</v>
      </c>
      <c r="AB1346" s="5" t="s">
        <v>238</v>
      </c>
      <c r="AD1346" s="6" t="s">
        <v>238</v>
      </c>
      <c r="AG1346" s="6" t="s">
        <v>246</v>
      </c>
      <c r="AH1346" s="5" t="s">
        <v>247</v>
      </c>
      <c r="AI1346" s="5" t="s">
        <v>248</v>
      </c>
      <c r="AY1346" s="5" t="s">
        <v>250</v>
      </c>
      <c r="AZ1346" s="5" t="s">
        <v>238</v>
      </c>
      <c r="BA1346" s="5" t="s">
        <v>251</v>
      </c>
      <c r="BB1346" s="5" t="s">
        <v>238</v>
      </c>
      <c r="BC1346" s="5" t="s">
        <v>253</v>
      </c>
      <c r="BD1346" s="5" t="s">
        <v>238</v>
      </c>
      <c r="BF1346" s="5" t="s">
        <v>710</v>
      </c>
      <c r="BH1346" s="5" t="s">
        <v>697</v>
      </c>
      <c r="BI1346" s="6" t="s">
        <v>698</v>
      </c>
      <c r="BJ1346" s="5" t="s">
        <v>255</v>
      </c>
      <c r="BK1346" s="5" t="s">
        <v>256</v>
      </c>
      <c r="BL1346" s="5" t="s">
        <v>238</v>
      </c>
      <c r="BM1346" s="7">
        <f>0</f>
        <v>0</v>
      </c>
      <c r="BN1346" s="8">
        <f>0</f>
        <v>0</v>
      </c>
      <c r="BO1346" s="5" t="s">
        <v>257</v>
      </c>
      <c r="BP1346" s="5" t="s">
        <v>258</v>
      </c>
      <c r="CD1346" s="5" t="s">
        <v>238</v>
      </c>
      <c r="CE1346" s="5" t="s">
        <v>238</v>
      </c>
      <c r="CI1346" s="5" t="s">
        <v>527</v>
      </c>
      <c r="CJ1346" s="5" t="s">
        <v>260</v>
      </c>
      <c r="CK1346" s="5" t="s">
        <v>238</v>
      </c>
      <c r="CM1346" s="5" t="s">
        <v>908</v>
      </c>
      <c r="CN1346" s="6" t="s">
        <v>262</v>
      </c>
      <c r="CO1346" s="5" t="s">
        <v>263</v>
      </c>
      <c r="CP1346" s="5" t="s">
        <v>264</v>
      </c>
      <c r="CQ1346" s="5" t="s">
        <v>238</v>
      </c>
      <c r="CR1346" s="5" t="s">
        <v>238</v>
      </c>
      <c r="CS1346" s="5">
        <v>0</v>
      </c>
      <c r="CT1346" s="5" t="s">
        <v>265</v>
      </c>
      <c r="CU1346" s="5" t="s">
        <v>1325</v>
      </c>
      <c r="CV1346" s="5" t="s">
        <v>267</v>
      </c>
      <c r="CX1346" s="8">
        <f>5415000</f>
        <v>5415000</v>
      </c>
      <c r="CY1346" s="8">
        <f>0</f>
        <v>0</v>
      </c>
      <c r="DA1346" s="5" t="s">
        <v>238</v>
      </c>
      <c r="DB1346" s="5" t="s">
        <v>238</v>
      </c>
      <c r="DD1346" s="5" t="s">
        <v>238</v>
      </c>
      <c r="DG1346" s="5" t="s">
        <v>238</v>
      </c>
      <c r="DH1346" s="5" t="s">
        <v>238</v>
      </c>
      <c r="DI1346" s="5" t="s">
        <v>238</v>
      </c>
      <c r="DJ1346" s="5" t="s">
        <v>238</v>
      </c>
      <c r="DK1346" s="5" t="s">
        <v>271</v>
      </c>
      <c r="DL1346" s="5" t="s">
        <v>272</v>
      </c>
      <c r="DM1346" s="7">
        <f>57</f>
        <v>57</v>
      </c>
      <c r="DN1346" s="5" t="s">
        <v>238</v>
      </c>
      <c r="DO1346" s="5" t="s">
        <v>238</v>
      </c>
      <c r="DP1346" s="5" t="s">
        <v>238</v>
      </c>
      <c r="DQ1346" s="5" t="s">
        <v>238</v>
      </c>
      <c r="DT1346" s="5" t="s">
        <v>1438</v>
      </c>
      <c r="DU1346" s="5" t="s">
        <v>271</v>
      </c>
      <c r="HM1346" s="5" t="s">
        <v>271</v>
      </c>
      <c r="HP1346" s="5" t="s">
        <v>272</v>
      </c>
      <c r="HQ1346" s="5" t="s">
        <v>272</v>
      </c>
    </row>
    <row r="1347" spans="1:238" x14ac:dyDescent="0.4">
      <c r="A1347" s="5">
        <v>1695</v>
      </c>
      <c r="B1347" s="5">
        <v>1</v>
      </c>
      <c r="C1347" s="5">
        <v>4</v>
      </c>
      <c r="D1347" s="5" t="s">
        <v>661</v>
      </c>
      <c r="E1347" s="5" t="s">
        <v>338</v>
      </c>
      <c r="F1347" s="5" t="s">
        <v>282</v>
      </c>
      <c r="G1347" s="5" t="s">
        <v>1666</v>
      </c>
      <c r="H1347" s="6" t="s">
        <v>663</v>
      </c>
      <c r="I1347" s="5" t="s">
        <v>1308</v>
      </c>
      <c r="J1347" s="7">
        <f>1013.6</f>
        <v>1013.6</v>
      </c>
      <c r="K1347" s="5" t="s">
        <v>270</v>
      </c>
      <c r="L1347" s="8">
        <f>9852192</f>
        <v>9852192</v>
      </c>
      <c r="M1347" s="8">
        <f>182448000</f>
        <v>182448000</v>
      </c>
      <c r="N1347" s="6" t="s">
        <v>953</v>
      </c>
      <c r="O1347" s="5" t="s">
        <v>898</v>
      </c>
      <c r="P1347" s="5" t="s">
        <v>965</v>
      </c>
      <c r="Q1347" s="8">
        <f>4013856</f>
        <v>4013856</v>
      </c>
      <c r="R1347" s="8">
        <f>172595808</f>
        <v>172595808</v>
      </c>
      <c r="S1347" s="5" t="s">
        <v>240</v>
      </c>
      <c r="T1347" s="5" t="s">
        <v>237</v>
      </c>
      <c r="U1347" s="5" t="s">
        <v>238</v>
      </c>
      <c r="V1347" s="5" t="s">
        <v>238</v>
      </c>
      <c r="W1347" s="5" t="s">
        <v>241</v>
      </c>
      <c r="X1347" s="5" t="s">
        <v>243</v>
      </c>
      <c r="Y1347" s="5" t="s">
        <v>238</v>
      </c>
      <c r="AB1347" s="5" t="s">
        <v>238</v>
      </c>
      <c r="AC1347" s="6" t="s">
        <v>238</v>
      </c>
      <c r="AD1347" s="6" t="s">
        <v>238</v>
      </c>
      <c r="AF1347" s="6" t="s">
        <v>238</v>
      </c>
      <c r="AG1347" s="6" t="s">
        <v>246</v>
      </c>
      <c r="AH1347" s="5" t="s">
        <v>247</v>
      </c>
      <c r="AI1347" s="5" t="s">
        <v>248</v>
      </c>
      <c r="AO1347" s="5" t="s">
        <v>238</v>
      </c>
      <c r="AP1347" s="5" t="s">
        <v>238</v>
      </c>
      <c r="AQ1347" s="5" t="s">
        <v>238</v>
      </c>
      <c r="AR1347" s="6" t="s">
        <v>238</v>
      </c>
      <c r="AS1347" s="6" t="s">
        <v>238</v>
      </c>
      <c r="AT1347" s="6" t="s">
        <v>238</v>
      </c>
      <c r="AW1347" s="5" t="s">
        <v>304</v>
      </c>
      <c r="AX1347" s="5" t="s">
        <v>304</v>
      </c>
      <c r="AY1347" s="5" t="s">
        <v>250</v>
      </c>
      <c r="AZ1347" s="5" t="s">
        <v>305</v>
      </c>
      <c r="BA1347" s="5" t="s">
        <v>251</v>
      </c>
      <c r="BB1347" s="5" t="s">
        <v>238</v>
      </c>
      <c r="BC1347" s="5" t="s">
        <v>253</v>
      </c>
      <c r="BD1347" s="5" t="s">
        <v>238</v>
      </c>
      <c r="BF1347" s="5" t="s">
        <v>710</v>
      </c>
      <c r="BH1347" s="5" t="s">
        <v>283</v>
      </c>
      <c r="BI1347" s="6" t="s">
        <v>293</v>
      </c>
      <c r="BJ1347" s="5" t="s">
        <v>294</v>
      </c>
      <c r="BK1347" s="5" t="s">
        <v>294</v>
      </c>
      <c r="BL1347" s="5" t="s">
        <v>238</v>
      </c>
      <c r="BM1347" s="7">
        <f>0</f>
        <v>0</v>
      </c>
      <c r="BN1347" s="8">
        <f>-4013856</f>
        <v>-4013856</v>
      </c>
      <c r="BO1347" s="5" t="s">
        <v>257</v>
      </c>
      <c r="BP1347" s="5" t="s">
        <v>258</v>
      </c>
      <c r="BQ1347" s="5" t="s">
        <v>238</v>
      </c>
      <c r="BR1347" s="5" t="s">
        <v>238</v>
      </c>
      <c r="BS1347" s="5" t="s">
        <v>238</v>
      </c>
      <c r="BT1347" s="5" t="s">
        <v>238</v>
      </c>
      <c r="CC1347" s="5" t="s">
        <v>258</v>
      </c>
      <c r="CD1347" s="5" t="s">
        <v>238</v>
      </c>
      <c r="CE1347" s="5" t="s">
        <v>238</v>
      </c>
      <c r="CI1347" s="5" t="s">
        <v>527</v>
      </c>
      <c r="CJ1347" s="5" t="s">
        <v>260</v>
      </c>
      <c r="CK1347" s="5" t="s">
        <v>238</v>
      </c>
      <c r="CM1347" s="5" t="s">
        <v>865</v>
      </c>
      <c r="CN1347" s="6" t="s">
        <v>262</v>
      </c>
      <c r="CO1347" s="5" t="s">
        <v>263</v>
      </c>
      <c r="CP1347" s="5" t="s">
        <v>264</v>
      </c>
      <c r="CQ1347" s="5" t="s">
        <v>285</v>
      </c>
      <c r="CR1347" s="5" t="s">
        <v>238</v>
      </c>
      <c r="CS1347" s="5">
        <v>2.1999999999999999E-2</v>
      </c>
      <c r="CT1347" s="5" t="s">
        <v>265</v>
      </c>
      <c r="CU1347" s="5" t="s">
        <v>1330</v>
      </c>
      <c r="CV1347" s="5" t="s">
        <v>308</v>
      </c>
      <c r="CW1347" s="7">
        <f>0</f>
        <v>0</v>
      </c>
      <c r="CX1347" s="8">
        <f>182448000</f>
        <v>182448000</v>
      </c>
      <c r="CY1347" s="8">
        <f>13866048</f>
        <v>13866048</v>
      </c>
      <c r="DA1347" s="5" t="s">
        <v>238</v>
      </c>
      <c r="DB1347" s="5" t="s">
        <v>238</v>
      </c>
      <c r="DD1347" s="5" t="s">
        <v>238</v>
      </c>
      <c r="DE1347" s="8">
        <f>0</f>
        <v>0</v>
      </c>
      <c r="DG1347" s="5" t="s">
        <v>238</v>
      </c>
      <c r="DH1347" s="5" t="s">
        <v>238</v>
      </c>
      <c r="DI1347" s="5" t="s">
        <v>238</v>
      </c>
      <c r="DJ1347" s="5" t="s">
        <v>238</v>
      </c>
      <c r="DK1347" s="5" t="s">
        <v>271</v>
      </c>
      <c r="DL1347" s="5" t="s">
        <v>272</v>
      </c>
      <c r="DM1347" s="7">
        <f>1013.6</f>
        <v>1013.6</v>
      </c>
      <c r="DN1347" s="5" t="s">
        <v>238</v>
      </c>
      <c r="DO1347" s="5" t="s">
        <v>238</v>
      </c>
      <c r="DP1347" s="5" t="s">
        <v>238</v>
      </c>
      <c r="DQ1347" s="5" t="s">
        <v>238</v>
      </c>
      <c r="DT1347" s="5" t="s">
        <v>1686</v>
      </c>
      <c r="DU1347" s="5" t="s">
        <v>271</v>
      </c>
      <c r="GL1347" s="5" t="s">
        <v>1687</v>
      </c>
      <c r="HM1347" s="5" t="s">
        <v>313</v>
      </c>
      <c r="HP1347" s="5" t="s">
        <v>272</v>
      </c>
      <c r="HQ1347" s="5" t="s">
        <v>272</v>
      </c>
      <c r="HR1347" s="5" t="s">
        <v>238</v>
      </c>
      <c r="HS1347" s="5" t="s">
        <v>238</v>
      </c>
      <c r="HT1347" s="5" t="s">
        <v>238</v>
      </c>
      <c r="HU1347" s="5" t="s">
        <v>238</v>
      </c>
      <c r="HV1347" s="5" t="s">
        <v>238</v>
      </c>
      <c r="HW1347" s="5" t="s">
        <v>238</v>
      </c>
      <c r="HX1347" s="5" t="s">
        <v>238</v>
      </c>
      <c r="HY1347" s="5" t="s">
        <v>238</v>
      </c>
      <c r="HZ1347" s="5" t="s">
        <v>238</v>
      </c>
      <c r="IA1347" s="5" t="s">
        <v>238</v>
      </c>
      <c r="IB1347" s="5" t="s">
        <v>238</v>
      </c>
      <c r="IC1347" s="5" t="s">
        <v>238</v>
      </c>
      <c r="ID1347" s="5" t="s">
        <v>238</v>
      </c>
    </row>
    <row r="1348" spans="1:238" x14ac:dyDescent="0.4">
      <c r="A1348" s="5">
        <v>1696</v>
      </c>
      <c r="B1348" s="5">
        <v>1</v>
      </c>
      <c r="C1348" s="5">
        <v>4</v>
      </c>
      <c r="D1348" s="5" t="s">
        <v>661</v>
      </c>
      <c r="E1348" s="5" t="s">
        <v>338</v>
      </c>
      <c r="F1348" s="5" t="s">
        <v>282</v>
      </c>
      <c r="G1348" s="5" t="s">
        <v>349</v>
      </c>
      <c r="H1348" s="6" t="s">
        <v>663</v>
      </c>
      <c r="I1348" s="5" t="s">
        <v>2205</v>
      </c>
      <c r="J1348" s="7">
        <f>0</f>
        <v>0</v>
      </c>
      <c r="K1348" s="5" t="s">
        <v>270</v>
      </c>
      <c r="L1348" s="8">
        <f>168588</f>
        <v>168588</v>
      </c>
      <c r="M1348" s="8">
        <f>189000</f>
        <v>189000</v>
      </c>
      <c r="N1348" s="6" t="s">
        <v>2206</v>
      </c>
      <c r="O1348" s="5" t="s">
        <v>639</v>
      </c>
      <c r="P1348" s="5" t="s">
        <v>274</v>
      </c>
      <c r="Q1348" s="8">
        <f>5103</f>
        <v>5103</v>
      </c>
      <c r="R1348" s="8">
        <f>20412</f>
        <v>20412</v>
      </c>
      <c r="S1348" s="5" t="s">
        <v>240</v>
      </c>
      <c r="T1348" s="5" t="s">
        <v>287</v>
      </c>
      <c r="U1348" s="5" t="s">
        <v>238</v>
      </c>
      <c r="V1348" s="5" t="s">
        <v>238</v>
      </c>
      <c r="W1348" s="5" t="s">
        <v>241</v>
      </c>
      <c r="X1348" s="5" t="s">
        <v>238</v>
      </c>
      <c r="Y1348" s="5" t="s">
        <v>238</v>
      </c>
      <c r="AB1348" s="5" t="s">
        <v>238</v>
      </c>
      <c r="AC1348" s="6" t="s">
        <v>238</v>
      </c>
      <c r="AD1348" s="6" t="s">
        <v>238</v>
      </c>
      <c r="AF1348" s="6" t="s">
        <v>238</v>
      </c>
      <c r="AG1348" s="6" t="s">
        <v>246</v>
      </c>
      <c r="AH1348" s="5" t="s">
        <v>247</v>
      </c>
      <c r="AI1348" s="5" t="s">
        <v>248</v>
      </c>
      <c r="AO1348" s="5" t="s">
        <v>238</v>
      </c>
      <c r="AP1348" s="5" t="s">
        <v>238</v>
      </c>
      <c r="AQ1348" s="5" t="s">
        <v>238</v>
      </c>
      <c r="AR1348" s="6" t="s">
        <v>238</v>
      </c>
      <c r="AS1348" s="6" t="s">
        <v>238</v>
      </c>
      <c r="AT1348" s="6" t="s">
        <v>238</v>
      </c>
      <c r="AW1348" s="5" t="s">
        <v>304</v>
      </c>
      <c r="AX1348" s="5" t="s">
        <v>304</v>
      </c>
      <c r="AY1348" s="5" t="s">
        <v>250</v>
      </c>
      <c r="AZ1348" s="5" t="s">
        <v>305</v>
      </c>
      <c r="BA1348" s="5" t="s">
        <v>251</v>
      </c>
      <c r="BB1348" s="5" t="s">
        <v>238</v>
      </c>
      <c r="BC1348" s="5" t="s">
        <v>253</v>
      </c>
      <c r="BD1348" s="5" t="s">
        <v>238</v>
      </c>
      <c r="BF1348" s="5" t="s">
        <v>238</v>
      </c>
      <c r="BH1348" s="5" t="s">
        <v>283</v>
      </c>
      <c r="BI1348" s="6" t="s">
        <v>293</v>
      </c>
      <c r="BJ1348" s="5" t="s">
        <v>294</v>
      </c>
      <c r="BK1348" s="5" t="s">
        <v>294</v>
      </c>
      <c r="BL1348" s="5" t="s">
        <v>238</v>
      </c>
      <c r="BM1348" s="7">
        <f>0</f>
        <v>0</v>
      </c>
      <c r="BN1348" s="8">
        <f>-5103</f>
        <v>-5103</v>
      </c>
      <c r="BO1348" s="5" t="s">
        <v>257</v>
      </c>
      <c r="BP1348" s="5" t="s">
        <v>258</v>
      </c>
      <c r="BQ1348" s="5" t="s">
        <v>238</v>
      </c>
      <c r="BR1348" s="5" t="s">
        <v>238</v>
      </c>
      <c r="BS1348" s="5" t="s">
        <v>238</v>
      </c>
      <c r="BT1348" s="5" t="s">
        <v>238</v>
      </c>
      <c r="CC1348" s="5" t="s">
        <v>258</v>
      </c>
      <c r="CD1348" s="5" t="s">
        <v>238</v>
      </c>
      <c r="CE1348" s="5" t="s">
        <v>238</v>
      </c>
      <c r="CI1348" s="5" t="s">
        <v>259</v>
      </c>
      <c r="CJ1348" s="5" t="s">
        <v>260</v>
      </c>
      <c r="CK1348" s="5" t="s">
        <v>238</v>
      </c>
      <c r="CM1348" s="5" t="s">
        <v>402</v>
      </c>
      <c r="CN1348" s="6" t="s">
        <v>262</v>
      </c>
      <c r="CO1348" s="5" t="s">
        <v>263</v>
      </c>
      <c r="CP1348" s="5" t="s">
        <v>264</v>
      </c>
      <c r="CQ1348" s="5" t="s">
        <v>285</v>
      </c>
      <c r="CR1348" s="5" t="s">
        <v>238</v>
      </c>
      <c r="CS1348" s="5">
        <v>2.7E-2</v>
      </c>
      <c r="CT1348" s="5" t="s">
        <v>265</v>
      </c>
      <c r="CU1348" s="5" t="s">
        <v>1342</v>
      </c>
      <c r="CV1348" s="5" t="s">
        <v>308</v>
      </c>
      <c r="CW1348" s="7">
        <f>0</f>
        <v>0</v>
      </c>
      <c r="CX1348" s="8">
        <f>189000</f>
        <v>189000</v>
      </c>
      <c r="CY1348" s="8">
        <f>173691</f>
        <v>173691</v>
      </c>
      <c r="DA1348" s="5" t="s">
        <v>238</v>
      </c>
      <c r="DB1348" s="5" t="s">
        <v>238</v>
      </c>
      <c r="DD1348" s="5" t="s">
        <v>238</v>
      </c>
      <c r="DE1348" s="8">
        <f>0</f>
        <v>0</v>
      </c>
      <c r="DG1348" s="5" t="s">
        <v>238</v>
      </c>
      <c r="DH1348" s="5" t="s">
        <v>238</v>
      </c>
      <c r="DI1348" s="5" t="s">
        <v>238</v>
      </c>
      <c r="DJ1348" s="5" t="s">
        <v>238</v>
      </c>
      <c r="DK1348" s="5" t="s">
        <v>272</v>
      </c>
      <c r="DL1348" s="5" t="s">
        <v>272</v>
      </c>
      <c r="DM1348" s="8" t="s">
        <v>238</v>
      </c>
      <c r="DN1348" s="5" t="s">
        <v>238</v>
      </c>
      <c r="DO1348" s="5" t="s">
        <v>238</v>
      </c>
      <c r="DP1348" s="5" t="s">
        <v>238</v>
      </c>
      <c r="DQ1348" s="5" t="s">
        <v>238</v>
      </c>
      <c r="DT1348" s="5" t="s">
        <v>1686</v>
      </c>
      <c r="DU1348" s="5" t="s">
        <v>274</v>
      </c>
      <c r="GL1348" s="5" t="s">
        <v>2207</v>
      </c>
      <c r="HM1348" s="5" t="s">
        <v>310</v>
      </c>
      <c r="HP1348" s="5" t="s">
        <v>272</v>
      </c>
      <c r="HQ1348" s="5" t="s">
        <v>272</v>
      </c>
      <c r="HR1348" s="5" t="s">
        <v>238</v>
      </c>
      <c r="HS1348" s="5" t="s">
        <v>238</v>
      </c>
      <c r="HT1348" s="5" t="s">
        <v>238</v>
      </c>
      <c r="HU1348" s="5" t="s">
        <v>238</v>
      </c>
      <c r="HV1348" s="5" t="s">
        <v>238</v>
      </c>
      <c r="HW1348" s="5" t="s">
        <v>238</v>
      </c>
      <c r="HX1348" s="5" t="s">
        <v>238</v>
      </c>
      <c r="HY1348" s="5" t="s">
        <v>238</v>
      </c>
      <c r="HZ1348" s="5" t="s">
        <v>238</v>
      </c>
      <c r="IA1348" s="5" t="s">
        <v>238</v>
      </c>
      <c r="IB1348" s="5" t="s">
        <v>238</v>
      </c>
      <c r="IC1348" s="5" t="s">
        <v>238</v>
      </c>
      <c r="ID1348" s="5" t="s">
        <v>238</v>
      </c>
    </row>
    <row r="1349" spans="1:238" x14ac:dyDescent="0.4">
      <c r="A1349" s="5">
        <v>1697</v>
      </c>
      <c r="B1349" s="5">
        <v>1</v>
      </c>
      <c r="C1349" s="5">
        <v>4</v>
      </c>
      <c r="D1349" s="5" t="s">
        <v>661</v>
      </c>
      <c r="E1349" s="5" t="s">
        <v>338</v>
      </c>
      <c r="F1349" s="5" t="s">
        <v>282</v>
      </c>
      <c r="G1349" s="5" t="s">
        <v>349</v>
      </c>
      <c r="H1349" s="6" t="s">
        <v>663</v>
      </c>
      <c r="I1349" s="5" t="s">
        <v>3039</v>
      </c>
      <c r="J1349" s="7">
        <f>0</f>
        <v>0</v>
      </c>
      <c r="K1349" s="5" t="s">
        <v>270</v>
      </c>
      <c r="L1349" s="8">
        <f>151011</f>
        <v>151011</v>
      </c>
      <c r="M1349" s="8">
        <f>189000</f>
        <v>189000</v>
      </c>
      <c r="N1349" s="6" t="s">
        <v>3040</v>
      </c>
      <c r="O1349" s="5" t="s">
        <v>268</v>
      </c>
      <c r="P1349" s="5" t="s">
        <v>271</v>
      </c>
      <c r="Q1349" s="8">
        <f>12663</f>
        <v>12663</v>
      </c>
      <c r="R1349" s="8">
        <f>37989</f>
        <v>37989</v>
      </c>
      <c r="S1349" s="5" t="s">
        <v>240</v>
      </c>
      <c r="T1349" s="5" t="s">
        <v>287</v>
      </c>
      <c r="U1349" s="5" t="s">
        <v>238</v>
      </c>
      <c r="V1349" s="5" t="s">
        <v>238</v>
      </c>
      <c r="W1349" s="5" t="s">
        <v>241</v>
      </c>
      <c r="X1349" s="5" t="s">
        <v>238</v>
      </c>
      <c r="Y1349" s="5" t="s">
        <v>238</v>
      </c>
      <c r="AB1349" s="5" t="s">
        <v>238</v>
      </c>
      <c r="AC1349" s="6" t="s">
        <v>238</v>
      </c>
      <c r="AD1349" s="6" t="s">
        <v>238</v>
      </c>
      <c r="AF1349" s="6" t="s">
        <v>238</v>
      </c>
      <c r="AG1349" s="6" t="s">
        <v>246</v>
      </c>
      <c r="AH1349" s="5" t="s">
        <v>247</v>
      </c>
      <c r="AI1349" s="5" t="s">
        <v>248</v>
      </c>
      <c r="AO1349" s="5" t="s">
        <v>238</v>
      </c>
      <c r="AP1349" s="5" t="s">
        <v>238</v>
      </c>
      <c r="AQ1349" s="5" t="s">
        <v>238</v>
      </c>
      <c r="AR1349" s="6" t="s">
        <v>238</v>
      </c>
      <c r="AS1349" s="6" t="s">
        <v>238</v>
      </c>
      <c r="AT1349" s="6" t="s">
        <v>238</v>
      </c>
      <c r="AW1349" s="5" t="s">
        <v>304</v>
      </c>
      <c r="AX1349" s="5" t="s">
        <v>304</v>
      </c>
      <c r="AY1349" s="5" t="s">
        <v>250</v>
      </c>
      <c r="AZ1349" s="5" t="s">
        <v>305</v>
      </c>
      <c r="BA1349" s="5" t="s">
        <v>251</v>
      </c>
      <c r="BB1349" s="5" t="s">
        <v>238</v>
      </c>
      <c r="BC1349" s="5" t="s">
        <v>253</v>
      </c>
      <c r="BD1349" s="5" t="s">
        <v>238</v>
      </c>
      <c r="BF1349" s="5" t="s">
        <v>238</v>
      </c>
      <c r="BH1349" s="5" t="s">
        <v>283</v>
      </c>
      <c r="BI1349" s="6" t="s">
        <v>293</v>
      </c>
      <c r="BJ1349" s="5" t="s">
        <v>294</v>
      </c>
      <c r="BK1349" s="5" t="s">
        <v>294</v>
      </c>
      <c r="BL1349" s="5" t="s">
        <v>238</v>
      </c>
      <c r="BM1349" s="7">
        <f>0</f>
        <v>0</v>
      </c>
      <c r="BN1349" s="8">
        <f>-12663</f>
        <v>-12663</v>
      </c>
      <c r="BO1349" s="5" t="s">
        <v>257</v>
      </c>
      <c r="BP1349" s="5" t="s">
        <v>258</v>
      </c>
      <c r="BQ1349" s="5" t="s">
        <v>238</v>
      </c>
      <c r="BR1349" s="5" t="s">
        <v>238</v>
      </c>
      <c r="BS1349" s="5" t="s">
        <v>238</v>
      </c>
      <c r="BT1349" s="5" t="s">
        <v>238</v>
      </c>
      <c r="CC1349" s="5" t="s">
        <v>258</v>
      </c>
      <c r="CD1349" s="5" t="s">
        <v>238</v>
      </c>
      <c r="CE1349" s="5" t="s">
        <v>238</v>
      </c>
      <c r="CI1349" s="5" t="s">
        <v>259</v>
      </c>
      <c r="CJ1349" s="5" t="s">
        <v>260</v>
      </c>
      <c r="CK1349" s="5" t="s">
        <v>238</v>
      </c>
      <c r="CM1349" s="5" t="s">
        <v>291</v>
      </c>
      <c r="CN1349" s="6" t="s">
        <v>262</v>
      </c>
      <c r="CO1349" s="5" t="s">
        <v>263</v>
      </c>
      <c r="CP1349" s="5" t="s">
        <v>264</v>
      </c>
      <c r="CQ1349" s="5" t="s">
        <v>285</v>
      </c>
      <c r="CR1349" s="5" t="s">
        <v>238</v>
      </c>
      <c r="CS1349" s="5">
        <v>6.7000000000000004E-2</v>
      </c>
      <c r="CT1349" s="5" t="s">
        <v>265</v>
      </c>
      <c r="CU1349" s="5" t="s">
        <v>351</v>
      </c>
      <c r="CV1349" s="5" t="s">
        <v>394</v>
      </c>
      <c r="CW1349" s="7">
        <f>0</f>
        <v>0</v>
      </c>
      <c r="CX1349" s="8">
        <f>189000</f>
        <v>189000</v>
      </c>
      <c r="CY1349" s="8">
        <f>163674</f>
        <v>163674</v>
      </c>
      <c r="DA1349" s="5" t="s">
        <v>238</v>
      </c>
      <c r="DB1349" s="5" t="s">
        <v>238</v>
      </c>
      <c r="DD1349" s="5" t="s">
        <v>238</v>
      </c>
      <c r="DE1349" s="8">
        <f>0</f>
        <v>0</v>
      </c>
      <c r="DG1349" s="5" t="s">
        <v>238</v>
      </c>
      <c r="DH1349" s="5" t="s">
        <v>238</v>
      </c>
      <c r="DI1349" s="5" t="s">
        <v>238</v>
      </c>
      <c r="DJ1349" s="5" t="s">
        <v>238</v>
      </c>
      <c r="DK1349" s="5" t="s">
        <v>272</v>
      </c>
      <c r="DL1349" s="5" t="s">
        <v>272</v>
      </c>
      <c r="DM1349" s="8" t="s">
        <v>238</v>
      </c>
      <c r="DN1349" s="5" t="s">
        <v>238</v>
      </c>
      <c r="DO1349" s="5" t="s">
        <v>238</v>
      </c>
      <c r="DP1349" s="5" t="s">
        <v>238</v>
      </c>
      <c r="DQ1349" s="5" t="s">
        <v>238</v>
      </c>
      <c r="DT1349" s="5" t="s">
        <v>1686</v>
      </c>
      <c r="DU1349" s="5" t="s">
        <v>356</v>
      </c>
      <c r="GL1349" s="5" t="s">
        <v>3041</v>
      </c>
      <c r="HM1349" s="5" t="s">
        <v>356</v>
      </c>
      <c r="HP1349" s="5" t="s">
        <v>272</v>
      </c>
      <c r="HQ1349" s="5" t="s">
        <v>272</v>
      </c>
      <c r="HR1349" s="5" t="s">
        <v>238</v>
      </c>
      <c r="HS1349" s="5" t="s">
        <v>238</v>
      </c>
      <c r="HT1349" s="5" t="s">
        <v>238</v>
      </c>
      <c r="HU1349" s="5" t="s">
        <v>238</v>
      </c>
      <c r="HV1349" s="5" t="s">
        <v>238</v>
      </c>
      <c r="HW1349" s="5" t="s">
        <v>238</v>
      </c>
      <c r="HX1349" s="5" t="s">
        <v>238</v>
      </c>
      <c r="HY1349" s="5" t="s">
        <v>238</v>
      </c>
      <c r="HZ1349" s="5" t="s">
        <v>238</v>
      </c>
      <c r="IA1349" s="5" t="s">
        <v>238</v>
      </c>
      <c r="IB1349" s="5" t="s">
        <v>238</v>
      </c>
      <c r="IC1349" s="5" t="s">
        <v>238</v>
      </c>
      <c r="ID1349" s="5" t="s">
        <v>238</v>
      </c>
    </row>
    <row r="1350" spans="1:238" x14ac:dyDescent="0.4">
      <c r="A1350" s="5">
        <v>1698</v>
      </c>
      <c r="B1350" s="5">
        <v>1</v>
      </c>
      <c r="C1350" s="5">
        <v>1</v>
      </c>
      <c r="D1350" s="5" t="s">
        <v>2273</v>
      </c>
      <c r="E1350" s="5" t="s">
        <v>338</v>
      </c>
      <c r="F1350" s="5" t="s">
        <v>282</v>
      </c>
      <c r="G1350" s="5" t="s">
        <v>2271</v>
      </c>
      <c r="H1350" s="6" t="s">
        <v>580</v>
      </c>
      <c r="I1350" s="5" t="s">
        <v>2263</v>
      </c>
      <c r="J1350" s="7">
        <f>178.38</f>
        <v>178.38</v>
      </c>
      <c r="K1350" s="5" t="s">
        <v>270</v>
      </c>
      <c r="L1350" s="8">
        <f>1</f>
        <v>1</v>
      </c>
      <c r="M1350" s="8">
        <f>10702800</f>
        <v>10702800</v>
      </c>
      <c r="N1350" s="6" t="s">
        <v>822</v>
      </c>
      <c r="O1350" s="5" t="s">
        <v>650</v>
      </c>
      <c r="P1350" s="5" t="s">
        <v>991</v>
      </c>
      <c r="R1350" s="8">
        <f>10702799</f>
        <v>10702799</v>
      </c>
      <c r="S1350" s="5" t="s">
        <v>240</v>
      </c>
      <c r="T1350" s="5" t="s">
        <v>237</v>
      </c>
      <c r="U1350" s="5" t="s">
        <v>238</v>
      </c>
      <c r="V1350" s="5" t="s">
        <v>238</v>
      </c>
      <c r="W1350" s="5" t="s">
        <v>241</v>
      </c>
      <c r="X1350" s="5" t="s">
        <v>243</v>
      </c>
      <c r="Y1350" s="5" t="s">
        <v>238</v>
      </c>
      <c r="AB1350" s="5" t="s">
        <v>238</v>
      </c>
      <c r="AD1350" s="6" t="s">
        <v>238</v>
      </c>
      <c r="AG1350" s="6" t="s">
        <v>246</v>
      </c>
      <c r="AH1350" s="5" t="s">
        <v>247</v>
      </c>
      <c r="AI1350" s="5" t="s">
        <v>248</v>
      </c>
      <c r="AY1350" s="5" t="s">
        <v>250</v>
      </c>
      <c r="AZ1350" s="5" t="s">
        <v>238</v>
      </c>
      <c r="BA1350" s="5" t="s">
        <v>251</v>
      </c>
      <c r="BB1350" s="5" t="s">
        <v>238</v>
      </c>
      <c r="BC1350" s="5" t="s">
        <v>253</v>
      </c>
      <c r="BD1350" s="5" t="s">
        <v>238</v>
      </c>
      <c r="BF1350" s="5" t="s">
        <v>710</v>
      </c>
      <c r="BH1350" s="5" t="s">
        <v>697</v>
      </c>
      <c r="BI1350" s="6" t="s">
        <v>698</v>
      </c>
      <c r="BJ1350" s="5" t="s">
        <v>255</v>
      </c>
      <c r="BK1350" s="5" t="s">
        <v>256</v>
      </c>
      <c r="BL1350" s="5" t="s">
        <v>238</v>
      </c>
      <c r="BM1350" s="7">
        <f>0</f>
        <v>0</v>
      </c>
      <c r="BN1350" s="8">
        <f>0</f>
        <v>0</v>
      </c>
      <c r="BO1350" s="5" t="s">
        <v>257</v>
      </c>
      <c r="BP1350" s="5" t="s">
        <v>258</v>
      </c>
      <c r="CD1350" s="5" t="s">
        <v>238</v>
      </c>
      <c r="CE1350" s="5" t="s">
        <v>238</v>
      </c>
      <c r="CI1350" s="5" t="s">
        <v>527</v>
      </c>
      <c r="CJ1350" s="5" t="s">
        <v>260</v>
      </c>
      <c r="CK1350" s="5" t="s">
        <v>238</v>
      </c>
      <c r="CM1350" s="5" t="s">
        <v>990</v>
      </c>
      <c r="CN1350" s="6" t="s">
        <v>262</v>
      </c>
      <c r="CO1350" s="5" t="s">
        <v>263</v>
      </c>
      <c r="CP1350" s="5" t="s">
        <v>264</v>
      </c>
      <c r="CQ1350" s="5" t="s">
        <v>238</v>
      </c>
      <c r="CR1350" s="5" t="s">
        <v>238</v>
      </c>
      <c r="CS1350" s="5">
        <v>0</v>
      </c>
      <c r="CT1350" s="5" t="s">
        <v>265</v>
      </c>
      <c r="CU1350" s="5" t="s">
        <v>2254</v>
      </c>
      <c r="CV1350" s="5" t="s">
        <v>649</v>
      </c>
      <c r="CX1350" s="8">
        <f>10702800</f>
        <v>10702800</v>
      </c>
      <c r="CY1350" s="8">
        <f>0</f>
        <v>0</v>
      </c>
      <c r="DA1350" s="5" t="s">
        <v>238</v>
      </c>
      <c r="DB1350" s="5" t="s">
        <v>238</v>
      </c>
      <c r="DD1350" s="5" t="s">
        <v>238</v>
      </c>
      <c r="DG1350" s="5" t="s">
        <v>238</v>
      </c>
      <c r="DH1350" s="5" t="s">
        <v>238</v>
      </c>
      <c r="DI1350" s="5" t="s">
        <v>238</v>
      </c>
      <c r="DJ1350" s="5" t="s">
        <v>238</v>
      </c>
      <c r="DK1350" s="5" t="s">
        <v>271</v>
      </c>
      <c r="DL1350" s="5" t="s">
        <v>272</v>
      </c>
      <c r="DM1350" s="7">
        <f>178.38</f>
        <v>178.38</v>
      </c>
      <c r="DN1350" s="5" t="s">
        <v>238</v>
      </c>
      <c r="DO1350" s="5" t="s">
        <v>238</v>
      </c>
      <c r="DP1350" s="5" t="s">
        <v>238</v>
      </c>
      <c r="DQ1350" s="5" t="s">
        <v>238</v>
      </c>
      <c r="DT1350" s="5" t="s">
        <v>2274</v>
      </c>
      <c r="DU1350" s="5" t="s">
        <v>271</v>
      </c>
      <c r="HM1350" s="5" t="s">
        <v>271</v>
      </c>
      <c r="HP1350" s="5" t="s">
        <v>272</v>
      </c>
      <c r="HQ1350" s="5" t="s">
        <v>272</v>
      </c>
    </row>
    <row r="1351" spans="1:238" x14ac:dyDescent="0.4">
      <c r="A1351" s="5">
        <v>1700</v>
      </c>
      <c r="B1351" s="5">
        <v>1</v>
      </c>
      <c r="C1351" s="5">
        <v>1</v>
      </c>
      <c r="D1351" s="5" t="s">
        <v>2216</v>
      </c>
      <c r="E1351" s="5" t="s">
        <v>1183</v>
      </c>
      <c r="F1351" s="5" t="s">
        <v>282</v>
      </c>
      <c r="G1351" s="5" t="s">
        <v>1007</v>
      </c>
      <c r="H1351" s="6" t="s">
        <v>2217</v>
      </c>
      <c r="I1351" s="5" t="s">
        <v>2215</v>
      </c>
      <c r="J1351" s="7">
        <f>26.5</f>
        <v>26.5</v>
      </c>
      <c r="K1351" s="5" t="s">
        <v>270</v>
      </c>
      <c r="L1351" s="8">
        <f>1</f>
        <v>1</v>
      </c>
      <c r="M1351" s="8">
        <f>2517500</f>
        <v>2517500</v>
      </c>
      <c r="N1351" s="6" t="s">
        <v>906</v>
      </c>
      <c r="O1351" s="5" t="s">
        <v>268</v>
      </c>
      <c r="P1351" s="5" t="s">
        <v>909</v>
      </c>
      <c r="R1351" s="8">
        <f>2517499</f>
        <v>2517499</v>
      </c>
      <c r="S1351" s="5" t="s">
        <v>240</v>
      </c>
      <c r="T1351" s="5" t="s">
        <v>237</v>
      </c>
      <c r="U1351" s="5" t="s">
        <v>238</v>
      </c>
      <c r="V1351" s="5" t="s">
        <v>238</v>
      </c>
      <c r="W1351" s="5" t="s">
        <v>241</v>
      </c>
      <c r="X1351" s="5" t="s">
        <v>243</v>
      </c>
      <c r="Y1351" s="5" t="s">
        <v>238</v>
      </c>
      <c r="AB1351" s="5" t="s">
        <v>238</v>
      </c>
      <c r="AD1351" s="6" t="s">
        <v>238</v>
      </c>
      <c r="AG1351" s="6" t="s">
        <v>246</v>
      </c>
      <c r="AH1351" s="5" t="s">
        <v>247</v>
      </c>
      <c r="AI1351" s="5" t="s">
        <v>248</v>
      </c>
      <c r="AY1351" s="5" t="s">
        <v>250</v>
      </c>
      <c r="AZ1351" s="5" t="s">
        <v>238</v>
      </c>
      <c r="BA1351" s="5" t="s">
        <v>251</v>
      </c>
      <c r="BB1351" s="5" t="s">
        <v>238</v>
      </c>
      <c r="BC1351" s="5" t="s">
        <v>253</v>
      </c>
      <c r="BD1351" s="5" t="s">
        <v>238</v>
      </c>
      <c r="BF1351" s="5" t="s">
        <v>710</v>
      </c>
      <c r="BH1351" s="5" t="s">
        <v>254</v>
      </c>
      <c r="BI1351" s="6" t="s">
        <v>246</v>
      </c>
      <c r="BJ1351" s="5" t="s">
        <v>255</v>
      </c>
      <c r="BK1351" s="5" t="s">
        <v>1300</v>
      </c>
      <c r="BL1351" s="5" t="s">
        <v>238</v>
      </c>
      <c r="BM1351" s="7">
        <f>0</f>
        <v>0</v>
      </c>
      <c r="BN1351" s="8">
        <f>0</f>
        <v>0</v>
      </c>
      <c r="BO1351" s="5" t="s">
        <v>257</v>
      </c>
      <c r="BP1351" s="5" t="s">
        <v>258</v>
      </c>
      <c r="CD1351" s="5" t="s">
        <v>238</v>
      </c>
      <c r="CE1351" s="5" t="s">
        <v>238</v>
      </c>
      <c r="CI1351" s="5" t="s">
        <v>527</v>
      </c>
      <c r="CJ1351" s="5" t="s">
        <v>260</v>
      </c>
      <c r="CK1351" s="5" t="s">
        <v>238</v>
      </c>
      <c r="CM1351" s="5" t="s">
        <v>908</v>
      </c>
      <c r="CN1351" s="6" t="s">
        <v>262</v>
      </c>
      <c r="CO1351" s="5" t="s">
        <v>263</v>
      </c>
      <c r="CP1351" s="5" t="s">
        <v>264</v>
      </c>
      <c r="CQ1351" s="5" t="s">
        <v>238</v>
      </c>
      <c r="CR1351" s="5" t="s">
        <v>238</v>
      </c>
      <c r="CS1351" s="5">
        <v>0</v>
      </c>
      <c r="CT1351" s="5" t="s">
        <v>265</v>
      </c>
      <c r="CU1351" s="5" t="s">
        <v>1342</v>
      </c>
      <c r="CV1351" s="5" t="s">
        <v>267</v>
      </c>
      <c r="CX1351" s="8">
        <f>2517500</f>
        <v>2517500</v>
      </c>
      <c r="CY1351" s="8">
        <f>0</f>
        <v>0</v>
      </c>
      <c r="DA1351" s="5" t="s">
        <v>238</v>
      </c>
      <c r="DB1351" s="5" t="s">
        <v>238</v>
      </c>
      <c r="DD1351" s="5" t="s">
        <v>238</v>
      </c>
      <c r="DG1351" s="5" t="s">
        <v>238</v>
      </c>
      <c r="DH1351" s="5" t="s">
        <v>238</v>
      </c>
      <c r="DI1351" s="5" t="s">
        <v>238</v>
      </c>
      <c r="DJ1351" s="5" t="s">
        <v>238</v>
      </c>
      <c r="DK1351" s="5" t="s">
        <v>271</v>
      </c>
      <c r="DL1351" s="5" t="s">
        <v>272</v>
      </c>
      <c r="DM1351" s="7">
        <f>26.5</f>
        <v>26.5</v>
      </c>
      <c r="DN1351" s="5" t="s">
        <v>238</v>
      </c>
      <c r="DO1351" s="5" t="s">
        <v>238</v>
      </c>
      <c r="DP1351" s="5" t="s">
        <v>238</v>
      </c>
      <c r="DQ1351" s="5" t="s">
        <v>238</v>
      </c>
      <c r="DT1351" s="5" t="s">
        <v>2218</v>
      </c>
      <c r="DU1351" s="5" t="s">
        <v>271</v>
      </c>
      <c r="HM1351" s="5" t="s">
        <v>271</v>
      </c>
      <c r="HP1351" s="5" t="s">
        <v>272</v>
      </c>
      <c r="HQ1351" s="5" t="s">
        <v>272</v>
      </c>
    </row>
    <row r="1352" spans="1:238" x14ac:dyDescent="0.4">
      <c r="A1352" s="5">
        <v>1701</v>
      </c>
      <c r="B1352" s="5">
        <v>1</v>
      </c>
      <c r="C1352" s="5">
        <v>1</v>
      </c>
      <c r="D1352" s="5" t="s">
        <v>3085</v>
      </c>
      <c r="E1352" s="5" t="s">
        <v>1183</v>
      </c>
      <c r="F1352" s="5" t="s">
        <v>282</v>
      </c>
      <c r="G1352" s="5" t="s">
        <v>1007</v>
      </c>
      <c r="H1352" s="6" t="s">
        <v>3087</v>
      </c>
      <c r="I1352" s="5" t="s">
        <v>3042</v>
      </c>
      <c r="J1352" s="7">
        <f>8.15</f>
        <v>8.15</v>
      </c>
      <c r="K1352" s="5" t="s">
        <v>270</v>
      </c>
      <c r="L1352" s="8">
        <f>1</f>
        <v>1</v>
      </c>
      <c r="M1352" s="8">
        <f>1806000</f>
        <v>1806000</v>
      </c>
      <c r="N1352" s="6" t="s">
        <v>3086</v>
      </c>
      <c r="O1352" s="5" t="s">
        <v>354</v>
      </c>
      <c r="P1352" s="5" t="s">
        <v>354</v>
      </c>
      <c r="R1352" s="8">
        <f>1805999</f>
        <v>1805999</v>
      </c>
      <c r="S1352" s="5" t="s">
        <v>240</v>
      </c>
      <c r="T1352" s="5" t="s">
        <v>237</v>
      </c>
      <c r="U1352" s="5" t="s">
        <v>238</v>
      </c>
      <c r="V1352" s="5" t="s">
        <v>238</v>
      </c>
      <c r="W1352" s="5" t="s">
        <v>241</v>
      </c>
      <c r="X1352" s="5" t="s">
        <v>243</v>
      </c>
      <c r="Y1352" s="5" t="s">
        <v>238</v>
      </c>
      <c r="AB1352" s="5" t="s">
        <v>238</v>
      </c>
      <c r="AD1352" s="6" t="s">
        <v>238</v>
      </c>
      <c r="AG1352" s="6" t="s">
        <v>246</v>
      </c>
      <c r="AH1352" s="5" t="s">
        <v>247</v>
      </c>
      <c r="AI1352" s="5" t="s">
        <v>248</v>
      </c>
      <c r="AY1352" s="5" t="s">
        <v>250</v>
      </c>
      <c r="AZ1352" s="5" t="s">
        <v>238</v>
      </c>
      <c r="BA1352" s="5" t="s">
        <v>251</v>
      </c>
      <c r="BB1352" s="5" t="s">
        <v>238</v>
      </c>
      <c r="BC1352" s="5" t="s">
        <v>253</v>
      </c>
      <c r="BD1352" s="5" t="s">
        <v>238</v>
      </c>
      <c r="BF1352" s="5" t="s">
        <v>710</v>
      </c>
      <c r="BH1352" s="5" t="s">
        <v>254</v>
      </c>
      <c r="BI1352" s="6" t="s">
        <v>246</v>
      </c>
      <c r="BJ1352" s="5" t="s">
        <v>255</v>
      </c>
      <c r="BK1352" s="5" t="s">
        <v>294</v>
      </c>
      <c r="BL1352" s="5" t="s">
        <v>238</v>
      </c>
      <c r="BM1352" s="7">
        <f>0</f>
        <v>0</v>
      </c>
      <c r="BN1352" s="8">
        <f>0</f>
        <v>0</v>
      </c>
      <c r="BO1352" s="5" t="s">
        <v>257</v>
      </c>
      <c r="BP1352" s="5" t="s">
        <v>258</v>
      </c>
      <c r="CD1352" s="5" t="s">
        <v>238</v>
      </c>
      <c r="CE1352" s="5" t="s">
        <v>238</v>
      </c>
      <c r="CI1352" s="5" t="s">
        <v>259</v>
      </c>
      <c r="CJ1352" s="5" t="s">
        <v>260</v>
      </c>
      <c r="CK1352" s="5" t="s">
        <v>238</v>
      </c>
      <c r="CM1352" s="5" t="s">
        <v>1945</v>
      </c>
      <c r="CN1352" s="6" t="s">
        <v>262</v>
      </c>
      <c r="CO1352" s="5" t="s">
        <v>263</v>
      </c>
      <c r="CP1352" s="5" t="s">
        <v>264</v>
      </c>
      <c r="CQ1352" s="5" t="s">
        <v>238</v>
      </c>
      <c r="CR1352" s="5" t="s">
        <v>238</v>
      </c>
      <c r="CS1352" s="5">
        <v>0</v>
      </c>
      <c r="CT1352" s="5" t="s">
        <v>265</v>
      </c>
      <c r="CU1352" s="5" t="s">
        <v>351</v>
      </c>
      <c r="CV1352" s="5" t="s">
        <v>3046</v>
      </c>
      <c r="CX1352" s="8">
        <f>1806000</f>
        <v>1806000</v>
      </c>
      <c r="CY1352" s="8">
        <f>0</f>
        <v>0</v>
      </c>
      <c r="DA1352" s="5" t="s">
        <v>238</v>
      </c>
      <c r="DB1352" s="5" t="s">
        <v>238</v>
      </c>
      <c r="DD1352" s="5" t="s">
        <v>238</v>
      </c>
      <c r="DG1352" s="5" t="s">
        <v>238</v>
      </c>
      <c r="DH1352" s="5" t="s">
        <v>238</v>
      </c>
      <c r="DI1352" s="5" t="s">
        <v>238</v>
      </c>
      <c r="DJ1352" s="5" t="s">
        <v>238</v>
      </c>
      <c r="DK1352" s="5" t="s">
        <v>271</v>
      </c>
      <c r="DL1352" s="5" t="s">
        <v>272</v>
      </c>
      <c r="DM1352" s="7">
        <f>8.15</f>
        <v>8.15</v>
      </c>
      <c r="DN1352" s="5" t="s">
        <v>238</v>
      </c>
      <c r="DO1352" s="5" t="s">
        <v>238</v>
      </c>
      <c r="DP1352" s="5" t="s">
        <v>238</v>
      </c>
      <c r="DQ1352" s="5" t="s">
        <v>238</v>
      </c>
      <c r="DT1352" s="5" t="s">
        <v>3088</v>
      </c>
      <c r="DU1352" s="5" t="s">
        <v>271</v>
      </c>
      <c r="HM1352" s="5" t="s">
        <v>379</v>
      </c>
      <c r="HP1352" s="5" t="s">
        <v>272</v>
      </c>
      <c r="HQ1352" s="5" t="s">
        <v>272</v>
      </c>
    </row>
    <row r="1353" spans="1:238" x14ac:dyDescent="0.4">
      <c r="A1353" s="5">
        <v>1702</v>
      </c>
      <c r="B1353" s="5">
        <v>1</v>
      </c>
      <c r="C1353" s="5">
        <v>1</v>
      </c>
      <c r="D1353" s="5" t="s">
        <v>3089</v>
      </c>
      <c r="E1353" s="5" t="s">
        <v>1183</v>
      </c>
      <c r="F1353" s="5" t="s">
        <v>282</v>
      </c>
      <c r="G1353" s="5" t="s">
        <v>1007</v>
      </c>
      <c r="H1353" s="6" t="s">
        <v>3091</v>
      </c>
      <c r="I1353" s="5" t="s">
        <v>3042</v>
      </c>
      <c r="J1353" s="7">
        <f>8.15</f>
        <v>8.15</v>
      </c>
      <c r="K1353" s="5" t="s">
        <v>270</v>
      </c>
      <c r="L1353" s="8">
        <f>1</f>
        <v>1</v>
      </c>
      <c r="M1353" s="8">
        <f>1900500</f>
        <v>1900500</v>
      </c>
      <c r="N1353" s="6" t="s">
        <v>3090</v>
      </c>
      <c r="O1353" s="5" t="s">
        <v>354</v>
      </c>
      <c r="P1353" s="5" t="s">
        <v>354</v>
      </c>
      <c r="R1353" s="8">
        <f>1900499</f>
        <v>1900499</v>
      </c>
      <c r="S1353" s="5" t="s">
        <v>240</v>
      </c>
      <c r="T1353" s="5" t="s">
        <v>287</v>
      </c>
      <c r="U1353" s="5" t="s">
        <v>238</v>
      </c>
      <c r="V1353" s="5" t="s">
        <v>238</v>
      </c>
      <c r="W1353" s="5" t="s">
        <v>241</v>
      </c>
      <c r="X1353" s="5" t="s">
        <v>243</v>
      </c>
      <c r="Y1353" s="5" t="s">
        <v>238</v>
      </c>
      <c r="AB1353" s="5" t="s">
        <v>238</v>
      </c>
      <c r="AD1353" s="6" t="s">
        <v>238</v>
      </c>
      <c r="AG1353" s="6" t="s">
        <v>246</v>
      </c>
      <c r="AH1353" s="5" t="s">
        <v>247</v>
      </c>
      <c r="AI1353" s="5" t="s">
        <v>248</v>
      </c>
      <c r="AY1353" s="5" t="s">
        <v>250</v>
      </c>
      <c r="AZ1353" s="5" t="s">
        <v>238</v>
      </c>
      <c r="BA1353" s="5" t="s">
        <v>251</v>
      </c>
      <c r="BB1353" s="5" t="s">
        <v>238</v>
      </c>
      <c r="BC1353" s="5" t="s">
        <v>253</v>
      </c>
      <c r="BD1353" s="5" t="s">
        <v>238</v>
      </c>
      <c r="BF1353" s="5" t="s">
        <v>710</v>
      </c>
      <c r="BH1353" s="5" t="s">
        <v>254</v>
      </c>
      <c r="BI1353" s="6" t="s">
        <v>246</v>
      </c>
      <c r="BJ1353" s="5" t="s">
        <v>255</v>
      </c>
      <c r="BK1353" s="5" t="s">
        <v>294</v>
      </c>
      <c r="BL1353" s="5" t="s">
        <v>238</v>
      </c>
      <c r="BM1353" s="7">
        <f>0</f>
        <v>0</v>
      </c>
      <c r="BN1353" s="8">
        <f>0</f>
        <v>0</v>
      </c>
      <c r="BO1353" s="5" t="s">
        <v>257</v>
      </c>
      <c r="BP1353" s="5" t="s">
        <v>258</v>
      </c>
      <c r="CD1353" s="5" t="s">
        <v>238</v>
      </c>
      <c r="CE1353" s="5" t="s">
        <v>238</v>
      </c>
      <c r="CI1353" s="5" t="s">
        <v>259</v>
      </c>
      <c r="CJ1353" s="5" t="s">
        <v>260</v>
      </c>
      <c r="CK1353" s="5" t="s">
        <v>238</v>
      </c>
      <c r="CM1353" s="5" t="s">
        <v>1945</v>
      </c>
      <c r="CN1353" s="6" t="s">
        <v>262</v>
      </c>
      <c r="CO1353" s="5" t="s">
        <v>263</v>
      </c>
      <c r="CP1353" s="5" t="s">
        <v>264</v>
      </c>
      <c r="CQ1353" s="5" t="s">
        <v>238</v>
      </c>
      <c r="CR1353" s="5" t="s">
        <v>238</v>
      </c>
      <c r="CS1353" s="5">
        <v>0</v>
      </c>
      <c r="CT1353" s="5" t="s">
        <v>265</v>
      </c>
      <c r="CU1353" s="5" t="s">
        <v>351</v>
      </c>
      <c r="CV1353" s="5" t="s">
        <v>3046</v>
      </c>
      <c r="CX1353" s="8">
        <f>1900500</f>
        <v>1900500</v>
      </c>
      <c r="CY1353" s="8">
        <f>0</f>
        <v>0</v>
      </c>
      <c r="DA1353" s="5" t="s">
        <v>238</v>
      </c>
      <c r="DB1353" s="5" t="s">
        <v>238</v>
      </c>
      <c r="DD1353" s="5" t="s">
        <v>238</v>
      </c>
      <c r="DG1353" s="5" t="s">
        <v>238</v>
      </c>
      <c r="DH1353" s="5" t="s">
        <v>238</v>
      </c>
      <c r="DI1353" s="5" t="s">
        <v>238</v>
      </c>
      <c r="DJ1353" s="5" t="s">
        <v>238</v>
      </c>
      <c r="DK1353" s="5" t="s">
        <v>271</v>
      </c>
      <c r="DL1353" s="5" t="s">
        <v>272</v>
      </c>
      <c r="DM1353" s="7">
        <f>8.15</f>
        <v>8.15</v>
      </c>
      <c r="DN1353" s="5" t="s">
        <v>238</v>
      </c>
      <c r="DO1353" s="5" t="s">
        <v>238</v>
      </c>
      <c r="DP1353" s="5" t="s">
        <v>238</v>
      </c>
      <c r="DQ1353" s="5" t="s">
        <v>238</v>
      </c>
      <c r="DT1353" s="5" t="s">
        <v>3092</v>
      </c>
      <c r="DU1353" s="5" t="s">
        <v>271</v>
      </c>
      <c r="HM1353" s="5" t="s">
        <v>379</v>
      </c>
      <c r="HP1353" s="5" t="s">
        <v>272</v>
      </c>
      <c r="HQ1353" s="5" t="s">
        <v>272</v>
      </c>
    </row>
    <row r="1354" spans="1:238" x14ac:dyDescent="0.4">
      <c r="A1354" s="5">
        <v>1703</v>
      </c>
      <c r="B1354" s="5">
        <v>1</v>
      </c>
      <c r="C1354" s="5">
        <v>4</v>
      </c>
      <c r="D1354" s="5" t="s">
        <v>3043</v>
      </c>
      <c r="E1354" s="5" t="s">
        <v>1183</v>
      </c>
      <c r="F1354" s="5" t="s">
        <v>282</v>
      </c>
      <c r="G1354" s="5" t="s">
        <v>327</v>
      </c>
      <c r="H1354" s="6" t="s">
        <v>3045</v>
      </c>
      <c r="I1354" s="5" t="s">
        <v>3042</v>
      </c>
      <c r="J1354" s="7">
        <f>12</f>
        <v>12</v>
      </c>
      <c r="K1354" s="5" t="s">
        <v>270</v>
      </c>
      <c r="L1354" s="8">
        <f>1023300</f>
        <v>1023300</v>
      </c>
      <c r="M1354" s="8">
        <f>4093200</f>
        <v>4093200</v>
      </c>
      <c r="N1354" s="6" t="s">
        <v>3044</v>
      </c>
      <c r="O1354" s="5" t="s">
        <v>354</v>
      </c>
      <c r="P1354" s="5" t="s">
        <v>310</v>
      </c>
      <c r="Q1354" s="8">
        <f>511650</f>
        <v>511650</v>
      </c>
      <c r="R1354" s="8">
        <f>3069900</f>
        <v>3069900</v>
      </c>
      <c r="S1354" s="5" t="s">
        <v>240</v>
      </c>
      <c r="T1354" s="5" t="s">
        <v>237</v>
      </c>
      <c r="U1354" s="5" t="s">
        <v>238</v>
      </c>
      <c r="V1354" s="5" t="s">
        <v>238</v>
      </c>
      <c r="W1354" s="5" t="s">
        <v>241</v>
      </c>
      <c r="X1354" s="5" t="s">
        <v>243</v>
      </c>
      <c r="Y1354" s="5" t="s">
        <v>238</v>
      </c>
      <c r="AB1354" s="5" t="s">
        <v>238</v>
      </c>
      <c r="AC1354" s="6" t="s">
        <v>238</v>
      </c>
      <c r="AD1354" s="6" t="s">
        <v>238</v>
      </c>
      <c r="AF1354" s="6" t="s">
        <v>238</v>
      </c>
      <c r="AG1354" s="6" t="s">
        <v>246</v>
      </c>
      <c r="AH1354" s="5" t="s">
        <v>247</v>
      </c>
      <c r="AI1354" s="5" t="s">
        <v>248</v>
      </c>
      <c r="AO1354" s="5" t="s">
        <v>238</v>
      </c>
      <c r="AP1354" s="5" t="s">
        <v>238</v>
      </c>
      <c r="AQ1354" s="5" t="s">
        <v>238</v>
      </c>
      <c r="AR1354" s="6" t="s">
        <v>238</v>
      </c>
      <c r="AS1354" s="6" t="s">
        <v>238</v>
      </c>
      <c r="AT1354" s="6" t="s">
        <v>238</v>
      </c>
      <c r="AW1354" s="5" t="s">
        <v>304</v>
      </c>
      <c r="AX1354" s="5" t="s">
        <v>304</v>
      </c>
      <c r="AY1354" s="5" t="s">
        <v>250</v>
      </c>
      <c r="AZ1354" s="5" t="s">
        <v>305</v>
      </c>
      <c r="BA1354" s="5" t="s">
        <v>251</v>
      </c>
      <c r="BB1354" s="5" t="s">
        <v>238</v>
      </c>
      <c r="BC1354" s="5" t="s">
        <v>253</v>
      </c>
      <c r="BD1354" s="5" t="s">
        <v>238</v>
      </c>
      <c r="BF1354" s="5" t="s">
        <v>710</v>
      </c>
      <c r="BH1354" s="5" t="s">
        <v>283</v>
      </c>
      <c r="BI1354" s="6" t="s">
        <v>293</v>
      </c>
      <c r="BJ1354" s="5" t="s">
        <v>294</v>
      </c>
      <c r="BK1354" s="5" t="s">
        <v>294</v>
      </c>
      <c r="BL1354" s="5" t="s">
        <v>238</v>
      </c>
      <c r="BM1354" s="7">
        <f>0</f>
        <v>0</v>
      </c>
      <c r="BN1354" s="8">
        <f>-511650</f>
        <v>-511650</v>
      </c>
      <c r="BO1354" s="5" t="s">
        <v>257</v>
      </c>
      <c r="BP1354" s="5" t="s">
        <v>258</v>
      </c>
      <c r="BQ1354" s="5" t="s">
        <v>238</v>
      </c>
      <c r="BR1354" s="5" t="s">
        <v>238</v>
      </c>
      <c r="BS1354" s="5" t="s">
        <v>238</v>
      </c>
      <c r="BT1354" s="5" t="s">
        <v>238</v>
      </c>
      <c r="CC1354" s="5" t="s">
        <v>258</v>
      </c>
      <c r="CD1354" s="5" t="s">
        <v>238</v>
      </c>
      <c r="CE1354" s="5" t="s">
        <v>238</v>
      </c>
      <c r="CI1354" s="5" t="s">
        <v>259</v>
      </c>
      <c r="CJ1354" s="5" t="s">
        <v>260</v>
      </c>
      <c r="CK1354" s="5" t="s">
        <v>238</v>
      </c>
      <c r="CM1354" s="5" t="s">
        <v>1202</v>
      </c>
      <c r="CN1354" s="6" t="s">
        <v>262</v>
      </c>
      <c r="CO1354" s="5" t="s">
        <v>263</v>
      </c>
      <c r="CP1354" s="5" t="s">
        <v>264</v>
      </c>
      <c r="CQ1354" s="5" t="s">
        <v>285</v>
      </c>
      <c r="CR1354" s="5" t="s">
        <v>238</v>
      </c>
      <c r="CS1354" s="5">
        <v>0.125</v>
      </c>
      <c r="CT1354" s="5" t="s">
        <v>265</v>
      </c>
      <c r="CU1354" s="5" t="s">
        <v>351</v>
      </c>
      <c r="CV1354" s="5" t="s">
        <v>3046</v>
      </c>
      <c r="CW1354" s="7">
        <f>0</f>
        <v>0</v>
      </c>
      <c r="CX1354" s="8">
        <f>4093200</f>
        <v>4093200</v>
      </c>
      <c r="CY1354" s="8">
        <f>1534950</f>
        <v>1534950</v>
      </c>
      <c r="DA1354" s="5" t="s">
        <v>238</v>
      </c>
      <c r="DB1354" s="5" t="s">
        <v>238</v>
      </c>
      <c r="DD1354" s="5" t="s">
        <v>238</v>
      </c>
      <c r="DE1354" s="8">
        <f>0</f>
        <v>0</v>
      </c>
      <c r="DG1354" s="5" t="s">
        <v>238</v>
      </c>
      <c r="DH1354" s="5" t="s">
        <v>238</v>
      </c>
      <c r="DI1354" s="5" t="s">
        <v>238</v>
      </c>
      <c r="DJ1354" s="5" t="s">
        <v>238</v>
      </c>
      <c r="DK1354" s="5" t="s">
        <v>271</v>
      </c>
      <c r="DL1354" s="5" t="s">
        <v>272</v>
      </c>
      <c r="DM1354" s="7">
        <f>12</f>
        <v>12</v>
      </c>
      <c r="DN1354" s="5" t="s">
        <v>238</v>
      </c>
      <c r="DO1354" s="5" t="s">
        <v>238</v>
      </c>
      <c r="DP1354" s="5" t="s">
        <v>238</v>
      </c>
      <c r="DQ1354" s="5" t="s">
        <v>238</v>
      </c>
      <c r="DT1354" s="5" t="s">
        <v>3047</v>
      </c>
      <c r="DU1354" s="5" t="s">
        <v>271</v>
      </c>
      <c r="GL1354" s="5" t="s">
        <v>3048</v>
      </c>
      <c r="HM1354" s="5" t="s">
        <v>313</v>
      </c>
      <c r="HP1354" s="5" t="s">
        <v>272</v>
      </c>
      <c r="HQ1354" s="5" t="s">
        <v>272</v>
      </c>
      <c r="HR1354" s="5" t="s">
        <v>238</v>
      </c>
      <c r="HS1354" s="5" t="s">
        <v>238</v>
      </c>
      <c r="HT1354" s="5" t="s">
        <v>238</v>
      </c>
      <c r="HU1354" s="5" t="s">
        <v>238</v>
      </c>
      <c r="HV1354" s="5" t="s">
        <v>238</v>
      </c>
      <c r="HW1354" s="5" t="s">
        <v>238</v>
      </c>
      <c r="HX1354" s="5" t="s">
        <v>238</v>
      </c>
      <c r="HY1354" s="5" t="s">
        <v>238</v>
      </c>
      <c r="HZ1354" s="5" t="s">
        <v>238</v>
      </c>
      <c r="IA1354" s="5" t="s">
        <v>238</v>
      </c>
      <c r="IB1354" s="5" t="s">
        <v>238</v>
      </c>
      <c r="IC1354" s="5" t="s">
        <v>238</v>
      </c>
      <c r="ID1354" s="5" t="s">
        <v>238</v>
      </c>
    </row>
    <row r="1355" spans="1:238" x14ac:dyDescent="0.4">
      <c r="A1355" s="5">
        <v>1704</v>
      </c>
      <c r="B1355" s="5">
        <v>1</v>
      </c>
      <c r="C1355" s="5">
        <v>4</v>
      </c>
      <c r="D1355" s="5" t="s">
        <v>3049</v>
      </c>
      <c r="E1355" s="5" t="s">
        <v>1183</v>
      </c>
      <c r="F1355" s="5" t="s">
        <v>282</v>
      </c>
      <c r="G1355" s="5" t="s">
        <v>327</v>
      </c>
      <c r="H1355" s="6" t="s">
        <v>3051</v>
      </c>
      <c r="I1355" s="5" t="s">
        <v>3042</v>
      </c>
      <c r="J1355" s="7">
        <f>8.26</f>
        <v>8.26</v>
      </c>
      <c r="K1355" s="5" t="s">
        <v>270</v>
      </c>
      <c r="L1355" s="8">
        <f>841320</f>
        <v>841320</v>
      </c>
      <c r="M1355" s="8">
        <f>3365280</f>
        <v>3365280</v>
      </c>
      <c r="N1355" s="6" t="s">
        <v>3050</v>
      </c>
      <c r="O1355" s="5" t="s">
        <v>354</v>
      </c>
      <c r="P1355" s="5" t="s">
        <v>310</v>
      </c>
      <c r="Q1355" s="8">
        <f>420660</f>
        <v>420660</v>
      </c>
      <c r="R1355" s="8">
        <f>2523960</f>
        <v>2523960</v>
      </c>
      <c r="S1355" s="5" t="s">
        <v>240</v>
      </c>
      <c r="T1355" s="5" t="s">
        <v>237</v>
      </c>
      <c r="U1355" s="5" t="s">
        <v>238</v>
      </c>
      <c r="V1355" s="5" t="s">
        <v>238</v>
      </c>
      <c r="W1355" s="5" t="s">
        <v>241</v>
      </c>
      <c r="X1355" s="5" t="s">
        <v>243</v>
      </c>
      <c r="Y1355" s="5" t="s">
        <v>238</v>
      </c>
      <c r="AB1355" s="5" t="s">
        <v>238</v>
      </c>
      <c r="AC1355" s="6" t="s">
        <v>238</v>
      </c>
      <c r="AD1355" s="6" t="s">
        <v>238</v>
      </c>
      <c r="AF1355" s="6" t="s">
        <v>238</v>
      </c>
      <c r="AG1355" s="6" t="s">
        <v>246</v>
      </c>
      <c r="AH1355" s="5" t="s">
        <v>247</v>
      </c>
      <c r="AI1355" s="5" t="s">
        <v>248</v>
      </c>
      <c r="AO1355" s="5" t="s">
        <v>238</v>
      </c>
      <c r="AP1355" s="5" t="s">
        <v>238</v>
      </c>
      <c r="AQ1355" s="5" t="s">
        <v>238</v>
      </c>
      <c r="AR1355" s="6" t="s">
        <v>238</v>
      </c>
      <c r="AS1355" s="6" t="s">
        <v>238</v>
      </c>
      <c r="AT1355" s="6" t="s">
        <v>238</v>
      </c>
      <c r="AW1355" s="5" t="s">
        <v>304</v>
      </c>
      <c r="AX1355" s="5" t="s">
        <v>304</v>
      </c>
      <c r="AY1355" s="5" t="s">
        <v>250</v>
      </c>
      <c r="AZ1355" s="5" t="s">
        <v>305</v>
      </c>
      <c r="BA1355" s="5" t="s">
        <v>251</v>
      </c>
      <c r="BB1355" s="5" t="s">
        <v>238</v>
      </c>
      <c r="BC1355" s="5" t="s">
        <v>253</v>
      </c>
      <c r="BD1355" s="5" t="s">
        <v>238</v>
      </c>
      <c r="BF1355" s="5" t="s">
        <v>710</v>
      </c>
      <c r="BH1355" s="5" t="s">
        <v>283</v>
      </c>
      <c r="BI1355" s="6" t="s">
        <v>293</v>
      </c>
      <c r="BJ1355" s="5" t="s">
        <v>294</v>
      </c>
      <c r="BK1355" s="5" t="s">
        <v>294</v>
      </c>
      <c r="BL1355" s="5" t="s">
        <v>238</v>
      </c>
      <c r="BM1355" s="7">
        <f>0</f>
        <v>0</v>
      </c>
      <c r="BN1355" s="8">
        <f>-420660</f>
        <v>-420660</v>
      </c>
      <c r="BO1355" s="5" t="s">
        <v>257</v>
      </c>
      <c r="BP1355" s="5" t="s">
        <v>258</v>
      </c>
      <c r="BQ1355" s="5" t="s">
        <v>238</v>
      </c>
      <c r="BR1355" s="5" t="s">
        <v>238</v>
      </c>
      <c r="BS1355" s="5" t="s">
        <v>238</v>
      </c>
      <c r="BT1355" s="5" t="s">
        <v>238</v>
      </c>
      <c r="CC1355" s="5" t="s">
        <v>258</v>
      </c>
      <c r="CD1355" s="5" t="s">
        <v>238</v>
      </c>
      <c r="CE1355" s="5" t="s">
        <v>238</v>
      </c>
      <c r="CI1355" s="5" t="s">
        <v>259</v>
      </c>
      <c r="CJ1355" s="5" t="s">
        <v>260</v>
      </c>
      <c r="CK1355" s="5" t="s">
        <v>238</v>
      </c>
      <c r="CM1355" s="5" t="s">
        <v>1202</v>
      </c>
      <c r="CN1355" s="6" t="s">
        <v>262</v>
      </c>
      <c r="CO1355" s="5" t="s">
        <v>263</v>
      </c>
      <c r="CP1355" s="5" t="s">
        <v>264</v>
      </c>
      <c r="CQ1355" s="5" t="s">
        <v>285</v>
      </c>
      <c r="CR1355" s="5" t="s">
        <v>238</v>
      </c>
      <c r="CS1355" s="5">
        <v>0.125</v>
      </c>
      <c r="CT1355" s="5" t="s">
        <v>265</v>
      </c>
      <c r="CU1355" s="5" t="s">
        <v>351</v>
      </c>
      <c r="CV1355" s="5" t="s">
        <v>3046</v>
      </c>
      <c r="CW1355" s="7">
        <f>0</f>
        <v>0</v>
      </c>
      <c r="CX1355" s="8">
        <f>3365280</f>
        <v>3365280</v>
      </c>
      <c r="CY1355" s="8">
        <f>1261980</f>
        <v>1261980</v>
      </c>
      <c r="DA1355" s="5" t="s">
        <v>238</v>
      </c>
      <c r="DB1355" s="5" t="s">
        <v>238</v>
      </c>
      <c r="DD1355" s="5" t="s">
        <v>238</v>
      </c>
      <c r="DE1355" s="8">
        <f>0</f>
        <v>0</v>
      </c>
      <c r="DG1355" s="5" t="s">
        <v>238</v>
      </c>
      <c r="DH1355" s="5" t="s">
        <v>238</v>
      </c>
      <c r="DI1355" s="5" t="s">
        <v>238</v>
      </c>
      <c r="DJ1355" s="5" t="s">
        <v>238</v>
      </c>
      <c r="DK1355" s="5" t="s">
        <v>271</v>
      </c>
      <c r="DL1355" s="5" t="s">
        <v>272</v>
      </c>
      <c r="DM1355" s="7">
        <f>8.26</f>
        <v>8.26</v>
      </c>
      <c r="DN1355" s="5" t="s">
        <v>238</v>
      </c>
      <c r="DO1355" s="5" t="s">
        <v>238</v>
      </c>
      <c r="DP1355" s="5" t="s">
        <v>238</v>
      </c>
      <c r="DQ1355" s="5" t="s">
        <v>238</v>
      </c>
      <c r="DT1355" s="5" t="s">
        <v>3052</v>
      </c>
      <c r="DU1355" s="5" t="s">
        <v>271</v>
      </c>
      <c r="GL1355" s="5" t="s">
        <v>3053</v>
      </c>
      <c r="HM1355" s="5" t="s">
        <v>313</v>
      </c>
      <c r="HP1355" s="5" t="s">
        <v>272</v>
      </c>
      <c r="HQ1355" s="5" t="s">
        <v>272</v>
      </c>
      <c r="HR1355" s="5" t="s">
        <v>238</v>
      </c>
      <c r="HS1355" s="5" t="s">
        <v>238</v>
      </c>
      <c r="HT1355" s="5" t="s">
        <v>238</v>
      </c>
      <c r="HU1355" s="5" t="s">
        <v>238</v>
      </c>
      <c r="HV1355" s="5" t="s">
        <v>238</v>
      </c>
      <c r="HW1355" s="5" t="s">
        <v>238</v>
      </c>
      <c r="HX1355" s="5" t="s">
        <v>238</v>
      </c>
      <c r="HY1355" s="5" t="s">
        <v>238</v>
      </c>
      <c r="HZ1355" s="5" t="s">
        <v>238</v>
      </c>
      <c r="IA1355" s="5" t="s">
        <v>238</v>
      </c>
      <c r="IB1355" s="5" t="s">
        <v>238</v>
      </c>
      <c r="IC1355" s="5" t="s">
        <v>238</v>
      </c>
      <c r="ID1355" s="5" t="s">
        <v>238</v>
      </c>
    </row>
    <row r="1356" spans="1:238" x14ac:dyDescent="0.4">
      <c r="A1356" s="5">
        <v>1705</v>
      </c>
      <c r="B1356" s="5">
        <v>1</v>
      </c>
      <c r="C1356" s="5">
        <v>2</v>
      </c>
      <c r="D1356" s="5" t="s">
        <v>4079</v>
      </c>
      <c r="E1356" s="5" t="s">
        <v>1183</v>
      </c>
      <c r="F1356" s="5" t="s">
        <v>282</v>
      </c>
      <c r="G1356" s="5" t="s">
        <v>1007</v>
      </c>
      <c r="H1356" s="6" t="s">
        <v>4080</v>
      </c>
      <c r="I1356" s="5" t="s">
        <v>2215</v>
      </c>
      <c r="J1356" s="7">
        <f>16.5</f>
        <v>16.5</v>
      </c>
      <c r="K1356" s="5" t="s">
        <v>270</v>
      </c>
      <c r="L1356" s="8">
        <f>1</f>
        <v>1</v>
      </c>
      <c r="M1356" s="8">
        <f>1567500</f>
        <v>1567500</v>
      </c>
      <c r="N1356" s="6" t="s">
        <v>906</v>
      </c>
      <c r="O1356" s="5" t="s">
        <v>354</v>
      </c>
      <c r="P1356" s="5" t="s">
        <v>909</v>
      </c>
      <c r="Q1356" s="8" t="s">
        <v>238</v>
      </c>
      <c r="R1356" s="8">
        <f>1567499</f>
        <v>1567499</v>
      </c>
      <c r="S1356" s="5" t="s">
        <v>240</v>
      </c>
      <c r="T1356" s="5" t="s">
        <v>237</v>
      </c>
      <c r="W1356" s="5" t="s">
        <v>241</v>
      </c>
      <c r="X1356" s="5" t="s">
        <v>243</v>
      </c>
      <c r="Y1356" s="5" t="s">
        <v>238</v>
      </c>
      <c r="AB1356" s="5" t="s">
        <v>238</v>
      </c>
      <c r="AC1356" s="6" t="s">
        <v>238</v>
      </c>
      <c r="AD1356" s="6" t="s">
        <v>238</v>
      </c>
      <c r="AE1356" s="5" t="s">
        <v>238</v>
      </c>
      <c r="AF1356" s="6" t="s">
        <v>238</v>
      </c>
      <c r="AG1356" s="6" t="s">
        <v>246</v>
      </c>
      <c r="AH1356" s="5" t="s">
        <v>247</v>
      </c>
      <c r="AI1356" s="5" t="s">
        <v>248</v>
      </c>
      <c r="AO1356" s="5" t="s">
        <v>238</v>
      </c>
      <c r="AP1356" s="5" t="s">
        <v>238</v>
      </c>
      <c r="AQ1356" s="5" t="s">
        <v>238</v>
      </c>
      <c r="AR1356" s="6" t="s">
        <v>238</v>
      </c>
      <c r="AS1356" s="6" t="s">
        <v>238</v>
      </c>
      <c r="AY1356" s="5" t="s">
        <v>250</v>
      </c>
      <c r="AZ1356" s="5" t="s">
        <v>281</v>
      </c>
      <c r="BA1356" s="5" t="s">
        <v>251</v>
      </c>
      <c r="BB1356" s="5" t="s">
        <v>3190</v>
      </c>
      <c r="BC1356" s="5" t="s">
        <v>253</v>
      </c>
      <c r="BD1356" s="5" t="s">
        <v>3170</v>
      </c>
      <c r="BF1356" s="5" t="s">
        <v>710</v>
      </c>
      <c r="BH1356" s="5" t="s">
        <v>254</v>
      </c>
      <c r="BI1356" s="6" t="s">
        <v>293</v>
      </c>
      <c r="BJ1356" s="5" t="s">
        <v>4081</v>
      </c>
      <c r="BK1356" s="5" t="s">
        <v>1010</v>
      </c>
      <c r="BL1356" s="5" t="s">
        <v>238</v>
      </c>
      <c r="BM1356" s="7">
        <f>0</f>
        <v>0</v>
      </c>
      <c r="BN1356" s="8">
        <f>0</f>
        <v>0</v>
      </c>
      <c r="BO1356" s="5" t="s">
        <v>257</v>
      </c>
      <c r="BP1356" s="5" t="s">
        <v>258</v>
      </c>
      <c r="BY1356" s="6" t="s">
        <v>238</v>
      </c>
      <c r="BZ1356" s="5" t="s">
        <v>238</v>
      </c>
      <c r="CA1356" s="5" t="s">
        <v>238</v>
      </c>
      <c r="CB1356" s="5" t="s">
        <v>238</v>
      </c>
      <c r="CC1356" s="5" t="s">
        <v>4082</v>
      </c>
      <c r="CD1356" s="5" t="s">
        <v>238</v>
      </c>
      <c r="CE1356" s="5" t="s">
        <v>238</v>
      </c>
      <c r="CI1356" s="5" t="s">
        <v>527</v>
      </c>
      <c r="CJ1356" s="5" t="s">
        <v>260</v>
      </c>
      <c r="CK1356" s="5" t="s">
        <v>272</v>
      </c>
      <c r="CM1356" s="5" t="s">
        <v>908</v>
      </c>
      <c r="CN1356" s="6" t="s">
        <v>262</v>
      </c>
      <c r="CO1356" s="5" t="s">
        <v>263</v>
      </c>
      <c r="CP1356" s="5" t="s">
        <v>264</v>
      </c>
      <c r="CQ1356" s="5" t="s">
        <v>238</v>
      </c>
      <c r="CR1356" s="5" t="s">
        <v>238</v>
      </c>
      <c r="CS1356" s="5">
        <v>0</v>
      </c>
      <c r="CT1356" s="5" t="s">
        <v>265</v>
      </c>
      <c r="CU1356" s="5" t="s">
        <v>351</v>
      </c>
      <c r="CV1356" s="5" t="s">
        <v>3046</v>
      </c>
      <c r="CW1356" s="7" t="s">
        <v>238</v>
      </c>
      <c r="CX1356" s="8">
        <f>1567500</f>
        <v>1567500</v>
      </c>
      <c r="CY1356" s="8">
        <f>1</f>
        <v>1</v>
      </c>
      <c r="CZ1356" s="8" t="s">
        <v>238</v>
      </c>
      <c r="DA1356" s="5" t="s">
        <v>238</v>
      </c>
      <c r="DB1356" s="5" t="s">
        <v>238</v>
      </c>
      <c r="DD1356" s="5" t="s">
        <v>238</v>
      </c>
      <c r="DE1356" s="8" t="s">
        <v>238</v>
      </c>
      <c r="DF1356" s="6" t="s">
        <v>238</v>
      </c>
      <c r="DG1356" s="5" t="s">
        <v>238</v>
      </c>
      <c r="DH1356" s="5" t="s">
        <v>238</v>
      </c>
      <c r="DI1356" s="5" t="s">
        <v>238</v>
      </c>
      <c r="DJ1356" s="5" t="s">
        <v>238</v>
      </c>
      <c r="DK1356" s="5" t="s">
        <v>271</v>
      </c>
      <c r="DL1356" s="5" t="s">
        <v>272</v>
      </c>
      <c r="DM1356" s="7">
        <f>16.5</f>
        <v>16.5</v>
      </c>
      <c r="DN1356" s="5" t="s">
        <v>238</v>
      </c>
      <c r="DO1356" s="5" t="s">
        <v>247</v>
      </c>
      <c r="DP1356" s="5" t="s">
        <v>3170</v>
      </c>
      <c r="DQ1356" s="5" t="s">
        <v>3170</v>
      </c>
      <c r="DR1356" s="5" t="s">
        <v>238</v>
      </c>
      <c r="DS1356" s="5" t="s">
        <v>238</v>
      </c>
      <c r="DT1356" s="5" t="s">
        <v>4083</v>
      </c>
      <c r="DU1356" s="5" t="s">
        <v>271</v>
      </c>
      <c r="HP1356" s="5" t="s">
        <v>272</v>
      </c>
      <c r="HQ1356" s="5" t="s">
        <v>272</v>
      </c>
    </row>
    <row r="1357" spans="1:238" x14ac:dyDescent="0.4">
      <c r="A1357" s="5">
        <v>1706</v>
      </c>
      <c r="B1357" s="5">
        <v>1</v>
      </c>
      <c r="C1357" s="5">
        <v>4</v>
      </c>
      <c r="D1357" s="5" t="s">
        <v>1873</v>
      </c>
      <c r="E1357" s="5" t="s">
        <v>338</v>
      </c>
      <c r="F1357" s="5" t="s">
        <v>282</v>
      </c>
      <c r="G1357" s="5" t="s">
        <v>349</v>
      </c>
      <c r="H1357" s="6" t="s">
        <v>1875</v>
      </c>
      <c r="I1357" s="5" t="s">
        <v>1872</v>
      </c>
      <c r="J1357" s="7">
        <f>898</f>
        <v>898</v>
      </c>
      <c r="K1357" s="5" t="s">
        <v>270</v>
      </c>
      <c r="L1357" s="8">
        <f>432063288</f>
        <v>432063288</v>
      </c>
      <c r="M1357" s="8">
        <f>529489320</f>
        <v>529489320</v>
      </c>
      <c r="N1357" s="6" t="s">
        <v>1874</v>
      </c>
      <c r="O1357" s="5" t="s">
        <v>286</v>
      </c>
      <c r="P1357" s="5" t="s">
        <v>274</v>
      </c>
      <c r="Q1357" s="8">
        <f>24356508</f>
        <v>24356508</v>
      </c>
      <c r="R1357" s="8">
        <f>97426032</f>
        <v>97426032</v>
      </c>
      <c r="S1357" s="5" t="s">
        <v>240</v>
      </c>
      <c r="T1357" s="5" t="s">
        <v>287</v>
      </c>
      <c r="U1357" s="5" t="s">
        <v>238</v>
      </c>
      <c r="V1357" s="5" t="s">
        <v>238</v>
      </c>
      <c r="W1357" s="5" t="s">
        <v>241</v>
      </c>
      <c r="X1357" s="5" t="s">
        <v>238</v>
      </c>
      <c r="Y1357" s="5" t="s">
        <v>238</v>
      </c>
      <c r="AB1357" s="5" t="s">
        <v>238</v>
      </c>
      <c r="AC1357" s="6" t="s">
        <v>238</v>
      </c>
      <c r="AD1357" s="6" t="s">
        <v>238</v>
      </c>
      <c r="AF1357" s="6" t="s">
        <v>238</v>
      </c>
      <c r="AG1357" s="6" t="s">
        <v>246</v>
      </c>
      <c r="AH1357" s="5" t="s">
        <v>247</v>
      </c>
      <c r="AI1357" s="5" t="s">
        <v>248</v>
      </c>
      <c r="AO1357" s="5" t="s">
        <v>238</v>
      </c>
      <c r="AP1357" s="5" t="s">
        <v>238</v>
      </c>
      <c r="AQ1357" s="5" t="s">
        <v>238</v>
      </c>
      <c r="AR1357" s="6" t="s">
        <v>238</v>
      </c>
      <c r="AS1357" s="6" t="s">
        <v>238</v>
      </c>
      <c r="AT1357" s="6" t="s">
        <v>238</v>
      </c>
      <c r="AW1357" s="5" t="s">
        <v>304</v>
      </c>
      <c r="AX1357" s="5" t="s">
        <v>304</v>
      </c>
      <c r="AY1357" s="5" t="s">
        <v>250</v>
      </c>
      <c r="AZ1357" s="5" t="s">
        <v>305</v>
      </c>
      <c r="BA1357" s="5" t="s">
        <v>251</v>
      </c>
      <c r="BB1357" s="5" t="s">
        <v>238</v>
      </c>
      <c r="BC1357" s="5" t="s">
        <v>253</v>
      </c>
      <c r="BD1357" s="5" t="s">
        <v>238</v>
      </c>
      <c r="BF1357" s="5" t="s">
        <v>238</v>
      </c>
      <c r="BH1357" s="5" t="s">
        <v>283</v>
      </c>
      <c r="BI1357" s="6" t="s">
        <v>293</v>
      </c>
      <c r="BJ1357" s="5" t="s">
        <v>294</v>
      </c>
      <c r="BK1357" s="5" t="s">
        <v>294</v>
      </c>
      <c r="BL1357" s="5" t="s">
        <v>238</v>
      </c>
      <c r="BM1357" s="7">
        <f>0</f>
        <v>0</v>
      </c>
      <c r="BN1357" s="8">
        <f>-24356508</f>
        <v>-24356508</v>
      </c>
      <c r="BO1357" s="5" t="s">
        <v>257</v>
      </c>
      <c r="BP1357" s="5" t="s">
        <v>258</v>
      </c>
      <c r="BQ1357" s="5" t="s">
        <v>238</v>
      </c>
      <c r="BR1357" s="5" t="s">
        <v>238</v>
      </c>
      <c r="BS1357" s="5" t="s">
        <v>238</v>
      </c>
      <c r="BT1357" s="5" t="s">
        <v>238</v>
      </c>
      <c r="CC1357" s="5" t="s">
        <v>258</v>
      </c>
      <c r="CD1357" s="5" t="s">
        <v>238</v>
      </c>
      <c r="CE1357" s="5" t="s">
        <v>238</v>
      </c>
      <c r="CI1357" s="5" t="s">
        <v>259</v>
      </c>
      <c r="CJ1357" s="5" t="s">
        <v>260</v>
      </c>
      <c r="CK1357" s="5" t="s">
        <v>238</v>
      </c>
      <c r="CM1357" s="5" t="s">
        <v>402</v>
      </c>
      <c r="CN1357" s="6" t="s">
        <v>262</v>
      </c>
      <c r="CO1357" s="5" t="s">
        <v>263</v>
      </c>
      <c r="CP1357" s="5" t="s">
        <v>264</v>
      </c>
      <c r="CQ1357" s="5" t="s">
        <v>285</v>
      </c>
      <c r="CR1357" s="5" t="s">
        <v>238</v>
      </c>
      <c r="CS1357" s="5">
        <v>4.5999999999999999E-2</v>
      </c>
      <c r="CT1357" s="5" t="s">
        <v>265</v>
      </c>
      <c r="CU1357" s="5" t="s">
        <v>1803</v>
      </c>
      <c r="CV1357" s="5" t="s">
        <v>267</v>
      </c>
      <c r="CW1357" s="7">
        <f>0</f>
        <v>0</v>
      </c>
      <c r="CX1357" s="8">
        <f>529489320</f>
        <v>529489320</v>
      </c>
      <c r="CY1357" s="8">
        <f>456419796</f>
        <v>456419796</v>
      </c>
      <c r="DA1357" s="5" t="s">
        <v>238</v>
      </c>
      <c r="DB1357" s="5" t="s">
        <v>238</v>
      </c>
      <c r="DD1357" s="5" t="s">
        <v>238</v>
      </c>
      <c r="DE1357" s="8">
        <f>0</f>
        <v>0</v>
      </c>
      <c r="DG1357" s="5" t="s">
        <v>238</v>
      </c>
      <c r="DH1357" s="5" t="s">
        <v>238</v>
      </c>
      <c r="DI1357" s="5" t="s">
        <v>238</v>
      </c>
      <c r="DJ1357" s="5" t="s">
        <v>238</v>
      </c>
      <c r="DK1357" s="5" t="s">
        <v>274</v>
      </c>
      <c r="DL1357" s="5" t="s">
        <v>272</v>
      </c>
      <c r="DM1357" s="7">
        <f>898</f>
        <v>898</v>
      </c>
      <c r="DN1357" s="5" t="s">
        <v>238</v>
      </c>
      <c r="DO1357" s="5" t="s">
        <v>238</v>
      </c>
      <c r="DP1357" s="5" t="s">
        <v>238</v>
      </c>
      <c r="DQ1357" s="5" t="s">
        <v>238</v>
      </c>
      <c r="DT1357" s="5" t="s">
        <v>1876</v>
      </c>
      <c r="DU1357" s="5" t="s">
        <v>271</v>
      </c>
      <c r="GL1357" s="5" t="s">
        <v>1877</v>
      </c>
      <c r="HM1357" s="5" t="s">
        <v>310</v>
      </c>
      <c r="HP1357" s="5" t="s">
        <v>272</v>
      </c>
      <c r="HQ1357" s="5" t="s">
        <v>272</v>
      </c>
      <c r="HR1357" s="5" t="s">
        <v>238</v>
      </c>
      <c r="HS1357" s="5" t="s">
        <v>238</v>
      </c>
      <c r="HT1357" s="5" t="s">
        <v>238</v>
      </c>
      <c r="HU1357" s="5" t="s">
        <v>238</v>
      </c>
      <c r="HV1357" s="5" t="s">
        <v>238</v>
      </c>
      <c r="HW1357" s="5" t="s">
        <v>238</v>
      </c>
      <c r="HX1357" s="5" t="s">
        <v>238</v>
      </c>
      <c r="HY1357" s="5" t="s">
        <v>238</v>
      </c>
      <c r="HZ1357" s="5" t="s">
        <v>238</v>
      </c>
      <c r="IA1357" s="5" t="s">
        <v>238</v>
      </c>
      <c r="IB1357" s="5" t="s">
        <v>238</v>
      </c>
      <c r="IC1357" s="5" t="s">
        <v>238</v>
      </c>
      <c r="ID1357" s="5" t="s">
        <v>238</v>
      </c>
    </row>
    <row r="1358" spans="1:238" x14ac:dyDescent="0.4">
      <c r="A1358" s="5">
        <v>1707</v>
      </c>
      <c r="B1358" s="5">
        <v>1</v>
      </c>
      <c r="C1358" s="5">
        <v>5</v>
      </c>
      <c r="D1358" s="5" t="s">
        <v>3055</v>
      </c>
      <c r="E1358" s="5" t="s">
        <v>454</v>
      </c>
      <c r="F1358" s="5" t="s">
        <v>282</v>
      </c>
      <c r="G1358" s="5" t="s">
        <v>4177</v>
      </c>
      <c r="H1358" s="6" t="s">
        <v>3056</v>
      </c>
      <c r="I1358" s="5" t="s">
        <v>4176</v>
      </c>
      <c r="J1358" s="7">
        <f>1656.18</f>
        <v>1656.18</v>
      </c>
      <c r="K1358" s="5" t="s">
        <v>270</v>
      </c>
      <c r="L1358" s="8">
        <f>440190488</f>
        <v>440190488</v>
      </c>
      <c r="M1358" s="8">
        <f>484791286</f>
        <v>484791286</v>
      </c>
      <c r="N1358" s="6" t="s">
        <v>2885</v>
      </c>
      <c r="O1358" s="5" t="s">
        <v>286</v>
      </c>
      <c r="P1358" s="5" t="s">
        <v>272</v>
      </c>
      <c r="Q1358" s="8">
        <f>484791285</f>
        <v>484791285</v>
      </c>
      <c r="R1358" s="8">
        <f>44600798</f>
        <v>44600798</v>
      </c>
      <c r="S1358" s="5" t="s">
        <v>240</v>
      </c>
      <c r="T1358" s="5" t="s">
        <v>237</v>
      </c>
      <c r="W1358" s="5" t="s">
        <v>241</v>
      </c>
      <c r="X1358" s="5" t="s">
        <v>453</v>
      </c>
      <c r="Y1358" s="5" t="s">
        <v>238</v>
      </c>
      <c r="AB1358" s="5" t="s">
        <v>238</v>
      </c>
      <c r="AC1358" s="6" t="s">
        <v>238</v>
      </c>
      <c r="AD1358" s="6" t="s">
        <v>238</v>
      </c>
      <c r="AF1358" s="6" t="s">
        <v>238</v>
      </c>
      <c r="AG1358" s="6" t="s">
        <v>246</v>
      </c>
      <c r="AH1358" s="5" t="s">
        <v>247</v>
      </c>
      <c r="AI1358" s="5" t="s">
        <v>248</v>
      </c>
      <c r="AO1358" s="5" t="s">
        <v>238</v>
      </c>
      <c r="AP1358" s="5" t="s">
        <v>238</v>
      </c>
      <c r="AQ1358" s="5" t="s">
        <v>238</v>
      </c>
      <c r="AR1358" s="6" t="s">
        <v>238</v>
      </c>
      <c r="AS1358" s="6" t="s">
        <v>238</v>
      </c>
      <c r="AT1358" s="6" t="s">
        <v>238</v>
      </c>
      <c r="AW1358" s="5" t="s">
        <v>304</v>
      </c>
      <c r="AX1358" s="5" t="s">
        <v>304</v>
      </c>
      <c r="AY1358" s="5" t="s">
        <v>250</v>
      </c>
      <c r="AZ1358" s="5" t="s">
        <v>305</v>
      </c>
      <c r="BA1358" s="5" t="s">
        <v>251</v>
      </c>
      <c r="BB1358" s="5" t="s">
        <v>238</v>
      </c>
      <c r="BC1358" s="5" t="s">
        <v>253</v>
      </c>
      <c r="BD1358" s="5" t="s">
        <v>238</v>
      </c>
      <c r="BF1358" s="5" t="s">
        <v>238</v>
      </c>
      <c r="BH1358" s="5" t="s">
        <v>283</v>
      </c>
      <c r="BI1358" s="6" t="s">
        <v>293</v>
      </c>
      <c r="BJ1358" s="5" t="s">
        <v>294</v>
      </c>
      <c r="BK1358" s="5" t="s">
        <v>294</v>
      </c>
      <c r="BL1358" s="5" t="s">
        <v>238</v>
      </c>
      <c r="BM1358" s="7">
        <f>0</f>
        <v>0</v>
      </c>
      <c r="BN1358" s="8">
        <f>-22300399</f>
        <v>-22300399</v>
      </c>
      <c r="BO1358" s="5" t="s">
        <v>257</v>
      </c>
      <c r="BP1358" s="5" t="s">
        <v>258</v>
      </c>
      <c r="BQ1358" s="5" t="s">
        <v>238</v>
      </c>
      <c r="BR1358" s="5" t="s">
        <v>238</v>
      </c>
      <c r="BS1358" s="5" t="s">
        <v>238</v>
      </c>
      <c r="BT1358" s="5" t="s">
        <v>238</v>
      </c>
      <c r="CC1358" s="5" t="s">
        <v>258</v>
      </c>
      <c r="CD1358" s="5" t="s">
        <v>238</v>
      </c>
      <c r="CE1358" s="5" t="s">
        <v>238</v>
      </c>
      <c r="CI1358" s="5" t="s">
        <v>259</v>
      </c>
      <c r="CJ1358" s="5" t="s">
        <v>260</v>
      </c>
      <c r="CK1358" s="5" t="s">
        <v>238</v>
      </c>
      <c r="CM1358" s="5" t="s">
        <v>408</v>
      </c>
      <c r="CN1358" s="6" t="s">
        <v>262</v>
      </c>
      <c r="CO1358" s="5" t="s">
        <v>263</v>
      </c>
      <c r="CP1358" s="5" t="s">
        <v>264</v>
      </c>
      <c r="CQ1358" s="5" t="s">
        <v>285</v>
      </c>
      <c r="CR1358" s="5" t="s">
        <v>238</v>
      </c>
      <c r="CS1358" s="5">
        <v>4.5999999999999999E-2</v>
      </c>
      <c r="CT1358" s="5" t="s">
        <v>265</v>
      </c>
      <c r="CU1358" s="5" t="s">
        <v>2145</v>
      </c>
      <c r="CV1358" s="5" t="s">
        <v>267</v>
      </c>
      <c r="CW1358" s="7">
        <f>0</f>
        <v>0</v>
      </c>
      <c r="CX1358" s="8">
        <f>484791286</f>
        <v>484791286</v>
      </c>
      <c r="CY1358" s="8">
        <f>440190488</f>
        <v>440190488</v>
      </c>
      <c r="DA1358" s="5" t="s">
        <v>238</v>
      </c>
      <c r="DB1358" s="5" t="s">
        <v>238</v>
      </c>
      <c r="DD1358" s="5" t="s">
        <v>238</v>
      </c>
      <c r="DE1358" s="8">
        <f>0</f>
        <v>0</v>
      </c>
      <c r="DG1358" s="5" t="s">
        <v>238</v>
      </c>
      <c r="DH1358" s="5" t="s">
        <v>238</v>
      </c>
      <c r="DI1358" s="5" t="s">
        <v>238</v>
      </c>
      <c r="DJ1358" s="5" t="s">
        <v>238</v>
      </c>
      <c r="DK1358" s="5" t="s">
        <v>272</v>
      </c>
      <c r="DL1358" s="5" t="s">
        <v>272</v>
      </c>
      <c r="DM1358" s="7">
        <f>1656.18</f>
        <v>1656.18</v>
      </c>
      <c r="DN1358" s="5" t="s">
        <v>238</v>
      </c>
      <c r="DO1358" s="5" t="s">
        <v>238</v>
      </c>
      <c r="DP1358" s="5" t="s">
        <v>238</v>
      </c>
      <c r="DQ1358" s="5" t="s">
        <v>238</v>
      </c>
      <c r="DT1358" s="5" t="s">
        <v>3057</v>
      </c>
      <c r="DU1358" s="5" t="s">
        <v>271</v>
      </c>
      <c r="GL1358" s="5" t="s">
        <v>4178</v>
      </c>
      <c r="HM1358" s="5" t="s">
        <v>274</v>
      </c>
      <c r="HP1358" s="5" t="s">
        <v>272</v>
      </c>
      <c r="HQ1358" s="5" t="s">
        <v>272</v>
      </c>
      <c r="HR1358" s="5" t="s">
        <v>238</v>
      </c>
      <c r="HS1358" s="5" t="s">
        <v>238</v>
      </c>
      <c r="HT1358" s="5" t="s">
        <v>238</v>
      </c>
      <c r="HU1358" s="5" t="s">
        <v>238</v>
      </c>
      <c r="HV1358" s="5" t="s">
        <v>238</v>
      </c>
      <c r="HW1358" s="5" t="s">
        <v>238</v>
      </c>
      <c r="HX1358" s="5" t="s">
        <v>238</v>
      </c>
      <c r="HY1358" s="5" t="s">
        <v>238</v>
      </c>
      <c r="HZ1358" s="5" t="s">
        <v>238</v>
      </c>
      <c r="IA1358" s="5" t="s">
        <v>238</v>
      </c>
      <c r="IB1358" s="5" t="s">
        <v>238</v>
      </c>
      <c r="IC1358" s="5" t="s">
        <v>238</v>
      </c>
      <c r="ID1358" s="5" t="s">
        <v>238</v>
      </c>
    </row>
    <row r="1359" spans="1:238" x14ac:dyDescent="0.4">
      <c r="A1359" s="5">
        <v>1708</v>
      </c>
      <c r="B1359" s="5">
        <v>1</v>
      </c>
      <c r="C1359" s="5">
        <v>4</v>
      </c>
      <c r="D1359" s="5" t="s">
        <v>3055</v>
      </c>
      <c r="E1359" s="5" t="s">
        <v>454</v>
      </c>
      <c r="F1359" s="5" t="s">
        <v>282</v>
      </c>
      <c r="G1359" s="5" t="s">
        <v>349</v>
      </c>
      <c r="H1359" s="6" t="s">
        <v>3056</v>
      </c>
      <c r="I1359" s="5" t="s">
        <v>3054</v>
      </c>
      <c r="J1359" s="7">
        <f>0</f>
        <v>0</v>
      </c>
      <c r="K1359" s="5" t="s">
        <v>270</v>
      </c>
      <c r="L1359" s="8">
        <f>73997968</f>
        <v>73997968</v>
      </c>
      <c r="M1359" s="8">
        <f>85448000</f>
        <v>85448000</v>
      </c>
      <c r="N1359" s="6" t="s">
        <v>2885</v>
      </c>
      <c r="O1359" s="5" t="s">
        <v>268</v>
      </c>
      <c r="P1359" s="5" t="s">
        <v>272</v>
      </c>
      <c r="Q1359" s="8">
        <f>85447999</f>
        <v>85447999</v>
      </c>
      <c r="R1359" s="8">
        <f>11450032</f>
        <v>11450032</v>
      </c>
      <c r="S1359" s="5" t="s">
        <v>240</v>
      </c>
      <c r="T1359" s="5" t="s">
        <v>287</v>
      </c>
      <c r="U1359" s="5" t="s">
        <v>238</v>
      </c>
      <c r="V1359" s="5" t="s">
        <v>238</v>
      </c>
      <c r="W1359" s="5" t="s">
        <v>241</v>
      </c>
      <c r="X1359" s="5" t="s">
        <v>238</v>
      </c>
      <c r="Y1359" s="5" t="s">
        <v>238</v>
      </c>
      <c r="AB1359" s="5" t="s">
        <v>238</v>
      </c>
      <c r="AC1359" s="6" t="s">
        <v>238</v>
      </c>
      <c r="AD1359" s="6" t="s">
        <v>238</v>
      </c>
      <c r="AF1359" s="6" t="s">
        <v>238</v>
      </c>
      <c r="AG1359" s="6" t="s">
        <v>246</v>
      </c>
      <c r="AH1359" s="5" t="s">
        <v>247</v>
      </c>
      <c r="AI1359" s="5" t="s">
        <v>248</v>
      </c>
      <c r="AO1359" s="5" t="s">
        <v>238</v>
      </c>
      <c r="AP1359" s="5" t="s">
        <v>238</v>
      </c>
      <c r="AQ1359" s="5" t="s">
        <v>238</v>
      </c>
      <c r="AR1359" s="6" t="s">
        <v>238</v>
      </c>
      <c r="AS1359" s="6" t="s">
        <v>238</v>
      </c>
      <c r="AT1359" s="6" t="s">
        <v>238</v>
      </c>
      <c r="AW1359" s="5" t="s">
        <v>304</v>
      </c>
      <c r="AX1359" s="5" t="s">
        <v>304</v>
      </c>
      <c r="AY1359" s="5" t="s">
        <v>250</v>
      </c>
      <c r="AZ1359" s="5" t="s">
        <v>305</v>
      </c>
      <c r="BA1359" s="5" t="s">
        <v>251</v>
      </c>
      <c r="BB1359" s="5" t="s">
        <v>238</v>
      </c>
      <c r="BC1359" s="5" t="s">
        <v>253</v>
      </c>
      <c r="BD1359" s="5" t="s">
        <v>238</v>
      </c>
      <c r="BF1359" s="5" t="s">
        <v>238</v>
      </c>
      <c r="BH1359" s="5" t="s">
        <v>283</v>
      </c>
      <c r="BI1359" s="6" t="s">
        <v>293</v>
      </c>
      <c r="BJ1359" s="5" t="s">
        <v>294</v>
      </c>
      <c r="BK1359" s="5" t="s">
        <v>294</v>
      </c>
      <c r="BL1359" s="5" t="s">
        <v>238</v>
      </c>
      <c r="BM1359" s="7">
        <f>0</f>
        <v>0</v>
      </c>
      <c r="BN1359" s="8">
        <f>-5725016</f>
        <v>-5725016</v>
      </c>
      <c r="BO1359" s="5" t="s">
        <v>257</v>
      </c>
      <c r="BP1359" s="5" t="s">
        <v>258</v>
      </c>
      <c r="BQ1359" s="5" t="s">
        <v>238</v>
      </c>
      <c r="BR1359" s="5" t="s">
        <v>238</v>
      </c>
      <c r="BS1359" s="5" t="s">
        <v>238</v>
      </c>
      <c r="BT1359" s="5" t="s">
        <v>238</v>
      </c>
      <c r="CC1359" s="5" t="s">
        <v>258</v>
      </c>
      <c r="CD1359" s="5" t="s">
        <v>238</v>
      </c>
      <c r="CE1359" s="5" t="s">
        <v>238</v>
      </c>
      <c r="CI1359" s="5" t="s">
        <v>259</v>
      </c>
      <c r="CJ1359" s="5" t="s">
        <v>260</v>
      </c>
      <c r="CK1359" s="5" t="s">
        <v>238</v>
      </c>
      <c r="CM1359" s="5" t="s">
        <v>408</v>
      </c>
      <c r="CN1359" s="6" t="s">
        <v>262</v>
      </c>
      <c r="CO1359" s="5" t="s">
        <v>263</v>
      </c>
      <c r="CP1359" s="5" t="s">
        <v>264</v>
      </c>
      <c r="CQ1359" s="5" t="s">
        <v>285</v>
      </c>
      <c r="CR1359" s="5" t="s">
        <v>238</v>
      </c>
      <c r="CS1359" s="5">
        <v>6.7000000000000004E-2</v>
      </c>
      <c r="CT1359" s="5" t="s">
        <v>265</v>
      </c>
      <c r="CU1359" s="5" t="s">
        <v>351</v>
      </c>
      <c r="CV1359" s="5" t="s">
        <v>365</v>
      </c>
      <c r="CW1359" s="7">
        <f>0</f>
        <v>0</v>
      </c>
      <c r="CX1359" s="8">
        <f>85448000</f>
        <v>85448000</v>
      </c>
      <c r="CY1359" s="8">
        <f>79722984</f>
        <v>79722984</v>
      </c>
      <c r="DA1359" s="5" t="s">
        <v>238</v>
      </c>
      <c r="DB1359" s="5" t="s">
        <v>238</v>
      </c>
      <c r="DD1359" s="5" t="s">
        <v>238</v>
      </c>
      <c r="DE1359" s="8">
        <f>0</f>
        <v>0</v>
      </c>
      <c r="DG1359" s="5" t="s">
        <v>238</v>
      </c>
      <c r="DH1359" s="5" t="s">
        <v>238</v>
      </c>
      <c r="DI1359" s="5" t="s">
        <v>238</v>
      </c>
      <c r="DJ1359" s="5" t="s">
        <v>238</v>
      </c>
      <c r="DK1359" s="5" t="s">
        <v>272</v>
      </c>
      <c r="DL1359" s="5" t="s">
        <v>272</v>
      </c>
      <c r="DM1359" s="8" t="s">
        <v>238</v>
      </c>
      <c r="DN1359" s="5" t="s">
        <v>238</v>
      </c>
      <c r="DO1359" s="5" t="s">
        <v>238</v>
      </c>
      <c r="DP1359" s="5" t="s">
        <v>238</v>
      </c>
      <c r="DQ1359" s="5" t="s">
        <v>238</v>
      </c>
      <c r="DT1359" s="5" t="s">
        <v>3057</v>
      </c>
      <c r="DU1359" s="5" t="s">
        <v>274</v>
      </c>
      <c r="GL1359" s="5" t="s">
        <v>3058</v>
      </c>
      <c r="HM1359" s="5" t="s">
        <v>274</v>
      </c>
      <c r="HP1359" s="5" t="s">
        <v>272</v>
      </c>
      <c r="HQ1359" s="5" t="s">
        <v>272</v>
      </c>
      <c r="HR1359" s="5" t="s">
        <v>238</v>
      </c>
      <c r="HS1359" s="5" t="s">
        <v>238</v>
      </c>
      <c r="HT1359" s="5" t="s">
        <v>238</v>
      </c>
      <c r="HU1359" s="5" t="s">
        <v>238</v>
      </c>
      <c r="HV1359" s="5" t="s">
        <v>238</v>
      </c>
      <c r="HW1359" s="5" t="s">
        <v>238</v>
      </c>
      <c r="HX1359" s="5" t="s">
        <v>238</v>
      </c>
      <c r="HY1359" s="5" t="s">
        <v>238</v>
      </c>
      <c r="HZ1359" s="5" t="s">
        <v>238</v>
      </c>
      <c r="IA1359" s="5" t="s">
        <v>238</v>
      </c>
      <c r="IB1359" s="5" t="s">
        <v>238</v>
      </c>
      <c r="IC1359" s="5" t="s">
        <v>238</v>
      </c>
      <c r="ID1359" s="5" t="s">
        <v>238</v>
      </c>
    </row>
    <row r="1360" spans="1:238" x14ac:dyDescent="0.4">
      <c r="A1360" s="5">
        <v>1709</v>
      </c>
      <c r="B1360" s="5">
        <v>1</v>
      </c>
      <c r="C1360" s="5">
        <v>4</v>
      </c>
      <c r="D1360" s="5" t="s">
        <v>3055</v>
      </c>
      <c r="E1360" s="5" t="s">
        <v>454</v>
      </c>
      <c r="F1360" s="5" t="s">
        <v>282</v>
      </c>
      <c r="G1360" s="5" t="s">
        <v>349</v>
      </c>
      <c r="H1360" s="6" t="s">
        <v>3056</v>
      </c>
      <c r="I1360" s="5" t="s">
        <v>3059</v>
      </c>
      <c r="J1360" s="7">
        <f>0</f>
        <v>0</v>
      </c>
      <c r="K1360" s="5" t="s">
        <v>270</v>
      </c>
      <c r="L1360" s="8">
        <f>75006360</f>
        <v>75006360</v>
      </c>
      <c r="M1360" s="8">
        <f>88660000</f>
        <v>88660000</v>
      </c>
      <c r="N1360" s="6" t="s">
        <v>2885</v>
      </c>
      <c r="O1360" s="5" t="s">
        <v>319</v>
      </c>
      <c r="P1360" s="5" t="s">
        <v>272</v>
      </c>
      <c r="Q1360" s="8">
        <f>88659999</f>
        <v>88659999</v>
      </c>
      <c r="R1360" s="8">
        <f>13653640</f>
        <v>13653640</v>
      </c>
      <c r="S1360" s="5" t="s">
        <v>240</v>
      </c>
      <c r="T1360" s="5" t="s">
        <v>287</v>
      </c>
      <c r="U1360" s="5" t="s">
        <v>238</v>
      </c>
      <c r="V1360" s="5" t="s">
        <v>238</v>
      </c>
      <c r="W1360" s="5" t="s">
        <v>241</v>
      </c>
      <c r="X1360" s="5" t="s">
        <v>238</v>
      </c>
      <c r="Y1360" s="5" t="s">
        <v>238</v>
      </c>
      <c r="AB1360" s="5" t="s">
        <v>238</v>
      </c>
      <c r="AC1360" s="6" t="s">
        <v>238</v>
      </c>
      <c r="AD1360" s="6" t="s">
        <v>238</v>
      </c>
      <c r="AF1360" s="6" t="s">
        <v>238</v>
      </c>
      <c r="AG1360" s="6" t="s">
        <v>246</v>
      </c>
      <c r="AH1360" s="5" t="s">
        <v>247</v>
      </c>
      <c r="AI1360" s="5" t="s">
        <v>248</v>
      </c>
      <c r="AO1360" s="5" t="s">
        <v>238</v>
      </c>
      <c r="AP1360" s="5" t="s">
        <v>238</v>
      </c>
      <c r="AQ1360" s="5" t="s">
        <v>238</v>
      </c>
      <c r="AR1360" s="6" t="s">
        <v>238</v>
      </c>
      <c r="AS1360" s="6" t="s">
        <v>238</v>
      </c>
      <c r="AT1360" s="6" t="s">
        <v>238</v>
      </c>
      <c r="AW1360" s="5" t="s">
        <v>304</v>
      </c>
      <c r="AX1360" s="5" t="s">
        <v>304</v>
      </c>
      <c r="AY1360" s="5" t="s">
        <v>250</v>
      </c>
      <c r="AZ1360" s="5" t="s">
        <v>305</v>
      </c>
      <c r="BA1360" s="5" t="s">
        <v>251</v>
      </c>
      <c r="BB1360" s="5" t="s">
        <v>238</v>
      </c>
      <c r="BC1360" s="5" t="s">
        <v>253</v>
      </c>
      <c r="BD1360" s="5" t="s">
        <v>238</v>
      </c>
      <c r="BF1360" s="5" t="s">
        <v>238</v>
      </c>
      <c r="BH1360" s="5" t="s">
        <v>283</v>
      </c>
      <c r="BI1360" s="6" t="s">
        <v>293</v>
      </c>
      <c r="BJ1360" s="5" t="s">
        <v>294</v>
      </c>
      <c r="BK1360" s="5" t="s">
        <v>294</v>
      </c>
      <c r="BL1360" s="5" t="s">
        <v>238</v>
      </c>
      <c r="BM1360" s="7">
        <f>0</f>
        <v>0</v>
      </c>
      <c r="BN1360" s="8">
        <f>-6826820</f>
        <v>-6826820</v>
      </c>
      <c r="BO1360" s="5" t="s">
        <v>257</v>
      </c>
      <c r="BP1360" s="5" t="s">
        <v>258</v>
      </c>
      <c r="BQ1360" s="5" t="s">
        <v>238</v>
      </c>
      <c r="BR1360" s="5" t="s">
        <v>238</v>
      </c>
      <c r="BS1360" s="5" t="s">
        <v>238</v>
      </c>
      <c r="BT1360" s="5" t="s">
        <v>238</v>
      </c>
      <c r="CC1360" s="5" t="s">
        <v>258</v>
      </c>
      <c r="CD1360" s="5" t="s">
        <v>238</v>
      </c>
      <c r="CE1360" s="5" t="s">
        <v>238</v>
      </c>
      <c r="CI1360" s="5" t="s">
        <v>259</v>
      </c>
      <c r="CJ1360" s="5" t="s">
        <v>260</v>
      </c>
      <c r="CK1360" s="5" t="s">
        <v>238</v>
      </c>
      <c r="CM1360" s="5" t="s">
        <v>408</v>
      </c>
      <c r="CN1360" s="6" t="s">
        <v>262</v>
      </c>
      <c r="CO1360" s="5" t="s">
        <v>263</v>
      </c>
      <c r="CP1360" s="5" t="s">
        <v>264</v>
      </c>
      <c r="CQ1360" s="5" t="s">
        <v>285</v>
      </c>
      <c r="CR1360" s="5" t="s">
        <v>238</v>
      </c>
      <c r="CS1360" s="5">
        <v>7.6999999999999999E-2</v>
      </c>
      <c r="CT1360" s="5" t="s">
        <v>265</v>
      </c>
      <c r="CU1360" s="5" t="s">
        <v>351</v>
      </c>
      <c r="CV1360" s="5" t="s">
        <v>352</v>
      </c>
      <c r="CW1360" s="7">
        <f>0</f>
        <v>0</v>
      </c>
      <c r="CX1360" s="8">
        <f>88660000</f>
        <v>88660000</v>
      </c>
      <c r="CY1360" s="8">
        <f>81833180</f>
        <v>81833180</v>
      </c>
      <c r="DA1360" s="5" t="s">
        <v>238</v>
      </c>
      <c r="DB1360" s="5" t="s">
        <v>238</v>
      </c>
      <c r="DD1360" s="5" t="s">
        <v>238</v>
      </c>
      <c r="DE1360" s="8">
        <f>0</f>
        <v>0</v>
      </c>
      <c r="DG1360" s="5" t="s">
        <v>238</v>
      </c>
      <c r="DH1360" s="5" t="s">
        <v>238</v>
      </c>
      <c r="DI1360" s="5" t="s">
        <v>238</v>
      </c>
      <c r="DJ1360" s="5" t="s">
        <v>238</v>
      </c>
      <c r="DK1360" s="5" t="s">
        <v>272</v>
      </c>
      <c r="DL1360" s="5" t="s">
        <v>272</v>
      </c>
      <c r="DM1360" s="8" t="s">
        <v>238</v>
      </c>
      <c r="DN1360" s="5" t="s">
        <v>238</v>
      </c>
      <c r="DO1360" s="5" t="s">
        <v>238</v>
      </c>
      <c r="DP1360" s="5" t="s">
        <v>238</v>
      </c>
      <c r="DQ1360" s="5" t="s">
        <v>238</v>
      </c>
      <c r="DT1360" s="5" t="s">
        <v>3057</v>
      </c>
      <c r="DU1360" s="5" t="s">
        <v>356</v>
      </c>
      <c r="GL1360" s="5" t="s">
        <v>3060</v>
      </c>
      <c r="HM1360" s="5" t="s">
        <v>274</v>
      </c>
      <c r="HP1360" s="5" t="s">
        <v>272</v>
      </c>
      <c r="HQ1360" s="5" t="s">
        <v>272</v>
      </c>
      <c r="HR1360" s="5" t="s">
        <v>238</v>
      </c>
      <c r="HS1360" s="5" t="s">
        <v>238</v>
      </c>
      <c r="HT1360" s="5" t="s">
        <v>238</v>
      </c>
      <c r="HU1360" s="5" t="s">
        <v>238</v>
      </c>
      <c r="HV1360" s="5" t="s">
        <v>238</v>
      </c>
      <c r="HW1360" s="5" t="s">
        <v>238</v>
      </c>
      <c r="HX1360" s="5" t="s">
        <v>238</v>
      </c>
      <c r="HY1360" s="5" t="s">
        <v>238</v>
      </c>
      <c r="HZ1360" s="5" t="s">
        <v>238</v>
      </c>
      <c r="IA1360" s="5" t="s">
        <v>238</v>
      </c>
      <c r="IB1360" s="5" t="s">
        <v>238</v>
      </c>
      <c r="IC1360" s="5" t="s">
        <v>238</v>
      </c>
      <c r="ID1360" s="5" t="s">
        <v>238</v>
      </c>
    </row>
    <row r="1361" spans="1:238" x14ac:dyDescent="0.4">
      <c r="A1361" s="5">
        <v>1710</v>
      </c>
      <c r="B1361" s="5">
        <v>1</v>
      </c>
      <c r="C1361" s="5">
        <v>4</v>
      </c>
      <c r="D1361" s="5" t="s">
        <v>3062</v>
      </c>
      <c r="E1361" s="5" t="s">
        <v>454</v>
      </c>
      <c r="F1361" s="5" t="s">
        <v>282</v>
      </c>
      <c r="G1361" s="5" t="s">
        <v>349</v>
      </c>
      <c r="H1361" s="6" t="s">
        <v>407</v>
      </c>
      <c r="I1361" s="5" t="s">
        <v>3061</v>
      </c>
      <c r="J1361" s="7">
        <f>0</f>
        <v>0</v>
      </c>
      <c r="K1361" s="5" t="s">
        <v>270</v>
      </c>
      <c r="L1361" s="8">
        <f>1353440</f>
        <v>1353440</v>
      </c>
      <c r="M1361" s="8">
        <f>1760000</f>
        <v>1760000</v>
      </c>
      <c r="N1361" s="6" t="s">
        <v>629</v>
      </c>
      <c r="O1361" s="5" t="s">
        <v>319</v>
      </c>
      <c r="P1361" s="5" t="s">
        <v>271</v>
      </c>
      <c r="Q1361" s="8">
        <f>135520</f>
        <v>135520</v>
      </c>
      <c r="R1361" s="8">
        <f>406560</f>
        <v>406560</v>
      </c>
      <c r="S1361" s="5" t="s">
        <v>240</v>
      </c>
      <c r="T1361" s="5" t="s">
        <v>287</v>
      </c>
      <c r="U1361" s="5" t="s">
        <v>238</v>
      </c>
      <c r="V1361" s="5" t="s">
        <v>238</v>
      </c>
      <c r="W1361" s="5" t="s">
        <v>241</v>
      </c>
      <c r="X1361" s="5" t="s">
        <v>238</v>
      </c>
      <c r="Y1361" s="5" t="s">
        <v>238</v>
      </c>
      <c r="AB1361" s="5" t="s">
        <v>238</v>
      </c>
      <c r="AC1361" s="6" t="s">
        <v>238</v>
      </c>
      <c r="AD1361" s="6" t="s">
        <v>238</v>
      </c>
      <c r="AF1361" s="6" t="s">
        <v>238</v>
      </c>
      <c r="AG1361" s="6" t="s">
        <v>246</v>
      </c>
      <c r="AH1361" s="5" t="s">
        <v>247</v>
      </c>
      <c r="AI1361" s="5" t="s">
        <v>248</v>
      </c>
      <c r="AO1361" s="5" t="s">
        <v>238</v>
      </c>
      <c r="AP1361" s="5" t="s">
        <v>238</v>
      </c>
      <c r="AQ1361" s="5" t="s">
        <v>238</v>
      </c>
      <c r="AR1361" s="6" t="s">
        <v>238</v>
      </c>
      <c r="AS1361" s="6" t="s">
        <v>238</v>
      </c>
      <c r="AT1361" s="6" t="s">
        <v>238</v>
      </c>
      <c r="AW1361" s="5" t="s">
        <v>304</v>
      </c>
      <c r="AX1361" s="5" t="s">
        <v>304</v>
      </c>
      <c r="AY1361" s="5" t="s">
        <v>250</v>
      </c>
      <c r="AZ1361" s="5" t="s">
        <v>305</v>
      </c>
      <c r="BA1361" s="5" t="s">
        <v>251</v>
      </c>
      <c r="BB1361" s="5" t="s">
        <v>238</v>
      </c>
      <c r="BC1361" s="5" t="s">
        <v>253</v>
      </c>
      <c r="BD1361" s="5" t="s">
        <v>238</v>
      </c>
      <c r="BF1361" s="5" t="s">
        <v>710</v>
      </c>
      <c r="BH1361" s="5" t="s">
        <v>283</v>
      </c>
      <c r="BI1361" s="6" t="s">
        <v>293</v>
      </c>
      <c r="BJ1361" s="5" t="s">
        <v>294</v>
      </c>
      <c r="BK1361" s="5" t="s">
        <v>294</v>
      </c>
      <c r="BL1361" s="5" t="s">
        <v>238</v>
      </c>
      <c r="BM1361" s="7">
        <f>0</f>
        <v>0</v>
      </c>
      <c r="BN1361" s="8">
        <f>-135520</f>
        <v>-135520</v>
      </c>
      <c r="BO1361" s="5" t="s">
        <v>257</v>
      </c>
      <c r="BP1361" s="5" t="s">
        <v>258</v>
      </c>
      <c r="BQ1361" s="5" t="s">
        <v>238</v>
      </c>
      <c r="BR1361" s="5" t="s">
        <v>238</v>
      </c>
      <c r="BS1361" s="5" t="s">
        <v>238</v>
      </c>
      <c r="BT1361" s="5" t="s">
        <v>238</v>
      </c>
      <c r="CC1361" s="5" t="s">
        <v>258</v>
      </c>
      <c r="CD1361" s="5" t="s">
        <v>238</v>
      </c>
      <c r="CE1361" s="5" t="s">
        <v>238</v>
      </c>
      <c r="CI1361" s="5" t="s">
        <v>259</v>
      </c>
      <c r="CJ1361" s="5" t="s">
        <v>260</v>
      </c>
      <c r="CK1361" s="5" t="s">
        <v>238</v>
      </c>
      <c r="CM1361" s="5" t="s">
        <v>291</v>
      </c>
      <c r="CN1361" s="6" t="s">
        <v>262</v>
      </c>
      <c r="CO1361" s="5" t="s">
        <v>263</v>
      </c>
      <c r="CP1361" s="5" t="s">
        <v>264</v>
      </c>
      <c r="CQ1361" s="5" t="s">
        <v>285</v>
      </c>
      <c r="CR1361" s="5" t="s">
        <v>238</v>
      </c>
      <c r="CS1361" s="5">
        <v>7.6999999999999999E-2</v>
      </c>
      <c r="CT1361" s="5" t="s">
        <v>265</v>
      </c>
      <c r="CU1361" s="5" t="s">
        <v>351</v>
      </c>
      <c r="CV1361" s="5" t="s">
        <v>352</v>
      </c>
      <c r="CW1361" s="7">
        <f>0</f>
        <v>0</v>
      </c>
      <c r="CX1361" s="8">
        <f>1760000</f>
        <v>1760000</v>
      </c>
      <c r="CY1361" s="8">
        <f>1488960</f>
        <v>1488960</v>
      </c>
      <c r="DA1361" s="5" t="s">
        <v>238</v>
      </c>
      <c r="DB1361" s="5" t="s">
        <v>238</v>
      </c>
      <c r="DD1361" s="5" t="s">
        <v>238</v>
      </c>
      <c r="DE1361" s="8">
        <f>0</f>
        <v>0</v>
      </c>
      <c r="DG1361" s="5" t="s">
        <v>238</v>
      </c>
      <c r="DH1361" s="5" t="s">
        <v>238</v>
      </c>
      <c r="DI1361" s="5" t="s">
        <v>238</v>
      </c>
      <c r="DJ1361" s="5" t="s">
        <v>238</v>
      </c>
      <c r="DK1361" s="5" t="s">
        <v>272</v>
      </c>
      <c r="DL1361" s="5" t="s">
        <v>272</v>
      </c>
      <c r="DM1361" s="8" t="s">
        <v>238</v>
      </c>
      <c r="DN1361" s="5" t="s">
        <v>238</v>
      </c>
      <c r="DO1361" s="5" t="s">
        <v>238</v>
      </c>
      <c r="DP1361" s="5" t="s">
        <v>238</v>
      </c>
      <c r="DQ1361" s="5" t="s">
        <v>238</v>
      </c>
      <c r="DT1361" s="5" t="s">
        <v>3063</v>
      </c>
      <c r="DU1361" s="5" t="s">
        <v>271</v>
      </c>
      <c r="GL1361" s="5" t="s">
        <v>3064</v>
      </c>
      <c r="HM1361" s="5" t="s">
        <v>356</v>
      </c>
      <c r="HP1361" s="5" t="s">
        <v>272</v>
      </c>
      <c r="HQ1361" s="5" t="s">
        <v>272</v>
      </c>
      <c r="HR1361" s="5" t="s">
        <v>238</v>
      </c>
      <c r="HS1361" s="5" t="s">
        <v>238</v>
      </c>
      <c r="HT1361" s="5" t="s">
        <v>238</v>
      </c>
      <c r="HU1361" s="5" t="s">
        <v>238</v>
      </c>
      <c r="HV1361" s="5" t="s">
        <v>238</v>
      </c>
      <c r="HW1361" s="5" t="s">
        <v>238</v>
      </c>
      <c r="HX1361" s="5" t="s">
        <v>238</v>
      </c>
      <c r="HY1361" s="5" t="s">
        <v>238</v>
      </c>
      <c r="HZ1361" s="5" t="s">
        <v>238</v>
      </c>
      <c r="IA1361" s="5" t="s">
        <v>238</v>
      </c>
      <c r="IB1361" s="5" t="s">
        <v>238</v>
      </c>
      <c r="IC1361" s="5" t="s">
        <v>238</v>
      </c>
      <c r="ID1361" s="5" t="s">
        <v>238</v>
      </c>
    </row>
    <row r="1362" spans="1:238" x14ac:dyDescent="0.4">
      <c r="A1362" s="5">
        <v>1711</v>
      </c>
      <c r="B1362" s="5">
        <v>1</v>
      </c>
      <c r="C1362" s="5">
        <v>4</v>
      </c>
      <c r="D1362" s="5" t="s">
        <v>2019</v>
      </c>
      <c r="E1362" s="5" t="s">
        <v>491</v>
      </c>
      <c r="F1362" s="5" t="s">
        <v>252</v>
      </c>
      <c r="G1362" s="5" t="s">
        <v>2020</v>
      </c>
      <c r="H1362" s="6" t="s">
        <v>2021</v>
      </c>
      <c r="I1362" s="5" t="s">
        <v>1990</v>
      </c>
      <c r="J1362" s="7">
        <f>446.04</f>
        <v>446.04</v>
      </c>
      <c r="K1362" s="5" t="s">
        <v>270</v>
      </c>
      <c r="L1362" s="8">
        <f>56967364</f>
        <v>56967364</v>
      </c>
      <c r="M1362" s="8">
        <f>149914044</f>
        <v>149914044</v>
      </c>
      <c r="N1362" s="6" t="s">
        <v>1107</v>
      </c>
      <c r="O1362" s="5" t="s">
        <v>279</v>
      </c>
      <c r="P1362" s="5" t="s">
        <v>690</v>
      </c>
      <c r="Q1362" s="8">
        <f>2998280</f>
        <v>2998280</v>
      </c>
      <c r="R1362" s="8">
        <f>92946680</f>
        <v>92946680</v>
      </c>
      <c r="S1362" s="5" t="s">
        <v>240</v>
      </c>
      <c r="T1362" s="5" t="s">
        <v>237</v>
      </c>
      <c r="U1362" s="5" t="s">
        <v>238</v>
      </c>
      <c r="V1362" s="5" t="s">
        <v>238</v>
      </c>
      <c r="W1362" s="5" t="s">
        <v>241</v>
      </c>
      <c r="X1362" s="5" t="s">
        <v>243</v>
      </c>
      <c r="Y1362" s="5" t="s">
        <v>238</v>
      </c>
      <c r="AB1362" s="5" t="s">
        <v>238</v>
      </c>
      <c r="AC1362" s="6" t="s">
        <v>238</v>
      </c>
      <c r="AD1362" s="6" t="s">
        <v>238</v>
      </c>
      <c r="AF1362" s="6" t="s">
        <v>238</v>
      </c>
      <c r="AG1362" s="6" t="s">
        <v>246</v>
      </c>
      <c r="AH1362" s="5" t="s">
        <v>247</v>
      </c>
      <c r="AI1362" s="5" t="s">
        <v>248</v>
      </c>
      <c r="AO1362" s="5" t="s">
        <v>238</v>
      </c>
      <c r="AP1362" s="5" t="s">
        <v>238</v>
      </c>
      <c r="AQ1362" s="5" t="s">
        <v>238</v>
      </c>
      <c r="AR1362" s="6" t="s">
        <v>238</v>
      </c>
      <c r="AS1362" s="6" t="s">
        <v>238</v>
      </c>
      <c r="AT1362" s="6" t="s">
        <v>238</v>
      </c>
      <c r="AW1362" s="5" t="s">
        <v>304</v>
      </c>
      <c r="AX1362" s="5" t="s">
        <v>304</v>
      </c>
      <c r="AY1362" s="5" t="s">
        <v>250</v>
      </c>
      <c r="AZ1362" s="5" t="s">
        <v>305</v>
      </c>
      <c r="BA1362" s="5" t="s">
        <v>251</v>
      </c>
      <c r="BB1362" s="5" t="s">
        <v>238</v>
      </c>
      <c r="BC1362" s="5" t="s">
        <v>253</v>
      </c>
      <c r="BD1362" s="5" t="s">
        <v>238</v>
      </c>
      <c r="BF1362" s="5" t="s">
        <v>238</v>
      </c>
      <c r="BH1362" s="5" t="s">
        <v>283</v>
      </c>
      <c r="BI1362" s="6" t="s">
        <v>293</v>
      </c>
      <c r="BJ1362" s="5" t="s">
        <v>294</v>
      </c>
      <c r="BK1362" s="5" t="s">
        <v>294</v>
      </c>
      <c r="BL1362" s="5" t="s">
        <v>238</v>
      </c>
      <c r="BM1362" s="7">
        <f>0</f>
        <v>0</v>
      </c>
      <c r="BN1362" s="8">
        <f>-2998280</f>
        <v>-2998280</v>
      </c>
      <c r="BO1362" s="5" t="s">
        <v>257</v>
      </c>
      <c r="BP1362" s="5" t="s">
        <v>258</v>
      </c>
      <c r="BQ1362" s="5" t="s">
        <v>238</v>
      </c>
      <c r="BR1362" s="5" t="s">
        <v>238</v>
      </c>
      <c r="BS1362" s="5" t="s">
        <v>238</v>
      </c>
      <c r="BT1362" s="5" t="s">
        <v>238</v>
      </c>
      <c r="CC1362" s="5" t="s">
        <v>258</v>
      </c>
      <c r="CD1362" s="5" t="s">
        <v>238</v>
      </c>
      <c r="CE1362" s="5" t="s">
        <v>238</v>
      </c>
      <c r="CI1362" s="5" t="s">
        <v>259</v>
      </c>
      <c r="CJ1362" s="5" t="s">
        <v>260</v>
      </c>
      <c r="CK1362" s="5" t="s">
        <v>238</v>
      </c>
      <c r="CM1362" s="5" t="s">
        <v>768</v>
      </c>
      <c r="CN1362" s="6" t="s">
        <v>262</v>
      </c>
      <c r="CO1362" s="5" t="s">
        <v>263</v>
      </c>
      <c r="CP1362" s="5" t="s">
        <v>264</v>
      </c>
      <c r="CQ1362" s="5" t="s">
        <v>285</v>
      </c>
      <c r="CR1362" s="5" t="s">
        <v>238</v>
      </c>
      <c r="CS1362" s="5">
        <v>0.02</v>
      </c>
      <c r="CT1362" s="5" t="s">
        <v>265</v>
      </c>
      <c r="CU1362" s="5" t="s">
        <v>1333</v>
      </c>
      <c r="CV1362" s="5" t="s">
        <v>308</v>
      </c>
      <c r="CW1362" s="7">
        <f>0</f>
        <v>0</v>
      </c>
      <c r="CX1362" s="8">
        <f>149914044</f>
        <v>149914044</v>
      </c>
      <c r="CY1362" s="8">
        <f>59965644</f>
        <v>59965644</v>
      </c>
      <c r="DA1362" s="5" t="s">
        <v>238</v>
      </c>
      <c r="DB1362" s="5" t="s">
        <v>238</v>
      </c>
      <c r="DD1362" s="5" t="s">
        <v>238</v>
      </c>
      <c r="DE1362" s="8">
        <f>0</f>
        <v>0</v>
      </c>
      <c r="DG1362" s="5" t="s">
        <v>238</v>
      </c>
      <c r="DH1362" s="5" t="s">
        <v>238</v>
      </c>
      <c r="DI1362" s="5" t="s">
        <v>238</v>
      </c>
      <c r="DJ1362" s="5" t="s">
        <v>238</v>
      </c>
      <c r="DK1362" s="5" t="s">
        <v>271</v>
      </c>
      <c r="DL1362" s="5" t="s">
        <v>272</v>
      </c>
      <c r="DM1362" s="7">
        <f>446.04</f>
        <v>446.04</v>
      </c>
      <c r="DN1362" s="5" t="s">
        <v>238</v>
      </c>
      <c r="DO1362" s="5" t="s">
        <v>238</v>
      </c>
      <c r="DP1362" s="5" t="s">
        <v>238</v>
      </c>
      <c r="DQ1362" s="5" t="s">
        <v>238</v>
      </c>
      <c r="DT1362" s="5" t="s">
        <v>2022</v>
      </c>
      <c r="DU1362" s="5" t="s">
        <v>271</v>
      </c>
      <c r="GL1362" s="5" t="s">
        <v>2023</v>
      </c>
      <c r="HM1362" s="5" t="s">
        <v>354</v>
      </c>
      <c r="HP1362" s="5" t="s">
        <v>272</v>
      </c>
      <c r="HQ1362" s="5" t="s">
        <v>272</v>
      </c>
      <c r="HR1362" s="5" t="s">
        <v>238</v>
      </c>
      <c r="HS1362" s="5" t="s">
        <v>238</v>
      </c>
      <c r="HT1362" s="5" t="s">
        <v>238</v>
      </c>
      <c r="HU1362" s="5" t="s">
        <v>238</v>
      </c>
      <c r="HV1362" s="5" t="s">
        <v>238</v>
      </c>
      <c r="HW1362" s="5" t="s">
        <v>238</v>
      </c>
      <c r="HX1362" s="5" t="s">
        <v>238</v>
      </c>
      <c r="HY1362" s="5" t="s">
        <v>238</v>
      </c>
      <c r="HZ1362" s="5" t="s">
        <v>238</v>
      </c>
      <c r="IA1362" s="5" t="s">
        <v>238</v>
      </c>
      <c r="IB1362" s="5" t="s">
        <v>238</v>
      </c>
      <c r="IC1362" s="5" t="s">
        <v>238</v>
      </c>
      <c r="ID1362" s="5" t="s">
        <v>238</v>
      </c>
    </row>
    <row r="1363" spans="1:238" x14ac:dyDescent="0.4">
      <c r="A1363" s="5">
        <v>1713</v>
      </c>
      <c r="B1363" s="5">
        <v>1</v>
      </c>
      <c r="C1363" s="5">
        <v>4</v>
      </c>
      <c r="D1363" s="5" t="s">
        <v>2015</v>
      </c>
      <c r="E1363" s="5" t="s">
        <v>491</v>
      </c>
      <c r="F1363" s="5" t="s">
        <v>252</v>
      </c>
      <c r="G1363" s="5" t="s">
        <v>2016</v>
      </c>
      <c r="H1363" s="6" t="s">
        <v>1970</v>
      </c>
      <c r="I1363" s="5" t="s">
        <v>1990</v>
      </c>
      <c r="J1363" s="7">
        <f>558.9</f>
        <v>558.9</v>
      </c>
      <c r="K1363" s="5" t="s">
        <v>270</v>
      </c>
      <c r="L1363" s="8">
        <f>107353512</f>
        <v>107353512</v>
      </c>
      <c r="M1363" s="8">
        <f>191702700</f>
        <v>191702700</v>
      </c>
      <c r="N1363" s="6" t="s">
        <v>708</v>
      </c>
      <c r="O1363" s="5" t="s">
        <v>279</v>
      </c>
      <c r="P1363" s="5" t="s">
        <v>712</v>
      </c>
      <c r="Q1363" s="8">
        <f>3834054</f>
        <v>3834054</v>
      </c>
      <c r="R1363" s="8">
        <f>84349188</f>
        <v>84349188</v>
      </c>
      <c r="S1363" s="5" t="s">
        <v>240</v>
      </c>
      <c r="T1363" s="5" t="s">
        <v>237</v>
      </c>
      <c r="U1363" s="5" t="s">
        <v>238</v>
      </c>
      <c r="V1363" s="5" t="s">
        <v>238</v>
      </c>
      <c r="W1363" s="5" t="s">
        <v>241</v>
      </c>
      <c r="X1363" s="5" t="s">
        <v>243</v>
      </c>
      <c r="Y1363" s="5" t="s">
        <v>238</v>
      </c>
      <c r="AB1363" s="5" t="s">
        <v>238</v>
      </c>
      <c r="AC1363" s="6" t="s">
        <v>238</v>
      </c>
      <c r="AD1363" s="6" t="s">
        <v>238</v>
      </c>
      <c r="AF1363" s="6" t="s">
        <v>238</v>
      </c>
      <c r="AG1363" s="6" t="s">
        <v>246</v>
      </c>
      <c r="AH1363" s="5" t="s">
        <v>247</v>
      </c>
      <c r="AI1363" s="5" t="s">
        <v>248</v>
      </c>
      <c r="AO1363" s="5" t="s">
        <v>238</v>
      </c>
      <c r="AP1363" s="5" t="s">
        <v>238</v>
      </c>
      <c r="AQ1363" s="5" t="s">
        <v>238</v>
      </c>
      <c r="AR1363" s="6" t="s">
        <v>238</v>
      </c>
      <c r="AS1363" s="6" t="s">
        <v>238</v>
      </c>
      <c r="AT1363" s="6" t="s">
        <v>238</v>
      </c>
      <c r="AW1363" s="5" t="s">
        <v>304</v>
      </c>
      <c r="AX1363" s="5" t="s">
        <v>304</v>
      </c>
      <c r="AY1363" s="5" t="s">
        <v>250</v>
      </c>
      <c r="AZ1363" s="5" t="s">
        <v>305</v>
      </c>
      <c r="BA1363" s="5" t="s">
        <v>251</v>
      </c>
      <c r="BB1363" s="5" t="s">
        <v>238</v>
      </c>
      <c r="BC1363" s="5" t="s">
        <v>253</v>
      </c>
      <c r="BD1363" s="5" t="s">
        <v>238</v>
      </c>
      <c r="BF1363" s="5" t="s">
        <v>238</v>
      </c>
      <c r="BH1363" s="5" t="s">
        <v>283</v>
      </c>
      <c r="BI1363" s="6" t="s">
        <v>293</v>
      </c>
      <c r="BJ1363" s="5" t="s">
        <v>294</v>
      </c>
      <c r="BK1363" s="5" t="s">
        <v>294</v>
      </c>
      <c r="BL1363" s="5" t="s">
        <v>238</v>
      </c>
      <c r="BM1363" s="7">
        <f>0</f>
        <v>0</v>
      </c>
      <c r="BN1363" s="8">
        <f>-3834054</f>
        <v>-3834054</v>
      </c>
      <c r="BO1363" s="5" t="s">
        <v>257</v>
      </c>
      <c r="BP1363" s="5" t="s">
        <v>258</v>
      </c>
      <c r="BQ1363" s="5" t="s">
        <v>238</v>
      </c>
      <c r="BR1363" s="5" t="s">
        <v>238</v>
      </c>
      <c r="BS1363" s="5" t="s">
        <v>238</v>
      </c>
      <c r="BT1363" s="5" t="s">
        <v>238</v>
      </c>
      <c r="CC1363" s="5" t="s">
        <v>258</v>
      </c>
      <c r="CD1363" s="5" t="s">
        <v>238</v>
      </c>
      <c r="CE1363" s="5" t="s">
        <v>238</v>
      </c>
      <c r="CI1363" s="5" t="s">
        <v>259</v>
      </c>
      <c r="CJ1363" s="5" t="s">
        <v>260</v>
      </c>
      <c r="CK1363" s="5" t="s">
        <v>238</v>
      </c>
      <c r="CM1363" s="5" t="s">
        <v>711</v>
      </c>
      <c r="CN1363" s="6" t="s">
        <v>262</v>
      </c>
      <c r="CO1363" s="5" t="s">
        <v>263</v>
      </c>
      <c r="CP1363" s="5" t="s">
        <v>264</v>
      </c>
      <c r="CQ1363" s="5" t="s">
        <v>285</v>
      </c>
      <c r="CR1363" s="5" t="s">
        <v>238</v>
      </c>
      <c r="CS1363" s="5">
        <v>0.02</v>
      </c>
      <c r="CT1363" s="5" t="s">
        <v>265</v>
      </c>
      <c r="CU1363" s="5" t="s">
        <v>1333</v>
      </c>
      <c r="CV1363" s="5" t="s">
        <v>308</v>
      </c>
      <c r="CW1363" s="7">
        <f>0</f>
        <v>0</v>
      </c>
      <c r="CX1363" s="8">
        <f>191702700</f>
        <v>191702700</v>
      </c>
      <c r="CY1363" s="8">
        <f>111187566</f>
        <v>111187566</v>
      </c>
      <c r="DA1363" s="5" t="s">
        <v>238</v>
      </c>
      <c r="DB1363" s="5" t="s">
        <v>238</v>
      </c>
      <c r="DD1363" s="5" t="s">
        <v>238</v>
      </c>
      <c r="DE1363" s="8">
        <f>0</f>
        <v>0</v>
      </c>
      <c r="DG1363" s="5" t="s">
        <v>238</v>
      </c>
      <c r="DH1363" s="5" t="s">
        <v>238</v>
      </c>
      <c r="DI1363" s="5" t="s">
        <v>238</v>
      </c>
      <c r="DJ1363" s="5" t="s">
        <v>238</v>
      </c>
      <c r="DK1363" s="5" t="s">
        <v>271</v>
      </c>
      <c r="DL1363" s="5" t="s">
        <v>272</v>
      </c>
      <c r="DM1363" s="7">
        <f>558.9</f>
        <v>558.9</v>
      </c>
      <c r="DN1363" s="5" t="s">
        <v>238</v>
      </c>
      <c r="DO1363" s="5" t="s">
        <v>238</v>
      </c>
      <c r="DP1363" s="5" t="s">
        <v>238</v>
      </c>
      <c r="DQ1363" s="5" t="s">
        <v>238</v>
      </c>
      <c r="DT1363" s="5" t="s">
        <v>2017</v>
      </c>
      <c r="DU1363" s="5" t="s">
        <v>271</v>
      </c>
      <c r="GL1363" s="5" t="s">
        <v>2018</v>
      </c>
      <c r="HM1363" s="5" t="s">
        <v>361</v>
      </c>
      <c r="HP1363" s="5" t="s">
        <v>272</v>
      </c>
      <c r="HQ1363" s="5" t="s">
        <v>272</v>
      </c>
      <c r="HR1363" s="5" t="s">
        <v>238</v>
      </c>
      <c r="HS1363" s="5" t="s">
        <v>238</v>
      </c>
      <c r="HT1363" s="5" t="s">
        <v>238</v>
      </c>
      <c r="HU1363" s="5" t="s">
        <v>238</v>
      </c>
      <c r="HV1363" s="5" t="s">
        <v>238</v>
      </c>
      <c r="HW1363" s="5" t="s">
        <v>238</v>
      </c>
      <c r="HX1363" s="5" t="s">
        <v>238</v>
      </c>
      <c r="HY1363" s="5" t="s">
        <v>238</v>
      </c>
      <c r="HZ1363" s="5" t="s">
        <v>238</v>
      </c>
      <c r="IA1363" s="5" t="s">
        <v>238</v>
      </c>
      <c r="IB1363" s="5" t="s">
        <v>238</v>
      </c>
      <c r="IC1363" s="5" t="s">
        <v>238</v>
      </c>
      <c r="ID1363" s="5" t="s">
        <v>238</v>
      </c>
    </row>
    <row r="1364" spans="1:238" x14ac:dyDescent="0.4">
      <c r="A1364" s="5">
        <v>1714</v>
      </c>
      <c r="B1364" s="5">
        <v>1</v>
      </c>
      <c r="C1364" s="5">
        <v>8</v>
      </c>
      <c r="D1364" s="5" t="s">
        <v>1851</v>
      </c>
      <c r="E1364" s="5" t="s">
        <v>852</v>
      </c>
      <c r="F1364" s="5" t="s">
        <v>252</v>
      </c>
      <c r="G1364" s="5" t="s">
        <v>2007</v>
      </c>
      <c r="H1364" s="6" t="s">
        <v>2012</v>
      </c>
      <c r="I1364" s="5" t="s">
        <v>1973</v>
      </c>
      <c r="J1364" s="7">
        <f>478.44</f>
        <v>478.44</v>
      </c>
      <c r="K1364" s="5" t="s">
        <v>270</v>
      </c>
      <c r="L1364" s="8">
        <f>13501590</f>
        <v>13501590</v>
      </c>
      <c r="M1364" s="8">
        <f>39710520</f>
        <v>39710520</v>
      </c>
      <c r="N1364" s="6" t="s">
        <v>2011</v>
      </c>
      <c r="O1364" s="5" t="s">
        <v>279</v>
      </c>
      <c r="P1364" s="5" t="s">
        <v>650</v>
      </c>
      <c r="Q1364" s="8">
        <f>794210</f>
        <v>794210</v>
      </c>
      <c r="R1364" s="8">
        <f>26208930</f>
        <v>26208930</v>
      </c>
      <c r="S1364" s="5" t="s">
        <v>240</v>
      </c>
      <c r="T1364" s="5" t="s">
        <v>237</v>
      </c>
      <c r="U1364" s="5" t="s">
        <v>238</v>
      </c>
      <c r="V1364" s="5" t="s">
        <v>238</v>
      </c>
      <c r="W1364" s="5" t="s">
        <v>241</v>
      </c>
      <c r="X1364" s="5" t="s">
        <v>243</v>
      </c>
      <c r="Y1364" s="5" t="s">
        <v>238</v>
      </c>
      <c r="AB1364" s="5" t="s">
        <v>238</v>
      </c>
      <c r="AC1364" s="6" t="s">
        <v>238</v>
      </c>
      <c r="AD1364" s="6" t="s">
        <v>238</v>
      </c>
      <c r="AF1364" s="6" t="s">
        <v>238</v>
      </c>
      <c r="AG1364" s="6" t="s">
        <v>246</v>
      </c>
      <c r="AH1364" s="5" t="s">
        <v>247</v>
      </c>
      <c r="AI1364" s="5" t="s">
        <v>248</v>
      </c>
      <c r="AO1364" s="5" t="s">
        <v>238</v>
      </c>
      <c r="AP1364" s="5" t="s">
        <v>238</v>
      </c>
      <c r="AQ1364" s="5" t="s">
        <v>238</v>
      </c>
      <c r="AR1364" s="6" t="s">
        <v>238</v>
      </c>
      <c r="AS1364" s="6" t="s">
        <v>238</v>
      </c>
      <c r="AT1364" s="6" t="s">
        <v>238</v>
      </c>
      <c r="AW1364" s="5" t="s">
        <v>304</v>
      </c>
      <c r="AX1364" s="5" t="s">
        <v>304</v>
      </c>
      <c r="AY1364" s="5" t="s">
        <v>250</v>
      </c>
      <c r="AZ1364" s="5" t="s">
        <v>305</v>
      </c>
      <c r="BA1364" s="5" t="s">
        <v>251</v>
      </c>
      <c r="BB1364" s="5" t="s">
        <v>238</v>
      </c>
      <c r="BC1364" s="5" t="s">
        <v>253</v>
      </c>
      <c r="BD1364" s="5" t="s">
        <v>238</v>
      </c>
      <c r="BF1364" s="5" t="s">
        <v>238</v>
      </c>
      <c r="BH1364" s="5" t="s">
        <v>283</v>
      </c>
      <c r="BI1364" s="6" t="s">
        <v>293</v>
      </c>
      <c r="BJ1364" s="5" t="s">
        <v>294</v>
      </c>
      <c r="BK1364" s="5" t="s">
        <v>294</v>
      </c>
      <c r="BL1364" s="5" t="s">
        <v>238</v>
      </c>
      <c r="BM1364" s="7">
        <f>0</f>
        <v>0</v>
      </c>
      <c r="BN1364" s="8">
        <f>-794210</f>
        <v>-794210</v>
      </c>
      <c r="BO1364" s="5" t="s">
        <v>257</v>
      </c>
      <c r="BP1364" s="5" t="s">
        <v>258</v>
      </c>
      <c r="BQ1364" s="5" t="s">
        <v>238</v>
      </c>
      <c r="BR1364" s="5" t="s">
        <v>238</v>
      </c>
      <c r="BS1364" s="5" t="s">
        <v>238</v>
      </c>
      <c r="BT1364" s="5" t="s">
        <v>238</v>
      </c>
      <c r="CC1364" s="5" t="s">
        <v>258</v>
      </c>
      <c r="CD1364" s="5" t="s">
        <v>238</v>
      </c>
      <c r="CE1364" s="5" t="s">
        <v>238</v>
      </c>
      <c r="CI1364" s="5" t="s">
        <v>259</v>
      </c>
      <c r="CJ1364" s="5" t="s">
        <v>260</v>
      </c>
      <c r="CK1364" s="5" t="s">
        <v>238</v>
      </c>
      <c r="CM1364" s="5" t="s">
        <v>1034</v>
      </c>
      <c r="CN1364" s="6" t="s">
        <v>262</v>
      </c>
      <c r="CO1364" s="5" t="s">
        <v>263</v>
      </c>
      <c r="CP1364" s="5" t="s">
        <v>264</v>
      </c>
      <c r="CQ1364" s="5" t="s">
        <v>285</v>
      </c>
      <c r="CR1364" s="5" t="s">
        <v>238</v>
      </c>
      <c r="CS1364" s="5">
        <v>0.02</v>
      </c>
      <c r="CT1364" s="5" t="s">
        <v>265</v>
      </c>
      <c r="CU1364" s="5" t="s">
        <v>1333</v>
      </c>
      <c r="CV1364" s="5" t="s">
        <v>308</v>
      </c>
      <c r="CW1364" s="7">
        <f>0</f>
        <v>0</v>
      </c>
      <c r="CX1364" s="8">
        <f>39710520</f>
        <v>39710520</v>
      </c>
      <c r="CY1364" s="8">
        <f>14295800</f>
        <v>14295800</v>
      </c>
      <c r="DA1364" s="5" t="s">
        <v>238</v>
      </c>
      <c r="DB1364" s="5" t="s">
        <v>238</v>
      </c>
      <c r="DD1364" s="5" t="s">
        <v>238</v>
      </c>
      <c r="DE1364" s="8">
        <f>0</f>
        <v>0</v>
      </c>
      <c r="DG1364" s="5" t="s">
        <v>238</v>
      </c>
      <c r="DH1364" s="5" t="s">
        <v>238</v>
      </c>
      <c r="DI1364" s="5" t="s">
        <v>238</v>
      </c>
      <c r="DJ1364" s="5" t="s">
        <v>238</v>
      </c>
      <c r="DK1364" s="5" t="s">
        <v>271</v>
      </c>
      <c r="DL1364" s="5" t="s">
        <v>272</v>
      </c>
      <c r="DM1364" s="7">
        <f>478.44</f>
        <v>478.44</v>
      </c>
      <c r="DN1364" s="5" t="s">
        <v>238</v>
      </c>
      <c r="DO1364" s="5" t="s">
        <v>238</v>
      </c>
      <c r="DP1364" s="5" t="s">
        <v>238</v>
      </c>
      <c r="DQ1364" s="5" t="s">
        <v>238</v>
      </c>
      <c r="DT1364" s="5" t="s">
        <v>2013</v>
      </c>
      <c r="DU1364" s="5" t="s">
        <v>271</v>
      </c>
      <c r="GL1364" s="5" t="s">
        <v>2014</v>
      </c>
      <c r="HM1364" s="5" t="s">
        <v>313</v>
      </c>
      <c r="HP1364" s="5" t="s">
        <v>272</v>
      </c>
      <c r="HQ1364" s="5" t="s">
        <v>272</v>
      </c>
      <c r="HR1364" s="5" t="s">
        <v>238</v>
      </c>
      <c r="HS1364" s="5" t="s">
        <v>238</v>
      </c>
      <c r="HT1364" s="5" t="s">
        <v>238</v>
      </c>
      <c r="HU1364" s="5" t="s">
        <v>238</v>
      </c>
      <c r="HV1364" s="5" t="s">
        <v>238</v>
      </c>
      <c r="HW1364" s="5" t="s">
        <v>238</v>
      </c>
      <c r="HX1364" s="5" t="s">
        <v>238</v>
      </c>
      <c r="HY1364" s="5" t="s">
        <v>238</v>
      </c>
      <c r="HZ1364" s="5" t="s">
        <v>238</v>
      </c>
      <c r="IA1364" s="5" t="s">
        <v>238</v>
      </c>
      <c r="IB1364" s="5" t="s">
        <v>238</v>
      </c>
      <c r="IC1364" s="5" t="s">
        <v>238</v>
      </c>
      <c r="ID1364" s="5" t="s">
        <v>238</v>
      </c>
    </row>
    <row r="1365" spans="1:238" x14ac:dyDescent="0.4">
      <c r="A1365" s="5">
        <v>1715</v>
      </c>
      <c r="B1365" s="5">
        <v>1</v>
      </c>
      <c r="C1365" s="5">
        <v>1</v>
      </c>
      <c r="D1365" s="5" t="s">
        <v>1851</v>
      </c>
      <c r="E1365" s="5" t="s">
        <v>852</v>
      </c>
      <c r="F1365" s="5" t="s">
        <v>252</v>
      </c>
      <c r="G1365" s="5" t="s">
        <v>889</v>
      </c>
      <c r="H1365" s="6" t="s">
        <v>1853</v>
      </c>
      <c r="I1365" s="5" t="s">
        <v>1850</v>
      </c>
      <c r="J1365" s="7">
        <f>166</f>
        <v>166</v>
      </c>
      <c r="K1365" s="5" t="s">
        <v>270</v>
      </c>
      <c r="L1365" s="8">
        <f>1</f>
        <v>1</v>
      </c>
      <c r="M1365" s="8">
        <f>14940000</f>
        <v>14940000</v>
      </c>
      <c r="N1365" s="6" t="s">
        <v>1852</v>
      </c>
      <c r="O1365" s="5" t="s">
        <v>286</v>
      </c>
      <c r="P1365" s="5" t="s">
        <v>898</v>
      </c>
      <c r="R1365" s="8">
        <f>14939999</f>
        <v>14939999</v>
      </c>
      <c r="S1365" s="5" t="s">
        <v>240</v>
      </c>
      <c r="T1365" s="5" t="s">
        <v>237</v>
      </c>
      <c r="U1365" s="5" t="s">
        <v>238</v>
      </c>
      <c r="V1365" s="5" t="s">
        <v>238</v>
      </c>
      <c r="W1365" s="5" t="s">
        <v>241</v>
      </c>
      <c r="X1365" s="5" t="s">
        <v>243</v>
      </c>
      <c r="Y1365" s="5" t="s">
        <v>238</v>
      </c>
      <c r="AB1365" s="5" t="s">
        <v>238</v>
      </c>
      <c r="AD1365" s="6" t="s">
        <v>238</v>
      </c>
      <c r="AG1365" s="6" t="s">
        <v>246</v>
      </c>
      <c r="AH1365" s="5" t="s">
        <v>247</v>
      </c>
      <c r="AI1365" s="5" t="s">
        <v>248</v>
      </c>
      <c r="AY1365" s="5" t="s">
        <v>250</v>
      </c>
      <c r="AZ1365" s="5" t="s">
        <v>238</v>
      </c>
      <c r="BA1365" s="5" t="s">
        <v>251</v>
      </c>
      <c r="BB1365" s="5" t="s">
        <v>238</v>
      </c>
      <c r="BC1365" s="5" t="s">
        <v>253</v>
      </c>
      <c r="BD1365" s="5" t="s">
        <v>238</v>
      </c>
      <c r="BF1365" s="5" t="s">
        <v>238</v>
      </c>
      <c r="BH1365" s="5" t="s">
        <v>254</v>
      </c>
      <c r="BI1365" s="6" t="s">
        <v>246</v>
      </c>
      <c r="BJ1365" s="5" t="s">
        <v>255</v>
      </c>
      <c r="BK1365" s="5" t="s">
        <v>256</v>
      </c>
      <c r="BL1365" s="5" t="s">
        <v>238</v>
      </c>
      <c r="BM1365" s="7">
        <f>0</f>
        <v>0</v>
      </c>
      <c r="BN1365" s="8">
        <f>0</f>
        <v>0</v>
      </c>
      <c r="BO1365" s="5" t="s">
        <v>257</v>
      </c>
      <c r="BP1365" s="5" t="s">
        <v>258</v>
      </c>
      <c r="CD1365" s="5" t="s">
        <v>238</v>
      </c>
      <c r="CE1365" s="5" t="s">
        <v>238</v>
      </c>
      <c r="CI1365" s="5" t="s">
        <v>527</v>
      </c>
      <c r="CJ1365" s="5" t="s">
        <v>260</v>
      </c>
      <c r="CK1365" s="5" t="s">
        <v>238</v>
      </c>
      <c r="CM1365" s="5" t="s">
        <v>897</v>
      </c>
      <c r="CN1365" s="6" t="s">
        <v>262</v>
      </c>
      <c r="CO1365" s="5" t="s">
        <v>263</v>
      </c>
      <c r="CP1365" s="5" t="s">
        <v>264</v>
      </c>
      <c r="CQ1365" s="5" t="s">
        <v>238</v>
      </c>
      <c r="CR1365" s="5" t="s">
        <v>238</v>
      </c>
      <c r="CS1365" s="5">
        <v>0</v>
      </c>
      <c r="CT1365" s="5" t="s">
        <v>265</v>
      </c>
      <c r="CU1365" s="5" t="s">
        <v>1803</v>
      </c>
      <c r="CV1365" s="5" t="s">
        <v>267</v>
      </c>
      <c r="CX1365" s="8">
        <f>14940000</f>
        <v>14940000</v>
      </c>
      <c r="CY1365" s="8">
        <f>0</f>
        <v>0</v>
      </c>
      <c r="DA1365" s="5" t="s">
        <v>238</v>
      </c>
      <c r="DB1365" s="5" t="s">
        <v>238</v>
      </c>
      <c r="DD1365" s="5" t="s">
        <v>238</v>
      </c>
      <c r="DG1365" s="5" t="s">
        <v>238</v>
      </c>
      <c r="DH1365" s="5" t="s">
        <v>238</v>
      </c>
      <c r="DI1365" s="5" t="s">
        <v>238</v>
      </c>
      <c r="DJ1365" s="5" t="s">
        <v>238</v>
      </c>
      <c r="DK1365" s="5" t="s">
        <v>271</v>
      </c>
      <c r="DL1365" s="5" t="s">
        <v>272</v>
      </c>
      <c r="DM1365" s="7">
        <f>166</f>
        <v>166</v>
      </c>
      <c r="DN1365" s="5" t="s">
        <v>238</v>
      </c>
      <c r="DO1365" s="5" t="s">
        <v>238</v>
      </c>
      <c r="DP1365" s="5" t="s">
        <v>238</v>
      </c>
      <c r="DQ1365" s="5" t="s">
        <v>238</v>
      </c>
      <c r="DT1365" s="5" t="s">
        <v>1854</v>
      </c>
      <c r="DU1365" s="5" t="s">
        <v>271</v>
      </c>
      <c r="HM1365" s="5" t="s">
        <v>271</v>
      </c>
      <c r="HP1365" s="5" t="s">
        <v>272</v>
      </c>
      <c r="HQ1365" s="5" t="s">
        <v>272</v>
      </c>
    </row>
    <row r="1366" spans="1:238" x14ac:dyDescent="0.4">
      <c r="A1366" s="5">
        <v>1716</v>
      </c>
      <c r="B1366" s="5">
        <v>1</v>
      </c>
      <c r="C1366" s="5">
        <v>1</v>
      </c>
      <c r="D1366" s="5" t="s">
        <v>1851</v>
      </c>
      <c r="E1366" s="5" t="s">
        <v>852</v>
      </c>
      <c r="F1366" s="5" t="s">
        <v>252</v>
      </c>
      <c r="G1366" s="5" t="s">
        <v>1809</v>
      </c>
      <c r="H1366" s="6" t="s">
        <v>1891</v>
      </c>
      <c r="I1366" s="5" t="s">
        <v>1809</v>
      </c>
      <c r="J1366" s="7">
        <f>71.07</f>
        <v>71.069999999999993</v>
      </c>
      <c r="K1366" s="5" t="s">
        <v>270</v>
      </c>
      <c r="L1366" s="8">
        <f>1</f>
        <v>1</v>
      </c>
      <c r="M1366" s="8">
        <f>6390000</f>
        <v>6390000</v>
      </c>
      <c r="N1366" s="6" t="s">
        <v>1890</v>
      </c>
      <c r="O1366" s="5" t="s">
        <v>286</v>
      </c>
      <c r="P1366" s="5" t="s">
        <v>1884</v>
      </c>
      <c r="R1366" s="8">
        <f>6389999</f>
        <v>6389999</v>
      </c>
      <c r="S1366" s="5" t="s">
        <v>240</v>
      </c>
      <c r="T1366" s="5" t="s">
        <v>237</v>
      </c>
      <c r="U1366" s="5" t="s">
        <v>238</v>
      </c>
      <c r="V1366" s="5" t="s">
        <v>238</v>
      </c>
      <c r="W1366" s="5" t="s">
        <v>241</v>
      </c>
      <c r="X1366" s="5" t="s">
        <v>243</v>
      </c>
      <c r="Y1366" s="5" t="s">
        <v>238</v>
      </c>
      <c r="AB1366" s="5" t="s">
        <v>238</v>
      </c>
      <c r="AD1366" s="6" t="s">
        <v>238</v>
      </c>
      <c r="AG1366" s="6" t="s">
        <v>246</v>
      </c>
      <c r="AH1366" s="5" t="s">
        <v>247</v>
      </c>
      <c r="AI1366" s="5" t="s">
        <v>248</v>
      </c>
      <c r="AY1366" s="5" t="s">
        <v>250</v>
      </c>
      <c r="AZ1366" s="5" t="s">
        <v>238</v>
      </c>
      <c r="BA1366" s="5" t="s">
        <v>251</v>
      </c>
      <c r="BB1366" s="5" t="s">
        <v>238</v>
      </c>
      <c r="BC1366" s="5" t="s">
        <v>253</v>
      </c>
      <c r="BD1366" s="5" t="s">
        <v>238</v>
      </c>
      <c r="BF1366" s="5" t="s">
        <v>238</v>
      </c>
      <c r="BH1366" s="5" t="s">
        <v>254</v>
      </c>
      <c r="BI1366" s="6" t="s">
        <v>246</v>
      </c>
      <c r="BJ1366" s="5" t="s">
        <v>255</v>
      </c>
      <c r="BK1366" s="5" t="s">
        <v>870</v>
      </c>
      <c r="BL1366" s="5" t="s">
        <v>238</v>
      </c>
      <c r="BM1366" s="7">
        <f>0</f>
        <v>0</v>
      </c>
      <c r="BN1366" s="8">
        <f>0</f>
        <v>0</v>
      </c>
      <c r="BO1366" s="5" t="s">
        <v>257</v>
      </c>
      <c r="BP1366" s="5" t="s">
        <v>258</v>
      </c>
      <c r="CD1366" s="5" t="s">
        <v>238</v>
      </c>
      <c r="CE1366" s="5" t="s">
        <v>238</v>
      </c>
      <c r="CI1366" s="5" t="s">
        <v>527</v>
      </c>
      <c r="CJ1366" s="5" t="s">
        <v>260</v>
      </c>
      <c r="CK1366" s="5" t="s">
        <v>238</v>
      </c>
      <c r="CM1366" s="5" t="s">
        <v>825</v>
      </c>
      <c r="CN1366" s="6" t="s">
        <v>262</v>
      </c>
      <c r="CO1366" s="5" t="s">
        <v>263</v>
      </c>
      <c r="CP1366" s="5" t="s">
        <v>264</v>
      </c>
      <c r="CQ1366" s="5" t="s">
        <v>238</v>
      </c>
      <c r="CR1366" s="5" t="s">
        <v>238</v>
      </c>
      <c r="CS1366" s="5">
        <v>0</v>
      </c>
      <c r="CT1366" s="5" t="s">
        <v>265</v>
      </c>
      <c r="CU1366" s="5" t="s">
        <v>1803</v>
      </c>
      <c r="CV1366" s="5" t="s">
        <v>267</v>
      </c>
      <c r="CX1366" s="8">
        <f>6390000</f>
        <v>6390000</v>
      </c>
      <c r="CY1366" s="8">
        <f>0</f>
        <v>0</v>
      </c>
      <c r="DA1366" s="5" t="s">
        <v>238</v>
      </c>
      <c r="DB1366" s="5" t="s">
        <v>238</v>
      </c>
      <c r="DD1366" s="5" t="s">
        <v>238</v>
      </c>
      <c r="DG1366" s="5" t="s">
        <v>238</v>
      </c>
      <c r="DH1366" s="5" t="s">
        <v>238</v>
      </c>
      <c r="DI1366" s="5" t="s">
        <v>238</v>
      </c>
      <c r="DJ1366" s="5" t="s">
        <v>238</v>
      </c>
      <c r="DK1366" s="5" t="s">
        <v>271</v>
      </c>
      <c r="DL1366" s="5" t="s">
        <v>272</v>
      </c>
      <c r="DM1366" s="7">
        <f>71.07</f>
        <v>71.069999999999993</v>
      </c>
      <c r="DN1366" s="5" t="s">
        <v>238</v>
      </c>
      <c r="DO1366" s="5" t="s">
        <v>238</v>
      </c>
      <c r="DP1366" s="5" t="s">
        <v>238</v>
      </c>
      <c r="DQ1366" s="5" t="s">
        <v>238</v>
      </c>
      <c r="DT1366" s="5" t="s">
        <v>1892</v>
      </c>
      <c r="DU1366" s="5" t="s">
        <v>271</v>
      </c>
      <c r="HM1366" s="5" t="s">
        <v>274</v>
      </c>
      <c r="HP1366" s="5" t="s">
        <v>272</v>
      </c>
      <c r="HQ1366" s="5" t="s">
        <v>272</v>
      </c>
    </row>
    <row r="1367" spans="1:238" x14ac:dyDescent="0.4">
      <c r="A1367" s="5">
        <v>1717</v>
      </c>
      <c r="B1367" s="5">
        <v>1</v>
      </c>
      <c r="C1367" s="5">
        <v>1</v>
      </c>
      <c r="D1367" s="5" t="s">
        <v>1931</v>
      </c>
      <c r="E1367" s="5" t="s">
        <v>852</v>
      </c>
      <c r="F1367" s="5" t="s">
        <v>252</v>
      </c>
      <c r="G1367" s="5" t="s">
        <v>1007</v>
      </c>
      <c r="H1367" s="6" t="s">
        <v>1933</v>
      </c>
      <c r="I1367" s="5" t="s">
        <v>1930</v>
      </c>
      <c r="J1367" s="7">
        <f>76.73</f>
        <v>76.73</v>
      </c>
      <c r="K1367" s="5" t="s">
        <v>270</v>
      </c>
      <c r="L1367" s="8">
        <f>1</f>
        <v>1</v>
      </c>
      <c r="M1367" s="8">
        <f>6905700</f>
        <v>6905700</v>
      </c>
      <c r="N1367" s="6" t="s">
        <v>1932</v>
      </c>
      <c r="O1367" s="5" t="s">
        <v>639</v>
      </c>
      <c r="P1367" s="5" t="s">
        <v>965</v>
      </c>
      <c r="R1367" s="8">
        <f>6905699</f>
        <v>6905699</v>
      </c>
      <c r="S1367" s="5" t="s">
        <v>240</v>
      </c>
      <c r="T1367" s="5" t="s">
        <v>237</v>
      </c>
      <c r="U1367" s="5" t="s">
        <v>238</v>
      </c>
      <c r="V1367" s="5" t="s">
        <v>238</v>
      </c>
      <c r="W1367" s="5" t="s">
        <v>241</v>
      </c>
      <c r="X1367" s="5" t="s">
        <v>243</v>
      </c>
      <c r="Y1367" s="5" t="s">
        <v>238</v>
      </c>
      <c r="AB1367" s="5" t="s">
        <v>238</v>
      </c>
      <c r="AD1367" s="6" t="s">
        <v>238</v>
      </c>
      <c r="AG1367" s="6" t="s">
        <v>246</v>
      </c>
      <c r="AH1367" s="5" t="s">
        <v>247</v>
      </c>
      <c r="AI1367" s="5" t="s">
        <v>248</v>
      </c>
      <c r="AY1367" s="5" t="s">
        <v>250</v>
      </c>
      <c r="AZ1367" s="5" t="s">
        <v>238</v>
      </c>
      <c r="BA1367" s="5" t="s">
        <v>251</v>
      </c>
      <c r="BB1367" s="5" t="s">
        <v>238</v>
      </c>
      <c r="BC1367" s="5" t="s">
        <v>253</v>
      </c>
      <c r="BD1367" s="5" t="s">
        <v>238</v>
      </c>
      <c r="BF1367" s="5" t="s">
        <v>903</v>
      </c>
      <c r="BH1367" s="5" t="s">
        <v>254</v>
      </c>
      <c r="BI1367" s="6" t="s">
        <v>246</v>
      </c>
      <c r="BJ1367" s="5" t="s">
        <v>255</v>
      </c>
      <c r="BK1367" s="5" t="s">
        <v>256</v>
      </c>
      <c r="BL1367" s="5" t="s">
        <v>238</v>
      </c>
      <c r="BM1367" s="7">
        <f>0</f>
        <v>0</v>
      </c>
      <c r="BN1367" s="8">
        <f>0</f>
        <v>0</v>
      </c>
      <c r="BO1367" s="5" t="s">
        <v>257</v>
      </c>
      <c r="BP1367" s="5" t="s">
        <v>258</v>
      </c>
      <c r="CD1367" s="5" t="s">
        <v>238</v>
      </c>
      <c r="CE1367" s="5" t="s">
        <v>238</v>
      </c>
      <c r="CI1367" s="5" t="s">
        <v>527</v>
      </c>
      <c r="CJ1367" s="5" t="s">
        <v>260</v>
      </c>
      <c r="CK1367" s="5" t="s">
        <v>238</v>
      </c>
      <c r="CM1367" s="5" t="s">
        <v>964</v>
      </c>
      <c r="CN1367" s="6" t="s">
        <v>262</v>
      </c>
      <c r="CO1367" s="5" t="s">
        <v>263</v>
      </c>
      <c r="CP1367" s="5" t="s">
        <v>264</v>
      </c>
      <c r="CQ1367" s="5" t="s">
        <v>238</v>
      </c>
      <c r="CR1367" s="5" t="s">
        <v>238</v>
      </c>
      <c r="CS1367" s="5">
        <v>0</v>
      </c>
      <c r="CT1367" s="5" t="s">
        <v>265</v>
      </c>
      <c r="CU1367" s="5" t="s">
        <v>1333</v>
      </c>
      <c r="CV1367" s="5" t="s">
        <v>649</v>
      </c>
      <c r="CX1367" s="8">
        <f>6905700</f>
        <v>6905700</v>
      </c>
      <c r="CY1367" s="8">
        <f>0</f>
        <v>0</v>
      </c>
      <c r="DA1367" s="5" t="s">
        <v>238</v>
      </c>
      <c r="DB1367" s="5" t="s">
        <v>238</v>
      </c>
      <c r="DD1367" s="5" t="s">
        <v>238</v>
      </c>
      <c r="DG1367" s="5" t="s">
        <v>238</v>
      </c>
      <c r="DH1367" s="5" t="s">
        <v>238</v>
      </c>
      <c r="DI1367" s="5" t="s">
        <v>238</v>
      </c>
      <c r="DJ1367" s="5" t="s">
        <v>238</v>
      </c>
      <c r="DK1367" s="5" t="s">
        <v>271</v>
      </c>
      <c r="DL1367" s="5" t="s">
        <v>272</v>
      </c>
      <c r="DM1367" s="7">
        <f>76.73</f>
        <v>76.73</v>
      </c>
      <c r="DN1367" s="5" t="s">
        <v>238</v>
      </c>
      <c r="DO1367" s="5" t="s">
        <v>238</v>
      </c>
      <c r="DP1367" s="5" t="s">
        <v>238</v>
      </c>
      <c r="DQ1367" s="5" t="s">
        <v>238</v>
      </c>
      <c r="DT1367" s="5" t="s">
        <v>1934</v>
      </c>
      <c r="DU1367" s="5" t="s">
        <v>271</v>
      </c>
      <c r="HM1367" s="5" t="s">
        <v>271</v>
      </c>
      <c r="HP1367" s="5" t="s">
        <v>272</v>
      </c>
      <c r="HQ1367" s="5" t="s">
        <v>272</v>
      </c>
    </row>
    <row r="1368" spans="1:238" x14ac:dyDescent="0.4">
      <c r="A1368" s="5">
        <v>1718</v>
      </c>
      <c r="B1368" s="5">
        <v>1</v>
      </c>
      <c r="C1368" s="5">
        <v>1</v>
      </c>
      <c r="D1368" s="5" t="s">
        <v>918</v>
      </c>
      <c r="E1368" s="5" t="s">
        <v>852</v>
      </c>
      <c r="F1368" s="5" t="s">
        <v>252</v>
      </c>
      <c r="G1368" s="5" t="s">
        <v>889</v>
      </c>
      <c r="H1368" s="6" t="s">
        <v>920</v>
      </c>
      <c r="I1368" s="5" t="s">
        <v>917</v>
      </c>
      <c r="J1368" s="7">
        <f>58.28</f>
        <v>58.28</v>
      </c>
      <c r="K1368" s="5" t="s">
        <v>270</v>
      </c>
      <c r="L1368" s="8">
        <f>1</f>
        <v>1</v>
      </c>
      <c r="M1368" s="8">
        <f>3496800</f>
        <v>3496800</v>
      </c>
      <c r="N1368" s="6" t="s">
        <v>919</v>
      </c>
      <c r="O1368" s="5" t="s">
        <v>268</v>
      </c>
      <c r="P1368" s="5" t="s">
        <v>922</v>
      </c>
      <c r="R1368" s="8">
        <f>3496799</f>
        <v>3496799</v>
      </c>
      <c r="S1368" s="5" t="s">
        <v>240</v>
      </c>
      <c r="T1368" s="5" t="s">
        <v>237</v>
      </c>
      <c r="U1368" s="5" t="s">
        <v>238</v>
      </c>
      <c r="V1368" s="5" t="s">
        <v>238</v>
      </c>
      <c r="W1368" s="5" t="s">
        <v>241</v>
      </c>
      <c r="X1368" s="5" t="s">
        <v>243</v>
      </c>
      <c r="Y1368" s="5" t="s">
        <v>238</v>
      </c>
      <c r="AB1368" s="5" t="s">
        <v>238</v>
      </c>
      <c r="AD1368" s="6" t="s">
        <v>238</v>
      </c>
      <c r="AG1368" s="6" t="s">
        <v>246</v>
      </c>
      <c r="AH1368" s="5" t="s">
        <v>247</v>
      </c>
      <c r="AI1368" s="5" t="s">
        <v>248</v>
      </c>
      <c r="AY1368" s="5" t="s">
        <v>250</v>
      </c>
      <c r="AZ1368" s="5" t="s">
        <v>238</v>
      </c>
      <c r="BA1368" s="5" t="s">
        <v>251</v>
      </c>
      <c r="BB1368" s="5" t="s">
        <v>238</v>
      </c>
      <c r="BC1368" s="5" t="s">
        <v>253</v>
      </c>
      <c r="BD1368" s="5" t="s">
        <v>238</v>
      </c>
      <c r="BF1368" s="5" t="s">
        <v>903</v>
      </c>
      <c r="BH1368" s="5" t="s">
        <v>254</v>
      </c>
      <c r="BI1368" s="6" t="s">
        <v>246</v>
      </c>
      <c r="BJ1368" s="5" t="s">
        <v>255</v>
      </c>
      <c r="BK1368" s="5" t="s">
        <v>256</v>
      </c>
      <c r="BL1368" s="5" t="s">
        <v>238</v>
      </c>
      <c r="BM1368" s="7">
        <f>0</f>
        <v>0</v>
      </c>
      <c r="BN1368" s="8">
        <f>0</f>
        <v>0</v>
      </c>
      <c r="BO1368" s="5" t="s">
        <v>257</v>
      </c>
      <c r="BP1368" s="5" t="s">
        <v>258</v>
      </c>
      <c r="CD1368" s="5" t="s">
        <v>238</v>
      </c>
      <c r="CE1368" s="5" t="s">
        <v>238</v>
      </c>
      <c r="CI1368" s="5" t="s">
        <v>527</v>
      </c>
      <c r="CJ1368" s="5" t="s">
        <v>260</v>
      </c>
      <c r="CK1368" s="5" t="s">
        <v>238</v>
      </c>
      <c r="CM1368" s="5" t="s">
        <v>921</v>
      </c>
      <c r="CN1368" s="6" t="s">
        <v>262</v>
      </c>
      <c r="CO1368" s="5" t="s">
        <v>263</v>
      </c>
      <c r="CP1368" s="5" t="s">
        <v>264</v>
      </c>
      <c r="CQ1368" s="5" t="s">
        <v>238</v>
      </c>
      <c r="CR1368" s="5" t="s">
        <v>238</v>
      </c>
      <c r="CS1368" s="5">
        <v>0</v>
      </c>
      <c r="CT1368" s="5" t="s">
        <v>265</v>
      </c>
      <c r="CU1368" s="5" t="s">
        <v>266</v>
      </c>
      <c r="CV1368" s="5" t="s">
        <v>267</v>
      </c>
      <c r="CX1368" s="8">
        <f>3496800</f>
        <v>3496800</v>
      </c>
      <c r="CY1368" s="8">
        <f>0</f>
        <v>0</v>
      </c>
      <c r="DA1368" s="5" t="s">
        <v>238</v>
      </c>
      <c r="DB1368" s="5" t="s">
        <v>238</v>
      </c>
      <c r="DD1368" s="5" t="s">
        <v>238</v>
      </c>
      <c r="DG1368" s="5" t="s">
        <v>238</v>
      </c>
      <c r="DH1368" s="5" t="s">
        <v>238</v>
      </c>
      <c r="DI1368" s="5" t="s">
        <v>238</v>
      </c>
      <c r="DJ1368" s="5" t="s">
        <v>238</v>
      </c>
      <c r="DK1368" s="5" t="s">
        <v>271</v>
      </c>
      <c r="DL1368" s="5" t="s">
        <v>272</v>
      </c>
      <c r="DM1368" s="7">
        <f>58.28</f>
        <v>58.28</v>
      </c>
      <c r="DN1368" s="5" t="s">
        <v>238</v>
      </c>
      <c r="DO1368" s="5" t="s">
        <v>238</v>
      </c>
      <c r="DP1368" s="5" t="s">
        <v>238</v>
      </c>
      <c r="DQ1368" s="5" t="s">
        <v>238</v>
      </c>
      <c r="DT1368" s="5" t="s">
        <v>923</v>
      </c>
      <c r="DU1368" s="5" t="s">
        <v>271</v>
      </c>
      <c r="HM1368" s="5" t="s">
        <v>271</v>
      </c>
      <c r="HP1368" s="5" t="s">
        <v>272</v>
      </c>
      <c r="HQ1368" s="5" t="s">
        <v>272</v>
      </c>
    </row>
    <row r="1369" spans="1:238" x14ac:dyDescent="0.4">
      <c r="A1369" s="5">
        <v>1719</v>
      </c>
      <c r="B1369" s="5">
        <v>1</v>
      </c>
      <c r="C1369" s="5">
        <v>1</v>
      </c>
      <c r="D1369" s="5" t="s">
        <v>2103</v>
      </c>
      <c r="E1369" s="5" t="s">
        <v>852</v>
      </c>
      <c r="F1369" s="5" t="s">
        <v>252</v>
      </c>
      <c r="G1369" s="5" t="s">
        <v>2102</v>
      </c>
      <c r="H1369" s="6" t="s">
        <v>2105</v>
      </c>
      <c r="I1369" s="5" t="s">
        <v>2102</v>
      </c>
      <c r="J1369" s="7">
        <f>250.41</f>
        <v>250.41</v>
      </c>
      <c r="K1369" s="5" t="s">
        <v>270</v>
      </c>
      <c r="L1369" s="8">
        <f>1</f>
        <v>1</v>
      </c>
      <c r="M1369" s="8">
        <f>23788950</f>
        <v>23788950</v>
      </c>
      <c r="N1369" s="6" t="s">
        <v>2104</v>
      </c>
      <c r="O1369" s="5" t="s">
        <v>651</v>
      </c>
      <c r="P1369" s="5" t="s">
        <v>650</v>
      </c>
      <c r="R1369" s="8">
        <f>23788949</f>
        <v>23788949</v>
      </c>
      <c r="S1369" s="5" t="s">
        <v>240</v>
      </c>
      <c r="T1369" s="5" t="s">
        <v>237</v>
      </c>
      <c r="U1369" s="5" t="s">
        <v>238</v>
      </c>
      <c r="V1369" s="5" t="s">
        <v>238</v>
      </c>
      <c r="W1369" s="5" t="s">
        <v>241</v>
      </c>
      <c r="X1369" s="5" t="s">
        <v>243</v>
      </c>
      <c r="Y1369" s="5" t="s">
        <v>238</v>
      </c>
      <c r="AB1369" s="5" t="s">
        <v>238</v>
      </c>
      <c r="AD1369" s="6" t="s">
        <v>238</v>
      </c>
      <c r="AG1369" s="6" t="s">
        <v>246</v>
      </c>
      <c r="AH1369" s="5" t="s">
        <v>247</v>
      </c>
      <c r="AI1369" s="5" t="s">
        <v>248</v>
      </c>
      <c r="AY1369" s="5" t="s">
        <v>250</v>
      </c>
      <c r="AZ1369" s="5" t="s">
        <v>238</v>
      </c>
      <c r="BA1369" s="5" t="s">
        <v>251</v>
      </c>
      <c r="BB1369" s="5" t="s">
        <v>238</v>
      </c>
      <c r="BC1369" s="5" t="s">
        <v>253</v>
      </c>
      <c r="BD1369" s="5" t="s">
        <v>238</v>
      </c>
      <c r="BF1369" s="5" t="s">
        <v>903</v>
      </c>
      <c r="BH1369" s="5" t="s">
        <v>254</v>
      </c>
      <c r="BI1369" s="6" t="s">
        <v>246</v>
      </c>
      <c r="BJ1369" s="5" t="s">
        <v>255</v>
      </c>
      <c r="BK1369" s="5" t="s">
        <v>256</v>
      </c>
      <c r="BL1369" s="5" t="s">
        <v>238</v>
      </c>
      <c r="BM1369" s="7">
        <f>0</f>
        <v>0</v>
      </c>
      <c r="BN1369" s="8">
        <f>0</f>
        <v>0</v>
      </c>
      <c r="BO1369" s="5" t="s">
        <v>257</v>
      </c>
      <c r="BP1369" s="5" t="s">
        <v>258</v>
      </c>
      <c r="CD1369" s="5" t="s">
        <v>238</v>
      </c>
      <c r="CE1369" s="5" t="s">
        <v>238</v>
      </c>
      <c r="CI1369" s="5" t="s">
        <v>527</v>
      </c>
      <c r="CJ1369" s="5" t="s">
        <v>260</v>
      </c>
      <c r="CK1369" s="5" t="s">
        <v>238</v>
      </c>
      <c r="CM1369" s="5" t="s">
        <v>877</v>
      </c>
      <c r="CN1369" s="6" t="s">
        <v>262</v>
      </c>
      <c r="CO1369" s="5" t="s">
        <v>263</v>
      </c>
      <c r="CP1369" s="5" t="s">
        <v>264</v>
      </c>
      <c r="CQ1369" s="5" t="s">
        <v>238</v>
      </c>
      <c r="CR1369" s="5" t="s">
        <v>238</v>
      </c>
      <c r="CS1369" s="5">
        <v>0</v>
      </c>
      <c r="CT1369" s="5" t="s">
        <v>265</v>
      </c>
      <c r="CU1369" s="5" t="s">
        <v>2099</v>
      </c>
      <c r="CV1369" s="5" t="s">
        <v>267</v>
      </c>
      <c r="CX1369" s="8">
        <f>23788950</f>
        <v>23788950</v>
      </c>
      <c r="CY1369" s="8">
        <f>0</f>
        <v>0</v>
      </c>
      <c r="DA1369" s="5" t="s">
        <v>238</v>
      </c>
      <c r="DB1369" s="5" t="s">
        <v>238</v>
      </c>
      <c r="DD1369" s="5" t="s">
        <v>238</v>
      </c>
      <c r="DG1369" s="5" t="s">
        <v>238</v>
      </c>
      <c r="DH1369" s="5" t="s">
        <v>238</v>
      </c>
      <c r="DI1369" s="5" t="s">
        <v>238</v>
      </c>
      <c r="DJ1369" s="5" t="s">
        <v>238</v>
      </c>
      <c r="DK1369" s="5" t="s">
        <v>271</v>
      </c>
      <c r="DL1369" s="5" t="s">
        <v>272</v>
      </c>
      <c r="DM1369" s="7">
        <f>250.41</f>
        <v>250.41</v>
      </c>
      <c r="DN1369" s="5" t="s">
        <v>238</v>
      </c>
      <c r="DO1369" s="5" t="s">
        <v>238</v>
      </c>
      <c r="DP1369" s="5" t="s">
        <v>238</v>
      </c>
      <c r="DQ1369" s="5" t="s">
        <v>238</v>
      </c>
      <c r="DT1369" s="5" t="s">
        <v>2106</v>
      </c>
      <c r="DU1369" s="5" t="s">
        <v>271</v>
      </c>
      <c r="HM1369" s="5" t="s">
        <v>271</v>
      </c>
      <c r="HP1369" s="5" t="s">
        <v>272</v>
      </c>
      <c r="HQ1369" s="5" t="s">
        <v>272</v>
      </c>
    </row>
    <row r="1370" spans="1:238" x14ac:dyDescent="0.4">
      <c r="A1370" s="5">
        <v>1720</v>
      </c>
      <c r="B1370" s="5">
        <v>1</v>
      </c>
      <c r="C1370" s="5">
        <v>4</v>
      </c>
      <c r="D1370" s="5" t="s">
        <v>2006</v>
      </c>
      <c r="E1370" s="5" t="s">
        <v>1218</v>
      </c>
      <c r="F1370" s="5" t="s">
        <v>252</v>
      </c>
      <c r="G1370" s="5" t="s">
        <v>2007</v>
      </c>
      <c r="H1370" s="6" t="s">
        <v>2008</v>
      </c>
      <c r="I1370" s="5" t="s">
        <v>889</v>
      </c>
      <c r="J1370" s="7">
        <f>300.3</f>
        <v>300.3</v>
      </c>
      <c r="K1370" s="5" t="s">
        <v>270</v>
      </c>
      <c r="L1370" s="8">
        <f>1</f>
        <v>1</v>
      </c>
      <c r="M1370" s="8">
        <f>54054000</f>
        <v>54054000</v>
      </c>
      <c r="N1370" s="6" t="s">
        <v>1097</v>
      </c>
      <c r="O1370" s="5" t="s">
        <v>279</v>
      </c>
      <c r="P1370" s="5" t="s">
        <v>1173</v>
      </c>
      <c r="Q1370" s="8">
        <f>1081080</f>
        <v>1081080</v>
      </c>
      <c r="R1370" s="8">
        <f>54053999</f>
        <v>54053999</v>
      </c>
      <c r="S1370" s="5" t="s">
        <v>240</v>
      </c>
      <c r="T1370" s="5" t="s">
        <v>237</v>
      </c>
      <c r="U1370" s="5" t="s">
        <v>238</v>
      </c>
      <c r="V1370" s="5" t="s">
        <v>238</v>
      </c>
      <c r="W1370" s="5" t="s">
        <v>241</v>
      </c>
      <c r="X1370" s="5" t="s">
        <v>243</v>
      </c>
      <c r="Y1370" s="5" t="s">
        <v>238</v>
      </c>
      <c r="AB1370" s="5" t="s">
        <v>238</v>
      </c>
      <c r="AC1370" s="6" t="s">
        <v>238</v>
      </c>
      <c r="AD1370" s="6" t="s">
        <v>238</v>
      </c>
      <c r="AF1370" s="6" t="s">
        <v>238</v>
      </c>
      <c r="AG1370" s="6" t="s">
        <v>246</v>
      </c>
      <c r="AH1370" s="5" t="s">
        <v>247</v>
      </c>
      <c r="AI1370" s="5" t="s">
        <v>248</v>
      </c>
      <c r="AO1370" s="5" t="s">
        <v>238</v>
      </c>
      <c r="AP1370" s="5" t="s">
        <v>238</v>
      </c>
      <c r="AQ1370" s="5" t="s">
        <v>238</v>
      </c>
      <c r="AR1370" s="6" t="s">
        <v>238</v>
      </c>
      <c r="AS1370" s="6" t="s">
        <v>238</v>
      </c>
      <c r="AT1370" s="6" t="s">
        <v>238</v>
      </c>
      <c r="AW1370" s="5" t="s">
        <v>304</v>
      </c>
      <c r="AX1370" s="5" t="s">
        <v>304</v>
      </c>
      <c r="AY1370" s="5" t="s">
        <v>250</v>
      </c>
      <c r="AZ1370" s="5" t="s">
        <v>305</v>
      </c>
      <c r="BA1370" s="5" t="s">
        <v>251</v>
      </c>
      <c r="BB1370" s="5" t="s">
        <v>238</v>
      </c>
      <c r="BC1370" s="5" t="s">
        <v>253</v>
      </c>
      <c r="BD1370" s="5" t="s">
        <v>238</v>
      </c>
      <c r="BF1370" s="5" t="s">
        <v>903</v>
      </c>
      <c r="BH1370" s="5" t="s">
        <v>283</v>
      </c>
      <c r="BI1370" s="6" t="s">
        <v>293</v>
      </c>
      <c r="BJ1370" s="5" t="s">
        <v>294</v>
      </c>
      <c r="BK1370" s="5" t="s">
        <v>294</v>
      </c>
      <c r="BL1370" s="5" t="s">
        <v>238</v>
      </c>
      <c r="BM1370" s="7">
        <f>0</f>
        <v>0</v>
      </c>
      <c r="BN1370" s="8">
        <f>-1081079</f>
        <v>-1081079</v>
      </c>
      <c r="BO1370" s="5" t="s">
        <v>257</v>
      </c>
      <c r="BP1370" s="5" t="s">
        <v>258</v>
      </c>
      <c r="BQ1370" s="5" t="s">
        <v>238</v>
      </c>
      <c r="BR1370" s="5" t="s">
        <v>238</v>
      </c>
      <c r="BS1370" s="5" t="s">
        <v>238</v>
      </c>
      <c r="BT1370" s="5" t="s">
        <v>238</v>
      </c>
      <c r="CC1370" s="5" t="s">
        <v>258</v>
      </c>
      <c r="CD1370" s="5" t="s">
        <v>238</v>
      </c>
      <c r="CE1370" s="5" t="s">
        <v>238</v>
      </c>
      <c r="CI1370" s="5" t="s">
        <v>527</v>
      </c>
      <c r="CJ1370" s="5" t="s">
        <v>260</v>
      </c>
      <c r="CK1370" s="5" t="s">
        <v>238</v>
      </c>
      <c r="CM1370" s="5" t="s">
        <v>1016</v>
      </c>
      <c r="CN1370" s="6" t="s">
        <v>262</v>
      </c>
      <c r="CO1370" s="5" t="s">
        <v>263</v>
      </c>
      <c r="CP1370" s="5" t="s">
        <v>264</v>
      </c>
      <c r="CQ1370" s="5" t="s">
        <v>285</v>
      </c>
      <c r="CR1370" s="5" t="s">
        <v>238</v>
      </c>
      <c r="CS1370" s="5">
        <v>0.02</v>
      </c>
      <c r="CT1370" s="5" t="s">
        <v>265</v>
      </c>
      <c r="CU1370" s="5" t="s">
        <v>1333</v>
      </c>
      <c r="CV1370" s="5" t="s">
        <v>308</v>
      </c>
      <c r="CW1370" s="7">
        <f>0</f>
        <v>0</v>
      </c>
      <c r="CX1370" s="8">
        <f>54054000</f>
        <v>54054000</v>
      </c>
      <c r="CY1370" s="8">
        <f>1081080</f>
        <v>1081080</v>
      </c>
      <c r="DA1370" s="5" t="s">
        <v>238</v>
      </c>
      <c r="DB1370" s="5" t="s">
        <v>238</v>
      </c>
      <c r="DD1370" s="5" t="s">
        <v>238</v>
      </c>
      <c r="DE1370" s="8">
        <f>0</f>
        <v>0</v>
      </c>
      <c r="DG1370" s="5" t="s">
        <v>238</v>
      </c>
      <c r="DH1370" s="5" t="s">
        <v>238</v>
      </c>
      <c r="DI1370" s="5" t="s">
        <v>238</v>
      </c>
      <c r="DJ1370" s="5" t="s">
        <v>238</v>
      </c>
      <c r="DK1370" s="5" t="s">
        <v>274</v>
      </c>
      <c r="DL1370" s="5" t="s">
        <v>272</v>
      </c>
      <c r="DM1370" s="7">
        <f>300.3</f>
        <v>300.3</v>
      </c>
      <c r="DN1370" s="5" t="s">
        <v>238</v>
      </c>
      <c r="DO1370" s="5" t="s">
        <v>238</v>
      </c>
      <c r="DP1370" s="5" t="s">
        <v>238</v>
      </c>
      <c r="DQ1370" s="5" t="s">
        <v>238</v>
      </c>
      <c r="DT1370" s="5" t="s">
        <v>2009</v>
      </c>
      <c r="DU1370" s="5" t="s">
        <v>271</v>
      </c>
      <c r="GL1370" s="5" t="s">
        <v>2010</v>
      </c>
      <c r="HM1370" s="5" t="s">
        <v>313</v>
      </c>
      <c r="HP1370" s="5" t="s">
        <v>272</v>
      </c>
      <c r="HQ1370" s="5" t="s">
        <v>272</v>
      </c>
      <c r="HR1370" s="5" t="s">
        <v>238</v>
      </c>
      <c r="HS1370" s="5" t="s">
        <v>238</v>
      </c>
      <c r="HT1370" s="5" t="s">
        <v>238</v>
      </c>
      <c r="HU1370" s="5" t="s">
        <v>238</v>
      </c>
      <c r="HV1370" s="5" t="s">
        <v>238</v>
      </c>
      <c r="HW1370" s="5" t="s">
        <v>238</v>
      </c>
      <c r="HX1370" s="5" t="s">
        <v>238</v>
      </c>
      <c r="HY1370" s="5" t="s">
        <v>238</v>
      </c>
      <c r="HZ1370" s="5" t="s">
        <v>238</v>
      </c>
      <c r="IA1370" s="5" t="s">
        <v>238</v>
      </c>
      <c r="IB1370" s="5" t="s">
        <v>238</v>
      </c>
      <c r="IC1370" s="5" t="s">
        <v>238</v>
      </c>
      <c r="ID1370" s="5" t="s">
        <v>238</v>
      </c>
    </row>
    <row r="1371" spans="1:238" x14ac:dyDescent="0.4">
      <c r="A1371" s="5">
        <v>1721</v>
      </c>
      <c r="B1371" s="5">
        <v>1</v>
      </c>
      <c r="C1371" s="5">
        <v>1</v>
      </c>
      <c r="D1371" s="5" t="s">
        <v>1856</v>
      </c>
      <c r="E1371" s="5" t="s">
        <v>1218</v>
      </c>
      <c r="F1371" s="5" t="s">
        <v>252</v>
      </c>
      <c r="G1371" s="5" t="s">
        <v>1007</v>
      </c>
      <c r="H1371" s="6" t="s">
        <v>1858</v>
      </c>
      <c r="I1371" s="5" t="s">
        <v>1855</v>
      </c>
      <c r="J1371" s="7">
        <f>142.56</f>
        <v>142.56</v>
      </c>
      <c r="K1371" s="5" t="s">
        <v>270</v>
      </c>
      <c r="L1371" s="8">
        <f>1</f>
        <v>1</v>
      </c>
      <c r="M1371" s="8">
        <f>18817920</f>
        <v>18817920</v>
      </c>
      <c r="N1371" s="6" t="s">
        <v>1857</v>
      </c>
      <c r="O1371" s="5" t="s">
        <v>286</v>
      </c>
      <c r="P1371" s="5" t="s">
        <v>1091</v>
      </c>
      <c r="R1371" s="8">
        <f>18817919</f>
        <v>18817919</v>
      </c>
      <c r="S1371" s="5" t="s">
        <v>240</v>
      </c>
      <c r="T1371" s="5" t="s">
        <v>237</v>
      </c>
      <c r="U1371" s="5" t="s">
        <v>238</v>
      </c>
      <c r="V1371" s="5" t="s">
        <v>238</v>
      </c>
      <c r="W1371" s="5" t="s">
        <v>241</v>
      </c>
      <c r="X1371" s="5" t="s">
        <v>243</v>
      </c>
      <c r="Y1371" s="5" t="s">
        <v>238</v>
      </c>
      <c r="AB1371" s="5" t="s">
        <v>238</v>
      </c>
      <c r="AD1371" s="6" t="s">
        <v>238</v>
      </c>
      <c r="AG1371" s="6" t="s">
        <v>246</v>
      </c>
      <c r="AH1371" s="5" t="s">
        <v>247</v>
      </c>
      <c r="AI1371" s="5" t="s">
        <v>248</v>
      </c>
      <c r="AY1371" s="5" t="s">
        <v>250</v>
      </c>
      <c r="AZ1371" s="5" t="s">
        <v>238</v>
      </c>
      <c r="BA1371" s="5" t="s">
        <v>251</v>
      </c>
      <c r="BB1371" s="5" t="s">
        <v>238</v>
      </c>
      <c r="BC1371" s="5" t="s">
        <v>253</v>
      </c>
      <c r="BD1371" s="5" t="s">
        <v>238</v>
      </c>
      <c r="BF1371" s="5" t="s">
        <v>903</v>
      </c>
      <c r="BH1371" s="5" t="s">
        <v>254</v>
      </c>
      <c r="BI1371" s="6" t="s">
        <v>246</v>
      </c>
      <c r="BJ1371" s="5" t="s">
        <v>255</v>
      </c>
      <c r="BK1371" s="5" t="s">
        <v>256</v>
      </c>
      <c r="BL1371" s="5" t="s">
        <v>238</v>
      </c>
      <c r="BM1371" s="7">
        <f>0</f>
        <v>0</v>
      </c>
      <c r="BN1371" s="8">
        <f>0</f>
        <v>0</v>
      </c>
      <c r="BO1371" s="5" t="s">
        <v>257</v>
      </c>
      <c r="BP1371" s="5" t="s">
        <v>258</v>
      </c>
      <c r="CD1371" s="5" t="s">
        <v>238</v>
      </c>
      <c r="CE1371" s="5" t="s">
        <v>238</v>
      </c>
      <c r="CI1371" s="5" t="s">
        <v>259</v>
      </c>
      <c r="CJ1371" s="5" t="s">
        <v>260</v>
      </c>
      <c r="CK1371" s="5" t="s">
        <v>238</v>
      </c>
      <c r="CM1371" s="5" t="s">
        <v>306</v>
      </c>
      <c r="CN1371" s="6" t="s">
        <v>262</v>
      </c>
      <c r="CO1371" s="5" t="s">
        <v>263</v>
      </c>
      <c r="CP1371" s="5" t="s">
        <v>264</v>
      </c>
      <c r="CQ1371" s="5" t="s">
        <v>238</v>
      </c>
      <c r="CR1371" s="5" t="s">
        <v>238</v>
      </c>
      <c r="CS1371" s="5">
        <v>0</v>
      </c>
      <c r="CT1371" s="5" t="s">
        <v>265</v>
      </c>
      <c r="CU1371" s="5" t="s">
        <v>1803</v>
      </c>
      <c r="CV1371" s="5" t="s">
        <v>267</v>
      </c>
      <c r="CX1371" s="8">
        <f>18817920</f>
        <v>18817920</v>
      </c>
      <c r="CY1371" s="8">
        <f>0</f>
        <v>0</v>
      </c>
      <c r="DA1371" s="5" t="s">
        <v>238</v>
      </c>
      <c r="DB1371" s="5" t="s">
        <v>238</v>
      </c>
      <c r="DD1371" s="5" t="s">
        <v>238</v>
      </c>
      <c r="DG1371" s="5" t="s">
        <v>238</v>
      </c>
      <c r="DH1371" s="5" t="s">
        <v>238</v>
      </c>
      <c r="DI1371" s="5" t="s">
        <v>238</v>
      </c>
      <c r="DJ1371" s="5" t="s">
        <v>238</v>
      </c>
      <c r="DK1371" s="5" t="s">
        <v>274</v>
      </c>
      <c r="DL1371" s="5" t="s">
        <v>272</v>
      </c>
      <c r="DM1371" s="7">
        <f>142.56</f>
        <v>142.56</v>
      </c>
      <c r="DN1371" s="5" t="s">
        <v>238</v>
      </c>
      <c r="DO1371" s="5" t="s">
        <v>238</v>
      </c>
      <c r="DP1371" s="5" t="s">
        <v>238</v>
      </c>
      <c r="DQ1371" s="5" t="s">
        <v>238</v>
      </c>
      <c r="DT1371" s="5" t="s">
        <v>1859</v>
      </c>
      <c r="DU1371" s="5" t="s">
        <v>271</v>
      </c>
      <c r="HM1371" s="5" t="s">
        <v>271</v>
      </c>
      <c r="HP1371" s="5" t="s">
        <v>272</v>
      </c>
      <c r="HQ1371" s="5" t="s">
        <v>272</v>
      </c>
    </row>
    <row r="1372" spans="1:238" x14ac:dyDescent="0.4">
      <c r="A1372" s="5">
        <v>1722</v>
      </c>
      <c r="B1372" s="5">
        <v>1</v>
      </c>
      <c r="C1372" s="5">
        <v>1</v>
      </c>
      <c r="D1372" s="5" t="s">
        <v>911</v>
      </c>
      <c r="E1372" s="5" t="s">
        <v>244</v>
      </c>
      <c r="F1372" s="5" t="s">
        <v>252</v>
      </c>
      <c r="G1372" s="5" t="s">
        <v>889</v>
      </c>
      <c r="H1372" s="6" t="s">
        <v>913</v>
      </c>
      <c r="I1372" s="5" t="s">
        <v>889</v>
      </c>
      <c r="J1372" s="7">
        <f>254</f>
        <v>254</v>
      </c>
      <c r="K1372" s="5" t="s">
        <v>270</v>
      </c>
      <c r="L1372" s="8">
        <f>1</f>
        <v>1</v>
      </c>
      <c r="M1372" s="8">
        <f>15240000</f>
        <v>15240000</v>
      </c>
      <c r="N1372" s="6" t="s">
        <v>912</v>
      </c>
      <c r="O1372" s="5" t="s">
        <v>650</v>
      </c>
      <c r="P1372" s="5" t="s">
        <v>915</v>
      </c>
      <c r="R1372" s="8">
        <f>15239999</f>
        <v>15239999</v>
      </c>
      <c r="S1372" s="5" t="s">
        <v>240</v>
      </c>
      <c r="T1372" s="5" t="s">
        <v>237</v>
      </c>
      <c r="U1372" s="5" t="s">
        <v>238</v>
      </c>
      <c r="V1372" s="5" t="s">
        <v>238</v>
      </c>
      <c r="W1372" s="5" t="s">
        <v>241</v>
      </c>
      <c r="X1372" s="5" t="s">
        <v>243</v>
      </c>
      <c r="Y1372" s="5" t="s">
        <v>238</v>
      </c>
      <c r="AB1372" s="5" t="s">
        <v>238</v>
      </c>
      <c r="AD1372" s="6" t="s">
        <v>238</v>
      </c>
      <c r="AG1372" s="6" t="s">
        <v>246</v>
      </c>
      <c r="AH1372" s="5" t="s">
        <v>247</v>
      </c>
      <c r="AI1372" s="5" t="s">
        <v>248</v>
      </c>
      <c r="AY1372" s="5" t="s">
        <v>250</v>
      </c>
      <c r="AZ1372" s="5" t="s">
        <v>238</v>
      </c>
      <c r="BA1372" s="5" t="s">
        <v>251</v>
      </c>
      <c r="BB1372" s="5" t="s">
        <v>238</v>
      </c>
      <c r="BC1372" s="5" t="s">
        <v>253</v>
      </c>
      <c r="BD1372" s="5" t="s">
        <v>238</v>
      </c>
      <c r="BF1372" s="5" t="s">
        <v>238</v>
      </c>
      <c r="BH1372" s="5" t="s">
        <v>254</v>
      </c>
      <c r="BI1372" s="6" t="s">
        <v>246</v>
      </c>
      <c r="BJ1372" s="5" t="s">
        <v>255</v>
      </c>
      <c r="BK1372" s="5" t="s">
        <v>256</v>
      </c>
      <c r="BL1372" s="5" t="s">
        <v>238</v>
      </c>
      <c r="BM1372" s="7">
        <f>0</f>
        <v>0</v>
      </c>
      <c r="BN1372" s="8">
        <f>0</f>
        <v>0</v>
      </c>
      <c r="BO1372" s="5" t="s">
        <v>257</v>
      </c>
      <c r="BP1372" s="5" t="s">
        <v>258</v>
      </c>
      <c r="CD1372" s="5" t="s">
        <v>238</v>
      </c>
      <c r="CE1372" s="5" t="s">
        <v>238</v>
      </c>
      <c r="CI1372" s="5" t="s">
        <v>527</v>
      </c>
      <c r="CJ1372" s="5" t="s">
        <v>260</v>
      </c>
      <c r="CK1372" s="5" t="s">
        <v>238</v>
      </c>
      <c r="CM1372" s="5" t="s">
        <v>914</v>
      </c>
      <c r="CN1372" s="6" t="s">
        <v>262</v>
      </c>
      <c r="CO1372" s="5" t="s">
        <v>263</v>
      </c>
      <c r="CP1372" s="5" t="s">
        <v>264</v>
      </c>
      <c r="CQ1372" s="5" t="s">
        <v>238</v>
      </c>
      <c r="CR1372" s="5" t="s">
        <v>238</v>
      </c>
      <c r="CS1372" s="5">
        <v>0</v>
      </c>
      <c r="CT1372" s="5" t="s">
        <v>265</v>
      </c>
      <c r="CU1372" s="5" t="s">
        <v>266</v>
      </c>
      <c r="CV1372" s="5" t="s">
        <v>649</v>
      </c>
      <c r="CX1372" s="8">
        <f>15240000</f>
        <v>15240000</v>
      </c>
      <c r="CY1372" s="8">
        <f>0</f>
        <v>0</v>
      </c>
      <c r="DA1372" s="5" t="s">
        <v>238</v>
      </c>
      <c r="DB1372" s="5" t="s">
        <v>238</v>
      </c>
      <c r="DD1372" s="5" t="s">
        <v>238</v>
      </c>
      <c r="DG1372" s="5" t="s">
        <v>238</v>
      </c>
      <c r="DH1372" s="5" t="s">
        <v>238</v>
      </c>
      <c r="DI1372" s="5" t="s">
        <v>238</v>
      </c>
      <c r="DJ1372" s="5" t="s">
        <v>238</v>
      </c>
      <c r="DK1372" s="5" t="s">
        <v>271</v>
      </c>
      <c r="DL1372" s="5" t="s">
        <v>272</v>
      </c>
      <c r="DM1372" s="7">
        <f>254</f>
        <v>254</v>
      </c>
      <c r="DN1372" s="5" t="s">
        <v>238</v>
      </c>
      <c r="DO1372" s="5" t="s">
        <v>238</v>
      </c>
      <c r="DP1372" s="5" t="s">
        <v>238</v>
      </c>
      <c r="DQ1372" s="5" t="s">
        <v>238</v>
      </c>
      <c r="DT1372" s="5" t="s">
        <v>916</v>
      </c>
      <c r="DU1372" s="5" t="s">
        <v>271</v>
      </c>
      <c r="HM1372" s="5" t="s">
        <v>271</v>
      </c>
      <c r="HP1372" s="5" t="s">
        <v>272</v>
      </c>
      <c r="HQ1372" s="5" t="s">
        <v>272</v>
      </c>
    </row>
    <row r="1373" spans="1:238" x14ac:dyDescent="0.4">
      <c r="A1373" s="5">
        <v>1723</v>
      </c>
      <c r="B1373" s="5">
        <v>1</v>
      </c>
      <c r="C1373" s="5">
        <v>4</v>
      </c>
      <c r="D1373" s="5" t="s">
        <v>884</v>
      </c>
      <c r="E1373" s="5" t="s">
        <v>244</v>
      </c>
      <c r="F1373" s="5" t="s">
        <v>252</v>
      </c>
      <c r="G1373" s="5" t="s">
        <v>2120</v>
      </c>
      <c r="H1373" s="6" t="s">
        <v>886</v>
      </c>
      <c r="I1373" s="5" t="s">
        <v>2102</v>
      </c>
      <c r="J1373" s="7">
        <f>340.88</f>
        <v>340.88</v>
      </c>
      <c r="K1373" s="5" t="s">
        <v>270</v>
      </c>
      <c r="L1373" s="8">
        <f>14726016</f>
        <v>14726016</v>
      </c>
      <c r="M1373" s="8">
        <f>61358400</f>
        <v>61358400</v>
      </c>
      <c r="N1373" s="6" t="s">
        <v>990</v>
      </c>
      <c r="O1373" s="5" t="s">
        <v>279</v>
      </c>
      <c r="P1373" s="5" t="s">
        <v>866</v>
      </c>
      <c r="Q1373" s="8">
        <f>1227168</f>
        <v>1227168</v>
      </c>
      <c r="R1373" s="8">
        <f>46632384</f>
        <v>46632384</v>
      </c>
      <c r="S1373" s="5" t="s">
        <v>240</v>
      </c>
      <c r="T1373" s="5" t="s">
        <v>237</v>
      </c>
      <c r="U1373" s="5" t="s">
        <v>238</v>
      </c>
      <c r="V1373" s="5" t="s">
        <v>238</v>
      </c>
      <c r="W1373" s="5" t="s">
        <v>241</v>
      </c>
      <c r="X1373" s="5" t="s">
        <v>243</v>
      </c>
      <c r="Y1373" s="5" t="s">
        <v>238</v>
      </c>
      <c r="AB1373" s="5" t="s">
        <v>238</v>
      </c>
      <c r="AC1373" s="6" t="s">
        <v>238</v>
      </c>
      <c r="AD1373" s="6" t="s">
        <v>238</v>
      </c>
      <c r="AF1373" s="6" t="s">
        <v>238</v>
      </c>
      <c r="AG1373" s="6" t="s">
        <v>246</v>
      </c>
      <c r="AH1373" s="5" t="s">
        <v>247</v>
      </c>
      <c r="AI1373" s="5" t="s">
        <v>248</v>
      </c>
      <c r="AO1373" s="5" t="s">
        <v>238</v>
      </c>
      <c r="AP1373" s="5" t="s">
        <v>238</v>
      </c>
      <c r="AQ1373" s="5" t="s">
        <v>238</v>
      </c>
      <c r="AR1373" s="6" t="s">
        <v>238</v>
      </c>
      <c r="AS1373" s="6" t="s">
        <v>238</v>
      </c>
      <c r="AT1373" s="6" t="s">
        <v>238</v>
      </c>
      <c r="AW1373" s="5" t="s">
        <v>304</v>
      </c>
      <c r="AX1373" s="5" t="s">
        <v>304</v>
      </c>
      <c r="AY1373" s="5" t="s">
        <v>250</v>
      </c>
      <c r="AZ1373" s="5" t="s">
        <v>305</v>
      </c>
      <c r="BA1373" s="5" t="s">
        <v>251</v>
      </c>
      <c r="BB1373" s="5" t="s">
        <v>238</v>
      </c>
      <c r="BC1373" s="5" t="s">
        <v>253</v>
      </c>
      <c r="BD1373" s="5" t="s">
        <v>238</v>
      </c>
      <c r="BF1373" s="5" t="s">
        <v>238</v>
      </c>
      <c r="BH1373" s="5" t="s">
        <v>283</v>
      </c>
      <c r="BI1373" s="6" t="s">
        <v>293</v>
      </c>
      <c r="BJ1373" s="5" t="s">
        <v>294</v>
      </c>
      <c r="BK1373" s="5" t="s">
        <v>294</v>
      </c>
      <c r="BL1373" s="5" t="s">
        <v>238</v>
      </c>
      <c r="BM1373" s="7">
        <f>0</f>
        <v>0</v>
      </c>
      <c r="BN1373" s="8">
        <f>-1227168</f>
        <v>-1227168</v>
      </c>
      <c r="BO1373" s="5" t="s">
        <v>257</v>
      </c>
      <c r="BP1373" s="5" t="s">
        <v>258</v>
      </c>
      <c r="BQ1373" s="5" t="s">
        <v>238</v>
      </c>
      <c r="BR1373" s="5" t="s">
        <v>238</v>
      </c>
      <c r="BS1373" s="5" t="s">
        <v>238</v>
      </c>
      <c r="BT1373" s="5" t="s">
        <v>238</v>
      </c>
      <c r="CC1373" s="5" t="s">
        <v>258</v>
      </c>
      <c r="CD1373" s="5" t="s">
        <v>238</v>
      </c>
      <c r="CE1373" s="5" t="s">
        <v>238</v>
      </c>
      <c r="CI1373" s="5" t="s">
        <v>527</v>
      </c>
      <c r="CJ1373" s="5" t="s">
        <v>260</v>
      </c>
      <c r="CK1373" s="5" t="s">
        <v>238</v>
      </c>
      <c r="CM1373" s="5" t="s">
        <v>877</v>
      </c>
      <c r="CN1373" s="6" t="s">
        <v>262</v>
      </c>
      <c r="CO1373" s="5" t="s">
        <v>263</v>
      </c>
      <c r="CP1373" s="5" t="s">
        <v>264</v>
      </c>
      <c r="CQ1373" s="5" t="s">
        <v>285</v>
      </c>
      <c r="CR1373" s="5" t="s">
        <v>238</v>
      </c>
      <c r="CS1373" s="5">
        <v>0.02</v>
      </c>
      <c r="CT1373" s="5" t="s">
        <v>265</v>
      </c>
      <c r="CU1373" s="5" t="s">
        <v>2099</v>
      </c>
      <c r="CV1373" s="5" t="s">
        <v>308</v>
      </c>
      <c r="CW1373" s="7">
        <f>0</f>
        <v>0</v>
      </c>
      <c r="CX1373" s="8">
        <f>61358400</f>
        <v>61358400</v>
      </c>
      <c r="CY1373" s="8">
        <f>15953184</f>
        <v>15953184</v>
      </c>
      <c r="DA1373" s="5" t="s">
        <v>238</v>
      </c>
      <c r="DB1373" s="5" t="s">
        <v>238</v>
      </c>
      <c r="DD1373" s="5" t="s">
        <v>238</v>
      </c>
      <c r="DE1373" s="8">
        <f>0</f>
        <v>0</v>
      </c>
      <c r="DG1373" s="5" t="s">
        <v>238</v>
      </c>
      <c r="DH1373" s="5" t="s">
        <v>238</v>
      </c>
      <c r="DI1373" s="5" t="s">
        <v>238</v>
      </c>
      <c r="DJ1373" s="5" t="s">
        <v>238</v>
      </c>
      <c r="DK1373" s="5" t="s">
        <v>271</v>
      </c>
      <c r="DL1373" s="5" t="s">
        <v>272</v>
      </c>
      <c r="DM1373" s="7">
        <f>340.88</f>
        <v>340.88</v>
      </c>
      <c r="DN1373" s="5" t="s">
        <v>238</v>
      </c>
      <c r="DO1373" s="5" t="s">
        <v>238</v>
      </c>
      <c r="DP1373" s="5" t="s">
        <v>238</v>
      </c>
      <c r="DQ1373" s="5" t="s">
        <v>238</v>
      </c>
      <c r="DT1373" s="5" t="s">
        <v>887</v>
      </c>
      <c r="DU1373" s="5" t="s">
        <v>271</v>
      </c>
      <c r="GL1373" s="5" t="s">
        <v>2121</v>
      </c>
      <c r="HM1373" s="5" t="s">
        <v>313</v>
      </c>
      <c r="HP1373" s="5" t="s">
        <v>272</v>
      </c>
      <c r="HQ1373" s="5" t="s">
        <v>272</v>
      </c>
      <c r="HR1373" s="5" t="s">
        <v>238</v>
      </c>
      <c r="HS1373" s="5" t="s">
        <v>238</v>
      </c>
      <c r="HT1373" s="5" t="s">
        <v>238</v>
      </c>
      <c r="HU1373" s="5" t="s">
        <v>238</v>
      </c>
      <c r="HV1373" s="5" t="s">
        <v>238</v>
      </c>
      <c r="HW1373" s="5" t="s">
        <v>238</v>
      </c>
      <c r="HX1373" s="5" t="s">
        <v>238</v>
      </c>
      <c r="HY1373" s="5" t="s">
        <v>238</v>
      </c>
      <c r="HZ1373" s="5" t="s">
        <v>238</v>
      </c>
      <c r="IA1373" s="5" t="s">
        <v>238</v>
      </c>
      <c r="IB1373" s="5" t="s">
        <v>238</v>
      </c>
      <c r="IC1373" s="5" t="s">
        <v>238</v>
      </c>
      <c r="ID1373" s="5" t="s">
        <v>238</v>
      </c>
    </row>
    <row r="1374" spans="1:238" x14ac:dyDescent="0.4">
      <c r="A1374" s="5">
        <v>1724</v>
      </c>
      <c r="B1374" s="5">
        <v>1</v>
      </c>
      <c r="C1374" s="5">
        <v>4</v>
      </c>
      <c r="D1374" s="5" t="s">
        <v>884</v>
      </c>
      <c r="E1374" s="5" t="s">
        <v>244</v>
      </c>
      <c r="F1374" s="5" t="s">
        <v>252</v>
      </c>
      <c r="G1374" s="5" t="s">
        <v>646</v>
      </c>
      <c r="H1374" s="6" t="s">
        <v>886</v>
      </c>
      <c r="I1374" s="5" t="s">
        <v>239</v>
      </c>
      <c r="J1374" s="7">
        <f>9.9</f>
        <v>9.9</v>
      </c>
      <c r="K1374" s="5" t="s">
        <v>270</v>
      </c>
      <c r="L1374" s="8">
        <f>229482</f>
        <v>229482</v>
      </c>
      <c r="M1374" s="8">
        <f>940500</f>
        <v>940500</v>
      </c>
      <c r="N1374" s="6" t="s">
        <v>885</v>
      </c>
      <c r="O1374" s="5" t="s">
        <v>651</v>
      </c>
      <c r="P1374" s="5" t="s">
        <v>269</v>
      </c>
      <c r="Q1374" s="8">
        <f>39501</f>
        <v>39501</v>
      </c>
      <c r="R1374" s="8">
        <f>711018</f>
        <v>711018</v>
      </c>
      <c r="S1374" s="5" t="s">
        <v>240</v>
      </c>
      <c r="T1374" s="5" t="s">
        <v>237</v>
      </c>
      <c r="U1374" s="5" t="s">
        <v>238</v>
      </c>
      <c r="V1374" s="5" t="s">
        <v>238</v>
      </c>
      <c r="W1374" s="5" t="s">
        <v>241</v>
      </c>
      <c r="X1374" s="5" t="s">
        <v>243</v>
      </c>
      <c r="Y1374" s="5" t="s">
        <v>238</v>
      </c>
      <c r="AB1374" s="5" t="s">
        <v>238</v>
      </c>
      <c r="AC1374" s="6" t="s">
        <v>238</v>
      </c>
      <c r="AD1374" s="6" t="s">
        <v>238</v>
      </c>
      <c r="AF1374" s="6" t="s">
        <v>238</v>
      </c>
      <c r="AG1374" s="6" t="s">
        <v>246</v>
      </c>
      <c r="AH1374" s="5" t="s">
        <v>247</v>
      </c>
      <c r="AI1374" s="5" t="s">
        <v>248</v>
      </c>
      <c r="AO1374" s="5" t="s">
        <v>238</v>
      </c>
      <c r="AP1374" s="5" t="s">
        <v>238</v>
      </c>
      <c r="AQ1374" s="5" t="s">
        <v>238</v>
      </c>
      <c r="AR1374" s="6" t="s">
        <v>238</v>
      </c>
      <c r="AS1374" s="6" t="s">
        <v>238</v>
      </c>
      <c r="AT1374" s="6" t="s">
        <v>238</v>
      </c>
      <c r="AW1374" s="5" t="s">
        <v>304</v>
      </c>
      <c r="AX1374" s="5" t="s">
        <v>304</v>
      </c>
      <c r="AY1374" s="5" t="s">
        <v>250</v>
      </c>
      <c r="AZ1374" s="5" t="s">
        <v>305</v>
      </c>
      <c r="BA1374" s="5" t="s">
        <v>251</v>
      </c>
      <c r="BB1374" s="5" t="s">
        <v>238</v>
      </c>
      <c r="BC1374" s="5" t="s">
        <v>253</v>
      </c>
      <c r="BD1374" s="5" t="s">
        <v>238</v>
      </c>
      <c r="BF1374" s="5" t="s">
        <v>238</v>
      </c>
      <c r="BH1374" s="5" t="s">
        <v>283</v>
      </c>
      <c r="BI1374" s="6" t="s">
        <v>293</v>
      </c>
      <c r="BJ1374" s="5" t="s">
        <v>294</v>
      </c>
      <c r="BK1374" s="5" t="s">
        <v>294</v>
      </c>
      <c r="BL1374" s="5" t="s">
        <v>238</v>
      </c>
      <c r="BM1374" s="7">
        <f>0</f>
        <v>0</v>
      </c>
      <c r="BN1374" s="8">
        <f>-39501</f>
        <v>-39501</v>
      </c>
      <c r="BO1374" s="5" t="s">
        <v>257</v>
      </c>
      <c r="BP1374" s="5" t="s">
        <v>258</v>
      </c>
      <c r="BQ1374" s="5" t="s">
        <v>238</v>
      </c>
      <c r="BR1374" s="5" t="s">
        <v>238</v>
      </c>
      <c r="BS1374" s="5" t="s">
        <v>238</v>
      </c>
      <c r="BT1374" s="5" t="s">
        <v>238</v>
      </c>
      <c r="CC1374" s="5" t="s">
        <v>258</v>
      </c>
      <c r="CD1374" s="5" t="s">
        <v>238</v>
      </c>
      <c r="CE1374" s="5" t="s">
        <v>238</v>
      </c>
      <c r="CI1374" s="5" t="s">
        <v>259</v>
      </c>
      <c r="CJ1374" s="5" t="s">
        <v>260</v>
      </c>
      <c r="CK1374" s="5" t="s">
        <v>238</v>
      </c>
      <c r="CM1374" s="5" t="s">
        <v>682</v>
      </c>
      <c r="CN1374" s="6" t="s">
        <v>262</v>
      </c>
      <c r="CO1374" s="5" t="s">
        <v>263</v>
      </c>
      <c r="CP1374" s="5" t="s">
        <v>264</v>
      </c>
      <c r="CQ1374" s="5" t="s">
        <v>285</v>
      </c>
      <c r="CR1374" s="5" t="s">
        <v>238</v>
      </c>
      <c r="CS1374" s="5">
        <v>4.2000000000000003E-2</v>
      </c>
      <c r="CT1374" s="5" t="s">
        <v>265</v>
      </c>
      <c r="CU1374" s="5" t="s">
        <v>266</v>
      </c>
      <c r="CV1374" s="5" t="s">
        <v>331</v>
      </c>
      <c r="CW1374" s="7">
        <f>0</f>
        <v>0</v>
      </c>
      <c r="CX1374" s="8">
        <f>940500</f>
        <v>940500</v>
      </c>
      <c r="CY1374" s="8">
        <f>268983</f>
        <v>268983</v>
      </c>
      <c r="DA1374" s="5" t="s">
        <v>238</v>
      </c>
      <c r="DB1374" s="5" t="s">
        <v>238</v>
      </c>
      <c r="DD1374" s="5" t="s">
        <v>238</v>
      </c>
      <c r="DE1374" s="8">
        <f>0</f>
        <v>0</v>
      </c>
      <c r="DG1374" s="5" t="s">
        <v>238</v>
      </c>
      <c r="DH1374" s="5" t="s">
        <v>238</v>
      </c>
      <c r="DI1374" s="5" t="s">
        <v>238</v>
      </c>
      <c r="DJ1374" s="5" t="s">
        <v>238</v>
      </c>
      <c r="DK1374" s="5" t="s">
        <v>271</v>
      </c>
      <c r="DL1374" s="5" t="s">
        <v>272</v>
      </c>
      <c r="DM1374" s="7">
        <f>9.9</f>
        <v>9.9</v>
      </c>
      <c r="DN1374" s="5" t="s">
        <v>238</v>
      </c>
      <c r="DO1374" s="5" t="s">
        <v>238</v>
      </c>
      <c r="DP1374" s="5" t="s">
        <v>238</v>
      </c>
      <c r="DQ1374" s="5" t="s">
        <v>238</v>
      </c>
      <c r="DT1374" s="5" t="s">
        <v>887</v>
      </c>
      <c r="DU1374" s="5" t="s">
        <v>274</v>
      </c>
      <c r="GL1374" s="5" t="s">
        <v>888</v>
      </c>
      <c r="HM1374" s="5" t="s">
        <v>313</v>
      </c>
      <c r="HP1374" s="5" t="s">
        <v>272</v>
      </c>
      <c r="HQ1374" s="5" t="s">
        <v>272</v>
      </c>
      <c r="HR1374" s="5" t="s">
        <v>238</v>
      </c>
      <c r="HS1374" s="5" t="s">
        <v>238</v>
      </c>
      <c r="HT1374" s="5" t="s">
        <v>238</v>
      </c>
      <c r="HU1374" s="5" t="s">
        <v>238</v>
      </c>
      <c r="HV1374" s="5" t="s">
        <v>238</v>
      </c>
      <c r="HW1374" s="5" t="s">
        <v>238</v>
      </c>
      <c r="HX1374" s="5" t="s">
        <v>238</v>
      </c>
      <c r="HY1374" s="5" t="s">
        <v>238</v>
      </c>
      <c r="HZ1374" s="5" t="s">
        <v>238</v>
      </c>
      <c r="IA1374" s="5" t="s">
        <v>238</v>
      </c>
      <c r="IB1374" s="5" t="s">
        <v>238</v>
      </c>
      <c r="IC1374" s="5" t="s">
        <v>238</v>
      </c>
      <c r="ID1374" s="5" t="s">
        <v>238</v>
      </c>
    </row>
    <row r="1375" spans="1:238" x14ac:dyDescent="0.4">
      <c r="A1375" s="5">
        <v>1725</v>
      </c>
      <c r="B1375" s="5">
        <v>1</v>
      </c>
      <c r="C1375" s="5">
        <v>1</v>
      </c>
      <c r="D1375" s="5" t="s">
        <v>884</v>
      </c>
      <c r="E1375" s="5" t="s">
        <v>244</v>
      </c>
      <c r="F1375" s="5" t="s">
        <v>252</v>
      </c>
      <c r="G1375" s="5" t="s">
        <v>2482</v>
      </c>
      <c r="H1375" s="6" t="s">
        <v>886</v>
      </c>
      <c r="I1375" s="5" t="s">
        <v>2482</v>
      </c>
      <c r="J1375" s="7">
        <f>337</f>
        <v>337</v>
      </c>
      <c r="K1375" s="5" t="s">
        <v>270</v>
      </c>
      <c r="L1375" s="8">
        <f>1</f>
        <v>1</v>
      </c>
      <c r="M1375" s="8">
        <f>33700000</f>
        <v>33700000</v>
      </c>
      <c r="N1375" s="6" t="s">
        <v>1131</v>
      </c>
      <c r="O1375" s="5" t="s">
        <v>286</v>
      </c>
      <c r="P1375" s="5" t="s">
        <v>991</v>
      </c>
      <c r="R1375" s="8">
        <f>33699999</f>
        <v>33699999</v>
      </c>
      <c r="S1375" s="5" t="s">
        <v>240</v>
      </c>
      <c r="T1375" s="5" t="s">
        <v>237</v>
      </c>
      <c r="U1375" s="5" t="s">
        <v>238</v>
      </c>
      <c r="V1375" s="5" t="s">
        <v>238</v>
      </c>
      <c r="W1375" s="5" t="s">
        <v>241</v>
      </c>
      <c r="X1375" s="5" t="s">
        <v>243</v>
      </c>
      <c r="Y1375" s="5" t="s">
        <v>238</v>
      </c>
      <c r="AB1375" s="5" t="s">
        <v>238</v>
      </c>
      <c r="AD1375" s="6" t="s">
        <v>238</v>
      </c>
      <c r="AG1375" s="6" t="s">
        <v>246</v>
      </c>
      <c r="AH1375" s="5" t="s">
        <v>247</v>
      </c>
      <c r="AI1375" s="5" t="s">
        <v>248</v>
      </c>
      <c r="AY1375" s="5" t="s">
        <v>250</v>
      </c>
      <c r="AZ1375" s="5" t="s">
        <v>238</v>
      </c>
      <c r="BA1375" s="5" t="s">
        <v>251</v>
      </c>
      <c r="BB1375" s="5" t="s">
        <v>238</v>
      </c>
      <c r="BC1375" s="5" t="s">
        <v>253</v>
      </c>
      <c r="BD1375" s="5" t="s">
        <v>238</v>
      </c>
      <c r="BF1375" s="5" t="s">
        <v>238</v>
      </c>
      <c r="BH1375" s="5" t="s">
        <v>859</v>
      </c>
      <c r="BI1375" s="6" t="s">
        <v>368</v>
      </c>
      <c r="BJ1375" s="5" t="s">
        <v>255</v>
      </c>
      <c r="BK1375" s="5" t="s">
        <v>256</v>
      </c>
      <c r="BL1375" s="5" t="s">
        <v>238</v>
      </c>
      <c r="BM1375" s="7">
        <f>0</f>
        <v>0</v>
      </c>
      <c r="BN1375" s="8">
        <f>0</f>
        <v>0</v>
      </c>
      <c r="BO1375" s="5" t="s">
        <v>257</v>
      </c>
      <c r="BP1375" s="5" t="s">
        <v>258</v>
      </c>
      <c r="CD1375" s="5" t="s">
        <v>238</v>
      </c>
      <c r="CE1375" s="5" t="s">
        <v>238</v>
      </c>
      <c r="CI1375" s="5" t="s">
        <v>527</v>
      </c>
      <c r="CJ1375" s="5" t="s">
        <v>260</v>
      </c>
      <c r="CK1375" s="5" t="s">
        <v>238</v>
      </c>
      <c r="CM1375" s="5" t="s">
        <v>990</v>
      </c>
      <c r="CN1375" s="6" t="s">
        <v>262</v>
      </c>
      <c r="CO1375" s="5" t="s">
        <v>263</v>
      </c>
      <c r="CP1375" s="5" t="s">
        <v>264</v>
      </c>
      <c r="CQ1375" s="5" t="s">
        <v>238</v>
      </c>
      <c r="CR1375" s="5" t="s">
        <v>238</v>
      </c>
      <c r="CS1375" s="5">
        <v>0</v>
      </c>
      <c r="CT1375" s="5" t="s">
        <v>265</v>
      </c>
      <c r="CU1375" s="5" t="s">
        <v>1360</v>
      </c>
      <c r="CV1375" s="5" t="s">
        <v>267</v>
      </c>
      <c r="CX1375" s="8">
        <f>33700000</f>
        <v>33700000</v>
      </c>
      <c r="CY1375" s="8">
        <f>0</f>
        <v>0</v>
      </c>
      <c r="DA1375" s="5" t="s">
        <v>238</v>
      </c>
      <c r="DB1375" s="5" t="s">
        <v>238</v>
      </c>
      <c r="DD1375" s="5" t="s">
        <v>238</v>
      </c>
      <c r="DG1375" s="5" t="s">
        <v>238</v>
      </c>
      <c r="DH1375" s="5" t="s">
        <v>238</v>
      </c>
      <c r="DI1375" s="5" t="s">
        <v>238</v>
      </c>
      <c r="DJ1375" s="5" t="s">
        <v>238</v>
      </c>
      <c r="DK1375" s="5" t="s">
        <v>274</v>
      </c>
      <c r="DL1375" s="5" t="s">
        <v>272</v>
      </c>
      <c r="DM1375" s="7">
        <f>337</f>
        <v>337</v>
      </c>
      <c r="DN1375" s="5" t="s">
        <v>238</v>
      </c>
      <c r="DO1375" s="5" t="s">
        <v>238</v>
      </c>
      <c r="DP1375" s="5" t="s">
        <v>238</v>
      </c>
      <c r="DQ1375" s="5" t="s">
        <v>238</v>
      </c>
      <c r="DT1375" s="5" t="s">
        <v>887</v>
      </c>
      <c r="DU1375" s="5" t="s">
        <v>356</v>
      </c>
      <c r="HM1375" s="5" t="s">
        <v>271</v>
      </c>
      <c r="HP1375" s="5" t="s">
        <v>272</v>
      </c>
      <c r="HQ1375" s="5" t="s">
        <v>272</v>
      </c>
    </row>
    <row r="1376" spans="1:238" x14ac:dyDescent="0.4">
      <c r="A1376" s="5">
        <v>1726</v>
      </c>
      <c r="B1376" s="5">
        <v>1</v>
      </c>
      <c r="C1376" s="5">
        <v>1</v>
      </c>
      <c r="D1376" s="5" t="s">
        <v>884</v>
      </c>
      <c r="E1376" s="5" t="s">
        <v>244</v>
      </c>
      <c r="F1376" s="5" t="s">
        <v>252</v>
      </c>
      <c r="G1376" s="5" t="s">
        <v>1181</v>
      </c>
      <c r="H1376" s="6" t="s">
        <v>886</v>
      </c>
      <c r="I1376" s="5" t="s">
        <v>1181</v>
      </c>
      <c r="J1376" s="7">
        <f>56.12</f>
        <v>56.12</v>
      </c>
      <c r="K1376" s="5" t="s">
        <v>270</v>
      </c>
      <c r="L1376" s="8">
        <f>1</f>
        <v>1</v>
      </c>
      <c r="M1376" s="8">
        <f>5387520</f>
        <v>5387520</v>
      </c>
      <c r="N1376" s="6" t="s">
        <v>1264</v>
      </c>
      <c r="O1376" s="5" t="s">
        <v>640</v>
      </c>
      <c r="P1376" s="5" t="s">
        <v>640</v>
      </c>
      <c r="R1376" s="8">
        <f>5387519</f>
        <v>5387519</v>
      </c>
      <c r="S1376" s="5" t="s">
        <v>240</v>
      </c>
      <c r="T1376" s="5" t="s">
        <v>237</v>
      </c>
      <c r="U1376" s="5" t="s">
        <v>238</v>
      </c>
      <c r="V1376" s="5" t="s">
        <v>238</v>
      </c>
      <c r="W1376" s="5" t="s">
        <v>241</v>
      </c>
      <c r="X1376" s="5" t="s">
        <v>243</v>
      </c>
      <c r="Y1376" s="5" t="s">
        <v>238</v>
      </c>
      <c r="AB1376" s="5" t="s">
        <v>238</v>
      </c>
      <c r="AD1376" s="6" t="s">
        <v>238</v>
      </c>
      <c r="AG1376" s="6" t="s">
        <v>246</v>
      </c>
      <c r="AH1376" s="5" t="s">
        <v>247</v>
      </c>
      <c r="AI1376" s="5" t="s">
        <v>248</v>
      </c>
      <c r="AY1376" s="5" t="s">
        <v>250</v>
      </c>
      <c r="AZ1376" s="5" t="s">
        <v>238</v>
      </c>
      <c r="BA1376" s="5" t="s">
        <v>251</v>
      </c>
      <c r="BB1376" s="5" t="s">
        <v>238</v>
      </c>
      <c r="BC1376" s="5" t="s">
        <v>253</v>
      </c>
      <c r="BD1376" s="5" t="s">
        <v>238</v>
      </c>
      <c r="BF1376" s="5" t="s">
        <v>238</v>
      </c>
      <c r="BH1376" s="5" t="s">
        <v>697</v>
      </c>
      <c r="BI1376" s="6" t="s">
        <v>698</v>
      </c>
      <c r="BJ1376" s="5" t="s">
        <v>255</v>
      </c>
      <c r="BK1376" s="5" t="s">
        <v>294</v>
      </c>
      <c r="BL1376" s="5" t="s">
        <v>238</v>
      </c>
      <c r="BM1376" s="7">
        <f>0</f>
        <v>0</v>
      </c>
      <c r="BN1376" s="8">
        <f>0</f>
        <v>0</v>
      </c>
      <c r="BO1376" s="5" t="s">
        <v>257</v>
      </c>
      <c r="BP1376" s="5" t="s">
        <v>258</v>
      </c>
      <c r="CD1376" s="5" t="s">
        <v>238</v>
      </c>
      <c r="CE1376" s="5" t="s">
        <v>238</v>
      </c>
      <c r="CI1376" s="5" t="s">
        <v>259</v>
      </c>
      <c r="CJ1376" s="5" t="s">
        <v>260</v>
      </c>
      <c r="CK1376" s="5" t="s">
        <v>238</v>
      </c>
      <c r="CM1376" s="5" t="s">
        <v>783</v>
      </c>
      <c r="CN1376" s="6" t="s">
        <v>262</v>
      </c>
      <c r="CO1376" s="5" t="s">
        <v>263</v>
      </c>
      <c r="CP1376" s="5" t="s">
        <v>264</v>
      </c>
      <c r="CQ1376" s="5" t="s">
        <v>238</v>
      </c>
      <c r="CR1376" s="5" t="s">
        <v>238</v>
      </c>
      <c r="CS1376" s="5">
        <v>0</v>
      </c>
      <c r="CT1376" s="5" t="s">
        <v>265</v>
      </c>
      <c r="CU1376" s="5" t="s">
        <v>1187</v>
      </c>
      <c r="CV1376" s="5" t="s">
        <v>331</v>
      </c>
      <c r="CX1376" s="8">
        <f>5387520</f>
        <v>5387520</v>
      </c>
      <c r="CY1376" s="8">
        <f>0</f>
        <v>0</v>
      </c>
      <c r="DA1376" s="5" t="s">
        <v>238</v>
      </c>
      <c r="DB1376" s="5" t="s">
        <v>238</v>
      </c>
      <c r="DD1376" s="5" t="s">
        <v>238</v>
      </c>
      <c r="DG1376" s="5" t="s">
        <v>238</v>
      </c>
      <c r="DH1376" s="5" t="s">
        <v>238</v>
      </c>
      <c r="DI1376" s="5" t="s">
        <v>238</v>
      </c>
      <c r="DJ1376" s="5" t="s">
        <v>238</v>
      </c>
      <c r="DK1376" s="5" t="s">
        <v>274</v>
      </c>
      <c r="DL1376" s="5" t="s">
        <v>272</v>
      </c>
      <c r="DM1376" s="7">
        <f>56.12</f>
        <v>56.12</v>
      </c>
      <c r="DN1376" s="5" t="s">
        <v>238</v>
      </c>
      <c r="DO1376" s="5" t="s">
        <v>238</v>
      </c>
      <c r="DP1376" s="5" t="s">
        <v>238</v>
      </c>
      <c r="DQ1376" s="5" t="s">
        <v>238</v>
      </c>
      <c r="DT1376" s="5" t="s">
        <v>887</v>
      </c>
      <c r="DU1376" s="5" t="s">
        <v>310</v>
      </c>
      <c r="HM1376" s="5" t="s">
        <v>310</v>
      </c>
      <c r="HP1376" s="5" t="s">
        <v>272</v>
      </c>
      <c r="HQ1376" s="5" t="s">
        <v>272</v>
      </c>
    </row>
    <row r="1377" spans="1:238" x14ac:dyDescent="0.4">
      <c r="A1377" s="5">
        <v>1727</v>
      </c>
      <c r="B1377" s="5">
        <v>1</v>
      </c>
      <c r="C1377" s="5">
        <v>1</v>
      </c>
      <c r="D1377" s="5" t="s">
        <v>242</v>
      </c>
      <c r="E1377" s="5" t="s">
        <v>244</v>
      </c>
      <c r="F1377" s="5" t="s">
        <v>252</v>
      </c>
      <c r="G1377" s="5" t="s">
        <v>1007</v>
      </c>
      <c r="H1377" s="6" t="s">
        <v>249</v>
      </c>
      <c r="I1377" s="5" t="s">
        <v>1850</v>
      </c>
      <c r="J1377" s="7">
        <f>776.66</f>
        <v>776.66</v>
      </c>
      <c r="K1377" s="5" t="s">
        <v>270</v>
      </c>
      <c r="L1377" s="8">
        <f>1</f>
        <v>1</v>
      </c>
      <c r="M1377" s="8">
        <f>69899400</f>
        <v>69899400</v>
      </c>
      <c r="N1377" s="6" t="s">
        <v>1025</v>
      </c>
      <c r="O1377" s="5" t="s">
        <v>651</v>
      </c>
      <c r="P1377" s="5" t="s">
        <v>996</v>
      </c>
      <c r="R1377" s="8">
        <f>69899399</f>
        <v>69899399</v>
      </c>
      <c r="S1377" s="5" t="s">
        <v>240</v>
      </c>
      <c r="T1377" s="5" t="s">
        <v>237</v>
      </c>
      <c r="U1377" s="5" t="s">
        <v>238</v>
      </c>
      <c r="V1377" s="5" t="s">
        <v>238</v>
      </c>
      <c r="W1377" s="5" t="s">
        <v>241</v>
      </c>
      <c r="X1377" s="5" t="s">
        <v>243</v>
      </c>
      <c r="Y1377" s="5" t="s">
        <v>238</v>
      </c>
      <c r="AB1377" s="5" t="s">
        <v>238</v>
      </c>
      <c r="AD1377" s="6" t="s">
        <v>238</v>
      </c>
      <c r="AG1377" s="6" t="s">
        <v>246</v>
      </c>
      <c r="AH1377" s="5" t="s">
        <v>247</v>
      </c>
      <c r="AI1377" s="5" t="s">
        <v>248</v>
      </c>
      <c r="AY1377" s="5" t="s">
        <v>250</v>
      </c>
      <c r="AZ1377" s="5" t="s">
        <v>238</v>
      </c>
      <c r="BA1377" s="5" t="s">
        <v>251</v>
      </c>
      <c r="BB1377" s="5" t="s">
        <v>238</v>
      </c>
      <c r="BC1377" s="5" t="s">
        <v>253</v>
      </c>
      <c r="BD1377" s="5" t="s">
        <v>238</v>
      </c>
      <c r="BF1377" s="5" t="s">
        <v>238</v>
      </c>
      <c r="BH1377" s="5" t="s">
        <v>798</v>
      </c>
      <c r="BI1377" s="6" t="s">
        <v>799</v>
      </c>
      <c r="BJ1377" s="5" t="s">
        <v>255</v>
      </c>
      <c r="BK1377" s="5" t="s">
        <v>256</v>
      </c>
      <c r="BL1377" s="5" t="s">
        <v>238</v>
      </c>
      <c r="BM1377" s="7">
        <f>0</f>
        <v>0</v>
      </c>
      <c r="BN1377" s="8">
        <f>0</f>
        <v>0</v>
      </c>
      <c r="BO1377" s="5" t="s">
        <v>257</v>
      </c>
      <c r="BP1377" s="5" t="s">
        <v>258</v>
      </c>
      <c r="CD1377" s="5" t="s">
        <v>238</v>
      </c>
      <c r="CE1377" s="5" t="s">
        <v>238</v>
      </c>
      <c r="CI1377" s="5" t="s">
        <v>527</v>
      </c>
      <c r="CJ1377" s="5" t="s">
        <v>260</v>
      </c>
      <c r="CK1377" s="5" t="s">
        <v>238</v>
      </c>
      <c r="CM1377" s="5" t="s">
        <v>995</v>
      </c>
      <c r="CN1377" s="6" t="s">
        <v>262</v>
      </c>
      <c r="CO1377" s="5" t="s">
        <v>263</v>
      </c>
      <c r="CP1377" s="5" t="s">
        <v>264</v>
      </c>
      <c r="CQ1377" s="5" t="s">
        <v>238</v>
      </c>
      <c r="CR1377" s="5" t="s">
        <v>238</v>
      </c>
      <c r="CS1377" s="5">
        <v>0</v>
      </c>
      <c r="CT1377" s="5" t="s">
        <v>265</v>
      </c>
      <c r="CU1377" s="5" t="s">
        <v>2061</v>
      </c>
      <c r="CV1377" s="5" t="s">
        <v>267</v>
      </c>
      <c r="CX1377" s="8">
        <f>69899400</f>
        <v>69899400</v>
      </c>
      <c r="CY1377" s="8">
        <f>0</f>
        <v>0</v>
      </c>
      <c r="DA1377" s="5" t="s">
        <v>238</v>
      </c>
      <c r="DB1377" s="5" t="s">
        <v>238</v>
      </c>
      <c r="DD1377" s="5" t="s">
        <v>238</v>
      </c>
      <c r="DG1377" s="5" t="s">
        <v>238</v>
      </c>
      <c r="DH1377" s="5" t="s">
        <v>238</v>
      </c>
      <c r="DI1377" s="5" t="s">
        <v>238</v>
      </c>
      <c r="DJ1377" s="5" t="s">
        <v>238</v>
      </c>
      <c r="DK1377" s="5" t="s">
        <v>271</v>
      </c>
      <c r="DL1377" s="5" t="s">
        <v>272</v>
      </c>
      <c r="DM1377" s="7">
        <f>776.66</f>
        <v>776.66</v>
      </c>
      <c r="DN1377" s="5" t="s">
        <v>238</v>
      </c>
      <c r="DO1377" s="5" t="s">
        <v>238</v>
      </c>
      <c r="DP1377" s="5" t="s">
        <v>238</v>
      </c>
      <c r="DQ1377" s="5" t="s">
        <v>238</v>
      </c>
      <c r="DT1377" s="5" t="s">
        <v>273</v>
      </c>
      <c r="DU1377" s="5" t="s">
        <v>271</v>
      </c>
      <c r="HM1377" s="5" t="s">
        <v>271</v>
      </c>
      <c r="HP1377" s="5" t="s">
        <v>272</v>
      </c>
      <c r="HQ1377" s="5" t="s">
        <v>272</v>
      </c>
    </row>
    <row r="1378" spans="1:238" x14ac:dyDescent="0.4">
      <c r="A1378" s="5">
        <v>1728</v>
      </c>
      <c r="B1378" s="5">
        <v>1</v>
      </c>
      <c r="C1378" s="5">
        <v>1</v>
      </c>
      <c r="D1378" s="5" t="s">
        <v>242</v>
      </c>
      <c r="E1378" s="5" t="s">
        <v>244</v>
      </c>
      <c r="F1378" s="5" t="s">
        <v>252</v>
      </c>
      <c r="G1378" s="5" t="s">
        <v>239</v>
      </c>
      <c r="H1378" s="6" t="s">
        <v>249</v>
      </c>
      <c r="I1378" s="5" t="s">
        <v>239</v>
      </c>
      <c r="J1378" s="7">
        <f>10</f>
        <v>10</v>
      </c>
      <c r="K1378" s="5" t="s">
        <v>270</v>
      </c>
      <c r="L1378" s="8">
        <f>1</f>
        <v>1</v>
      </c>
      <c r="M1378" s="8">
        <f>910000</f>
        <v>910000</v>
      </c>
      <c r="N1378" s="6" t="s">
        <v>245</v>
      </c>
      <c r="O1378" s="5" t="s">
        <v>268</v>
      </c>
      <c r="P1378" s="5" t="s">
        <v>269</v>
      </c>
      <c r="R1378" s="8">
        <f>909999</f>
        <v>909999</v>
      </c>
      <c r="S1378" s="5" t="s">
        <v>240</v>
      </c>
      <c r="T1378" s="5" t="s">
        <v>237</v>
      </c>
      <c r="U1378" s="5" t="s">
        <v>238</v>
      </c>
      <c r="V1378" s="5" t="s">
        <v>238</v>
      </c>
      <c r="W1378" s="5" t="s">
        <v>241</v>
      </c>
      <c r="X1378" s="5" t="s">
        <v>243</v>
      </c>
      <c r="Y1378" s="5" t="s">
        <v>238</v>
      </c>
      <c r="AB1378" s="5" t="s">
        <v>238</v>
      </c>
      <c r="AD1378" s="6" t="s">
        <v>238</v>
      </c>
      <c r="AG1378" s="6" t="s">
        <v>246</v>
      </c>
      <c r="AH1378" s="5" t="s">
        <v>247</v>
      </c>
      <c r="AI1378" s="5" t="s">
        <v>248</v>
      </c>
      <c r="AY1378" s="5" t="s">
        <v>250</v>
      </c>
      <c r="AZ1378" s="5" t="s">
        <v>238</v>
      </c>
      <c r="BA1378" s="5" t="s">
        <v>251</v>
      </c>
      <c r="BB1378" s="5" t="s">
        <v>238</v>
      </c>
      <c r="BC1378" s="5" t="s">
        <v>253</v>
      </c>
      <c r="BD1378" s="5" t="s">
        <v>238</v>
      </c>
      <c r="BF1378" s="5" t="s">
        <v>238</v>
      </c>
      <c r="BH1378" s="5" t="s">
        <v>254</v>
      </c>
      <c r="BI1378" s="6" t="s">
        <v>246</v>
      </c>
      <c r="BJ1378" s="5" t="s">
        <v>255</v>
      </c>
      <c r="BK1378" s="5" t="s">
        <v>256</v>
      </c>
      <c r="BL1378" s="5" t="s">
        <v>238</v>
      </c>
      <c r="BM1378" s="7">
        <f>0</f>
        <v>0</v>
      </c>
      <c r="BN1378" s="8">
        <f>0</f>
        <v>0</v>
      </c>
      <c r="BO1378" s="5" t="s">
        <v>257</v>
      </c>
      <c r="BP1378" s="5" t="s">
        <v>258</v>
      </c>
      <c r="CD1378" s="5" t="s">
        <v>238</v>
      </c>
      <c r="CE1378" s="5" t="s">
        <v>238</v>
      </c>
      <c r="CI1378" s="5" t="s">
        <v>259</v>
      </c>
      <c r="CJ1378" s="5" t="s">
        <v>260</v>
      </c>
      <c r="CK1378" s="5" t="s">
        <v>238</v>
      </c>
      <c r="CM1378" s="5" t="s">
        <v>261</v>
      </c>
      <c r="CN1378" s="6" t="s">
        <v>262</v>
      </c>
      <c r="CO1378" s="5" t="s">
        <v>263</v>
      </c>
      <c r="CP1378" s="5" t="s">
        <v>264</v>
      </c>
      <c r="CQ1378" s="5" t="s">
        <v>238</v>
      </c>
      <c r="CR1378" s="5" t="s">
        <v>238</v>
      </c>
      <c r="CS1378" s="5">
        <v>0</v>
      </c>
      <c r="CT1378" s="5" t="s">
        <v>265</v>
      </c>
      <c r="CU1378" s="5" t="s">
        <v>266</v>
      </c>
      <c r="CV1378" s="5" t="s">
        <v>267</v>
      </c>
      <c r="CX1378" s="8">
        <f>910000</f>
        <v>910000</v>
      </c>
      <c r="CY1378" s="8">
        <f>0</f>
        <v>0</v>
      </c>
      <c r="DA1378" s="5" t="s">
        <v>238</v>
      </c>
      <c r="DB1378" s="5" t="s">
        <v>238</v>
      </c>
      <c r="DD1378" s="5" t="s">
        <v>238</v>
      </c>
      <c r="DG1378" s="5" t="s">
        <v>238</v>
      </c>
      <c r="DH1378" s="5" t="s">
        <v>238</v>
      </c>
      <c r="DI1378" s="5" t="s">
        <v>238</v>
      </c>
      <c r="DJ1378" s="5" t="s">
        <v>238</v>
      </c>
      <c r="DK1378" s="5" t="s">
        <v>271</v>
      </c>
      <c r="DL1378" s="5" t="s">
        <v>272</v>
      </c>
      <c r="DM1378" s="7">
        <f>10</f>
        <v>10</v>
      </c>
      <c r="DN1378" s="5" t="s">
        <v>238</v>
      </c>
      <c r="DO1378" s="5" t="s">
        <v>238</v>
      </c>
      <c r="DP1378" s="5" t="s">
        <v>238</v>
      </c>
      <c r="DQ1378" s="5" t="s">
        <v>238</v>
      </c>
      <c r="DT1378" s="5" t="s">
        <v>273</v>
      </c>
      <c r="DU1378" s="5" t="s">
        <v>274</v>
      </c>
      <c r="HM1378" s="5" t="s">
        <v>271</v>
      </c>
      <c r="HP1378" s="5" t="s">
        <v>272</v>
      </c>
      <c r="HQ1378" s="5" t="s">
        <v>272</v>
      </c>
    </row>
    <row r="1379" spans="1:238" x14ac:dyDescent="0.4">
      <c r="A1379" s="5">
        <v>1729</v>
      </c>
      <c r="B1379" s="5">
        <v>1</v>
      </c>
      <c r="C1379" s="5">
        <v>1</v>
      </c>
      <c r="D1379" s="5" t="s">
        <v>899</v>
      </c>
      <c r="E1379" s="5" t="s">
        <v>244</v>
      </c>
      <c r="F1379" s="5" t="s">
        <v>252</v>
      </c>
      <c r="G1379" s="5" t="s">
        <v>239</v>
      </c>
      <c r="H1379" s="6" t="s">
        <v>901</v>
      </c>
      <c r="I1379" s="5" t="s">
        <v>239</v>
      </c>
      <c r="J1379" s="7">
        <f>119.25</f>
        <v>119.25</v>
      </c>
      <c r="K1379" s="5" t="s">
        <v>270</v>
      </c>
      <c r="L1379" s="8">
        <f>1</f>
        <v>1</v>
      </c>
      <c r="M1379" s="8">
        <f>7155000</f>
        <v>7155000</v>
      </c>
      <c r="N1379" s="6" t="s">
        <v>900</v>
      </c>
      <c r="O1379" s="5" t="s">
        <v>268</v>
      </c>
      <c r="P1379" s="5" t="s">
        <v>650</v>
      </c>
      <c r="R1379" s="8">
        <f>7154999</f>
        <v>7154999</v>
      </c>
      <c r="S1379" s="5" t="s">
        <v>240</v>
      </c>
      <c r="T1379" s="5" t="s">
        <v>237</v>
      </c>
      <c r="U1379" s="5" t="s">
        <v>238</v>
      </c>
      <c r="V1379" s="5" t="s">
        <v>238</v>
      </c>
      <c r="W1379" s="5" t="s">
        <v>241</v>
      </c>
      <c r="X1379" s="5" t="s">
        <v>243</v>
      </c>
      <c r="Y1379" s="5" t="s">
        <v>238</v>
      </c>
      <c r="AB1379" s="5" t="s">
        <v>238</v>
      </c>
      <c r="AD1379" s="6" t="s">
        <v>238</v>
      </c>
      <c r="AG1379" s="6" t="s">
        <v>246</v>
      </c>
      <c r="AH1379" s="5" t="s">
        <v>247</v>
      </c>
      <c r="AI1379" s="5" t="s">
        <v>248</v>
      </c>
      <c r="AY1379" s="5" t="s">
        <v>250</v>
      </c>
      <c r="AZ1379" s="5" t="s">
        <v>238</v>
      </c>
      <c r="BA1379" s="5" t="s">
        <v>251</v>
      </c>
      <c r="BB1379" s="5" t="s">
        <v>238</v>
      </c>
      <c r="BC1379" s="5" t="s">
        <v>253</v>
      </c>
      <c r="BD1379" s="5" t="s">
        <v>238</v>
      </c>
      <c r="BF1379" s="5" t="s">
        <v>903</v>
      </c>
      <c r="BH1379" s="5" t="s">
        <v>859</v>
      </c>
      <c r="BI1379" s="6" t="s">
        <v>368</v>
      </c>
      <c r="BJ1379" s="5" t="s">
        <v>255</v>
      </c>
      <c r="BK1379" s="5" t="s">
        <v>256</v>
      </c>
      <c r="BL1379" s="5" t="s">
        <v>238</v>
      </c>
      <c r="BM1379" s="7">
        <f>0</f>
        <v>0</v>
      </c>
      <c r="BN1379" s="8">
        <f>0</f>
        <v>0</v>
      </c>
      <c r="BO1379" s="5" t="s">
        <v>257</v>
      </c>
      <c r="BP1379" s="5" t="s">
        <v>258</v>
      </c>
      <c r="CD1379" s="5" t="s">
        <v>238</v>
      </c>
      <c r="CE1379" s="5" t="s">
        <v>238</v>
      </c>
      <c r="CI1379" s="5" t="s">
        <v>527</v>
      </c>
      <c r="CJ1379" s="5" t="s">
        <v>260</v>
      </c>
      <c r="CK1379" s="5" t="s">
        <v>238</v>
      </c>
      <c r="CM1379" s="5" t="s">
        <v>877</v>
      </c>
      <c r="CN1379" s="6" t="s">
        <v>262</v>
      </c>
      <c r="CO1379" s="5" t="s">
        <v>263</v>
      </c>
      <c r="CP1379" s="5" t="s">
        <v>264</v>
      </c>
      <c r="CQ1379" s="5" t="s">
        <v>238</v>
      </c>
      <c r="CR1379" s="5" t="s">
        <v>238</v>
      </c>
      <c r="CS1379" s="5">
        <v>0</v>
      </c>
      <c r="CT1379" s="5" t="s">
        <v>265</v>
      </c>
      <c r="CU1379" s="5" t="s">
        <v>266</v>
      </c>
      <c r="CV1379" s="5" t="s">
        <v>267</v>
      </c>
      <c r="CX1379" s="8">
        <f>7155000</f>
        <v>7155000</v>
      </c>
      <c r="CY1379" s="8">
        <f>0</f>
        <v>0</v>
      </c>
      <c r="DA1379" s="5" t="s">
        <v>238</v>
      </c>
      <c r="DB1379" s="5" t="s">
        <v>238</v>
      </c>
      <c r="DD1379" s="5" t="s">
        <v>238</v>
      </c>
      <c r="DG1379" s="5" t="s">
        <v>238</v>
      </c>
      <c r="DH1379" s="5" t="s">
        <v>238</v>
      </c>
      <c r="DI1379" s="5" t="s">
        <v>238</v>
      </c>
      <c r="DJ1379" s="5" t="s">
        <v>238</v>
      </c>
      <c r="DK1379" s="5" t="s">
        <v>271</v>
      </c>
      <c r="DL1379" s="5" t="s">
        <v>272</v>
      </c>
      <c r="DM1379" s="7">
        <f>119.25</f>
        <v>119.25</v>
      </c>
      <c r="DN1379" s="5" t="s">
        <v>238</v>
      </c>
      <c r="DO1379" s="5" t="s">
        <v>238</v>
      </c>
      <c r="DP1379" s="5" t="s">
        <v>238</v>
      </c>
      <c r="DQ1379" s="5" t="s">
        <v>238</v>
      </c>
      <c r="DT1379" s="5" t="s">
        <v>902</v>
      </c>
      <c r="DU1379" s="5" t="s">
        <v>271</v>
      </c>
      <c r="HM1379" s="5" t="s">
        <v>271</v>
      </c>
      <c r="HP1379" s="5" t="s">
        <v>272</v>
      </c>
      <c r="HQ1379" s="5" t="s">
        <v>272</v>
      </c>
    </row>
    <row r="1380" spans="1:238" x14ac:dyDescent="0.4">
      <c r="A1380" s="5">
        <v>1730</v>
      </c>
      <c r="B1380" s="5">
        <v>1</v>
      </c>
      <c r="C1380" s="5">
        <v>1</v>
      </c>
      <c r="D1380" s="5" t="s">
        <v>899</v>
      </c>
      <c r="E1380" s="5" t="s">
        <v>244</v>
      </c>
      <c r="F1380" s="5" t="s">
        <v>252</v>
      </c>
      <c r="G1380" s="5" t="s">
        <v>239</v>
      </c>
      <c r="H1380" s="6" t="s">
        <v>901</v>
      </c>
      <c r="I1380" s="5" t="s">
        <v>239</v>
      </c>
      <c r="J1380" s="7">
        <f>69.56</f>
        <v>69.56</v>
      </c>
      <c r="K1380" s="5" t="s">
        <v>270</v>
      </c>
      <c r="L1380" s="8">
        <f>1</f>
        <v>1</v>
      </c>
      <c r="M1380" s="8">
        <f>4173600</f>
        <v>4173600</v>
      </c>
      <c r="N1380" s="6" t="s">
        <v>900</v>
      </c>
      <c r="O1380" s="5" t="s">
        <v>268</v>
      </c>
      <c r="P1380" s="5" t="s">
        <v>650</v>
      </c>
      <c r="R1380" s="8">
        <f>4173599</f>
        <v>4173599</v>
      </c>
      <c r="S1380" s="5" t="s">
        <v>240</v>
      </c>
      <c r="T1380" s="5" t="s">
        <v>237</v>
      </c>
      <c r="U1380" s="5" t="s">
        <v>238</v>
      </c>
      <c r="V1380" s="5" t="s">
        <v>238</v>
      </c>
      <c r="W1380" s="5" t="s">
        <v>241</v>
      </c>
      <c r="X1380" s="5" t="s">
        <v>243</v>
      </c>
      <c r="Y1380" s="5" t="s">
        <v>238</v>
      </c>
      <c r="AB1380" s="5" t="s">
        <v>238</v>
      </c>
      <c r="AD1380" s="6" t="s">
        <v>238</v>
      </c>
      <c r="AG1380" s="6" t="s">
        <v>246</v>
      </c>
      <c r="AH1380" s="5" t="s">
        <v>247</v>
      </c>
      <c r="AI1380" s="5" t="s">
        <v>248</v>
      </c>
      <c r="AY1380" s="5" t="s">
        <v>250</v>
      </c>
      <c r="AZ1380" s="5" t="s">
        <v>238</v>
      </c>
      <c r="BA1380" s="5" t="s">
        <v>251</v>
      </c>
      <c r="BB1380" s="5" t="s">
        <v>238</v>
      </c>
      <c r="BC1380" s="5" t="s">
        <v>253</v>
      </c>
      <c r="BD1380" s="5" t="s">
        <v>238</v>
      </c>
      <c r="BF1380" s="5" t="s">
        <v>238</v>
      </c>
      <c r="BH1380" s="5" t="s">
        <v>697</v>
      </c>
      <c r="BI1380" s="6" t="s">
        <v>698</v>
      </c>
      <c r="BJ1380" s="5" t="s">
        <v>255</v>
      </c>
      <c r="BK1380" s="5" t="s">
        <v>256</v>
      </c>
      <c r="BL1380" s="5" t="s">
        <v>238</v>
      </c>
      <c r="BM1380" s="7">
        <f>0</f>
        <v>0</v>
      </c>
      <c r="BN1380" s="8">
        <f>0</f>
        <v>0</v>
      </c>
      <c r="BO1380" s="5" t="s">
        <v>257</v>
      </c>
      <c r="BP1380" s="5" t="s">
        <v>258</v>
      </c>
      <c r="CD1380" s="5" t="s">
        <v>238</v>
      </c>
      <c r="CE1380" s="5" t="s">
        <v>238</v>
      </c>
      <c r="CI1380" s="5" t="s">
        <v>527</v>
      </c>
      <c r="CJ1380" s="5" t="s">
        <v>260</v>
      </c>
      <c r="CK1380" s="5" t="s">
        <v>238</v>
      </c>
      <c r="CM1380" s="5" t="s">
        <v>877</v>
      </c>
      <c r="CN1380" s="6" t="s">
        <v>262</v>
      </c>
      <c r="CO1380" s="5" t="s">
        <v>263</v>
      </c>
      <c r="CP1380" s="5" t="s">
        <v>264</v>
      </c>
      <c r="CQ1380" s="5" t="s">
        <v>238</v>
      </c>
      <c r="CR1380" s="5" t="s">
        <v>238</v>
      </c>
      <c r="CS1380" s="5">
        <v>0</v>
      </c>
      <c r="CT1380" s="5" t="s">
        <v>265</v>
      </c>
      <c r="CU1380" s="5" t="s">
        <v>266</v>
      </c>
      <c r="CV1380" s="5" t="s">
        <v>267</v>
      </c>
      <c r="CX1380" s="8">
        <f>4173600</f>
        <v>4173600</v>
      </c>
      <c r="CY1380" s="8">
        <f>0</f>
        <v>0</v>
      </c>
      <c r="DA1380" s="5" t="s">
        <v>238</v>
      </c>
      <c r="DB1380" s="5" t="s">
        <v>238</v>
      </c>
      <c r="DD1380" s="5" t="s">
        <v>238</v>
      </c>
      <c r="DG1380" s="5" t="s">
        <v>238</v>
      </c>
      <c r="DH1380" s="5" t="s">
        <v>238</v>
      </c>
      <c r="DI1380" s="5" t="s">
        <v>238</v>
      </c>
      <c r="DJ1380" s="5" t="s">
        <v>238</v>
      </c>
      <c r="DK1380" s="5" t="s">
        <v>271</v>
      </c>
      <c r="DL1380" s="5" t="s">
        <v>272</v>
      </c>
      <c r="DM1380" s="7">
        <f>69.56</f>
        <v>69.56</v>
      </c>
      <c r="DN1380" s="5" t="s">
        <v>238</v>
      </c>
      <c r="DO1380" s="5" t="s">
        <v>238</v>
      </c>
      <c r="DP1380" s="5" t="s">
        <v>238</v>
      </c>
      <c r="DQ1380" s="5" t="s">
        <v>238</v>
      </c>
      <c r="DT1380" s="5" t="s">
        <v>902</v>
      </c>
      <c r="DU1380" s="5" t="s">
        <v>274</v>
      </c>
      <c r="HM1380" s="5" t="s">
        <v>271</v>
      </c>
      <c r="HP1380" s="5" t="s">
        <v>272</v>
      </c>
      <c r="HQ1380" s="5" t="s">
        <v>272</v>
      </c>
    </row>
    <row r="1381" spans="1:238" x14ac:dyDescent="0.4">
      <c r="A1381" s="5">
        <v>1731</v>
      </c>
      <c r="B1381" s="5">
        <v>1</v>
      </c>
      <c r="C1381" s="5">
        <v>1</v>
      </c>
      <c r="D1381" s="5" t="s">
        <v>899</v>
      </c>
      <c r="E1381" s="5" t="s">
        <v>244</v>
      </c>
      <c r="F1381" s="5" t="s">
        <v>252</v>
      </c>
      <c r="G1381" s="5" t="s">
        <v>239</v>
      </c>
      <c r="H1381" s="6" t="s">
        <v>901</v>
      </c>
      <c r="I1381" s="5" t="s">
        <v>239</v>
      </c>
      <c r="J1381" s="7">
        <f>313.88</f>
        <v>313.88</v>
      </c>
      <c r="K1381" s="5" t="s">
        <v>270</v>
      </c>
      <c r="L1381" s="8">
        <f>1</f>
        <v>1</v>
      </c>
      <c r="M1381" s="8">
        <f>18832800</f>
        <v>18832800</v>
      </c>
      <c r="N1381" s="6" t="s">
        <v>900</v>
      </c>
      <c r="O1381" s="5" t="s">
        <v>650</v>
      </c>
      <c r="P1381" s="5" t="s">
        <v>650</v>
      </c>
      <c r="R1381" s="8">
        <f>18832799</f>
        <v>18832799</v>
      </c>
      <c r="S1381" s="5" t="s">
        <v>240</v>
      </c>
      <c r="T1381" s="5" t="s">
        <v>237</v>
      </c>
      <c r="U1381" s="5" t="s">
        <v>238</v>
      </c>
      <c r="V1381" s="5" t="s">
        <v>238</v>
      </c>
      <c r="W1381" s="5" t="s">
        <v>241</v>
      </c>
      <c r="X1381" s="5" t="s">
        <v>243</v>
      </c>
      <c r="Y1381" s="5" t="s">
        <v>238</v>
      </c>
      <c r="AB1381" s="5" t="s">
        <v>238</v>
      </c>
      <c r="AD1381" s="6" t="s">
        <v>238</v>
      </c>
      <c r="AG1381" s="6" t="s">
        <v>246</v>
      </c>
      <c r="AH1381" s="5" t="s">
        <v>247</v>
      </c>
      <c r="AI1381" s="5" t="s">
        <v>248</v>
      </c>
      <c r="AY1381" s="5" t="s">
        <v>250</v>
      </c>
      <c r="AZ1381" s="5" t="s">
        <v>238</v>
      </c>
      <c r="BA1381" s="5" t="s">
        <v>251</v>
      </c>
      <c r="BB1381" s="5" t="s">
        <v>238</v>
      </c>
      <c r="BC1381" s="5" t="s">
        <v>253</v>
      </c>
      <c r="BD1381" s="5" t="s">
        <v>238</v>
      </c>
      <c r="BF1381" s="5" t="s">
        <v>238</v>
      </c>
      <c r="BH1381" s="5" t="s">
        <v>798</v>
      </c>
      <c r="BI1381" s="6" t="s">
        <v>799</v>
      </c>
      <c r="BJ1381" s="5" t="s">
        <v>255</v>
      </c>
      <c r="BK1381" s="5" t="s">
        <v>256</v>
      </c>
      <c r="BL1381" s="5" t="s">
        <v>238</v>
      </c>
      <c r="BM1381" s="7">
        <f>0</f>
        <v>0</v>
      </c>
      <c r="BN1381" s="8">
        <f>0</f>
        <v>0</v>
      </c>
      <c r="BO1381" s="5" t="s">
        <v>257</v>
      </c>
      <c r="BP1381" s="5" t="s">
        <v>258</v>
      </c>
      <c r="CD1381" s="5" t="s">
        <v>238</v>
      </c>
      <c r="CE1381" s="5" t="s">
        <v>238</v>
      </c>
      <c r="CI1381" s="5" t="s">
        <v>527</v>
      </c>
      <c r="CJ1381" s="5" t="s">
        <v>260</v>
      </c>
      <c r="CK1381" s="5" t="s">
        <v>238</v>
      </c>
      <c r="CM1381" s="5" t="s">
        <v>877</v>
      </c>
      <c r="CN1381" s="6" t="s">
        <v>262</v>
      </c>
      <c r="CO1381" s="5" t="s">
        <v>263</v>
      </c>
      <c r="CP1381" s="5" t="s">
        <v>264</v>
      </c>
      <c r="CQ1381" s="5" t="s">
        <v>238</v>
      </c>
      <c r="CR1381" s="5" t="s">
        <v>238</v>
      </c>
      <c r="CS1381" s="5">
        <v>0</v>
      </c>
      <c r="CT1381" s="5" t="s">
        <v>265</v>
      </c>
      <c r="CU1381" s="5" t="s">
        <v>266</v>
      </c>
      <c r="CV1381" s="5" t="s">
        <v>649</v>
      </c>
      <c r="CX1381" s="8">
        <f>18832800</f>
        <v>18832800</v>
      </c>
      <c r="CY1381" s="8">
        <f>0</f>
        <v>0</v>
      </c>
      <c r="DA1381" s="5" t="s">
        <v>238</v>
      </c>
      <c r="DB1381" s="5" t="s">
        <v>238</v>
      </c>
      <c r="DD1381" s="5" t="s">
        <v>238</v>
      </c>
      <c r="DG1381" s="5" t="s">
        <v>238</v>
      </c>
      <c r="DH1381" s="5" t="s">
        <v>238</v>
      </c>
      <c r="DI1381" s="5" t="s">
        <v>238</v>
      </c>
      <c r="DJ1381" s="5" t="s">
        <v>238</v>
      </c>
      <c r="DK1381" s="5" t="s">
        <v>271</v>
      </c>
      <c r="DL1381" s="5" t="s">
        <v>272</v>
      </c>
      <c r="DM1381" s="7">
        <f>313.88</f>
        <v>313.88</v>
      </c>
      <c r="DN1381" s="5" t="s">
        <v>238</v>
      </c>
      <c r="DO1381" s="5" t="s">
        <v>238</v>
      </c>
      <c r="DP1381" s="5" t="s">
        <v>238</v>
      </c>
      <c r="DQ1381" s="5" t="s">
        <v>238</v>
      </c>
      <c r="DT1381" s="5" t="s">
        <v>902</v>
      </c>
      <c r="DU1381" s="5" t="s">
        <v>356</v>
      </c>
      <c r="HM1381" s="5" t="s">
        <v>271</v>
      </c>
      <c r="HP1381" s="5" t="s">
        <v>272</v>
      </c>
      <c r="HQ1381" s="5" t="s">
        <v>272</v>
      </c>
    </row>
    <row r="1382" spans="1:238" x14ac:dyDescent="0.4">
      <c r="A1382" s="5">
        <v>1732</v>
      </c>
      <c r="B1382" s="5">
        <v>1</v>
      </c>
      <c r="C1382" s="5">
        <v>1</v>
      </c>
      <c r="D1382" s="5" t="s">
        <v>899</v>
      </c>
      <c r="E1382" s="5" t="s">
        <v>244</v>
      </c>
      <c r="F1382" s="5" t="s">
        <v>252</v>
      </c>
      <c r="G1382" s="5" t="s">
        <v>239</v>
      </c>
      <c r="H1382" s="6" t="s">
        <v>901</v>
      </c>
      <c r="I1382" s="5" t="s">
        <v>239</v>
      </c>
      <c r="J1382" s="7">
        <f>28.98</f>
        <v>28.98</v>
      </c>
      <c r="K1382" s="5" t="s">
        <v>270</v>
      </c>
      <c r="L1382" s="8">
        <f>1</f>
        <v>1</v>
      </c>
      <c r="M1382" s="8">
        <f>1738800</f>
        <v>1738800</v>
      </c>
      <c r="N1382" s="6" t="s">
        <v>900</v>
      </c>
      <c r="O1382" s="5" t="s">
        <v>268</v>
      </c>
      <c r="P1382" s="5" t="s">
        <v>650</v>
      </c>
      <c r="R1382" s="8">
        <f>1738799</f>
        <v>1738799</v>
      </c>
      <c r="S1382" s="5" t="s">
        <v>240</v>
      </c>
      <c r="T1382" s="5" t="s">
        <v>237</v>
      </c>
      <c r="U1382" s="5" t="s">
        <v>238</v>
      </c>
      <c r="V1382" s="5" t="s">
        <v>238</v>
      </c>
      <c r="W1382" s="5" t="s">
        <v>241</v>
      </c>
      <c r="X1382" s="5" t="s">
        <v>243</v>
      </c>
      <c r="Y1382" s="5" t="s">
        <v>238</v>
      </c>
      <c r="AB1382" s="5" t="s">
        <v>238</v>
      </c>
      <c r="AD1382" s="6" t="s">
        <v>238</v>
      </c>
      <c r="AG1382" s="6" t="s">
        <v>246</v>
      </c>
      <c r="AH1382" s="5" t="s">
        <v>247</v>
      </c>
      <c r="AI1382" s="5" t="s">
        <v>248</v>
      </c>
      <c r="AY1382" s="5" t="s">
        <v>250</v>
      </c>
      <c r="AZ1382" s="5" t="s">
        <v>238</v>
      </c>
      <c r="BA1382" s="5" t="s">
        <v>251</v>
      </c>
      <c r="BB1382" s="5" t="s">
        <v>238</v>
      </c>
      <c r="BC1382" s="5" t="s">
        <v>253</v>
      </c>
      <c r="BD1382" s="5" t="s">
        <v>238</v>
      </c>
      <c r="BF1382" s="5" t="s">
        <v>238</v>
      </c>
      <c r="BH1382" s="5" t="s">
        <v>254</v>
      </c>
      <c r="BI1382" s="6" t="s">
        <v>246</v>
      </c>
      <c r="BJ1382" s="5" t="s">
        <v>255</v>
      </c>
      <c r="BK1382" s="5" t="s">
        <v>256</v>
      </c>
      <c r="BL1382" s="5" t="s">
        <v>238</v>
      </c>
      <c r="BM1382" s="7">
        <f>0</f>
        <v>0</v>
      </c>
      <c r="BN1382" s="8">
        <f>0</f>
        <v>0</v>
      </c>
      <c r="BO1382" s="5" t="s">
        <v>257</v>
      </c>
      <c r="BP1382" s="5" t="s">
        <v>258</v>
      </c>
      <c r="CD1382" s="5" t="s">
        <v>238</v>
      </c>
      <c r="CE1382" s="5" t="s">
        <v>238</v>
      </c>
      <c r="CI1382" s="5" t="s">
        <v>527</v>
      </c>
      <c r="CJ1382" s="5" t="s">
        <v>260</v>
      </c>
      <c r="CK1382" s="5" t="s">
        <v>238</v>
      </c>
      <c r="CM1382" s="5" t="s">
        <v>877</v>
      </c>
      <c r="CN1382" s="6" t="s">
        <v>262</v>
      </c>
      <c r="CO1382" s="5" t="s">
        <v>263</v>
      </c>
      <c r="CP1382" s="5" t="s">
        <v>264</v>
      </c>
      <c r="CQ1382" s="5" t="s">
        <v>238</v>
      </c>
      <c r="CR1382" s="5" t="s">
        <v>238</v>
      </c>
      <c r="CS1382" s="5">
        <v>0</v>
      </c>
      <c r="CT1382" s="5" t="s">
        <v>265</v>
      </c>
      <c r="CU1382" s="5" t="s">
        <v>266</v>
      </c>
      <c r="CV1382" s="5" t="s">
        <v>267</v>
      </c>
      <c r="CX1382" s="8">
        <f>1738800</f>
        <v>1738800</v>
      </c>
      <c r="CY1382" s="8">
        <f>0</f>
        <v>0</v>
      </c>
      <c r="DA1382" s="5" t="s">
        <v>238</v>
      </c>
      <c r="DB1382" s="5" t="s">
        <v>238</v>
      </c>
      <c r="DD1382" s="5" t="s">
        <v>238</v>
      </c>
      <c r="DG1382" s="5" t="s">
        <v>238</v>
      </c>
      <c r="DH1382" s="5" t="s">
        <v>238</v>
      </c>
      <c r="DI1382" s="5" t="s">
        <v>238</v>
      </c>
      <c r="DJ1382" s="5" t="s">
        <v>238</v>
      </c>
      <c r="DK1382" s="5" t="s">
        <v>271</v>
      </c>
      <c r="DL1382" s="5" t="s">
        <v>272</v>
      </c>
      <c r="DM1382" s="7">
        <f>28.98</f>
        <v>28.98</v>
      </c>
      <c r="DN1382" s="5" t="s">
        <v>238</v>
      </c>
      <c r="DO1382" s="5" t="s">
        <v>238</v>
      </c>
      <c r="DP1382" s="5" t="s">
        <v>238</v>
      </c>
      <c r="DQ1382" s="5" t="s">
        <v>238</v>
      </c>
      <c r="DT1382" s="5" t="s">
        <v>902</v>
      </c>
      <c r="DU1382" s="5" t="s">
        <v>310</v>
      </c>
      <c r="HM1382" s="5" t="s">
        <v>271</v>
      </c>
      <c r="HP1382" s="5" t="s">
        <v>272</v>
      </c>
      <c r="HQ1382" s="5" t="s">
        <v>272</v>
      </c>
    </row>
    <row r="1383" spans="1:238" x14ac:dyDescent="0.4">
      <c r="A1383" s="5">
        <v>1733</v>
      </c>
      <c r="B1383" s="5">
        <v>1</v>
      </c>
      <c r="C1383" s="5">
        <v>1</v>
      </c>
      <c r="D1383" s="5" t="s">
        <v>890</v>
      </c>
      <c r="E1383" s="5" t="s">
        <v>244</v>
      </c>
      <c r="F1383" s="5" t="s">
        <v>252</v>
      </c>
      <c r="G1383" s="5" t="s">
        <v>889</v>
      </c>
      <c r="H1383" s="6" t="s">
        <v>891</v>
      </c>
      <c r="I1383" s="5" t="s">
        <v>889</v>
      </c>
      <c r="J1383" s="7">
        <f>153</f>
        <v>153</v>
      </c>
      <c r="K1383" s="5" t="s">
        <v>270</v>
      </c>
      <c r="L1383" s="8">
        <f>1</f>
        <v>1</v>
      </c>
      <c r="M1383" s="8">
        <f>17289000</f>
        <v>17289000</v>
      </c>
      <c r="N1383" s="6" t="s">
        <v>882</v>
      </c>
      <c r="O1383" s="5" t="s">
        <v>286</v>
      </c>
      <c r="P1383" s="5" t="s">
        <v>690</v>
      </c>
      <c r="R1383" s="8">
        <f>17288999</f>
        <v>17288999</v>
      </c>
      <c r="S1383" s="5" t="s">
        <v>240</v>
      </c>
      <c r="T1383" s="5" t="s">
        <v>237</v>
      </c>
      <c r="U1383" s="5" t="s">
        <v>238</v>
      </c>
      <c r="V1383" s="5" t="s">
        <v>238</v>
      </c>
      <c r="W1383" s="5" t="s">
        <v>241</v>
      </c>
      <c r="X1383" s="5" t="s">
        <v>243</v>
      </c>
      <c r="Y1383" s="5" t="s">
        <v>238</v>
      </c>
      <c r="AB1383" s="5" t="s">
        <v>238</v>
      </c>
      <c r="AD1383" s="6" t="s">
        <v>238</v>
      </c>
      <c r="AG1383" s="6" t="s">
        <v>246</v>
      </c>
      <c r="AH1383" s="5" t="s">
        <v>247</v>
      </c>
      <c r="AI1383" s="5" t="s">
        <v>248</v>
      </c>
      <c r="AY1383" s="5" t="s">
        <v>250</v>
      </c>
      <c r="AZ1383" s="5" t="s">
        <v>238</v>
      </c>
      <c r="BA1383" s="5" t="s">
        <v>251</v>
      </c>
      <c r="BB1383" s="5" t="s">
        <v>238</v>
      </c>
      <c r="BC1383" s="5" t="s">
        <v>253</v>
      </c>
      <c r="BD1383" s="5" t="s">
        <v>238</v>
      </c>
      <c r="BF1383" s="5" t="s">
        <v>903</v>
      </c>
      <c r="BH1383" s="5" t="s">
        <v>859</v>
      </c>
      <c r="BI1383" s="6" t="s">
        <v>368</v>
      </c>
      <c r="BJ1383" s="5" t="s">
        <v>255</v>
      </c>
      <c r="BK1383" s="5" t="s">
        <v>256</v>
      </c>
      <c r="BL1383" s="5" t="s">
        <v>238</v>
      </c>
      <c r="BM1383" s="7">
        <f>0</f>
        <v>0</v>
      </c>
      <c r="BN1383" s="8">
        <f>0</f>
        <v>0</v>
      </c>
      <c r="BO1383" s="5" t="s">
        <v>257</v>
      </c>
      <c r="BP1383" s="5" t="s">
        <v>258</v>
      </c>
      <c r="CD1383" s="5" t="s">
        <v>238</v>
      </c>
      <c r="CE1383" s="5" t="s">
        <v>238</v>
      </c>
      <c r="CI1383" s="5" t="s">
        <v>259</v>
      </c>
      <c r="CJ1383" s="5" t="s">
        <v>260</v>
      </c>
      <c r="CK1383" s="5" t="s">
        <v>238</v>
      </c>
      <c r="CM1383" s="5" t="s">
        <v>689</v>
      </c>
      <c r="CN1383" s="6" t="s">
        <v>262</v>
      </c>
      <c r="CO1383" s="5" t="s">
        <v>263</v>
      </c>
      <c r="CP1383" s="5" t="s">
        <v>264</v>
      </c>
      <c r="CQ1383" s="5" t="s">
        <v>238</v>
      </c>
      <c r="CR1383" s="5" t="s">
        <v>238</v>
      </c>
      <c r="CS1383" s="5">
        <v>0</v>
      </c>
      <c r="CT1383" s="5" t="s">
        <v>265</v>
      </c>
      <c r="CU1383" s="5" t="s">
        <v>1493</v>
      </c>
      <c r="CV1383" s="5" t="s">
        <v>267</v>
      </c>
      <c r="CX1383" s="8">
        <f>17289000</f>
        <v>17289000</v>
      </c>
      <c r="CY1383" s="8">
        <f>0</f>
        <v>0</v>
      </c>
      <c r="DA1383" s="5" t="s">
        <v>238</v>
      </c>
      <c r="DB1383" s="5" t="s">
        <v>238</v>
      </c>
      <c r="DD1383" s="5" t="s">
        <v>238</v>
      </c>
      <c r="DG1383" s="5" t="s">
        <v>238</v>
      </c>
      <c r="DH1383" s="5" t="s">
        <v>238</v>
      </c>
      <c r="DI1383" s="5" t="s">
        <v>238</v>
      </c>
      <c r="DJ1383" s="5" t="s">
        <v>238</v>
      </c>
      <c r="DK1383" s="5" t="s">
        <v>271</v>
      </c>
      <c r="DL1383" s="5" t="s">
        <v>272</v>
      </c>
      <c r="DM1383" s="7">
        <f>153</f>
        <v>153</v>
      </c>
      <c r="DN1383" s="5" t="s">
        <v>238</v>
      </c>
      <c r="DO1383" s="5" t="s">
        <v>238</v>
      </c>
      <c r="DP1383" s="5" t="s">
        <v>238</v>
      </c>
      <c r="DQ1383" s="5" t="s">
        <v>238</v>
      </c>
      <c r="DT1383" s="5" t="s">
        <v>892</v>
      </c>
      <c r="DU1383" s="5" t="s">
        <v>271</v>
      </c>
      <c r="HM1383" s="5" t="s">
        <v>271</v>
      </c>
      <c r="HP1383" s="5" t="s">
        <v>272</v>
      </c>
      <c r="HQ1383" s="5" t="s">
        <v>272</v>
      </c>
    </row>
    <row r="1384" spans="1:238" x14ac:dyDescent="0.4">
      <c r="A1384" s="5">
        <v>1734</v>
      </c>
      <c r="B1384" s="5">
        <v>1</v>
      </c>
      <c r="C1384" s="5">
        <v>1</v>
      </c>
      <c r="D1384" s="5" t="s">
        <v>890</v>
      </c>
      <c r="E1384" s="5" t="s">
        <v>244</v>
      </c>
      <c r="F1384" s="5" t="s">
        <v>252</v>
      </c>
      <c r="G1384" s="5" t="s">
        <v>889</v>
      </c>
      <c r="H1384" s="6" t="s">
        <v>891</v>
      </c>
      <c r="I1384" s="5" t="s">
        <v>889</v>
      </c>
      <c r="J1384" s="7">
        <f>137</f>
        <v>137</v>
      </c>
      <c r="K1384" s="5" t="s">
        <v>270</v>
      </c>
      <c r="L1384" s="8">
        <f>1</f>
        <v>1</v>
      </c>
      <c r="M1384" s="8">
        <f>12330000</f>
        <v>12330000</v>
      </c>
      <c r="N1384" s="6" t="s">
        <v>1584</v>
      </c>
      <c r="O1384" s="5" t="s">
        <v>286</v>
      </c>
      <c r="P1384" s="5" t="s">
        <v>1586</v>
      </c>
      <c r="R1384" s="8">
        <f>12329999</f>
        <v>12329999</v>
      </c>
      <c r="S1384" s="5" t="s">
        <v>240</v>
      </c>
      <c r="T1384" s="5" t="s">
        <v>237</v>
      </c>
      <c r="U1384" s="5" t="s">
        <v>238</v>
      </c>
      <c r="V1384" s="5" t="s">
        <v>238</v>
      </c>
      <c r="W1384" s="5" t="s">
        <v>241</v>
      </c>
      <c r="X1384" s="5" t="s">
        <v>243</v>
      </c>
      <c r="Y1384" s="5" t="s">
        <v>238</v>
      </c>
      <c r="AB1384" s="5" t="s">
        <v>238</v>
      </c>
      <c r="AD1384" s="6" t="s">
        <v>238</v>
      </c>
      <c r="AG1384" s="6" t="s">
        <v>246</v>
      </c>
      <c r="AH1384" s="5" t="s">
        <v>247</v>
      </c>
      <c r="AI1384" s="5" t="s">
        <v>248</v>
      </c>
      <c r="AY1384" s="5" t="s">
        <v>250</v>
      </c>
      <c r="AZ1384" s="5" t="s">
        <v>238</v>
      </c>
      <c r="BA1384" s="5" t="s">
        <v>251</v>
      </c>
      <c r="BB1384" s="5" t="s">
        <v>238</v>
      </c>
      <c r="BC1384" s="5" t="s">
        <v>253</v>
      </c>
      <c r="BD1384" s="5" t="s">
        <v>238</v>
      </c>
      <c r="BF1384" s="5" t="s">
        <v>238</v>
      </c>
      <c r="BH1384" s="5" t="s">
        <v>697</v>
      </c>
      <c r="BI1384" s="6" t="s">
        <v>698</v>
      </c>
      <c r="BJ1384" s="5" t="s">
        <v>255</v>
      </c>
      <c r="BK1384" s="5" t="s">
        <v>256</v>
      </c>
      <c r="BL1384" s="5" t="s">
        <v>238</v>
      </c>
      <c r="BM1384" s="7">
        <f>0</f>
        <v>0</v>
      </c>
      <c r="BN1384" s="8">
        <f>0</f>
        <v>0</v>
      </c>
      <c r="BO1384" s="5" t="s">
        <v>257</v>
      </c>
      <c r="BP1384" s="5" t="s">
        <v>258</v>
      </c>
      <c r="CD1384" s="5" t="s">
        <v>238</v>
      </c>
      <c r="CE1384" s="5" t="s">
        <v>238</v>
      </c>
      <c r="CI1384" s="5" t="s">
        <v>527</v>
      </c>
      <c r="CJ1384" s="5" t="s">
        <v>260</v>
      </c>
      <c r="CK1384" s="5" t="s">
        <v>238</v>
      </c>
      <c r="CM1384" s="5" t="s">
        <v>1585</v>
      </c>
      <c r="CN1384" s="6" t="s">
        <v>262</v>
      </c>
      <c r="CO1384" s="5" t="s">
        <v>263</v>
      </c>
      <c r="CP1384" s="5" t="s">
        <v>264</v>
      </c>
      <c r="CQ1384" s="5" t="s">
        <v>238</v>
      </c>
      <c r="CR1384" s="5" t="s">
        <v>238</v>
      </c>
      <c r="CS1384" s="5">
        <v>0</v>
      </c>
      <c r="CT1384" s="5" t="s">
        <v>265</v>
      </c>
      <c r="CU1384" s="5" t="s">
        <v>1493</v>
      </c>
      <c r="CV1384" s="5" t="s">
        <v>267</v>
      </c>
      <c r="CX1384" s="8">
        <f>12330000</f>
        <v>12330000</v>
      </c>
      <c r="CY1384" s="8">
        <f>0</f>
        <v>0</v>
      </c>
      <c r="DA1384" s="5" t="s">
        <v>238</v>
      </c>
      <c r="DB1384" s="5" t="s">
        <v>238</v>
      </c>
      <c r="DD1384" s="5" t="s">
        <v>238</v>
      </c>
      <c r="DG1384" s="5" t="s">
        <v>238</v>
      </c>
      <c r="DH1384" s="5" t="s">
        <v>238</v>
      </c>
      <c r="DI1384" s="5" t="s">
        <v>238</v>
      </c>
      <c r="DJ1384" s="5" t="s">
        <v>238</v>
      </c>
      <c r="DK1384" s="5" t="s">
        <v>271</v>
      </c>
      <c r="DL1384" s="5" t="s">
        <v>272</v>
      </c>
      <c r="DM1384" s="7">
        <f>137</f>
        <v>137</v>
      </c>
      <c r="DN1384" s="5" t="s">
        <v>238</v>
      </c>
      <c r="DO1384" s="5" t="s">
        <v>238</v>
      </c>
      <c r="DP1384" s="5" t="s">
        <v>238</v>
      </c>
      <c r="DQ1384" s="5" t="s">
        <v>238</v>
      </c>
      <c r="DT1384" s="5" t="s">
        <v>892</v>
      </c>
      <c r="DU1384" s="5" t="s">
        <v>274</v>
      </c>
      <c r="HM1384" s="5" t="s">
        <v>271</v>
      </c>
      <c r="HP1384" s="5" t="s">
        <v>272</v>
      </c>
      <c r="HQ1384" s="5" t="s">
        <v>272</v>
      </c>
    </row>
    <row r="1385" spans="1:238" x14ac:dyDescent="0.4">
      <c r="A1385" s="5">
        <v>1735</v>
      </c>
      <c r="B1385" s="5">
        <v>1</v>
      </c>
      <c r="C1385" s="5">
        <v>1</v>
      </c>
      <c r="D1385" s="5" t="s">
        <v>890</v>
      </c>
      <c r="E1385" s="5" t="s">
        <v>244</v>
      </c>
      <c r="F1385" s="5" t="s">
        <v>252</v>
      </c>
      <c r="G1385" s="5" t="s">
        <v>889</v>
      </c>
      <c r="H1385" s="6" t="s">
        <v>891</v>
      </c>
      <c r="I1385" s="5" t="s">
        <v>889</v>
      </c>
      <c r="J1385" s="7">
        <f>7</f>
        <v>7</v>
      </c>
      <c r="K1385" s="5" t="s">
        <v>270</v>
      </c>
      <c r="L1385" s="8">
        <f>1</f>
        <v>1</v>
      </c>
      <c r="M1385" s="8">
        <f>420000</f>
        <v>420000</v>
      </c>
      <c r="N1385" s="6" t="s">
        <v>893</v>
      </c>
      <c r="O1385" s="5" t="s">
        <v>268</v>
      </c>
      <c r="P1385" s="5" t="s">
        <v>895</v>
      </c>
      <c r="R1385" s="8">
        <f>419999</f>
        <v>419999</v>
      </c>
      <c r="S1385" s="5" t="s">
        <v>240</v>
      </c>
      <c r="T1385" s="5" t="s">
        <v>237</v>
      </c>
      <c r="U1385" s="5" t="s">
        <v>238</v>
      </c>
      <c r="V1385" s="5" t="s">
        <v>238</v>
      </c>
      <c r="W1385" s="5" t="s">
        <v>241</v>
      </c>
      <c r="X1385" s="5" t="s">
        <v>243</v>
      </c>
      <c r="Y1385" s="5" t="s">
        <v>238</v>
      </c>
      <c r="AB1385" s="5" t="s">
        <v>238</v>
      </c>
      <c r="AD1385" s="6" t="s">
        <v>238</v>
      </c>
      <c r="AG1385" s="6" t="s">
        <v>246</v>
      </c>
      <c r="AH1385" s="5" t="s">
        <v>247</v>
      </c>
      <c r="AI1385" s="5" t="s">
        <v>248</v>
      </c>
      <c r="AY1385" s="5" t="s">
        <v>250</v>
      </c>
      <c r="AZ1385" s="5" t="s">
        <v>238</v>
      </c>
      <c r="BA1385" s="5" t="s">
        <v>251</v>
      </c>
      <c r="BB1385" s="5" t="s">
        <v>238</v>
      </c>
      <c r="BC1385" s="5" t="s">
        <v>253</v>
      </c>
      <c r="BD1385" s="5" t="s">
        <v>238</v>
      </c>
      <c r="BF1385" s="5" t="s">
        <v>238</v>
      </c>
      <c r="BH1385" s="5" t="s">
        <v>798</v>
      </c>
      <c r="BI1385" s="6" t="s">
        <v>799</v>
      </c>
      <c r="BJ1385" s="5" t="s">
        <v>255</v>
      </c>
      <c r="BK1385" s="5" t="s">
        <v>256</v>
      </c>
      <c r="BL1385" s="5" t="s">
        <v>238</v>
      </c>
      <c r="BM1385" s="7">
        <f>0</f>
        <v>0</v>
      </c>
      <c r="BN1385" s="8">
        <f>0</f>
        <v>0</v>
      </c>
      <c r="BO1385" s="5" t="s">
        <v>257</v>
      </c>
      <c r="BP1385" s="5" t="s">
        <v>258</v>
      </c>
      <c r="CD1385" s="5" t="s">
        <v>238</v>
      </c>
      <c r="CE1385" s="5" t="s">
        <v>238</v>
      </c>
      <c r="CI1385" s="5" t="s">
        <v>527</v>
      </c>
      <c r="CJ1385" s="5" t="s">
        <v>260</v>
      </c>
      <c r="CK1385" s="5" t="s">
        <v>238</v>
      </c>
      <c r="CM1385" s="5" t="s">
        <v>894</v>
      </c>
      <c r="CN1385" s="6" t="s">
        <v>262</v>
      </c>
      <c r="CO1385" s="5" t="s">
        <v>263</v>
      </c>
      <c r="CP1385" s="5" t="s">
        <v>264</v>
      </c>
      <c r="CQ1385" s="5" t="s">
        <v>238</v>
      </c>
      <c r="CR1385" s="5" t="s">
        <v>238</v>
      </c>
      <c r="CS1385" s="5">
        <v>0</v>
      </c>
      <c r="CT1385" s="5" t="s">
        <v>265</v>
      </c>
      <c r="CU1385" s="5" t="s">
        <v>266</v>
      </c>
      <c r="CV1385" s="5" t="s">
        <v>267</v>
      </c>
      <c r="CX1385" s="8">
        <f>420000</f>
        <v>420000</v>
      </c>
      <c r="CY1385" s="8">
        <f>0</f>
        <v>0</v>
      </c>
      <c r="DA1385" s="5" t="s">
        <v>238</v>
      </c>
      <c r="DB1385" s="5" t="s">
        <v>238</v>
      </c>
      <c r="DD1385" s="5" t="s">
        <v>238</v>
      </c>
      <c r="DG1385" s="5" t="s">
        <v>238</v>
      </c>
      <c r="DH1385" s="5" t="s">
        <v>238</v>
      </c>
      <c r="DI1385" s="5" t="s">
        <v>238</v>
      </c>
      <c r="DJ1385" s="5" t="s">
        <v>238</v>
      </c>
      <c r="DK1385" s="5" t="s">
        <v>271</v>
      </c>
      <c r="DL1385" s="5" t="s">
        <v>272</v>
      </c>
      <c r="DM1385" s="7">
        <f>7</f>
        <v>7</v>
      </c>
      <c r="DN1385" s="5" t="s">
        <v>238</v>
      </c>
      <c r="DO1385" s="5" t="s">
        <v>238</v>
      </c>
      <c r="DP1385" s="5" t="s">
        <v>238</v>
      </c>
      <c r="DQ1385" s="5" t="s">
        <v>238</v>
      </c>
      <c r="DT1385" s="5" t="s">
        <v>892</v>
      </c>
      <c r="DU1385" s="5" t="s">
        <v>356</v>
      </c>
      <c r="HM1385" s="5" t="s">
        <v>271</v>
      </c>
      <c r="HP1385" s="5" t="s">
        <v>272</v>
      </c>
      <c r="HQ1385" s="5" t="s">
        <v>272</v>
      </c>
    </row>
    <row r="1386" spans="1:238" x14ac:dyDescent="0.4">
      <c r="A1386" s="5">
        <v>1736</v>
      </c>
      <c r="B1386" s="5">
        <v>1</v>
      </c>
      <c r="C1386" s="5">
        <v>1</v>
      </c>
      <c r="D1386" s="5" t="s">
        <v>890</v>
      </c>
      <c r="E1386" s="5" t="s">
        <v>244</v>
      </c>
      <c r="F1386" s="5" t="s">
        <v>252</v>
      </c>
      <c r="G1386" s="5" t="s">
        <v>889</v>
      </c>
      <c r="H1386" s="6" t="s">
        <v>891</v>
      </c>
      <c r="I1386" s="5" t="s">
        <v>889</v>
      </c>
      <c r="J1386" s="7">
        <f>10</f>
        <v>10</v>
      </c>
      <c r="K1386" s="5" t="s">
        <v>270</v>
      </c>
      <c r="L1386" s="8">
        <f>1</f>
        <v>1</v>
      </c>
      <c r="M1386" s="8">
        <f>900000</f>
        <v>900000</v>
      </c>
      <c r="N1386" s="6" t="s">
        <v>882</v>
      </c>
      <c r="O1386" s="5" t="s">
        <v>268</v>
      </c>
      <c r="P1386" s="5" t="s">
        <v>690</v>
      </c>
      <c r="R1386" s="8">
        <f>899999</f>
        <v>899999</v>
      </c>
      <c r="S1386" s="5" t="s">
        <v>240</v>
      </c>
      <c r="T1386" s="5" t="s">
        <v>237</v>
      </c>
      <c r="U1386" s="5" t="s">
        <v>238</v>
      </c>
      <c r="V1386" s="5" t="s">
        <v>238</v>
      </c>
      <c r="W1386" s="5" t="s">
        <v>241</v>
      </c>
      <c r="X1386" s="5" t="s">
        <v>243</v>
      </c>
      <c r="Y1386" s="5" t="s">
        <v>238</v>
      </c>
      <c r="AB1386" s="5" t="s">
        <v>238</v>
      </c>
      <c r="AD1386" s="6" t="s">
        <v>238</v>
      </c>
      <c r="AG1386" s="6" t="s">
        <v>246</v>
      </c>
      <c r="AH1386" s="5" t="s">
        <v>247</v>
      </c>
      <c r="AI1386" s="5" t="s">
        <v>248</v>
      </c>
      <c r="AY1386" s="5" t="s">
        <v>250</v>
      </c>
      <c r="AZ1386" s="5" t="s">
        <v>238</v>
      </c>
      <c r="BA1386" s="5" t="s">
        <v>251</v>
      </c>
      <c r="BB1386" s="5" t="s">
        <v>238</v>
      </c>
      <c r="BC1386" s="5" t="s">
        <v>253</v>
      </c>
      <c r="BD1386" s="5" t="s">
        <v>238</v>
      </c>
      <c r="BF1386" s="5" t="s">
        <v>238</v>
      </c>
      <c r="BH1386" s="5" t="s">
        <v>254</v>
      </c>
      <c r="BI1386" s="6" t="s">
        <v>246</v>
      </c>
      <c r="BJ1386" s="5" t="s">
        <v>255</v>
      </c>
      <c r="BK1386" s="5" t="s">
        <v>256</v>
      </c>
      <c r="BL1386" s="5" t="s">
        <v>238</v>
      </c>
      <c r="BM1386" s="7">
        <f>0</f>
        <v>0</v>
      </c>
      <c r="BN1386" s="8">
        <f>0</f>
        <v>0</v>
      </c>
      <c r="BO1386" s="5" t="s">
        <v>257</v>
      </c>
      <c r="BP1386" s="5" t="s">
        <v>258</v>
      </c>
      <c r="CD1386" s="5" t="s">
        <v>238</v>
      </c>
      <c r="CE1386" s="5" t="s">
        <v>238</v>
      </c>
      <c r="CI1386" s="5" t="s">
        <v>259</v>
      </c>
      <c r="CJ1386" s="5" t="s">
        <v>260</v>
      </c>
      <c r="CK1386" s="5" t="s">
        <v>238</v>
      </c>
      <c r="CM1386" s="5" t="s">
        <v>689</v>
      </c>
      <c r="CN1386" s="6" t="s">
        <v>262</v>
      </c>
      <c r="CO1386" s="5" t="s">
        <v>263</v>
      </c>
      <c r="CP1386" s="5" t="s">
        <v>264</v>
      </c>
      <c r="CQ1386" s="5" t="s">
        <v>238</v>
      </c>
      <c r="CR1386" s="5" t="s">
        <v>238</v>
      </c>
      <c r="CS1386" s="5">
        <v>0</v>
      </c>
      <c r="CT1386" s="5" t="s">
        <v>265</v>
      </c>
      <c r="CU1386" s="5" t="s">
        <v>266</v>
      </c>
      <c r="CV1386" s="5" t="s">
        <v>267</v>
      </c>
      <c r="CX1386" s="8">
        <f>900000</f>
        <v>900000</v>
      </c>
      <c r="CY1386" s="8">
        <f>0</f>
        <v>0</v>
      </c>
      <c r="DA1386" s="5" t="s">
        <v>238</v>
      </c>
      <c r="DB1386" s="5" t="s">
        <v>238</v>
      </c>
      <c r="DD1386" s="5" t="s">
        <v>238</v>
      </c>
      <c r="DG1386" s="5" t="s">
        <v>238</v>
      </c>
      <c r="DH1386" s="5" t="s">
        <v>238</v>
      </c>
      <c r="DI1386" s="5" t="s">
        <v>238</v>
      </c>
      <c r="DJ1386" s="5" t="s">
        <v>238</v>
      </c>
      <c r="DK1386" s="5" t="s">
        <v>271</v>
      </c>
      <c r="DL1386" s="5" t="s">
        <v>272</v>
      </c>
      <c r="DM1386" s="7">
        <f>10</f>
        <v>10</v>
      </c>
      <c r="DN1386" s="5" t="s">
        <v>238</v>
      </c>
      <c r="DO1386" s="5" t="s">
        <v>238</v>
      </c>
      <c r="DP1386" s="5" t="s">
        <v>238</v>
      </c>
      <c r="DQ1386" s="5" t="s">
        <v>238</v>
      </c>
      <c r="DT1386" s="5" t="s">
        <v>892</v>
      </c>
      <c r="DU1386" s="5" t="s">
        <v>310</v>
      </c>
      <c r="HM1386" s="5" t="s">
        <v>271</v>
      </c>
      <c r="HP1386" s="5" t="s">
        <v>272</v>
      </c>
      <c r="HQ1386" s="5" t="s">
        <v>272</v>
      </c>
    </row>
    <row r="1387" spans="1:238" x14ac:dyDescent="0.4">
      <c r="A1387" s="5">
        <v>1737</v>
      </c>
      <c r="B1387" s="5">
        <v>1</v>
      </c>
      <c r="C1387" s="5">
        <v>1</v>
      </c>
      <c r="D1387" s="5" t="s">
        <v>1587</v>
      </c>
      <c r="E1387" s="5" t="s">
        <v>300</v>
      </c>
      <c r="F1387" s="5" t="s">
        <v>252</v>
      </c>
      <c r="G1387" s="5" t="s">
        <v>889</v>
      </c>
      <c r="H1387" s="6" t="s">
        <v>1589</v>
      </c>
      <c r="I1387" s="5" t="s">
        <v>889</v>
      </c>
      <c r="J1387" s="7">
        <f>432.83</f>
        <v>432.83</v>
      </c>
      <c r="K1387" s="5" t="s">
        <v>270</v>
      </c>
      <c r="L1387" s="8">
        <f>1</f>
        <v>1</v>
      </c>
      <c r="M1387" s="8">
        <f>25969800</f>
        <v>25969800</v>
      </c>
      <c r="N1387" s="6" t="s">
        <v>1588</v>
      </c>
      <c r="O1387" s="5" t="s">
        <v>286</v>
      </c>
      <c r="P1387" s="5" t="s">
        <v>826</v>
      </c>
      <c r="R1387" s="8">
        <f>25969799</f>
        <v>25969799</v>
      </c>
      <c r="S1387" s="5" t="s">
        <v>240</v>
      </c>
      <c r="T1387" s="5" t="s">
        <v>237</v>
      </c>
      <c r="U1387" s="5" t="s">
        <v>238</v>
      </c>
      <c r="V1387" s="5" t="s">
        <v>238</v>
      </c>
      <c r="W1387" s="5" t="s">
        <v>241</v>
      </c>
      <c r="X1387" s="5" t="s">
        <v>243</v>
      </c>
      <c r="Y1387" s="5" t="s">
        <v>238</v>
      </c>
      <c r="AB1387" s="5" t="s">
        <v>238</v>
      </c>
      <c r="AD1387" s="6" t="s">
        <v>238</v>
      </c>
      <c r="AG1387" s="6" t="s">
        <v>246</v>
      </c>
      <c r="AH1387" s="5" t="s">
        <v>247</v>
      </c>
      <c r="AI1387" s="5" t="s">
        <v>248</v>
      </c>
      <c r="AY1387" s="5" t="s">
        <v>250</v>
      </c>
      <c r="AZ1387" s="5" t="s">
        <v>238</v>
      </c>
      <c r="BA1387" s="5" t="s">
        <v>251</v>
      </c>
      <c r="BB1387" s="5" t="s">
        <v>238</v>
      </c>
      <c r="BC1387" s="5" t="s">
        <v>253</v>
      </c>
      <c r="BD1387" s="5" t="s">
        <v>238</v>
      </c>
      <c r="BF1387" s="5" t="s">
        <v>903</v>
      </c>
      <c r="BH1387" s="5" t="s">
        <v>859</v>
      </c>
      <c r="BI1387" s="6" t="s">
        <v>368</v>
      </c>
      <c r="BJ1387" s="5" t="s">
        <v>255</v>
      </c>
      <c r="BK1387" s="5" t="s">
        <v>256</v>
      </c>
      <c r="BL1387" s="5" t="s">
        <v>238</v>
      </c>
      <c r="BM1387" s="7">
        <f>0</f>
        <v>0</v>
      </c>
      <c r="BN1387" s="8">
        <f>0</f>
        <v>0</v>
      </c>
      <c r="BO1387" s="5" t="s">
        <v>257</v>
      </c>
      <c r="BP1387" s="5" t="s">
        <v>258</v>
      </c>
      <c r="CD1387" s="5" t="s">
        <v>238</v>
      </c>
      <c r="CE1387" s="5" t="s">
        <v>238</v>
      </c>
      <c r="CI1387" s="5" t="s">
        <v>527</v>
      </c>
      <c r="CJ1387" s="5" t="s">
        <v>260</v>
      </c>
      <c r="CK1387" s="5" t="s">
        <v>238</v>
      </c>
      <c r="CM1387" s="5" t="s">
        <v>825</v>
      </c>
      <c r="CN1387" s="6" t="s">
        <v>262</v>
      </c>
      <c r="CO1387" s="5" t="s">
        <v>263</v>
      </c>
      <c r="CP1387" s="5" t="s">
        <v>264</v>
      </c>
      <c r="CQ1387" s="5" t="s">
        <v>238</v>
      </c>
      <c r="CR1387" s="5" t="s">
        <v>238</v>
      </c>
      <c r="CS1387" s="5">
        <v>0</v>
      </c>
      <c r="CT1387" s="5" t="s">
        <v>265</v>
      </c>
      <c r="CU1387" s="5" t="s">
        <v>1493</v>
      </c>
      <c r="CV1387" s="5" t="s">
        <v>267</v>
      </c>
      <c r="CX1387" s="8">
        <f>25969800</f>
        <v>25969800</v>
      </c>
      <c r="CY1387" s="8">
        <f>0</f>
        <v>0</v>
      </c>
      <c r="DA1387" s="5" t="s">
        <v>238</v>
      </c>
      <c r="DB1387" s="5" t="s">
        <v>238</v>
      </c>
      <c r="DD1387" s="5" t="s">
        <v>238</v>
      </c>
      <c r="DG1387" s="5" t="s">
        <v>238</v>
      </c>
      <c r="DH1387" s="5" t="s">
        <v>238</v>
      </c>
      <c r="DI1387" s="5" t="s">
        <v>238</v>
      </c>
      <c r="DJ1387" s="5" t="s">
        <v>238</v>
      </c>
      <c r="DK1387" s="5" t="s">
        <v>271</v>
      </c>
      <c r="DL1387" s="5" t="s">
        <v>272</v>
      </c>
      <c r="DM1387" s="7">
        <f>432.83</f>
        <v>432.83</v>
      </c>
      <c r="DN1387" s="5" t="s">
        <v>238</v>
      </c>
      <c r="DO1387" s="5" t="s">
        <v>238</v>
      </c>
      <c r="DP1387" s="5" t="s">
        <v>238</v>
      </c>
      <c r="DQ1387" s="5" t="s">
        <v>238</v>
      </c>
      <c r="DT1387" s="5" t="s">
        <v>1590</v>
      </c>
      <c r="DU1387" s="5" t="s">
        <v>271</v>
      </c>
      <c r="HM1387" s="5" t="s">
        <v>271</v>
      </c>
      <c r="HP1387" s="5" t="s">
        <v>272</v>
      </c>
      <c r="HQ1387" s="5" t="s">
        <v>272</v>
      </c>
    </row>
    <row r="1388" spans="1:238" x14ac:dyDescent="0.4">
      <c r="A1388" s="5">
        <v>1738</v>
      </c>
      <c r="B1388" s="5">
        <v>1</v>
      </c>
      <c r="C1388" s="5">
        <v>1</v>
      </c>
      <c r="D1388" s="5" t="s">
        <v>2116</v>
      </c>
      <c r="E1388" s="5" t="s">
        <v>300</v>
      </c>
      <c r="F1388" s="5" t="s">
        <v>252</v>
      </c>
      <c r="G1388" s="5" t="s">
        <v>889</v>
      </c>
      <c r="H1388" s="6" t="s">
        <v>2118</v>
      </c>
      <c r="I1388" s="5" t="s">
        <v>2115</v>
      </c>
      <c r="J1388" s="7">
        <f>50.92</f>
        <v>50.92</v>
      </c>
      <c r="K1388" s="5" t="s">
        <v>270</v>
      </c>
      <c r="L1388" s="8">
        <f>1</f>
        <v>1</v>
      </c>
      <c r="M1388" s="8">
        <f>5855800</f>
        <v>5855800</v>
      </c>
      <c r="N1388" s="6" t="s">
        <v>2117</v>
      </c>
      <c r="O1388" s="5" t="s">
        <v>965</v>
      </c>
      <c r="P1388" s="5" t="s">
        <v>861</v>
      </c>
      <c r="R1388" s="8">
        <f>5855799</f>
        <v>5855799</v>
      </c>
      <c r="S1388" s="5" t="s">
        <v>240</v>
      </c>
      <c r="T1388" s="5" t="s">
        <v>237</v>
      </c>
      <c r="U1388" s="5" t="s">
        <v>238</v>
      </c>
      <c r="V1388" s="5" t="s">
        <v>238</v>
      </c>
      <c r="W1388" s="5" t="s">
        <v>241</v>
      </c>
      <c r="X1388" s="5" t="s">
        <v>243</v>
      </c>
      <c r="Y1388" s="5" t="s">
        <v>238</v>
      </c>
      <c r="AB1388" s="5" t="s">
        <v>238</v>
      </c>
      <c r="AD1388" s="6" t="s">
        <v>238</v>
      </c>
      <c r="AG1388" s="6" t="s">
        <v>246</v>
      </c>
      <c r="AH1388" s="5" t="s">
        <v>247</v>
      </c>
      <c r="AI1388" s="5" t="s">
        <v>248</v>
      </c>
      <c r="AY1388" s="5" t="s">
        <v>250</v>
      </c>
      <c r="AZ1388" s="5" t="s">
        <v>238</v>
      </c>
      <c r="BA1388" s="5" t="s">
        <v>251</v>
      </c>
      <c r="BB1388" s="5" t="s">
        <v>238</v>
      </c>
      <c r="BC1388" s="5" t="s">
        <v>253</v>
      </c>
      <c r="BD1388" s="5" t="s">
        <v>238</v>
      </c>
      <c r="BF1388" s="5" t="s">
        <v>903</v>
      </c>
      <c r="BH1388" s="5" t="s">
        <v>697</v>
      </c>
      <c r="BI1388" s="6" t="s">
        <v>698</v>
      </c>
      <c r="BJ1388" s="5" t="s">
        <v>255</v>
      </c>
      <c r="BK1388" s="5" t="s">
        <v>256</v>
      </c>
      <c r="BL1388" s="5" t="s">
        <v>238</v>
      </c>
      <c r="BM1388" s="7">
        <f>0</f>
        <v>0</v>
      </c>
      <c r="BN1388" s="8">
        <f>0</f>
        <v>0</v>
      </c>
      <c r="BO1388" s="5" t="s">
        <v>257</v>
      </c>
      <c r="BP1388" s="5" t="s">
        <v>258</v>
      </c>
      <c r="CD1388" s="5" t="s">
        <v>238</v>
      </c>
      <c r="CE1388" s="5" t="s">
        <v>238</v>
      </c>
      <c r="CI1388" s="5" t="s">
        <v>527</v>
      </c>
      <c r="CJ1388" s="5" t="s">
        <v>260</v>
      </c>
      <c r="CK1388" s="5" t="s">
        <v>238</v>
      </c>
      <c r="CM1388" s="5" t="s">
        <v>860</v>
      </c>
      <c r="CN1388" s="6" t="s">
        <v>262</v>
      </c>
      <c r="CO1388" s="5" t="s">
        <v>263</v>
      </c>
      <c r="CP1388" s="5" t="s">
        <v>264</v>
      </c>
      <c r="CQ1388" s="5" t="s">
        <v>238</v>
      </c>
      <c r="CR1388" s="5" t="s">
        <v>238</v>
      </c>
      <c r="CS1388" s="5">
        <v>0</v>
      </c>
      <c r="CT1388" s="5" t="s">
        <v>265</v>
      </c>
      <c r="CU1388" s="5" t="s">
        <v>2099</v>
      </c>
      <c r="CV1388" s="5" t="s">
        <v>754</v>
      </c>
      <c r="CX1388" s="8">
        <f>5855800</f>
        <v>5855800</v>
      </c>
      <c r="CY1388" s="8">
        <f>0</f>
        <v>0</v>
      </c>
      <c r="DA1388" s="5" t="s">
        <v>238</v>
      </c>
      <c r="DB1388" s="5" t="s">
        <v>238</v>
      </c>
      <c r="DD1388" s="5" t="s">
        <v>238</v>
      </c>
      <c r="DG1388" s="5" t="s">
        <v>238</v>
      </c>
      <c r="DH1388" s="5" t="s">
        <v>238</v>
      </c>
      <c r="DI1388" s="5" t="s">
        <v>238</v>
      </c>
      <c r="DJ1388" s="5" t="s">
        <v>238</v>
      </c>
      <c r="DK1388" s="5" t="s">
        <v>271</v>
      </c>
      <c r="DL1388" s="5" t="s">
        <v>272</v>
      </c>
      <c r="DM1388" s="7">
        <f>50.92</f>
        <v>50.92</v>
      </c>
      <c r="DN1388" s="5" t="s">
        <v>238</v>
      </c>
      <c r="DO1388" s="5" t="s">
        <v>238</v>
      </c>
      <c r="DP1388" s="5" t="s">
        <v>238</v>
      </c>
      <c r="DQ1388" s="5" t="s">
        <v>238</v>
      </c>
      <c r="DT1388" s="5" t="s">
        <v>2119</v>
      </c>
      <c r="DU1388" s="5" t="s">
        <v>271</v>
      </c>
      <c r="HM1388" s="5" t="s">
        <v>271</v>
      </c>
      <c r="HP1388" s="5" t="s">
        <v>272</v>
      </c>
      <c r="HQ1388" s="5" t="s">
        <v>272</v>
      </c>
    </row>
    <row r="1389" spans="1:238" x14ac:dyDescent="0.4">
      <c r="A1389" s="5">
        <v>1739</v>
      </c>
      <c r="B1389" s="5">
        <v>1</v>
      </c>
      <c r="C1389" s="5">
        <v>1</v>
      </c>
      <c r="D1389" s="5" t="s">
        <v>1974</v>
      </c>
      <c r="E1389" s="5" t="s">
        <v>1139</v>
      </c>
      <c r="F1389" s="5" t="s">
        <v>252</v>
      </c>
      <c r="G1389" s="5" t="s">
        <v>889</v>
      </c>
      <c r="H1389" s="6" t="s">
        <v>1975</v>
      </c>
      <c r="I1389" s="5" t="s">
        <v>1973</v>
      </c>
      <c r="J1389" s="7">
        <f>29.16</f>
        <v>29.16</v>
      </c>
      <c r="K1389" s="5" t="s">
        <v>270</v>
      </c>
      <c r="L1389" s="8">
        <f>1</f>
        <v>1</v>
      </c>
      <c r="M1389" s="8">
        <f>4519800</f>
        <v>4519800</v>
      </c>
      <c r="N1389" s="6" t="s">
        <v>1082</v>
      </c>
      <c r="O1389" s="5" t="s">
        <v>651</v>
      </c>
      <c r="P1389" s="5" t="s">
        <v>651</v>
      </c>
      <c r="R1389" s="8">
        <f>4519799</f>
        <v>4519799</v>
      </c>
      <c r="S1389" s="5" t="s">
        <v>240</v>
      </c>
      <c r="T1389" s="5" t="s">
        <v>237</v>
      </c>
      <c r="U1389" s="5" t="s">
        <v>238</v>
      </c>
      <c r="V1389" s="5" t="s">
        <v>238</v>
      </c>
      <c r="W1389" s="5" t="s">
        <v>241</v>
      </c>
      <c r="X1389" s="5" t="s">
        <v>243</v>
      </c>
      <c r="Y1389" s="5" t="s">
        <v>238</v>
      </c>
      <c r="AB1389" s="5" t="s">
        <v>238</v>
      </c>
      <c r="AD1389" s="6" t="s">
        <v>238</v>
      </c>
      <c r="AG1389" s="6" t="s">
        <v>246</v>
      </c>
      <c r="AH1389" s="5" t="s">
        <v>247</v>
      </c>
      <c r="AI1389" s="5" t="s">
        <v>248</v>
      </c>
      <c r="AY1389" s="5" t="s">
        <v>250</v>
      </c>
      <c r="AZ1389" s="5" t="s">
        <v>238</v>
      </c>
      <c r="BA1389" s="5" t="s">
        <v>251</v>
      </c>
      <c r="BB1389" s="5" t="s">
        <v>238</v>
      </c>
      <c r="BC1389" s="5" t="s">
        <v>253</v>
      </c>
      <c r="BD1389" s="5" t="s">
        <v>238</v>
      </c>
      <c r="BF1389" s="5" t="s">
        <v>903</v>
      </c>
      <c r="BH1389" s="5" t="s">
        <v>798</v>
      </c>
      <c r="BI1389" s="6" t="s">
        <v>799</v>
      </c>
      <c r="BJ1389" s="5" t="s">
        <v>255</v>
      </c>
      <c r="BK1389" s="5" t="s">
        <v>294</v>
      </c>
      <c r="BL1389" s="5" t="s">
        <v>238</v>
      </c>
      <c r="BM1389" s="7">
        <f>0</f>
        <v>0</v>
      </c>
      <c r="BN1389" s="8">
        <f>0</f>
        <v>0</v>
      </c>
      <c r="BO1389" s="5" t="s">
        <v>257</v>
      </c>
      <c r="BP1389" s="5" t="s">
        <v>258</v>
      </c>
      <c r="CD1389" s="5" t="s">
        <v>238</v>
      </c>
      <c r="CE1389" s="5" t="s">
        <v>238</v>
      </c>
      <c r="CI1389" s="5" t="s">
        <v>259</v>
      </c>
      <c r="CJ1389" s="5" t="s">
        <v>260</v>
      </c>
      <c r="CK1389" s="5" t="s">
        <v>238</v>
      </c>
      <c r="CM1389" s="5" t="s">
        <v>958</v>
      </c>
      <c r="CN1389" s="6" t="s">
        <v>262</v>
      </c>
      <c r="CO1389" s="5" t="s">
        <v>263</v>
      </c>
      <c r="CP1389" s="5" t="s">
        <v>264</v>
      </c>
      <c r="CQ1389" s="5" t="s">
        <v>238</v>
      </c>
      <c r="CR1389" s="5" t="s">
        <v>238</v>
      </c>
      <c r="CS1389" s="5">
        <v>0</v>
      </c>
      <c r="CT1389" s="5" t="s">
        <v>265</v>
      </c>
      <c r="CU1389" s="5" t="s">
        <v>1333</v>
      </c>
      <c r="CV1389" s="5" t="s">
        <v>267</v>
      </c>
      <c r="CX1389" s="8">
        <f>4519800</f>
        <v>4519800</v>
      </c>
      <c r="CY1389" s="8">
        <f>0</f>
        <v>0</v>
      </c>
      <c r="DA1389" s="5" t="s">
        <v>238</v>
      </c>
      <c r="DB1389" s="5" t="s">
        <v>238</v>
      </c>
      <c r="DD1389" s="5" t="s">
        <v>238</v>
      </c>
      <c r="DG1389" s="5" t="s">
        <v>238</v>
      </c>
      <c r="DH1389" s="5" t="s">
        <v>238</v>
      </c>
      <c r="DI1389" s="5" t="s">
        <v>238</v>
      </c>
      <c r="DJ1389" s="5" t="s">
        <v>238</v>
      </c>
      <c r="DK1389" s="5" t="s">
        <v>271</v>
      </c>
      <c r="DL1389" s="5" t="s">
        <v>272</v>
      </c>
      <c r="DM1389" s="7">
        <f>29.16</f>
        <v>29.16</v>
      </c>
      <c r="DN1389" s="5" t="s">
        <v>238</v>
      </c>
      <c r="DO1389" s="5" t="s">
        <v>238</v>
      </c>
      <c r="DP1389" s="5" t="s">
        <v>238</v>
      </c>
      <c r="DQ1389" s="5" t="s">
        <v>238</v>
      </c>
      <c r="DT1389" s="5" t="s">
        <v>1976</v>
      </c>
      <c r="DU1389" s="5" t="s">
        <v>271</v>
      </c>
      <c r="HM1389" s="5" t="s">
        <v>274</v>
      </c>
      <c r="HP1389" s="5" t="s">
        <v>272</v>
      </c>
      <c r="HQ1389" s="5" t="s">
        <v>272</v>
      </c>
    </row>
    <row r="1390" spans="1:238" x14ac:dyDescent="0.4">
      <c r="A1390" s="5">
        <v>1740</v>
      </c>
      <c r="B1390" s="5">
        <v>1</v>
      </c>
      <c r="C1390" s="5">
        <v>5</v>
      </c>
      <c r="D1390" s="5" t="s">
        <v>4011</v>
      </c>
      <c r="E1390" s="5" t="s">
        <v>1139</v>
      </c>
      <c r="F1390" s="5" t="s">
        <v>252</v>
      </c>
      <c r="G1390" s="5" t="s">
        <v>4013</v>
      </c>
      <c r="H1390" s="6" t="s">
        <v>1843</v>
      </c>
      <c r="I1390" s="5" t="s">
        <v>4010</v>
      </c>
      <c r="J1390" s="7">
        <f>181.33</f>
        <v>181.33</v>
      </c>
      <c r="K1390" s="5" t="s">
        <v>270</v>
      </c>
      <c r="L1390" s="8">
        <f>5222304</f>
        <v>5222304</v>
      </c>
      <c r="M1390" s="8">
        <f>32639400</f>
        <v>32639400</v>
      </c>
      <c r="N1390" s="6" t="s">
        <v>4012</v>
      </c>
      <c r="O1390" s="5" t="s">
        <v>279</v>
      </c>
      <c r="P1390" s="5" t="s">
        <v>915</v>
      </c>
      <c r="Q1390" s="8">
        <f>652788</f>
        <v>652788</v>
      </c>
      <c r="R1390" s="8">
        <f>27417096</f>
        <v>27417096</v>
      </c>
      <c r="S1390" s="5" t="s">
        <v>240</v>
      </c>
      <c r="T1390" s="5" t="s">
        <v>237</v>
      </c>
      <c r="W1390" s="5" t="s">
        <v>241</v>
      </c>
      <c r="X1390" s="5" t="s">
        <v>243</v>
      </c>
      <c r="Y1390" s="5" t="s">
        <v>238</v>
      </c>
      <c r="AB1390" s="5" t="s">
        <v>686</v>
      </c>
      <c r="AC1390" s="6" t="s">
        <v>238</v>
      </c>
      <c r="AD1390" s="6" t="s">
        <v>238</v>
      </c>
      <c r="AF1390" s="6" t="s">
        <v>238</v>
      </c>
      <c r="AG1390" s="6" t="s">
        <v>246</v>
      </c>
      <c r="AH1390" s="5" t="s">
        <v>247</v>
      </c>
      <c r="AI1390" s="5" t="s">
        <v>248</v>
      </c>
      <c r="AO1390" s="5" t="s">
        <v>238</v>
      </c>
      <c r="AP1390" s="5" t="s">
        <v>238</v>
      </c>
      <c r="AQ1390" s="5" t="s">
        <v>238</v>
      </c>
      <c r="AR1390" s="6" t="s">
        <v>238</v>
      </c>
      <c r="AS1390" s="6" t="s">
        <v>238</v>
      </c>
      <c r="AT1390" s="6" t="s">
        <v>238</v>
      </c>
      <c r="AW1390" s="5" t="s">
        <v>304</v>
      </c>
      <c r="AX1390" s="5" t="s">
        <v>304</v>
      </c>
      <c r="AY1390" s="5" t="s">
        <v>250</v>
      </c>
      <c r="AZ1390" s="5" t="s">
        <v>305</v>
      </c>
      <c r="BA1390" s="5" t="s">
        <v>251</v>
      </c>
      <c r="BB1390" s="5" t="s">
        <v>238</v>
      </c>
      <c r="BC1390" s="5" t="s">
        <v>253</v>
      </c>
      <c r="BD1390" s="5" t="s">
        <v>238</v>
      </c>
      <c r="BF1390" s="5" t="s">
        <v>903</v>
      </c>
      <c r="BH1390" s="5" t="s">
        <v>283</v>
      </c>
      <c r="BI1390" s="6" t="s">
        <v>293</v>
      </c>
      <c r="BJ1390" s="5" t="s">
        <v>294</v>
      </c>
      <c r="BK1390" s="5" t="s">
        <v>294</v>
      </c>
      <c r="BL1390" s="5" t="s">
        <v>238</v>
      </c>
      <c r="BM1390" s="7">
        <f>0</f>
        <v>0</v>
      </c>
      <c r="BN1390" s="8">
        <f>-652788</f>
        <v>-652788</v>
      </c>
      <c r="BO1390" s="5" t="s">
        <v>257</v>
      </c>
      <c r="BP1390" s="5" t="s">
        <v>258</v>
      </c>
      <c r="BQ1390" s="5" t="s">
        <v>238</v>
      </c>
      <c r="BR1390" s="5" t="s">
        <v>238</v>
      </c>
      <c r="BS1390" s="5" t="s">
        <v>238</v>
      </c>
      <c r="BT1390" s="5" t="s">
        <v>238</v>
      </c>
      <c r="CC1390" s="5" t="s">
        <v>258</v>
      </c>
      <c r="CD1390" s="5" t="s">
        <v>238</v>
      </c>
      <c r="CE1390" s="5" t="s">
        <v>238</v>
      </c>
      <c r="CI1390" s="5" t="s">
        <v>527</v>
      </c>
      <c r="CJ1390" s="5" t="s">
        <v>260</v>
      </c>
      <c r="CK1390" s="5" t="s">
        <v>238</v>
      </c>
      <c r="CM1390" s="5" t="s">
        <v>699</v>
      </c>
      <c r="CN1390" s="6" t="s">
        <v>262</v>
      </c>
      <c r="CO1390" s="5" t="s">
        <v>263</v>
      </c>
      <c r="CP1390" s="5" t="s">
        <v>264</v>
      </c>
      <c r="CQ1390" s="5" t="s">
        <v>285</v>
      </c>
      <c r="CR1390" s="5" t="s">
        <v>238</v>
      </c>
      <c r="CS1390" s="5">
        <v>0.02</v>
      </c>
      <c r="CT1390" s="5" t="s">
        <v>265</v>
      </c>
      <c r="CU1390" s="5" t="s">
        <v>1333</v>
      </c>
      <c r="CV1390" s="5" t="s">
        <v>308</v>
      </c>
      <c r="CW1390" s="7">
        <f>0</f>
        <v>0</v>
      </c>
      <c r="CX1390" s="8">
        <f>32639400</f>
        <v>32639400</v>
      </c>
      <c r="CY1390" s="8">
        <f>5222304</f>
        <v>5222304</v>
      </c>
      <c r="DA1390" s="5" t="s">
        <v>238</v>
      </c>
      <c r="DB1390" s="5" t="s">
        <v>238</v>
      </c>
      <c r="DD1390" s="5" t="s">
        <v>238</v>
      </c>
      <c r="DE1390" s="8">
        <f>0</f>
        <v>0</v>
      </c>
      <c r="DG1390" s="5" t="s">
        <v>238</v>
      </c>
      <c r="DH1390" s="5" t="s">
        <v>238</v>
      </c>
      <c r="DI1390" s="5" t="s">
        <v>238</v>
      </c>
      <c r="DJ1390" s="5" t="s">
        <v>238</v>
      </c>
      <c r="DK1390" s="5" t="s">
        <v>274</v>
      </c>
      <c r="DL1390" s="5" t="s">
        <v>272</v>
      </c>
      <c r="DM1390" s="7">
        <f>181.33</f>
        <v>181.33</v>
      </c>
      <c r="DN1390" s="5" t="s">
        <v>238</v>
      </c>
      <c r="DO1390" s="5" t="s">
        <v>238</v>
      </c>
      <c r="DP1390" s="5" t="s">
        <v>238</v>
      </c>
      <c r="DQ1390" s="5" t="s">
        <v>238</v>
      </c>
      <c r="DT1390" s="5" t="s">
        <v>4014</v>
      </c>
      <c r="DU1390" s="5" t="s">
        <v>271</v>
      </c>
      <c r="GL1390" s="5" t="s">
        <v>4015</v>
      </c>
      <c r="HM1390" s="5" t="s">
        <v>313</v>
      </c>
      <c r="HP1390" s="5" t="s">
        <v>272</v>
      </c>
      <c r="HQ1390" s="5" t="s">
        <v>272</v>
      </c>
      <c r="HR1390" s="5" t="s">
        <v>238</v>
      </c>
      <c r="HS1390" s="5" t="s">
        <v>238</v>
      </c>
      <c r="HT1390" s="5" t="s">
        <v>238</v>
      </c>
      <c r="HU1390" s="5" t="s">
        <v>238</v>
      </c>
      <c r="HV1390" s="5" t="s">
        <v>238</v>
      </c>
      <c r="HW1390" s="5" t="s">
        <v>238</v>
      </c>
      <c r="HX1390" s="5" t="s">
        <v>238</v>
      </c>
      <c r="HY1390" s="5" t="s">
        <v>238</v>
      </c>
      <c r="HZ1390" s="5" t="s">
        <v>238</v>
      </c>
      <c r="IA1390" s="5" t="s">
        <v>238</v>
      </c>
      <c r="IB1390" s="5" t="s">
        <v>238</v>
      </c>
      <c r="IC1390" s="5" t="s">
        <v>238</v>
      </c>
      <c r="ID1390" s="5" t="s">
        <v>238</v>
      </c>
    </row>
    <row r="1391" spans="1:238" x14ac:dyDescent="0.4">
      <c r="A1391" s="5">
        <v>1741</v>
      </c>
      <c r="B1391" s="5">
        <v>1</v>
      </c>
      <c r="C1391" s="5">
        <v>1</v>
      </c>
      <c r="D1391" s="5" t="s">
        <v>2451</v>
      </c>
      <c r="E1391" s="5" t="s">
        <v>1139</v>
      </c>
      <c r="F1391" s="5" t="s">
        <v>252</v>
      </c>
      <c r="G1391" s="5" t="s">
        <v>1007</v>
      </c>
      <c r="H1391" s="6" t="s">
        <v>2452</v>
      </c>
      <c r="I1391" s="5" t="s">
        <v>2450</v>
      </c>
      <c r="J1391" s="7">
        <f>106.11</f>
        <v>106.11</v>
      </c>
      <c r="K1391" s="5" t="s">
        <v>270</v>
      </c>
      <c r="L1391" s="8">
        <f>1</f>
        <v>1</v>
      </c>
      <c r="M1391" s="8">
        <f>6366600</f>
        <v>6366600</v>
      </c>
      <c r="N1391" s="6" t="s">
        <v>699</v>
      </c>
      <c r="O1391" s="5" t="s">
        <v>268</v>
      </c>
      <c r="P1391" s="5" t="s">
        <v>755</v>
      </c>
      <c r="R1391" s="8">
        <f>6366599</f>
        <v>6366599</v>
      </c>
      <c r="S1391" s="5" t="s">
        <v>240</v>
      </c>
      <c r="T1391" s="5" t="s">
        <v>237</v>
      </c>
      <c r="U1391" s="5" t="s">
        <v>238</v>
      </c>
      <c r="V1391" s="5" t="s">
        <v>238</v>
      </c>
      <c r="W1391" s="5" t="s">
        <v>241</v>
      </c>
      <c r="X1391" s="5" t="s">
        <v>243</v>
      </c>
      <c r="Y1391" s="5" t="s">
        <v>238</v>
      </c>
      <c r="AB1391" s="5" t="s">
        <v>238</v>
      </c>
      <c r="AD1391" s="6" t="s">
        <v>238</v>
      </c>
      <c r="AG1391" s="6" t="s">
        <v>246</v>
      </c>
      <c r="AH1391" s="5" t="s">
        <v>247</v>
      </c>
      <c r="AI1391" s="5" t="s">
        <v>248</v>
      </c>
      <c r="AY1391" s="5" t="s">
        <v>250</v>
      </c>
      <c r="AZ1391" s="5" t="s">
        <v>238</v>
      </c>
      <c r="BA1391" s="5" t="s">
        <v>251</v>
      </c>
      <c r="BB1391" s="5" t="s">
        <v>238</v>
      </c>
      <c r="BC1391" s="5" t="s">
        <v>253</v>
      </c>
      <c r="BD1391" s="5" t="s">
        <v>238</v>
      </c>
      <c r="BF1391" s="5" t="s">
        <v>903</v>
      </c>
      <c r="BH1391" s="5" t="s">
        <v>859</v>
      </c>
      <c r="BI1391" s="6" t="s">
        <v>368</v>
      </c>
      <c r="BJ1391" s="5" t="s">
        <v>255</v>
      </c>
      <c r="BK1391" s="5" t="s">
        <v>256</v>
      </c>
      <c r="BL1391" s="5" t="s">
        <v>238</v>
      </c>
      <c r="BM1391" s="7">
        <f>0</f>
        <v>0</v>
      </c>
      <c r="BN1391" s="8">
        <f>0</f>
        <v>0</v>
      </c>
      <c r="BO1391" s="5" t="s">
        <v>257</v>
      </c>
      <c r="BP1391" s="5" t="s">
        <v>258</v>
      </c>
      <c r="CD1391" s="5" t="s">
        <v>238</v>
      </c>
      <c r="CE1391" s="5" t="s">
        <v>238</v>
      </c>
      <c r="CI1391" s="5" t="s">
        <v>527</v>
      </c>
      <c r="CJ1391" s="5" t="s">
        <v>260</v>
      </c>
      <c r="CK1391" s="5" t="s">
        <v>238</v>
      </c>
      <c r="CM1391" s="5" t="s">
        <v>1020</v>
      </c>
      <c r="CN1391" s="6" t="s">
        <v>262</v>
      </c>
      <c r="CO1391" s="5" t="s">
        <v>263</v>
      </c>
      <c r="CP1391" s="5" t="s">
        <v>264</v>
      </c>
      <c r="CQ1391" s="5" t="s">
        <v>238</v>
      </c>
      <c r="CR1391" s="5" t="s">
        <v>238</v>
      </c>
      <c r="CS1391" s="5">
        <v>0</v>
      </c>
      <c r="CT1391" s="5" t="s">
        <v>265</v>
      </c>
      <c r="CU1391" s="5" t="s">
        <v>2381</v>
      </c>
      <c r="CV1391" s="5" t="s">
        <v>267</v>
      </c>
      <c r="CX1391" s="8">
        <f>6366600</f>
        <v>6366600</v>
      </c>
      <c r="CY1391" s="8">
        <f>0</f>
        <v>0</v>
      </c>
      <c r="DA1391" s="5" t="s">
        <v>238</v>
      </c>
      <c r="DB1391" s="5" t="s">
        <v>238</v>
      </c>
      <c r="DD1391" s="5" t="s">
        <v>238</v>
      </c>
      <c r="DG1391" s="5" t="s">
        <v>238</v>
      </c>
      <c r="DH1391" s="5" t="s">
        <v>238</v>
      </c>
      <c r="DI1391" s="5" t="s">
        <v>238</v>
      </c>
      <c r="DJ1391" s="5" t="s">
        <v>238</v>
      </c>
      <c r="DK1391" s="5" t="s">
        <v>271</v>
      </c>
      <c r="DL1391" s="5" t="s">
        <v>272</v>
      </c>
      <c r="DM1391" s="7">
        <f>106.11</f>
        <v>106.11</v>
      </c>
      <c r="DN1391" s="5" t="s">
        <v>238</v>
      </c>
      <c r="DO1391" s="5" t="s">
        <v>238</v>
      </c>
      <c r="DP1391" s="5" t="s">
        <v>238</v>
      </c>
      <c r="DQ1391" s="5" t="s">
        <v>238</v>
      </c>
      <c r="DT1391" s="5" t="s">
        <v>2453</v>
      </c>
      <c r="DU1391" s="5" t="s">
        <v>271</v>
      </c>
      <c r="HM1391" s="5" t="s">
        <v>271</v>
      </c>
      <c r="HP1391" s="5" t="s">
        <v>272</v>
      </c>
      <c r="HQ1391" s="5" t="s">
        <v>272</v>
      </c>
    </row>
    <row r="1392" spans="1:238" x14ac:dyDescent="0.4">
      <c r="A1392" s="5">
        <v>1743</v>
      </c>
      <c r="B1392" s="5">
        <v>1</v>
      </c>
      <c r="C1392" s="5">
        <v>1</v>
      </c>
      <c r="D1392" s="5" t="s">
        <v>2783</v>
      </c>
      <c r="E1392" s="5" t="s">
        <v>993</v>
      </c>
      <c r="F1392" s="5" t="s">
        <v>252</v>
      </c>
      <c r="G1392" s="5" t="s">
        <v>889</v>
      </c>
      <c r="H1392" s="6" t="s">
        <v>2784</v>
      </c>
      <c r="I1392" s="5" t="s">
        <v>2482</v>
      </c>
      <c r="J1392" s="7">
        <f>61.68</f>
        <v>61.68</v>
      </c>
      <c r="K1392" s="5" t="s">
        <v>270</v>
      </c>
      <c r="L1392" s="8">
        <f>1</f>
        <v>1</v>
      </c>
      <c r="M1392" s="8">
        <f>6168000</f>
        <v>6168000</v>
      </c>
      <c r="N1392" s="6" t="s">
        <v>912</v>
      </c>
      <c r="O1392" s="5" t="s">
        <v>286</v>
      </c>
      <c r="P1392" s="5" t="s">
        <v>915</v>
      </c>
      <c r="R1392" s="8">
        <f>6167999</f>
        <v>6167999</v>
      </c>
      <c r="S1392" s="5" t="s">
        <v>240</v>
      </c>
      <c r="T1392" s="5" t="s">
        <v>237</v>
      </c>
      <c r="U1392" s="5" t="s">
        <v>238</v>
      </c>
      <c r="V1392" s="5" t="s">
        <v>238</v>
      </c>
      <c r="W1392" s="5" t="s">
        <v>241</v>
      </c>
      <c r="X1392" s="5" t="s">
        <v>243</v>
      </c>
      <c r="Y1392" s="5" t="s">
        <v>238</v>
      </c>
      <c r="AB1392" s="5" t="s">
        <v>238</v>
      </c>
      <c r="AD1392" s="6" t="s">
        <v>238</v>
      </c>
      <c r="AG1392" s="6" t="s">
        <v>246</v>
      </c>
      <c r="AH1392" s="5" t="s">
        <v>247</v>
      </c>
      <c r="AI1392" s="5" t="s">
        <v>248</v>
      </c>
      <c r="AY1392" s="5" t="s">
        <v>250</v>
      </c>
      <c r="AZ1392" s="5" t="s">
        <v>238</v>
      </c>
      <c r="BA1392" s="5" t="s">
        <v>251</v>
      </c>
      <c r="BB1392" s="5" t="s">
        <v>238</v>
      </c>
      <c r="BC1392" s="5" t="s">
        <v>253</v>
      </c>
      <c r="BD1392" s="5" t="s">
        <v>238</v>
      </c>
      <c r="BF1392" s="5" t="s">
        <v>903</v>
      </c>
      <c r="BH1392" s="5" t="s">
        <v>798</v>
      </c>
      <c r="BI1392" s="6" t="s">
        <v>799</v>
      </c>
      <c r="BJ1392" s="5" t="s">
        <v>255</v>
      </c>
      <c r="BK1392" s="5" t="s">
        <v>256</v>
      </c>
      <c r="BL1392" s="5" t="s">
        <v>238</v>
      </c>
      <c r="BM1392" s="7">
        <f>0</f>
        <v>0</v>
      </c>
      <c r="BN1392" s="8">
        <f>0</f>
        <v>0</v>
      </c>
      <c r="BO1392" s="5" t="s">
        <v>257</v>
      </c>
      <c r="BP1392" s="5" t="s">
        <v>258</v>
      </c>
      <c r="CD1392" s="5" t="s">
        <v>238</v>
      </c>
      <c r="CE1392" s="5" t="s">
        <v>238</v>
      </c>
      <c r="CI1392" s="5" t="s">
        <v>527</v>
      </c>
      <c r="CJ1392" s="5" t="s">
        <v>260</v>
      </c>
      <c r="CK1392" s="5" t="s">
        <v>238</v>
      </c>
      <c r="CM1392" s="5" t="s">
        <v>914</v>
      </c>
      <c r="CN1392" s="6" t="s">
        <v>262</v>
      </c>
      <c r="CO1392" s="5" t="s">
        <v>263</v>
      </c>
      <c r="CP1392" s="5" t="s">
        <v>264</v>
      </c>
      <c r="CQ1392" s="5" t="s">
        <v>238</v>
      </c>
      <c r="CR1392" s="5" t="s">
        <v>238</v>
      </c>
      <c r="CS1392" s="5">
        <v>0</v>
      </c>
      <c r="CT1392" s="5" t="s">
        <v>265</v>
      </c>
      <c r="CU1392" s="5" t="s">
        <v>1360</v>
      </c>
      <c r="CV1392" s="5" t="s">
        <v>267</v>
      </c>
      <c r="CX1392" s="8">
        <f>6168000</f>
        <v>6168000</v>
      </c>
      <c r="CY1392" s="8">
        <f>0</f>
        <v>0</v>
      </c>
      <c r="DA1392" s="5" t="s">
        <v>238</v>
      </c>
      <c r="DB1392" s="5" t="s">
        <v>238</v>
      </c>
      <c r="DD1392" s="5" t="s">
        <v>238</v>
      </c>
      <c r="DG1392" s="5" t="s">
        <v>238</v>
      </c>
      <c r="DH1392" s="5" t="s">
        <v>238</v>
      </c>
      <c r="DI1392" s="5" t="s">
        <v>238</v>
      </c>
      <c r="DJ1392" s="5" t="s">
        <v>238</v>
      </c>
      <c r="DK1392" s="5" t="s">
        <v>271</v>
      </c>
      <c r="DL1392" s="5" t="s">
        <v>272</v>
      </c>
      <c r="DM1392" s="7">
        <f>61.68</f>
        <v>61.68</v>
      </c>
      <c r="DN1392" s="5" t="s">
        <v>238</v>
      </c>
      <c r="DO1392" s="5" t="s">
        <v>238</v>
      </c>
      <c r="DP1392" s="5" t="s">
        <v>238</v>
      </c>
      <c r="DQ1392" s="5" t="s">
        <v>238</v>
      </c>
      <c r="DT1392" s="5" t="s">
        <v>2785</v>
      </c>
      <c r="DU1392" s="5" t="s">
        <v>271</v>
      </c>
      <c r="HM1392" s="5" t="s">
        <v>271</v>
      </c>
      <c r="HP1392" s="5" t="s">
        <v>272</v>
      </c>
      <c r="HQ1392" s="5" t="s">
        <v>272</v>
      </c>
    </row>
    <row r="1393" spans="1:238" x14ac:dyDescent="0.4">
      <c r="A1393" s="5">
        <v>1744</v>
      </c>
      <c r="B1393" s="5">
        <v>1</v>
      </c>
      <c r="C1393" s="5">
        <v>1</v>
      </c>
      <c r="D1393" s="5" t="s">
        <v>2042</v>
      </c>
      <c r="E1393" s="5" t="s">
        <v>315</v>
      </c>
      <c r="F1393" s="5" t="s">
        <v>252</v>
      </c>
      <c r="G1393" s="5" t="s">
        <v>889</v>
      </c>
      <c r="H1393" s="6" t="s">
        <v>2044</v>
      </c>
      <c r="I1393" s="5" t="s">
        <v>1973</v>
      </c>
      <c r="J1393" s="7">
        <f>79.8</f>
        <v>79.8</v>
      </c>
      <c r="K1393" s="5" t="s">
        <v>270</v>
      </c>
      <c r="L1393" s="8">
        <f>1</f>
        <v>1</v>
      </c>
      <c r="M1393" s="8">
        <f>6384000</f>
        <v>6384000</v>
      </c>
      <c r="N1393" s="6" t="s">
        <v>2043</v>
      </c>
      <c r="O1393" s="5" t="s">
        <v>639</v>
      </c>
      <c r="P1393" s="5" t="s">
        <v>861</v>
      </c>
      <c r="R1393" s="8">
        <f>6383999</f>
        <v>6383999</v>
      </c>
      <c r="S1393" s="5" t="s">
        <v>240</v>
      </c>
      <c r="T1393" s="5" t="s">
        <v>237</v>
      </c>
      <c r="U1393" s="5" t="s">
        <v>238</v>
      </c>
      <c r="V1393" s="5" t="s">
        <v>238</v>
      </c>
      <c r="W1393" s="5" t="s">
        <v>241</v>
      </c>
      <c r="X1393" s="5" t="s">
        <v>243</v>
      </c>
      <c r="Y1393" s="5" t="s">
        <v>238</v>
      </c>
      <c r="AB1393" s="5" t="s">
        <v>238</v>
      </c>
      <c r="AD1393" s="6" t="s">
        <v>238</v>
      </c>
      <c r="AG1393" s="6" t="s">
        <v>246</v>
      </c>
      <c r="AH1393" s="5" t="s">
        <v>247</v>
      </c>
      <c r="AI1393" s="5" t="s">
        <v>248</v>
      </c>
      <c r="AY1393" s="5" t="s">
        <v>250</v>
      </c>
      <c r="AZ1393" s="5" t="s">
        <v>238</v>
      </c>
      <c r="BA1393" s="5" t="s">
        <v>251</v>
      </c>
      <c r="BB1393" s="5" t="s">
        <v>238</v>
      </c>
      <c r="BC1393" s="5" t="s">
        <v>253</v>
      </c>
      <c r="BD1393" s="5" t="s">
        <v>238</v>
      </c>
      <c r="BF1393" s="5" t="s">
        <v>903</v>
      </c>
      <c r="BH1393" s="5" t="s">
        <v>254</v>
      </c>
      <c r="BI1393" s="6" t="s">
        <v>246</v>
      </c>
      <c r="BJ1393" s="5" t="s">
        <v>255</v>
      </c>
      <c r="BK1393" s="5" t="s">
        <v>256</v>
      </c>
      <c r="BL1393" s="5" t="s">
        <v>238</v>
      </c>
      <c r="BM1393" s="7">
        <f>0</f>
        <v>0</v>
      </c>
      <c r="BN1393" s="8">
        <f>0</f>
        <v>0</v>
      </c>
      <c r="BO1393" s="5" t="s">
        <v>257</v>
      </c>
      <c r="BP1393" s="5" t="s">
        <v>258</v>
      </c>
      <c r="CD1393" s="5" t="s">
        <v>238</v>
      </c>
      <c r="CE1393" s="5" t="s">
        <v>238</v>
      </c>
      <c r="CI1393" s="5" t="s">
        <v>527</v>
      </c>
      <c r="CJ1393" s="5" t="s">
        <v>260</v>
      </c>
      <c r="CK1393" s="5" t="s">
        <v>238</v>
      </c>
      <c r="CM1393" s="5" t="s">
        <v>860</v>
      </c>
      <c r="CN1393" s="6" t="s">
        <v>262</v>
      </c>
      <c r="CO1393" s="5" t="s">
        <v>263</v>
      </c>
      <c r="CP1393" s="5" t="s">
        <v>264</v>
      </c>
      <c r="CQ1393" s="5" t="s">
        <v>238</v>
      </c>
      <c r="CR1393" s="5" t="s">
        <v>238</v>
      </c>
      <c r="CS1393" s="5">
        <v>0</v>
      </c>
      <c r="CT1393" s="5" t="s">
        <v>265</v>
      </c>
      <c r="CU1393" s="5" t="s">
        <v>1333</v>
      </c>
      <c r="CV1393" s="5" t="s">
        <v>649</v>
      </c>
      <c r="CX1393" s="8">
        <f>6384000</f>
        <v>6384000</v>
      </c>
      <c r="CY1393" s="8">
        <f>0</f>
        <v>0</v>
      </c>
      <c r="DA1393" s="5" t="s">
        <v>238</v>
      </c>
      <c r="DB1393" s="5" t="s">
        <v>238</v>
      </c>
      <c r="DD1393" s="5" t="s">
        <v>238</v>
      </c>
      <c r="DG1393" s="5" t="s">
        <v>238</v>
      </c>
      <c r="DH1393" s="5" t="s">
        <v>238</v>
      </c>
      <c r="DI1393" s="5" t="s">
        <v>238</v>
      </c>
      <c r="DJ1393" s="5" t="s">
        <v>238</v>
      </c>
      <c r="DK1393" s="5" t="s">
        <v>271</v>
      </c>
      <c r="DL1393" s="5" t="s">
        <v>272</v>
      </c>
      <c r="DM1393" s="7">
        <f>79.8</f>
        <v>79.8</v>
      </c>
      <c r="DN1393" s="5" t="s">
        <v>238</v>
      </c>
      <c r="DO1393" s="5" t="s">
        <v>238</v>
      </c>
      <c r="DP1393" s="5" t="s">
        <v>238</v>
      </c>
      <c r="DQ1393" s="5" t="s">
        <v>238</v>
      </c>
      <c r="DT1393" s="5" t="s">
        <v>2045</v>
      </c>
      <c r="DU1393" s="5" t="s">
        <v>271</v>
      </c>
      <c r="HM1393" s="5" t="s">
        <v>271</v>
      </c>
      <c r="HP1393" s="5" t="s">
        <v>272</v>
      </c>
      <c r="HQ1393" s="5" t="s">
        <v>272</v>
      </c>
    </row>
    <row r="1394" spans="1:238" x14ac:dyDescent="0.4">
      <c r="A1394" s="5">
        <v>1745</v>
      </c>
      <c r="B1394" s="5">
        <v>1</v>
      </c>
      <c r="C1394" s="5">
        <v>4</v>
      </c>
      <c r="D1394" s="5" t="s">
        <v>1997</v>
      </c>
      <c r="E1394" s="5" t="s">
        <v>338</v>
      </c>
      <c r="F1394" s="5" t="s">
        <v>252</v>
      </c>
      <c r="G1394" s="5" t="s">
        <v>327</v>
      </c>
      <c r="H1394" s="6" t="s">
        <v>1998</v>
      </c>
      <c r="I1394" s="5" t="s">
        <v>1996</v>
      </c>
      <c r="J1394" s="7">
        <f>200</f>
        <v>200</v>
      </c>
      <c r="K1394" s="5" t="s">
        <v>270</v>
      </c>
      <c r="L1394" s="8">
        <f>4987800</f>
        <v>4987800</v>
      </c>
      <c r="M1394" s="8">
        <f>30600000</f>
        <v>30600000</v>
      </c>
      <c r="N1394" s="6" t="s">
        <v>1107</v>
      </c>
      <c r="O1394" s="5" t="s">
        <v>639</v>
      </c>
      <c r="P1394" s="5" t="s">
        <v>690</v>
      </c>
      <c r="Q1394" s="8">
        <f>826200</f>
        <v>826200</v>
      </c>
      <c r="R1394" s="8">
        <f>25612200</f>
        <v>25612200</v>
      </c>
      <c r="S1394" s="5" t="s">
        <v>240</v>
      </c>
      <c r="T1394" s="5" t="s">
        <v>237</v>
      </c>
      <c r="U1394" s="5" t="s">
        <v>238</v>
      </c>
      <c r="V1394" s="5" t="s">
        <v>238</v>
      </c>
      <c r="W1394" s="5" t="s">
        <v>241</v>
      </c>
      <c r="X1394" s="5" t="s">
        <v>243</v>
      </c>
      <c r="Y1394" s="5" t="s">
        <v>238</v>
      </c>
      <c r="AB1394" s="5" t="s">
        <v>238</v>
      </c>
      <c r="AC1394" s="6" t="s">
        <v>238</v>
      </c>
      <c r="AD1394" s="6" t="s">
        <v>238</v>
      </c>
      <c r="AF1394" s="6" t="s">
        <v>238</v>
      </c>
      <c r="AG1394" s="6" t="s">
        <v>246</v>
      </c>
      <c r="AH1394" s="5" t="s">
        <v>247</v>
      </c>
      <c r="AI1394" s="5" t="s">
        <v>248</v>
      </c>
      <c r="AO1394" s="5" t="s">
        <v>238</v>
      </c>
      <c r="AP1394" s="5" t="s">
        <v>238</v>
      </c>
      <c r="AQ1394" s="5" t="s">
        <v>238</v>
      </c>
      <c r="AR1394" s="6" t="s">
        <v>238</v>
      </c>
      <c r="AS1394" s="6" t="s">
        <v>238</v>
      </c>
      <c r="AT1394" s="6" t="s">
        <v>238</v>
      </c>
      <c r="AW1394" s="5" t="s">
        <v>304</v>
      </c>
      <c r="AX1394" s="5" t="s">
        <v>304</v>
      </c>
      <c r="AY1394" s="5" t="s">
        <v>250</v>
      </c>
      <c r="AZ1394" s="5" t="s">
        <v>305</v>
      </c>
      <c r="BA1394" s="5" t="s">
        <v>251</v>
      </c>
      <c r="BB1394" s="5" t="s">
        <v>238</v>
      </c>
      <c r="BC1394" s="5" t="s">
        <v>253</v>
      </c>
      <c r="BD1394" s="5" t="s">
        <v>238</v>
      </c>
      <c r="BF1394" s="5" t="s">
        <v>238</v>
      </c>
      <c r="BH1394" s="5" t="s">
        <v>283</v>
      </c>
      <c r="BI1394" s="6" t="s">
        <v>293</v>
      </c>
      <c r="BJ1394" s="5" t="s">
        <v>294</v>
      </c>
      <c r="BK1394" s="5" t="s">
        <v>294</v>
      </c>
      <c r="BL1394" s="5" t="s">
        <v>238</v>
      </c>
      <c r="BM1394" s="7">
        <f>0</f>
        <v>0</v>
      </c>
      <c r="BN1394" s="8">
        <f>-826200</f>
        <v>-826200</v>
      </c>
      <c r="BO1394" s="5" t="s">
        <v>257</v>
      </c>
      <c r="BP1394" s="5" t="s">
        <v>258</v>
      </c>
      <c r="BQ1394" s="5" t="s">
        <v>238</v>
      </c>
      <c r="BR1394" s="5" t="s">
        <v>238</v>
      </c>
      <c r="BS1394" s="5" t="s">
        <v>238</v>
      </c>
      <c r="BT1394" s="5" t="s">
        <v>238</v>
      </c>
      <c r="CC1394" s="5" t="s">
        <v>258</v>
      </c>
      <c r="CD1394" s="5" t="s">
        <v>238</v>
      </c>
      <c r="CE1394" s="5" t="s">
        <v>238</v>
      </c>
      <c r="CI1394" s="5" t="s">
        <v>259</v>
      </c>
      <c r="CJ1394" s="5" t="s">
        <v>260</v>
      </c>
      <c r="CK1394" s="5" t="s">
        <v>238</v>
      </c>
      <c r="CM1394" s="5" t="s">
        <v>768</v>
      </c>
      <c r="CN1394" s="6" t="s">
        <v>262</v>
      </c>
      <c r="CO1394" s="5" t="s">
        <v>263</v>
      </c>
      <c r="CP1394" s="5" t="s">
        <v>264</v>
      </c>
      <c r="CQ1394" s="5" t="s">
        <v>285</v>
      </c>
      <c r="CR1394" s="5" t="s">
        <v>238</v>
      </c>
      <c r="CS1394" s="5">
        <v>2.7E-2</v>
      </c>
      <c r="CT1394" s="5" t="s">
        <v>265</v>
      </c>
      <c r="CU1394" s="5" t="s">
        <v>1333</v>
      </c>
      <c r="CV1394" s="5" t="s">
        <v>649</v>
      </c>
      <c r="CW1394" s="7">
        <f>0</f>
        <v>0</v>
      </c>
      <c r="CX1394" s="8">
        <f>30600000</f>
        <v>30600000</v>
      </c>
      <c r="CY1394" s="8">
        <f>5814000</f>
        <v>5814000</v>
      </c>
      <c r="DA1394" s="5" t="s">
        <v>238</v>
      </c>
      <c r="DB1394" s="5" t="s">
        <v>238</v>
      </c>
      <c r="DD1394" s="5" t="s">
        <v>238</v>
      </c>
      <c r="DE1394" s="8">
        <f>0</f>
        <v>0</v>
      </c>
      <c r="DG1394" s="5" t="s">
        <v>238</v>
      </c>
      <c r="DH1394" s="5" t="s">
        <v>238</v>
      </c>
      <c r="DI1394" s="5" t="s">
        <v>238</v>
      </c>
      <c r="DJ1394" s="5" t="s">
        <v>238</v>
      </c>
      <c r="DK1394" s="5" t="s">
        <v>271</v>
      </c>
      <c r="DL1394" s="5" t="s">
        <v>272</v>
      </c>
      <c r="DM1394" s="7">
        <f>200</f>
        <v>200</v>
      </c>
      <c r="DN1394" s="5" t="s">
        <v>238</v>
      </c>
      <c r="DO1394" s="5" t="s">
        <v>238</v>
      </c>
      <c r="DP1394" s="5" t="s">
        <v>238</v>
      </c>
      <c r="DQ1394" s="5" t="s">
        <v>238</v>
      </c>
      <c r="DT1394" s="5" t="s">
        <v>1999</v>
      </c>
      <c r="DU1394" s="5" t="s">
        <v>271</v>
      </c>
      <c r="GL1394" s="5" t="s">
        <v>2000</v>
      </c>
      <c r="HM1394" s="5" t="s">
        <v>313</v>
      </c>
      <c r="HP1394" s="5" t="s">
        <v>272</v>
      </c>
      <c r="HQ1394" s="5" t="s">
        <v>272</v>
      </c>
      <c r="HR1394" s="5" t="s">
        <v>238</v>
      </c>
      <c r="HS1394" s="5" t="s">
        <v>238</v>
      </c>
      <c r="HT1394" s="5" t="s">
        <v>238</v>
      </c>
      <c r="HU1394" s="5" t="s">
        <v>238</v>
      </c>
      <c r="HV1394" s="5" t="s">
        <v>238</v>
      </c>
      <c r="HW1394" s="5" t="s">
        <v>238</v>
      </c>
      <c r="HX1394" s="5" t="s">
        <v>238</v>
      </c>
      <c r="HY1394" s="5" t="s">
        <v>238</v>
      </c>
      <c r="HZ1394" s="5" t="s">
        <v>238</v>
      </c>
      <c r="IA1394" s="5" t="s">
        <v>238</v>
      </c>
      <c r="IB1394" s="5" t="s">
        <v>238</v>
      </c>
      <c r="IC1394" s="5" t="s">
        <v>238</v>
      </c>
      <c r="ID1394" s="5" t="s">
        <v>238</v>
      </c>
    </row>
    <row r="1395" spans="1:238" x14ac:dyDescent="0.4">
      <c r="A1395" s="5">
        <v>1750</v>
      </c>
      <c r="B1395" s="5">
        <v>1</v>
      </c>
      <c r="C1395" s="5">
        <v>8</v>
      </c>
      <c r="D1395" s="5" t="s">
        <v>1991</v>
      </c>
      <c r="E1395" s="5" t="s">
        <v>852</v>
      </c>
      <c r="F1395" s="5" t="s">
        <v>252</v>
      </c>
      <c r="G1395" s="5" t="s">
        <v>1992</v>
      </c>
      <c r="H1395" s="6" t="s">
        <v>1993</v>
      </c>
      <c r="I1395" s="5" t="s">
        <v>1990</v>
      </c>
      <c r="J1395" s="7">
        <f>537.5</f>
        <v>537.5</v>
      </c>
      <c r="K1395" s="5" t="s">
        <v>270</v>
      </c>
      <c r="L1395" s="8">
        <f>82535310</f>
        <v>82535310</v>
      </c>
      <c r="M1395" s="8">
        <f>158721750</f>
        <v>158721750</v>
      </c>
      <c r="N1395" s="6" t="s">
        <v>1128</v>
      </c>
      <c r="O1395" s="5" t="s">
        <v>279</v>
      </c>
      <c r="P1395" s="5" t="s">
        <v>286</v>
      </c>
      <c r="Q1395" s="8">
        <f>3174435</f>
        <v>3174435</v>
      </c>
      <c r="R1395" s="8">
        <f>76186440</f>
        <v>76186440</v>
      </c>
      <c r="S1395" s="5" t="s">
        <v>240</v>
      </c>
      <c r="T1395" s="5" t="s">
        <v>237</v>
      </c>
      <c r="U1395" s="5" t="s">
        <v>238</v>
      </c>
      <c r="V1395" s="5" t="s">
        <v>238</v>
      </c>
      <c r="W1395" s="5" t="s">
        <v>241</v>
      </c>
      <c r="X1395" s="5" t="s">
        <v>243</v>
      </c>
      <c r="Y1395" s="5" t="s">
        <v>238</v>
      </c>
      <c r="AB1395" s="5" t="s">
        <v>238</v>
      </c>
      <c r="AC1395" s="6" t="s">
        <v>238</v>
      </c>
      <c r="AD1395" s="6" t="s">
        <v>238</v>
      </c>
      <c r="AF1395" s="6" t="s">
        <v>238</v>
      </c>
      <c r="AG1395" s="6" t="s">
        <v>246</v>
      </c>
      <c r="AH1395" s="5" t="s">
        <v>247</v>
      </c>
      <c r="AI1395" s="5" t="s">
        <v>248</v>
      </c>
      <c r="AO1395" s="5" t="s">
        <v>238</v>
      </c>
      <c r="AP1395" s="5" t="s">
        <v>238</v>
      </c>
      <c r="AQ1395" s="5" t="s">
        <v>238</v>
      </c>
      <c r="AR1395" s="6" t="s">
        <v>238</v>
      </c>
      <c r="AS1395" s="6" t="s">
        <v>238</v>
      </c>
      <c r="AT1395" s="6" t="s">
        <v>238</v>
      </c>
      <c r="AW1395" s="5" t="s">
        <v>304</v>
      </c>
      <c r="AX1395" s="5" t="s">
        <v>304</v>
      </c>
      <c r="AY1395" s="5" t="s">
        <v>250</v>
      </c>
      <c r="AZ1395" s="5" t="s">
        <v>305</v>
      </c>
      <c r="BA1395" s="5" t="s">
        <v>251</v>
      </c>
      <c r="BB1395" s="5" t="s">
        <v>238</v>
      </c>
      <c r="BC1395" s="5" t="s">
        <v>253</v>
      </c>
      <c r="BD1395" s="5" t="s">
        <v>238</v>
      </c>
      <c r="BF1395" s="5" t="s">
        <v>238</v>
      </c>
      <c r="BH1395" s="5" t="s">
        <v>283</v>
      </c>
      <c r="BI1395" s="6" t="s">
        <v>293</v>
      </c>
      <c r="BJ1395" s="5" t="s">
        <v>294</v>
      </c>
      <c r="BK1395" s="5" t="s">
        <v>294</v>
      </c>
      <c r="BL1395" s="5" t="s">
        <v>238</v>
      </c>
      <c r="BM1395" s="7">
        <f>0</f>
        <v>0</v>
      </c>
      <c r="BN1395" s="8">
        <f>-3174435</f>
        <v>-3174435</v>
      </c>
      <c r="BO1395" s="5" t="s">
        <v>257</v>
      </c>
      <c r="BP1395" s="5" t="s">
        <v>258</v>
      </c>
      <c r="BQ1395" s="5" t="s">
        <v>238</v>
      </c>
      <c r="BR1395" s="5" t="s">
        <v>238</v>
      </c>
      <c r="BS1395" s="5" t="s">
        <v>238</v>
      </c>
      <c r="BT1395" s="5" t="s">
        <v>238</v>
      </c>
      <c r="CC1395" s="5" t="s">
        <v>258</v>
      </c>
      <c r="CD1395" s="5" t="s">
        <v>238</v>
      </c>
      <c r="CE1395" s="5" t="s">
        <v>238</v>
      </c>
      <c r="CI1395" s="5" t="s">
        <v>259</v>
      </c>
      <c r="CJ1395" s="5" t="s">
        <v>260</v>
      </c>
      <c r="CK1395" s="5" t="s">
        <v>238</v>
      </c>
      <c r="CM1395" s="5" t="s">
        <v>330</v>
      </c>
      <c r="CN1395" s="6" t="s">
        <v>262</v>
      </c>
      <c r="CO1395" s="5" t="s">
        <v>263</v>
      </c>
      <c r="CP1395" s="5" t="s">
        <v>264</v>
      </c>
      <c r="CQ1395" s="5" t="s">
        <v>285</v>
      </c>
      <c r="CR1395" s="5" t="s">
        <v>238</v>
      </c>
      <c r="CS1395" s="5">
        <v>0.02</v>
      </c>
      <c r="CT1395" s="5" t="s">
        <v>265</v>
      </c>
      <c r="CU1395" s="5" t="s">
        <v>1333</v>
      </c>
      <c r="CV1395" s="5" t="s">
        <v>308</v>
      </c>
      <c r="CW1395" s="7">
        <f>0</f>
        <v>0</v>
      </c>
      <c r="CX1395" s="8">
        <f>158721750</f>
        <v>158721750</v>
      </c>
      <c r="CY1395" s="8">
        <f>85709745</f>
        <v>85709745</v>
      </c>
      <c r="DA1395" s="5" t="s">
        <v>238</v>
      </c>
      <c r="DB1395" s="5" t="s">
        <v>238</v>
      </c>
      <c r="DD1395" s="5" t="s">
        <v>238</v>
      </c>
      <c r="DE1395" s="8">
        <f>0</f>
        <v>0</v>
      </c>
      <c r="DG1395" s="5" t="s">
        <v>238</v>
      </c>
      <c r="DH1395" s="5" t="s">
        <v>238</v>
      </c>
      <c r="DI1395" s="5" t="s">
        <v>238</v>
      </c>
      <c r="DJ1395" s="5" t="s">
        <v>238</v>
      </c>
      <c r="DK1395" s="5" t="s">
        <v>271</v>
      </c>
      <c r="DL1395" s="5" t="s">
        <v>272</v>
      </c>
      <c r="DM1395" s="7">
        <f>537.5</f>
        <v>537.5</v>
      </c>
      <c r="DN1395" s="5" t="s">
        <v>238</v>
      </c>
      <c r="DO1395" s="5" t="s">
        <v>238</v>
      </c>
      <c r="DP1395" s="5" t="s">
        <v>238</v>
      </c>
      <c r="DQ1395" s="5" t="s">
        <v>238</v>
      </c>
      <c r="DT1395" s="5" t="s">
        <v>1994</v>
      </c>
      <c r="DU1395" s="5" t="s">
        <v>271</v>
      </c>
      <c r="GL1395" s="5" t="s">
        <v>1995</v>
      </c>
      <c r="HM1395" s="5" t="s">
        <v>361</v>
      </c>
      <c r="HP1395" s="5" t="s">
        <v>272</v>
      </c>
      <c r="HQ1395" s="5" t="s">
        <v>272</v>
      </c>
      <c r="HR1395" s="5" t="s">
        <v>238</v>
      </c>
      <c r="HS1395" s="5" t="s">
        <v>238</v>
      </c>
      <c r="HT1395" s="5" t="s">
        <v>238</v>
      </c>
      <c r="HU1395" s="5" t="s">
        <v>238</v>
      </c>
      <c r="HV1395" s="5" t="s">
        <v>238</v>
      </c>
      <c r="HW1395" s="5" t="s">
        <v>238</v>
      </c>
      <c r="HX1395" s="5" t="s">
        <v>238</v>
      </c>
      <c r="HY1395" s="5" t="s">
        <v>238</v>
      </c>
      <c r="HZ1395" s="5" t="s">
        <v>238</v>
      </c>
      <c r="IA1395" s="5" t="s">
        <v>238</v>
      </c>
      <c r="IB1395" s="5" t="s">
        <v>238</v>
      </c>
      <c r="IC1395" s="5" t="s">
        <v>238</v>
      </c>
      <c r="ID1395" s="5" t="s">
        <v>238</v>
      </c>
    </row>
    <row r="1396" spans="1:238" x14ac:dyDescent="0.4">
      <c r="A1396" s="5">
        <v>1751</v>
      </c>
      <c r="B1396" s="5">
        <v>1</v>
      </c>
      <c r="C1396" s="5">
        <v>6</v>
      </c>
      <c r="D1396" s="5" t="s">
        <v>3849</v>
      </c>
      <c r="E1396" s="5" t="s">
        <v>686</v>
      </c>
      <c r="F1396" s="5" t="s">
        <v>252</v>
      </c>
      <c r="G1396" s="5" t="s">
        <v>3850</v>
      </c>
      <c r="H1396" s="6" t="s">
        <v>3851</v>
      </c>
      <c r="I1396" s="5" t="s">
        <v>1864</v>
      </c>
      <c r="J1396" s="7">
        <f>183.01</f>
        <v>183.01</v>
      </c>
      <c r="K1396" s="5" t="s">
        <v>270</v>
      </c>
      <c r="L1396" s="8">
        <f>2683099</f>
        <v>2683099</v>
      </c>
      <c r="M1396" s="8">
        <f>15599404</f>
        <v>15599404</v>
      </c>
      <c r="N1396" s="6" t="s">
        <v>1530</v>
      </c>
      <c r="O1396" s="5" t="s">
        <v>286</v>
      </c>
      <c r="P1396" s="5" t="s">
        <v>269</v>
      </c>
      <c r="Q1396" s="8">
        <f>917612</f>
        <v>917612</v>
      </c>
      <c r="R1396" s="8">
        <f>12916305</f>
        <v>12916305</v>
      </c>
      <c r="S1396" s="5" t="s">
        <v>240</v>
      </c>
      <c r="T1396" s="5" t="s">
        <v>237</v>
      </c>
      <c r="W1396" s="5" t="s">
        <v>241</v>
      </c>
      <c r="X1396" s="5" t="s">
        <v>337</v>
      </c>
      <c r="Y1396" s="5" t="s">
        <v>238</v>
      </c>
      <c r="AB1396" s="5" t="s">
        <v>238</v>
      </c>
      <c r="AC1396" s="6" t="s">
        <v>238</v>
      </c>
      <c r="AD1396" s="6" t="s">
        <v>238</v>
      </c>
      <c r="AF1396" s="6" t="s">
        <v>238</v>
      </c>
      <c r="AG1396" s="6" t="s">
        <v>246</v>
      </c>
      <c r="AH1396" s="5" t="s">
        <v>247</v>
      </c>
      <c r="AI1396" s="5" t="s">
        <v>248</v>
      </c>
      <c r="AO1396" s="5" t="s">
        <v>238</v>
      </c>
      <c r="AP1396" s="5" t="s">
        <v>238</v>
      </c>
      <c r="AQ1396" s="5" t="s">
        <v>238</v>
      </c>
      <c r="AR1396" s="6" t="s">
        <v>238</v>
      </c>
      <c r="AS1396" s="6" t="s">
        <v>238</v>
      </c>
      <c r="AT1396" s="6" t="s">
        <v>238</v>
      </c>
      <c r="AW1396" s="5" t="s">
        <v>304</v>
      </c>
      <c r="AX1396" s="5" t="s">
        <v>304</v>
      </c>
      <c r="AY1396" s="5" t="s">
        <v>250</v>
      </c>
      <c r="AZ1396" s="5" t="s">
        <v>305</v>
      </c>
      <c r="BA1396" s="5" t="s">
        <v>251</v>
      </c>
      <c r="BB1396" s="5" t="s">
        <v>238</v>
      </c>
      <c r="BC1396" s="5" t="s">
        <v>253</v>
      </c>
      <c r="BD1396" s="5" t="s">
        <v>238</v>
      </c>
      <c r="BF1396" s="5" t="s">
        <v>238</v>
      </c>
      <c r="BH1396" s="5" t="s">
        <v>283</v>
      </c>
      <c r="BI1396" s="6" t="s">
        <v>293</v>
      </c>
      <c r="BJ1396" s="5" t="s">
        <v>294</v>
      </c>
      <c r="BK1396" s="5" t="s">
        <v>294</v>
      </c>
      <c r="BL1396" s="5" t="s">
        <v>238</v>
      </c>
      <c r="BM1396" s="7">
        <f>0</f>
        <v>0</v>
      </c>
      <c r="BN1396" s="8">
        <f>-717572</f>
        <v>-717572</v>
      </c>
      <c r="BO1396" s="5" t="s">
        <v>257</v>
      </c>
      <c r="BP1396" s="5" t="s">
        <v>258</v>
      </c>
      <c r="BQ1396" s="5" t="s">
        <v>238</v>
      </c>
      <c r="BR1396" s="5" t="s">
        <v>238</v>
      </c>
      <c r="BS1396" s="5" t="s">
        <v>238</v>
      </c>
      <c r="BT1396" s="5" t="s">
        <v>238</v>
      </c>
      <c r="CC1396" s="5" t="s">
        <v>258</v>
      </c>
      <c r="CD1396" s="5" t="s">
        <v>238</v>
      </c>
      <c r="CE1396" s="5" t="s">
        <v>238</v>
      </c>
      <c r="CI1396" s="5" t="s">
        <v>259</v>
      </c>
      <c r="CJ1396" s="5" t="s">
        <v>260</v>
      </c>
      <c r="CK1396" s="5" t="s">
        <v>238</v>
      </c>
      <c r="CM1396" s="5" t="s">
        <v>682</v>
      </c>
      <c r="CN1396" s="6" t="s">
        <v>262</v>
      </c>
      <c r="CO1396" s="5" t="s">
        <v>263</v>
      </c>
      <c r="CP1396" s="5" t="s">
        <v>264</v>
      </c>
      <c r="CQ1396" s="5" t="s">
        <v>285</v>
      </c>
      <c r="CR1396" s="5" t="s">
        <v>238</v>
      </c>
      <c r="CS1396" s="5">
        <v>4.5999999999999999E-2</v>
      </c>
      <c r="CT1396" s="5" t="s">
        <v>265</v>
      </c>
      <c r="CU1396" s="5" t="s">
        <v>1803</v>
      </c>
      <c r="CV1396" s="5" t="s">
        <v>267</v>
      </c>
      <c r="CW1396" s="7">
        <f>0</f>
        <v>0</v>
      </c>
      <c r="CX1396" s="8">
        <f>19948090</f>
        <v>19948090</v>
      </c>
      <c r="CY1396" s="8">
        <f>2683099</f>
        <v>2683099</v>
      </c>
      <c r="DA1396" s="5" t="s">
        <v>238</v>
      </c>
      <c r="DB1396" s="5" t="s">
        <v>238</v>
      </c>
      <c r="DD1396" s="5" t="s">
        <v>238</v>
      </c>
      <c r="DE1396" s="8">
        <f>0</f>
        <v>0</v>
      </c>
      <c r="DG1396" s="5" t="s">
        <v>238</v>
      </c>
      <c r="DH1396" s="5" t="s">
        <v>238</v>
      </c>
      <c r="DI1396" s="5" t="s">
        <v>238</v>
      </c>
      <c r="DJ1396" s="5" t="s">
        <v>238</v>
      </c>
      <c r="DK1396" s="5" t="s">
        <v>271</v>
      </c>
      <c r="DL1396" s="5" t="s">
        <v>272</v>
      </c>
      <c r="DM1396" s="7">
        <f>183.01</f>
        <v>183.01</v>
      </c>
      <c r="DN1396" s="5" t="s">
        <v>238</v>
      </c>
      <c r="DO1396" s="5" t="s">
        <v>238</v>
      </c>
      <c r="DP1396" s="5" t="s">
        <v>238</v>
      </c>
      <c r="DQ1396" s="5" t="s">
        <v>238</v>
      </c>
      <c r="DT1396" s="5" t="s">
        <v>3852</v>
      </c>
      <c r="DU1396" s="5" t="s">
        <v>271</v>
      </c>
      <c r="GL1396" s="5" t="s">
        <v>3853</v>
      </c>
      <c r="HM1396" s="5" t="s">
        <v>354</v>
      </c>
      <c r="HP1396" s="5" t="s">
        <v>272</v>
      </c>
      <c r="HQ1396" s="5" t="s">
        <v>272</v>
      </c>
      <c r="HR1396" s="5" t="s">
        <v>238</v>
      </c>
      <c r="HS1396" s="5" t="s">
        <v>238</v>
      </c>
      <c r="HT1396" s="5" t="s">
        <v>238</v>
      </c>
      <c r="HU1396" s="5" t="s">
        <v>238</v>
      </c>
      <c r="HV1396" s="5" t="s">
        <v>238</v>
      </c>
      <c r="HW1396" s="5" t="s">
        <v>238</v>
      </c>
      <c r="HX1396" s="5" t="s">
        <v>238</v>
      </c>
      <c r="HY1396" s="5" t="s">
        <v>238</v>
      </c>
      <c r="HZ1396" s="5" t="s">
        <v>238</v>
      </c>
      <c r="IA1396" s="5" t="s">
        <v>238</v>
      </c>
      <c r="IB1396" s="5" t="s">
        <v>238</v>
      </c>
      <c r="IC1396" s="5" t="s">
        <v>238</v>
      </c>
      <c r="ID1396" s="5" t="s">
        <v>238</v>
      </c>
    </row>
    <row r="1397" spans="1:238" x14ac:dyDescent="0.4">
      <c r="A1397" s="5">
        <v>1752</v>
      </c>
      <c r="B1397" s="5">
        <v>1</v>
      </c>
      <c r="C1397" s="5">
        <v>1</v>
      </c>
      <c r="D1397" s="5" t="s">
        <v>2029</v>
      </c>
      <c r="E1397" s="5" t="s">
        <v>491</v>
      </c>
      <c r="F1397" s="5" t="s">
        <v>252</v>
      </c>
      <c r="G1397" s="5" t="s">
        <v>1990</v>
      </c>
      <c r="H1397" s="6" t="s">
        <v>1906</v>
      </c>
      <c r="I1397" s="5" t="s">
        <v>1990</v>
      </c>
      <c r="J1397" s="7">
        <f>526.9</f>
        <v>526.9</v>
      </c>
      <c r="K1397" s="5" t="s">
        <v>270</v>
      </c>
      <c r="L1397" s="8">
        <f>1</f>
        <v>1</v>
      </c>
      <c r="M1397" s="8">
        <f>94842000</f>
        <v>94842000</v>
      </c>
      <c r="N1397" s="6" t="s">
        <v>906</v>
      </c>
      <c r="O1397" s="5" t="s">
        <v>279</v>
      </c>
      <c r="P1397" s="5" t="s">
        <v>2030</v>
      </c>
      <c r="R1397" s="8">
        <f>94841999</f>
        <v>94841999</v>
      </c>
      <c r="S1397" s="5" t="s">
        <v>240</v>
      </c>
      <c r="T1397" s="5" t="s">
        <v>237</v>
      </c>
      <c r="U1397" s="5" t="s">
        <v>238</v>
      </c>
      <c r="V1397" s="5" t="s">
        <v>238</v>
      </c>
      <c r="W1397" s="5" t="s">
        <v>241</v>
      </c>
      <c r="X1397" s="5" t="s">
        <v>243</v>
      </c>
      <c r="Y1397" s="5" t="s">
        <v>238</v>
      </c>
      <c r="AB1397" s="5" t="s">
        <v>238</v>
      </c>
      <c r="AD1397" s="6" t="s">
        <v>238</v>
      </c>
      <c r="AG1397" s="6" t="s">
        <v>246</v>
      </c>
      <c r="AH1397" s="5" t="s">
        <v>247</v>
      </c>
      <c r="AI1397" s="5" t="s">
        <v>248</v>
      </c>
      <c r="AY1397" s="5" t="s">
        <v>250</v>
      </c>
      <c r="AZ1397" s="5" t="s">
        <v>238</v>
      </c>
      <c r="BA1397" s="5" t="s">
        <v>251</v>
      </c>
      <c r="BB1397" s="5" t="s">
        <v>238</v>
      </c>
      <c r="BC1397" s="5" t="s">
        <v>253</v>
      </c>
      <c r="BD1397" s="5" t="s">
        <v>238</v>
      </c>
      <c r="BF1397" s="5" t="s">
        <v>238</v>
      </c>
      <c r="BH1397" s="5" t="s">
        <v>254</v>
      </c>
      <c r="BI1397" s="6" t="s">
        <v>246</v>
      </c>
      <c r="BJ1397" s="5" t="s">
        <v>255</v>
      </c>
      <c r="BK1397" s="5" t="s">
        <v>1010</v>
      </c>
      <c r="BL1397" s="5" t="s">
        <v>238</v>
      </c>
      <c r="BM1397" s="7">
        <f>0</f>
        <v>0</v>
      </c>
      <c r="BN1397" s="8">
        <f>0</f>
        <v>0</v>
      </c>
      <c r="BO1397" s="5" t="s">
        <v>257</v>
      </c>
      <c r="BP1397" s="5" t="s">
        <v>258</v>
      </c>
      <c r="CD1397" s="5" t="s">
        <v>238</v>
      </c>
      <c r="CE1397" s="5" t="s">
        <v>238</v>
      </c>
      <c r="CI1397" s="5" t="s">
        <v>527</v>
      </c>
      <c r="CJ1397" s="5" t="s">
        <v>260</v>
      </c>
      <c r="CK1397" s="5" t="s">
        <v>238</v>
      </c>
      <c r="CM1397" s="5" t="s">
        <v>908</v>
      </c>
      <c r="CN1397" s="6" t="s">
        <v>262</v>
      </c>
      <c r="CO1397" s="5" t="s">
        <v>263</v>
      </c>
      <c r="CP1397" s="5" t="s">
        <v>264</v>
      </c>
      <c r="CQ1397" s="5" t="s">
        <v>238</v>
      </c>
      <c r="CR1397" s="5" t="s">
        <v>238</v>
      </c>
      <c r="CS1397" s="5">
        <v>0</v>
      </c>
      <c r="CT1397" s="5" t="s">
        <v>265</v>
      </c>
      <c r="CU1397" s="5" t="s">
        <v>1333</v>
      </c>
      <c r="CV1397" s="5" t="s">
        <v>308</v>
      </c>
      <c r="CX1397" s="8">
        <f>94842000</f>
        <v>94842000</v>
      </c>
      <c r="CY1397" s="8">
        <f>0</f>
        <v>0</v>
      </c>
      <c r="DA1397" s="5" t="s">
        <v>238</v>
      </c>
      <c r="DB1397" s="5" t="s">
        <v>238</v>
      </c>
      <c r="DD1397" s="5" t="s">
        <v>238</v>
      </c>
      <c r="DG1397" s="5" t="s">
        <v>238</v>
      </c>
      <c r="DH1397" s="5" t="s">
        <v>238</v>
      </c>
      <c r="DI1397" s="5" t="s">
        <v>238</v>
      </c>
      <c r="DJ1397" s="5" t="s">
        <v>238</v>
      </c>
      <c r="DK1397" s="5" t="s">
        <v>271</v>
      </c>
      <c r="DL1397" s="5" t="s">
        <v>272</v>
      </c>
      <c r="DM1397" s="7">
        <f>526.9</f>
        <v>526.9</v>
      </c>
      <c r="DN1397" s="5" t="s">
        <v>238</v>
      </c>
      <c r="DO1397" s="5" t="s">
        <v>238</v>
      </c>
      <c r="DP1397" s="5" t="s">
        <v>238</v>
      </c>
      <c r="DQ1397" s="5" t="s">
        <v>238</v>
      </c>
      <c r="DT1397" s="5" t="s">
        <v>2031</v>
      </c>
      <c r="DU1397" s="5" t="s">
        <v>271</v>
      </c>
      <c r="HM1397" s="5" t="s">
        <v>379</v>
      </c>
      <c r="HP1397" s="5" t="s">
        <v>272</v>
      </c>
      <c r="HQ1397" s="5" t="s">
        <v>272</v>
      </c>
    </row>
    <row r="1398" spans="1:238" x14ac:dyDescent="0.4">
      <c r="A1398" s="5">
        <v>1755</v>
      </c>
      <c r="B1398" s="5">
        <v>1</v>
      </c>
      <c r="C1398" s="5">
        <v>4</v>
      </c>
      <c r="D1398" s="5" t="s">
        <v>2177</v>
      </c>
      <c r="E1398" s="5" t="s">
        <v>686</v>
      </c>
      <c r="F1398" s="5" t="s">
        <v>252</v>
      </c>
      <c r="G1398" s="5" t="s">
        <v>327</v>
      </c>
      <c r="H1398" s="6" t="s">
        <v>1488</v>
      </c>
      <c r="I1398" s="5" t="s">
        <v>2176</v>
      </c>
      <c r="J1398" s="7">
        <f>393.94</f>
        <v>393.94</v>
      </c>
      <c r="K1398" s="5" t="s">
        <v>270</v>
      </c>
      <c r="L1398" s="8">
        <f>5211860</f>
        <v>5211860</v>
      </c>
      <c r="M1398" s="8">
        <f>53181860</f>
        <v>53181860</v>
      </c>
      <c r="N1398" s="6" t="s">
        <v>2174</v>
      </c>
      <c r="O1398" s="5" t="s">
        <v>898</v>
      </c>
      <c r="P1398" s="5" t="s">
        <v>975</v>
      </c>
      <c r="Q1398" s="8">
        <f>1170000</f>
        <v>1170000</v>
      </c>
      <c r="R1398" s="8">
        <f>47970000</f>
        <v>47970000</v>
      </c>
      <c r="S1398" s="5" t="s">
        <v>240</v>
      </c>
      <c r="T1398" s="5" t="s">
        <v>237</v>
      </c>
      <c r="U1398" s="5" t="s">
        <v>238</v>
      </c>
      <c r="V1398" s="5" t="s">
        <v>238</v>
      </c>
      <c r="W1398" s="5" t="s">
        <v>241</v>
      </c>
      <c r="X1398" s="5" t="s">
        <v>337</v>
      </c>
      <c r="Y1398" s="5" t="s">
        <v>238</v>
      </c>
      <c r="AB1398" s="5" t="s">
        <v>238</v>
      </c>
      <c r="AC1398" s="6" t="s">
        <v>238</v>
      </c>
      <c r="AD1398" s="6" t="s">
        <v>238</v>
      </c>
      <c r="AF1398" s="6" t="s">
        <v>238</v>
      </c>
      <c r="AG1398" s="6" t="s">
        <v>246</v>
      </c>
      <c r="AH1398" s="5" t="s">
        <v>247</v>
      </c>
      <c r="AI1398" s="5" t="s">
        <v>248</v>
      </c>
      <c r="AO1398" s="5" t="s">
        <v>238</v>
      </c>
      <c r="AP1398" s="5" t="s">
        <v>238</v>
      </c>
      <c r="AQ1398" s="5" t="s">
        <v>238</v>
      </c>
      <c r="AR1398" s="6" t="s">
        <v>238</v>
      </c>
      <c r="AS1398" s="6" t="s">
        <v>238</v>
      </c>
      <c r="AT1398" s="6" t="s">
        <v>238</v>
      </c>
      <c r="AW1398" s="5" t="s">
        <v>304</v>
      </c>
      <c r="AX1398" s="5" t="s">
        <v>304</v>
      </c>
      <c r="AY1398" s="5" t="s">
        <v>250</v>
      </c>
      <c r="AZ1398" s="5" t="s">
        <v>305</v>
      </c>
      <c r="BA1398" s="5" t="s">
        <v>251</v>
      </c>
      <c r="BB1398" s="5" t="s">
        <v>238</v>
      </c>
      <c r="BC1398" s="5" t="s">
        <v>253</v>
      </c>
      <c r="BD1398" s="5" t="s">
        <v>238</v>
      </c>
      <c r="BF1398" s="5" t="s">
        <v>238</v>
      </c>
      <c r="BH1398" s="5" t="s">
        <v>283</v>
      </c>
      <c r="BI1398" s="6" t="s">
        <v>293</v>
      </c>
      <c r="BJ1398" s="5" t="s">
        <v>294</v>
      </c>
      <c r="BK1398" s="5" t="s">
        <v>294</v>
      </c>
      <c r="BL1398" s="5" t="s">
        <v>238</v>
      </c>
      <c r="BM1398" s="7">
        <f>0</f>
        <v>0</v>
      </c>
      <c r="BN1398" s="8">
        <f>-1170000</f>
        <v>-1170000</v>
      </c>
      <c r="BO1398" s="5" t="s">
        <v>257</v>
      </c>
      <c r="BP1398" s="5" t="s">
        <v>258</v>
      </c>
      <c r="BQ1398" s="5" t="s">
        <v>238</v>
      </c>
      <c r="BR1398" s="5" t="s">
        <v>238</v>
      </c>
      <c r="BS1398" s="5" t="s">
        <v>238</v>
      </c>
      <c r="BT1398" s="5" t="s">
        <v>238</v>
      </c>
      <c r="CC1398" s="5" t="s">
        <v>258</v>
      </c>
      <c r="CD1398" s="5" t="s">
        <v>238</v>
      </c>
      <c r="CE1398" s="5" t="s">
        <v>238</v>
      </c>
      <c r="CI1398" s="5" t="s">
        <v>527</v>
      </c>
      <c r="CJ1398" s="5" t="s">
        <v>260</v>
      </c>
      <c r="CK1398" s="5" t="s">
        <v>238</v>
      </c>
      <c r="CM1398" s="5" t="s">
        <v>1020</v>
      </c>
      <c r="CN1398" s="6" t="s">
        <v>262</v>
      </c>
      <c r="CO1398" s="5" t="s">
        <v>263</v>
      </c>
      <c r="CP1398" s="5" t="s">
        <v>264</v>
      </c>
      <c r="CQ1398" s="5" t="s">
        <v>285</v>
      </c>
      <c r="CR1398" s="5" t="s">
        <v>238</v>
      </c>
      <c r="CS1398" s="5">
        <v>2.1999999999999999E-2</v>
      </c>
      <c r="CT1398" s="5" t="s">
        <v>265</v>
      </c>
      <c r="CU1398" s="5" t="s">
        <v>1338</v>
      </c>
      <c r="CV1398" s="5" t="s">
        <v>308</v>
      </c>
      <c r="CW1398" s="7">
        <f>0</f>
        <v>0</v>
      </c>
      <c r="CX1398" s="8">
        <f>53181860</f>
        <v>53181860</v>
      </c>
      <c r="CY1398" s="8">
        <f>6381860</f>
        <v>6381860</v>
      </c>
      <c r="DA1398" s="5" t="s">
        <v>238</v>
      </c>
      <c r="DB1398" s="5" t="s">
        <v>238</v>
      </c>
      <c r="DD1398" s="5" t="s">
        <v>238</v>
      </c>
      <c r="DE1398" s="8">
        <f>0</f>
        <v>0</v>
      </c>
      <c r="DG1398" s="5" t="s">
        <v>238</v>
      </c>
      <c r="DH1398" s="5" t="s">
        <v>238</v>
      </c>
      <c r="DI1398" s="5" t="s">
        <v>238</v>
      </c>
      <c r="DJ1398" s="5" t="s">
        <v>238</v>
      </c>
      <c r="DK1398" s="5" t="s">
        <v>274</v>
      </c>
      <c r="DL1398" s="5" t="s">
        <v>272</v>
      </c>
      <c r="DM1398" s="7">
        <f>393.94</f>
        <v>393.94</v>
      </c>
      <c r="DN1398" s="5" t="s">
        <v>238</v>
      </c>
      <c r="DO1398" s="5" t="s">
        <v>238</v>
      </c>
      <c r="DP1398" s="5" t="s">
        <v>238</v>
      </c>
      <c r="DQ1398" s="5" t="s">
        <v>238</v>
      </c>
      <c r="DT1398" s="5" t="s">
        <v>2178</v>
      </c>
      <c r="DU1398" s="5" t="s">
        <v>271</v>
      </c>
      <c r="GL1398" s="5" t="s">
        <v>2179</v>
      </c>
      <c r="HM1398" s="5" t="s">
        <v>361</v>
      </c>
      <c r="HP1398" s="5" t="s">
        <v>272</v>
      </c>
      <c r="HQ1398" s="5" t="s">
        <v>272</v>
      </c>
      <c r="HR1398" s="5" t="s">
        <v>238</v>
      </c>
      <c r="HS1398" s="5" t="s">
        <v>238</v>
      </c>
      <c r="HT1398" s="5" t="s">
        <v>238</v>
      </c>
      <c r="HU1398" s="5" t="s">
        <v>238</v>
      </c>
      <c r="HV1398" s="5" t="s">
        <v>238</v>
      </c>
      <c r="HW1398" s="5" t="s">
        <v>238</v>
      </c>
      <c r="HX1398" s="5" t="s">
        <v>238</v>
      </c>
      <c r="HY1398" s="5" t="s">
        <v>238</v>
      </c>
      <c r="HZ1398" s="5" t="s">
        <v>238</v>
      </c>
      <c r="IA1398" s="5" t="s">
        <v>238</v>
      </c>
      <c r="IB1398" s="5" t="s">
        <v>238</v>
      </c>
      <c r="IC1398" s="5" t="s">
        <v>238</v>
      </c>
      <c r="ID1398" s="5" t="s">
        <v>238</v>
      </c>
    </row>
    <row r="1399" spans="1:238" x14ac:dyDescent="0.4">
      <c r="A1399" s="5">
        <v>1757</v>
      </c>
      <c r="B1399" s="5">
        <v>1</v>
      </c>
      <c r="C1399" s="5">
        <v>4</v>
      </c>
      <c r="D1399" s="5" t="s">
        <v>1542</v>
      </c>
      <c r="E1399" s="5" t="s">
        <v>686</v>
      </c>
      <c r="F1399" s="5" t="s">
        <v>252</v>
      </c>
      <c r="G1399" s="5" t="s">
        <v>1521</v>
      </c>
      <c r="H1399" s="6" t="s">
        <v>1544</v>
      </c>
      <c r="I1399" s="5" t="s">
        <v>1497</v>
      </c>
      <c r="J1399" s="7">
        <f>698</f>
        <v>698</v>
      </c>
      <c r="K1399" s="5" t="s">
        <v>270</v>
      </c>
      <c r="L1399" s="8">
        <f>24611480</f>
        <v>24611480</v>
      </c>
      <c r="M1399" s="8">
        <f>143090000</f>
        <v>143090000</v>
      </c>
      <c r="N1399" s="6" t="s">
        <v>1543</v>
      </c>
      <c r="O1399" s="5" t="s">
        <v>286</v>
      </c>
      <c r="P1399" s="5" t="s">
        <v>269</v>
      </c>
      <c r="Q1399" s="8">
        <f>6582140</f>
        <v>6582140</v>
      </c>
      <c r="R1399" s="8">
        <f>118478520</f>
        <v>118478520</v>
      </c>
      <c r="S1399" s="5" t="s">
        <v>240</v>
      </c>
      <c r="T1399" s="5" t="s">
        <v>237</v>
      </c>
      <c r="U1399" s="5" t="s">
        <v>238</v>
      </c>
      <c r="V1399" s="5" t="s">
        <v>238</v>
      </c>
      <c r="W1399" s="5" t="s">
        <v>241</v>
      </c>
      <c r="X1399" s="5" t="s">
        <v>337</v>
      </c>
      <c r="Y1399" s="5" t="s">
        <v>238</v>
      </c>
      <c r="AB1399" s="5" t="s">
        <v>238</v>
      </c>
      <c r="AC1399" s="6" t="s">
        <v>238</v>
      </c>
      <c r="AD1399" s="6" t="s">
        <v>238</v>
      </c>
      <c r="AF1399" s="6" t="s">
        <v>238</v>
      </c>
      <c r="AG1399" s="6" t="s">
        <v>246</v>
      </c>
      <c r="AH1399" s="5" t="s">
        <v>247</v>
      </c>
      <c r="AI1399" s="5" t="s">
        <v>248</v>
      </c>
      <c r="AO1399" s="5" t="s">
        <v>238</v>
      </c>
      <c r="AP1399" s="5" t="s">
        <v>238</v>
      </c>
      <c r="AQ1399" s="5" t="s">
        <v>238</v>
      </c>
      <c r="AR1399" s="6" t="s">
        <v>238</v>
      </c>
      <c r="AS1399" s="6" t="s">
        <v>238</v>
      </c>
      <c r="AT1399" s="6" t="s">
        <v>238</v>
      </c>
      <c r="AW1399" s="5" t="s">
        <v>304</v>
      </c>
      <c r="AX1399" s="5" t="s">
        <v>304</v>
      </c>
      <c r="AY1399" s="5" t="s">
        <v>250</v>
      </c>
      <c r="AZ1399" s="5" t="s">
        <v>305</v>
      </c>
      <c r="BA1399" s="5" t="s">
        <v>251</v>
      </c>
      <c r="BB1399" s="5" t="s">
        <v>238</v>
      </c>
      <c r="BC1399" s="5" t="s">
        <v>253</v>
      </c>
      <c r="BD1399" s="5" t="s">
        <v>238</v>
      </c>
      <c r="BF1399" s="5" t="s">
        <v>238</v>
      </c>
      <c r="BH1399" s="5" t="s">
        <v>283</v>
      </c>
      <c r="BI1399" s="6" t="s">
        <v>293</v>
      </c>
      <c r="BJ1399" s="5" t="s">
        <v>294</v>
      </c>
      <c r="BK1399" s="5" t="s">
        <v>294</v>
      </c>
      <c r="BL1399" s="5" t="s">
        <v>238</v>
      </c>
      <c r="BM1399" s="7">
        <f>0</f>
        <v>0</v>
      </c>
      <c r="BN1399" s="8">
        <f>-6582140</f>
        <v>-6582140</v>
      </c>
      <c r="BO1399" s="5" t="s">
        <v>257</v>
      </c>
      <c r="BP1399" s="5" t="s">
        <v>258</v>
      </c>
      <c r="BQ1399" s="5" t="s">
        <v>238</v>
      </c>
      <c r="BR1399" s="5" t="s">
        <v>238</v>
      </c>
      <c r="BS1399" s="5" t="s">
        <v>238</v>
      </c>
      <c r="BT1399" s="5" t="s">
        <v>238</v>
      </c>
      <c r="CC1399" s="5" t="s">
        <v>258</v>
      </c>
      <c r="CD1399" s="5" t="s">
        <v>238</v>
      </c>
      <c r="CE1399" s="5" t="s">
        <v>238</v>
      </c>
      <c r="CI1399" s="5" t="s">
        <v>259</v>
      </c>
      <c r="CJ1399" s="5" t="s">
        <v>260</v>
      </c>
      <c r="CK1399" s="5" t="s">
        <v>238</v>
      </c>
      <c r="CM1399" s="5" t="s">
        <v>682</v>
      </c>
      <c r="CN1399" s="6" t="s">
        <v>262</v>
      </c>
      <c r="CO1399" s="5" t="s">
        <v>263</v>
      </c>
      <c r="CP1399" s="5" t="s">
        <v>264</v>
      </c>
      <c r="CQ1399" s="5" t="s">
        <v>285</v>
      </c>
      <c r="CR1399" s="5" t="s">
        <v>238</v>
      </c>
      <c r="CS1399" s="5">
        <v>4.5999999999999999E-2</v>
      </c>
      <c r="CT1399" s="5" t="s">
        <v>265</v>
      </c>
      <c r="CU1399" s="5" t="s">
        <v>1493</v>
      </c>
      <c r="CV1399" s="5" t="s">
        <v>267</v>
      </c>
      <c r="CW1399" s="7">
        <f>0</f>
        <v>0</v>
      </c>
      <c r="CX1399" s="8">
        <f>143090000</f>
        <v>143090000</v>
      </c>
      <c r="CY1399" s="8">
        <f>31193620</f>
        <v>31193620</v>
      </c>
      <c r="DA1399" s="5" t="s">
        <v>238</v>
      </c>
      <c r="DB1399" s="5" t="s">
        <v>238</v>
      </c>
      <c r="DD1399" s="5" t="s">
        <v>238</v>
      </c>
      <c r="DE1399" s="8">
        <f>0</f>
        <v>0</v>
      </c>
      <c r="DG1399" s="5" t="s">
        <v>238</v>
      </c>
      <c r="DH1399" s="5" t="s">
        <v>238</v>
      </c>
      <c r="DI1399" s="5" t="s">
        <v>238</v>
      </c>
      <c r="DJ1399" s="5" t="s">
        <v>238</v>
      </c>
      <c r="DK1399" s="5" t="s">
        <v>271</v>
      </c>
      <c r="DL1399" s="5" t="s">
        <v>272</v>
      </c>
      <c r="DM1399" s="7">
        <f>698</f>
        <v>698</v>
      </c>
      <c r="DN1399" s="5" t="s">
        <v>238</v>
      </c>
      <c r="DO1399" s="5" t="s">
        <v>238</v>
      </c>
      <c r="DP1399" s="5" t="s">
        <v>238</v>
      </c>
      <c r="DQ1399" s="5" t="s">
        <v>238</v>
      </c>
      <c r="DT1399" s="5" t="s">
        <v>1545</v>
      </c>
      <c r="DU1399" s="5" t="s">
        <v>271</v>
      </c>
      <c r="GL1399" s="5" t="s">
        <v>1546</v>
      </c>
      <c r="HM1399" s="5" t="s">
        <v>354</v>
      </c>
      <c r="HP1399" s="5" t="s">
        <v>272</v>
      </c>
      <c r="HQ1399" s="5" t="s">
        <v>272</v>
      </c>
      <c r="HR1399" s="5" t="s">
        <v>238</v>
      </c>
      <c r="HS1399" s="5" t="s">
        <v>238</v>
      </c>
      <c r="HT1399" s="5" t="s">
        <v>238</v>
      </c>
      <c r="HU1399" s="5" t="s">
        <v>238</v>
      </c>
      <c r="HV1399" s="5" t="s">
        <v>238</v>
      </c>
      <c r="HW1399" s="5" t="s">
        <v>238</v>
      </c>
      <c r="HX1399" s="5" t="s">
        <v>238</v>
      </c>
      <c r="HY1399" s="5" t="s">
        <v>238</v>
      </c>
      <c r="HZ1399" s="5" t="s">
        <v>238</v>
      </c>
      <c r="IA1399" s="5" t="s">
        <v>238</v>
      </c>
      <c r="IB1399" s="5" t="s">
        <v>238</v>
      </c>
      <c r="IC1399" s="5" t="s">
        <v>238</v>
      </c>
      <c r="ID1399" s="5" t="s">
        <v>238</v>
      </c>
    </row>
    <row r="1400" spans="1:238" x14ac:dyDescent="0.4">
      <c r="A1400" s="5">
        <v>1758</v>
      </c>
      <c r="B1400" s="5">
        <v>1</v>
      </c>
      <c r="C1400" s="5">
        <v>4</v>
      </c>
      <c r="D1400" s="5" t="s">
        <v>1542</v>
      </c>
      <c r="E1400" s="5" t="s">
        <v>686</v>
      </c>
      <c r="F1400" s="5" t="s">
        <v>252</v>
      </c>
      <c r="G1400" s="5" t="s">
        <v>349</v>
      </c>
      <c r="H1400" s="6" t="s">
        <v>1544</v>
      </c>
      <c r="I1400" s="5" t="s">
        <v>1549</v>
      </c>
      <c r="J1400" s="7">
        <f>65.28</f>
        <v>65.28</v>
      </c>
      <c r="K1400" s="5" t="s">
        <v>270</v>
      </c>
      <c r="L1400" s="8">
        <f>54059468</f>
        <v>54059468</v>
      </c>
      <c r="M1400" s="8">
        <f>62714000</f>
        <v>62714000</v>
      </c>
      <c r="N1400" s="6" t="s">
        <v>1550</v>
      </c>
      <c r="O1400" s="5" t="s">
        <v>286</v>
      </c>
      <c r="P1400" s="5" t="s">
        <v>271</v>
      </c>
      <c r="Q1400" s="8">
        <f>2884844</f>
        <v>2884844</v>
      </c>
      <c r="R1400" s="8">
        <f>8654532</f>
        <v>8654532</v>
      </c>
      <c r="S1400" s="5" t="s">
        <v>240</v>
      </c>
      <c r="T1400" s="5" t="s">
        <v>287</v>
      </c>
      <c r="U1400" s="5" t="s">
        <v>238</v>
      </c>
      <c r="V1400" s="5" t="s">
        <v>238</v>
      </c>
      <c r="W1400" s="5" t="s">
        <v>241</v>
      </c>
      <c r="X1400" s="5" t="s">
        <v>238</v>
      </c>
      <c r="Y1400" s="5" t="s">
        <v>238</v>
      </c>
      <c r="AB1400" s="5" t="s">
        <v>238</v>
      </c>
      <c r="AC1400" s="6" t="s">
        <v>238</v>
      </c>
      <c r="AD1400" s="6" t="s">
        <v>238</v>
      </c>
      <c r="AF1400" s="6" t="s">
        <v>238</v>
      </c>
      <c r="AG1400" s="6" t="s">
        <v>246</v>
      </c>
      <c r="AH1400" s="5" t="s">
        <v>247</v>
      </c>
      <c r="AI1400" s="5" t="s">
        <v>248</v>
      </c>
      <c r="AO1400" s="5" t="s">
        <v>238</v>
      </c>
      <c r="AP1400" s="5" t="s">
        <v>238</v>
      </c>
      <c r="AQ1400" s="5" t="s">
        <v>238</v>
      </c>
      <c r="AR1400" s="6" t="s">
        <v>238</v>
      </c>
      <c r="AS1400" s="6" t="s">
        <v>238</v>
      </c>
      <c r="AT1400" s="6" t="s">
        <v>238</v>
      </c>
      <c r="AW1400" s="5" t="s">
        <v>304</v>
      </c>
      <c r="AX1400" s="5" t="s">
        <v>304</v>
      </c>
      <c r="AY1400" s="5" t="s">
        <v>250</v>
      </c>
      <c r="AZ1400" s="5" t="s">
        <v>305</v>
      </c>
      <c r="BA1400" s="5" t="s">
        <v>251</v>
      </c>
      <c r="BB1400" s="5" t="s">
        <v>238</v>
      </c>
      <c r="BC1400" s="5" t="s">
        <v>253</v>
      </c>
      <c r="BD1400" s="5" t="s">
        <v>238</v>
      </c>
      <c r="BF1400" s="5" t="s">
        <v>238</v>
      </c>
      <c r="BH1400" s="5" t="s">
        <v>283</v>
      </c>
      <c r="BI1400" s="6" t="s">
        <v>293</v>
      </c>
      <c r="BJ1400" s="5" t="s">
        <v>294</v>
      </c>
      <c r="BK1400" s="5" t="s">
        <v>294</v>
      </c>
      <c r="BL1400" s="5" t="s">
        <v>238</v>
      </c>
      <c r="BM1400" s="7">
        <f>0</f>
        <v>0</v>
      </c>
      <c r="BN1400" s="8">
        <f>-2884844</f>
        <v>-2884844</v>
      </c>
      <c r="BO1400" s="5" t="s">
        <v>257</v>
      </c>
      <c r="BP1400" s="5" t="s">
        <v>258</v>
      </c>
      <c r="BQ1400" s="5" t="s">
        <v>238</v>
      </c>
      <c r="BR1400" s="5" t="s">
        <v>238</v>
      </c>
      <c r="BS1400" s="5" t="s">
        <v>238</v>
      </c>
      <c r="BT1400" s="5" t="s">
        <v>238</v>
      </c>
      <c r="CC1400" s="5" t="s">
        <v>258</v>
      </c>
      <c r="CD1400" s="5" t="s">
        <v>238</v>
      </c>
      <c r="CE1400" s="5" t="s">
        <v>238</v>
      </c>
      <c r="CI1400" s="5" t="s">
        <v>259</v>
      </c>
      <c r="CJ1400" s="5" t="s">
        <v>260</v>
      </c>
      <c r="CK1400" s="5" t="s">
        <v>238</v>
      </c>
      <c r="CM1400" s="5" t="s">
        <v>291</v>
      </c>
      <c r="CN1400" s="6" t="s">
        <v>262</v>
      </c>
      <c r="CO1400" s="5" t="s">
        <v>263</v>
      </c>
      <c r="CP1400" s="5" t="s">
        <v>264</v>
      </c>
      <c r="CQ1400" s="5" t="s">
        <v>285</v>
      </c>
      <c r="CR1400" s="5" t="s">
        <v>238</v>
      </c>
      <c r="CS1400" s="5">
        <v>4.5999999999999999E-2</v>
      </c>
      <c r="CT1400" s="5" t="s">
        <v>265</v>
      </c>
      <c r="CU1400" s="5" t="s">
        <v>1493</v>
      </c>
      <c r="CV1400" s="5" t="s">
        <v>267</v>
      </c>
      <c r="CW1400" s="7">
        <f>0</f>
        <v>0</v>
      </c>
      <c r="CX1400" s="8">
        <f>62714000</f>
        <v>62714000</v>
      </c>
      <c r="CY1400" s="8">
        <f>56944312</f>
        <v>56944312</v>
      </c>
      <c r="DA1400" s="5" t="s">
        <v>238</v>
      </c>
      <c r="DB1400" s="5" t="s">
        <v>238</v>
      </c>
      <c r="DD1400" s="5" t="s">
        <v>238</v>
      </c>
      <c r="DE1400" s="8">
        <f>0</f>
        <v>0</v>
      </c>
      <c r="DG1400" s="5" t="s">
        <v>238</v>
      </c>
      <c r="DH1400" s="5" t="s">
        <v>238</v>
      </c>
      <c r="DI1400" s="5" t="s">
        <v>238</v>
      </c>
      <c r="DJ1400" s="5" t="s">
        <v>238</v>
      </c>
      <c r="DK1400" s="5" t="s">
        <v>272</v>
      </c>
      <c r="DL1400" s="5" t="s">
        <v>272</v>
      </c>
      <c r="DM1400" s="7">
        <f>65.28</f>
        <v>65.28</v>
      </c>
      <c r="DN1400" s="5" t="s">
        <v>238</v>
      </c>
      <c r="DO1400" s="5" t="s">
        <v>238</v>
      </c>
      <c r="DP1400" s="5" t="s">
        <v>238</v>
      </c>
      <c r="DQ1400" s="5" t="s">
        <v>238</v>
      </c>
      <c r="DT1400" s="5" t="s">
        <v>1545</v>
      </c>
      <c r="DU1400" s="5" t="s">
        <v>274</v>
      </c>
      <c r="GL1400" s="5" t="s">
        <v>1551</v>
      </c>
      <c r="HM1400" s="5" t="s">
        <v>379</v>
      </c>
      <c r="HP1400" s="5" t="s">
        <v>272</v>
      </c>
      <c r="HQ1400" s="5" t="s">
        <v>272</v>
      </c>
      <c r="HR1400" s="5" t="s">
        <v>238</v>
      </c>
      <c r="HS1400" s="5" t="s">
        <v>238</v>
      </c>
      <c r="HT1400" s="5" t="s">
        <v>238</v>
      </c>
      <c r="HU1400" s="5" t="s">
        <v>238</v>
      </c>
      <c r="HV1400" s="5" t="s">
        <v>238</v>
      </c>
      <c r="HW1400" s="5" t="s">
        <v>238</v>
      </c>
      <c r="HX1400" s="5" t="s">
        <v>238</v>
      </c>
      <c r="HY1400" s="5" t="s">
        <v>238</v>
      </c>
      <c r="HZ1400" s="5" t="s">
        <v>238</v>
      </c>
      <c r="IA1400" s="5" t="s">
        <v>238</v>
      </c>
      <c r="IB1400" s="5" t="s">
        <v>238</v>
      </c>
      <c r="IC1400" s="5" t="s">
        <v>238</v>
      </c>
      <c r="ID1400" s="5" t="s">
        <v>238</v>
      </c>
    </row>
    <row r="1401" spans="1:238" x14ac:dyDescent="0.4">
      <c r="A1401" s="5">
        <v>1759</v>
      </c>
      <c r="B1401" s="5">
        <v>1</v>
      </c>
      <c r="C1401" s="5">
        <v>4</v>
      </c>
      <c r="D1401" s="5" t="s">
        <v>1542</v>
      </c>
      <c r="E1401" s="5" t="s">
        <v>686</v>
      </c>
      <c r="F1401" s="5" t="s">
        <v>252</v>
      </c>
      <c r="G1401" s="5" t="s">
        <v>349</v>
      </c>
      <c r="H1401" s="6" t="s">
        <v>1544</v>
      </c>
      <c r="I1401" s="5" t="s">
        <v>3066</v>
      </c>
      <c r="J1401" s="7">
        <f>0</f>
        <v>0</v>
      </c>
      <c r="K1401" s="5" t="s">
        <v>270</v>
      </c>
      <c r="L1401" s="8">
        <f>26340633</f>
        <v>26340633</v>
      </c>
      <c r="M1401" s="8">
        <f>32967000</f>
        <v>32967000</v>
      </c>
      <c r="N1401" s="6" t="s">
        <v>1550</v>
      </c>
      <c r="O1401" s="5" t="s">
        <v>268</v>
      </c>
      <c r="P1401" s="5" t="s">
        <v>271</v>
      </c>
      <c r="Q1401" s="8">
        <f>2208789</f>
        <v>2208789</v>
      </c>
      <c r="R1401" s="8">
        <f>6626367</f>
        <v>6626367</v>
      </c>
      <c r="S1401" s="5" t="s">
        <v>240</v>
      </c>
      <c r="T1401" s="5" t="s">
        <v>287</v>
      </c>
      <c r="U1401" s="5" t="s">
        <v>238</v>
      </c>
      <c r="V1401" s="5" t="s">
        <v>238</v>
      </c>
      <c r="W1401" s="5" t="s">
        <v>241</v>
      </c>
      <c r="X1401" s="5" t="s">
        <v>238</v>
      </c>
      <c r="Y1401" s="5" t="s">
        <v>238</v>
      </c>
      <c r="AB1401" s="5" t="s">
        <v>238</v>
      </c>
      <c r="AC1401" s="6" t="s">
        <v>238</v>
      </c>
      <c r="AD1401" s="6" t="s">
        <v>238</v>
      </c>
      <c r="AF1401" s="6" t="s">
        <v>238</v>
      </c>
      <c r="AG1401" s="6" t="s">
        <v>246</v>
      </c>
      <c r="AH1401" s="5" t="s">
        <v>247</v>
      </c>
      <c r="AI1401" s="5" t="s">
        <v>248</v>
      </c>
      <c r="AO1401" s="5" t="s">
        <v>238</v>
      </c>
      <c r="AP1401" s="5" t="s">
        <v>238</v>
      </c>
      <c r="AQ1401" s="5" t="s">
        <v>238</v>
      </c>
      <c r="AR1401" s="6" t="s">
        <v>238</v>
      </c>
      <c r="AS1401" s="6" t="s">
        <v>238</v>
      </c>
      <c r="AT1401" s="6" t="s">
        <v>238</v>
      </c>
      <c r="AW1401" s="5" t="s">
        <v>304</v>
      </c>
      <c r="AX1401" s="5" t="s">
        <v>304</v>
      </c>
      <c r="AY1401" s="5" t="s">
        <v>250</v>
      </c>
      <c r="AZ1401" s="5" t="s">
        <v>305</v>
      </c>
      <c r="BA1401" s="5" t="s">
        <v>251</v>
      </c>
      <c r="BB1401" s="5" t="s">
        <v>238</v>
      </c>
      <c r="BC1401" s="5" t="s">
        <v>253</v>
      </c>
      <c r="BD1401" s="5" t="s">
        <v>238</v>
      </c>
      <c r="BF1401" s="5" t="s">
        <v>238</v>
      </c>
      <c r="BH1401" s="5" t="s">
        <v>283</v>
      </c>
      <c r="BI1401" s="6" t="s">
        <v>293</v>
      </c>
      <c r="BJ1401" s="5" t="s">
        <v>294</v>
      </c>
      <c r="BK1401" s="5" t="s">
        <v>294</v>
      </c>
      <c r="BL1401" s="5" t="s">
        <v>238</v>
      </c>
      <c r="BM1401" s="7">
        <f>0</f>
        <v>0</v>
      </c>
      <c r="BN1401" s="8">
        <f>-2208789</f>
        <v>-2208789</v>
      </c>
      <c r="BO1401" s="5" t="s">
        <v>257</v>
      </c>
      <c r="BP1401" s="5" t="s">
        <v>258</v>
      </c>
      <c r="BQ1401" s="5" t="s">
        <v>238</v>
      </c>
      <c r="BR1401" s="5" t="s">
        <v>238</v>
      </c>
      <c r="BS1401" s="5" t="s">
        <v>238</v>
      </c>
      <c r="BT1401" s="5" t="s">
        <v>238</v>
      </c>
      <c r="CC1401" s="5" t="s">
        <v>258</v>
      </c>
      <c r="CD1401" s="5" t="s">
        <v>238</v>
      </c>
      <c r="CE1401" s="5" t="s">
        <v>238</v>
      </c>
      <c r="CI1401" s="5" t="s">
        <v>259</v>
      </c>
      <c r="CJ1401" s="5" t="s">
        <v>260</v>
      </c>
      <c r="CK1401" s="5" t="s">
        <v>238</v>
      </c>
      <c r="CM1401" s="5" t="s">
        <v>291</v>
      </c>
      <c r="CN1401" s="6" t="s">
        <v>262</v>
      </c>
      <c r="CO1401" s="5" t="s">
        <v>263</v>
      </c>
      <c r="CP1401" s="5" t="s">
        <v>264</v>
      </c>
      <c r="CQ1401" s="5" t="s">
        <v>285</v>
      </c>
      <c r="CR1401" s="5" t="s">
        <v>238</v>
      </c>
      <c r="CS1401" s="5">
        <v>6.7000000000000004E-2</v>
      </c>
      <c r="CT1401" s="5" t="s">
        <v>265</v>
      </c>
      <c r="CU1401" s="5" t="s">
        <v>351</v>
      </c>
      <c r="CV1401" s="5" t="s">
        <v>365</v>
      </c>
      <c r="CW1401" s="7">
        <f>0</f>
        <v>0</v>
      </c>
      <c r="CX1401" s="8">
        <f>32967000</f>
        <v>32967000</v>
      </c>
      <c r="CY1401" s="8">
        <f>28549422</f>
        <v>28549422</v>
      </c>
      <c r="DA1401" s="5" t="s">
        <v>238</v>
      </c>
      <c r="DB1401" s="5" t="s">
        <v>238</v>
      </c>
      <c r="DD1401" s="5" t="s">
        <v>238</v>
      </c>
      <c r="DE1401" s="8">
        <f>0</f>
        <v>0</v>
      </c>
      <c r="DG1401" s="5" t="s">
        <v>238</v>
      </c>
      <c r="DH1401" s="5" t="s">
        <v>238</v>
      </c>
      <c r="DI1401" s="5" t="s">
        <v>238</v>
      </c>
      <c r="DJ1401" s="5" t="s">
        <v>238</v>
      </c>
      <c r="DK1401" s="5" t="s">
        <v>272</v>
      </c>
      <c r="DL1401" s="5" t="s">
        <v>272</v>
      </c>
      <c r="DM1401" s="8" t="s">
        <v>238</v>
      </c>
      <c r="DN1401" s="5" t="s">
        <v>238</v>
      </c>
      <c r="DO1401" s="5" t="s">
        <v>238</v>
      </c>
      <c r="DP1401" s="5" t="s">
        <v>238</v>
      </c>
      <c r="DQ1401" s="5" t="s">
        <v>238</v>
      </c>
      <c r="DT1401" s="5" t="s">
        <v>1545</v>
      </c>
      <c r="DU1401" s="5" t="s">
        <v>356</v>
      </c>
      <c r="GL1401" s="5" t="s">
        <v>3067</v>
      </c>
      <c r="HM1401" s="5" t="s">
        <v>379</v>
      </c>
      <c r="HP1401" s="5" t="s">
        <v>272</v>
      </c>
      <c r="HQ1401" s="5" t="s">
        <v>272</v>
      </c>
      <c r="HR1401" s="5" t="s">
        <v>238</v>
      </c>
      <c r="HS1401" s="5" t="s">
        <v>238</v>
      </c>
      <c r="HT1401" s="5" t="s">
        <v>238</v>
      </c>
      <c r="HU1401" s="5" t="s">
        <v>238</v>
      </c>
      <c r="HV1401" s="5" t="s">
        <v>238</v>
      </c>
      <c r="HW1401" s="5" t="s">
        <v>238</v>
      </c>
      <c r="HX1401" s="5" t="s">
        <v>238</v>
      </c>
      <c r="HY1401" s="5" t="s">
        <v>238</v>
      </c>
      <c r="HZ1401" s="5" t="s">
        <v>238</v>
      </c>
      <c r="IA1401" s="5" t="s">
        <v>238</v>
      </c>
      <c r="IB1401" s="5" t="s">
        <v>238</v>
      </c>
      <c r="IC1401" s="5" t="s">
        <v>238</v>
      </c>
      <c r="ID1401" s="5" t="s">
        <v>238</v>
      </c>
    </row>
    <row r="1402" spans="1:238" x14ac:dyDescent="0.4">
      <c r="A1402" s="5">
        <v>1760</v>
      </c>
      <c r="B1402" s="5">
        <v>1</v>
      </c>
      <c r="C1402" s="5">
        <v>4</v>
      </c>
      <c r="D1402" s="5" t="s">
        <v>1542</v>
      </c>
      <c r="E1402" s="5" t="s">
        <v>686</v>
      </c>
      <c r="F1402" s="5" t="s">
        <v>252</v>
      </c>
      <c r="G1402" s="5" t="s">
        <v>349</v>
      </c>
      <c r="H1402" s="6" t="s">
        <v>1544</v>
      </c>
      <c r="I1402" s="5" t="s">
        <v>3068</v>
      </c>
      <c r="J1402" s="7">
        <f>0</f>
        <v>0</v>
      </c>
      <c r="K1402" s="5" t="s">
        <v>270</v>
      </c>
      <c r="L1402" s="8">
        <f>19371110</f>
        <v>19371110</v>
      </c>
      <c r="M1402" s="8">
        <f>25190000</f>
        <v>25190000</v>
      </c>
      <c r="N1402" s="6" t="s">
        <v>1550</v>
      </c>
      <c r="O1402" s="5" t="s">
        <v>319</v>
      </c>
      <c r="P1402" s="5" t="s">
        <v>271</v>
      </c>
      <c r="Q1402" s="8">
        <f>1939630</f>
        <v>1939630</v>
      </c>
      <c r="R1402" s="8">
        <f>5818890</f>
        <v>5818890</v>
      </c>
      <c r="S1402" s="5" t="s">
        <v>240</v>
      </c>
      <c r="T1402" s="5" t="s">
        <v>287</v>
      </c>
      <c r="U1402" s="5" t="s">
        <v>238</v>
      </c>
      <c r="V1402" s="5" t="s">
        <v>238</v>
      </c>
      <c r="W1402" s="5" t="s">
        <v>241</v>
      </c>
      <c r="X1402" s="5" t="s">
        <v>238</v>
      </c>
      <c r="Y1402" s="5" t="s">
        <v>238</v>
      </c>
      <c r="AB1402" s="5" t="s">
        <v>238</v>
      </c>
      <c r="AC1402" s="6" t="s">
        <v>238</v>
      </c>
      <c r="AD1402" s="6" t="s">
        <v>238</v>
      </c>
      <c r="AF1402" s="6" t="s">
        <v>238</v>
      </c>
      <c r="AG1402" s="6" t="s">
        <v>246</v>
      </c>
      <c r="AH1402" s="5" t="s">
        <v>247</v>
      </c>
      <c r="AI1402" s="5" t="s">
        <v>248</v>
      </c>
      <c r="AO1402" s="5" t="s">
        <v>238</v>
      </c>
      <c r="AP1402" s="5" t="s">
        <v>238</v>
      </c>
      <c r="AQ1402" s="5" t="s">
        <v>238</v>
      </c>
      <c r="AR1402" s="6" t="s">
        <v>238</v>
      </c>
      <c r="AS1402" s="6" t="s">
        <v>238</v>
      </c>
      <c r="AT1402" s="6" t="s">
        <v>238</v>
      </c>
      <c r="AW1402" s="5" t="s">
        <v>304</v>
      </c>
      <c r="AX1402" s="5" t="s">
        <v>304</v>
      </c>
      <c r="AY1402" s="5" t="s">
        <v>250</v>
      </c>
      <c r="AZ1402" s="5" t="s">
        <v>305</v>
      </c>
      <c r="BA1402" s="5" t="s">
        <v>251</v>
      </c>
      <c r="BB1402" s="5" t="s">
        <v>238</v>
      </c>
      <c r="BC1402" s="5" t="s">
        <v>253</v>
      </c>
      <c r="BD1402" s="5" t="s">
        <v>238</v>
      </c>
      <c r="BF1402" s="5" t="s">
        <v>238</v>
      </c>
      <c r="BH1402" s="5" t="s">
        <v>283</v>
      </c>
      <c r="BI1402" s="6" t="s">
        <v>293</v>
      </c>
      <c r="BJ1402" s="5" t="s">
        <v>294</v>
      </c>
      <c r="BK1402" s="5" t="s">
        <v>294</v>
      </c>
      <c r="BL1402" s="5" t="s">
        <v>238</v>
      </c>
      <c r="BM1402" s="7">
        <f>0</f>
        <v>0</v>
      </c>
      <c r="BN1402" s="8">
        <f>-1939630</f>
        <v>-1939630</v>
      </c>
      <c r="BO1402" s="5" t="s">
        <v>257</v>
      </c>
      <c r="BP1402" s="5" t="s">
        <v>258</v>
      </c>
      <c r="BQ1402" s="5" t="s">
        <v>238</v>
      </c>
      <c r="BR1402" s="5" t="s">
        <v>238</v>
      </c>
      <c r="BS1402" s="5" t="s">
        <v>238</v>
      </c>
      <c r="BT1402" s="5" t="s">
        <v>238</v>
      </c>
      <c r="CC1402" s="5" t="s">
        <v>258</v>
      </c>
      <c r="CD1402" s="5" t="s">
        <v>238</v>
      </c>
      <c r="CE1402" s="5" t="s">
        <v>238</v>
      </c>
      <c r="CI1402" s="5" t="s">
        <v>259</v>
      </c>
      <c r="CJ1402" s="5" t="s">
        <v>260</v>
      </c>
      <c r="CK1402" s="5" t="s">
        <v>238</v>
      </c>
      <c r="CM1402" s="5" t="s">
        <v>291</v>
      </c>
      <c r="CN1402" s="6" t="s">
        <v>262</v>
      </c>
      <c r="CO1402" s="5" t="s">
        <v>263</v>
      </c>
      <c r="CP1402" s="5" t="s">
        <v>264</v>
      </c>
      <c r="CQ1402" s="5" t="s">
        <v>285</v>
      </c>
      <c r="CR1402" s="5" t="s">
        <v>238</v>
      </c>
      <c r="CS1402" s="5">
        <v>7.6999999999999999E-2</v>
      </c>
      <c r="CT1402" s="5" t="s">
        <v>265</v>
      </c>
      <c r="CU1402" s="5" t="s">
        <v>351</v>
      </c>
      <c r="CV1402" s="5" t="s">
        <v>352</v>
      </c>
      <c r="CW1402" s="7">
        <f>0</f>
        <v>0</v>
      </c>
      <c r="CX1402" s="8">
        <f>25190000</f>
        <v>25190000</v>
      </c>
      <c r="CY1402" s="8">
        <f>21310740</f>
        <v>21310740</v>
      </c>
      <c r="DA1402" s="5" t="s">
        <v>238</v>
      </c>
      <c r="DB1402" s="5" t="s">
        <v>238</v>
      </c>
      <c r="DD1402" s="5" t="s">
        <v>238</v>
      </c>
      <c r="DE1402" s="8">
        <f>0</f>
        <v>0</v>
      </c>
      <c r="DG1402" s="5" t="s">
        <v>238</v>
      </c>
      <c r="DH1402" s="5" t="s">
        <v>238</v>
      </c>
      <c r="DI1402" s="5" t="s">
        <v>238</v>
      </c>
      <c r="DJ1402" s="5" t="s">
        <v>238</v>
      </c>
      <c r="DK1402" s="5" t="s">
        <v>272</v>
      </c>
      <c r="DL1402" s="5" t="s">
        <v>272</v>
      </c>
      <c r="DM1402" s="8" t="s">
        <v>238</v>
      </c>
      <c r="DN1402" s="5" t="s">
        <v>238</v>
      </c>
      <c r="DO1402" s="5" t="s">
        <v>238</v>
      </c>
      <c r="DP1402" s="5" t="s">
        <v>238</v>
      </c>
      <c r="DQ1402" s="5" t="s">
        <v>238</v>
      </c>
      <c r="DT1402" s="5" t="s">
        <v>1545</v>
      </c>
      <c r="DU1402" s="5" t="s">
        <v>310</v>
      </c>
      <c r="GL1402" s="5" t="s">
        <v>3069</v>
      </c>
      <c r="HM1402" s="5" t="s">
        <v>379</v>
      </c>
      <c r="HP1402" s="5" t="s">
        <v>272</v>
      </c>
      <c r="HQ1402" s="5" t="s">
        <v>272</v>
      </c>
      <c r="HR1402" s="5" t="s">
        <v>238</v>
      </c>
      <c r="HS1402" s="5" t="s">
        <v>238</v>
      </c>
      <c r="HT1402" s="5" t="s">
        <v>238</v>
      </c>
      <c r="HU1402" s="5" t="s">
        <v>238</v>
      </c>
      <c r="HV1402" s="5" t="s">
        <v>238</v>
      </c>
      <c r="HW1402" s="5" t="s">
        <v>238</v>
      </c>
      <c r="HX1402" s="5" t="s">
        <v>238</v>
      </c>
      <c r="HY1402" s="5" t="s">
        <v>238</v>
      </c>
      <c r="HZ1402" s="5" t="s">
        <v>238</v>
      </c>
      <c r="IA1402" s="5" t="s">
        <v>238</v>
      </c>
      <c r="IB1402" s="5" t="s">
        <v>238</v>
      </c>
      <c r="IC1402" s="5" t="s">
        <v>238</v>
      </c>
      <c r="ID1402" s="5" t="s">
        <v>238</v>
      </c>
    </row>
    <row r="1403" spans="1:238" x14ac:dyDescent="0.4">
      <c r="A1403" s="5">
        <v>1761</v>
      </c>
      <c r="B1403" s="5">
        <v>1</v>
      </c>
      <c r="C1403" s="5">
        <v>4</v>
      </c>
      <c r="D1403" s="5" t="s">
        <v>1043</v>
      </c>
      <c r="E1403" s="5" t="s">
        <v>686</v>
      </c>
      <c r="F1403" s="5" t="s">
        <v>252</v>
      </c>
      <c r="G1403" s="5" t="s">
        <v>1521</v>
      </c>
      <c r="H1403" s="6" t="s">
        <v>1045</v>
      </c>
      <c r="I1403" s="5" t="s">
        <v>1497</v>
      </c>
      <c r="J1403" s="7">
        <f>282</f>
        <v>282</v>
      </c>
      <c r="K1403" s="5" t="s">
        <v>270</v>
      </c>
      <c r="L1403" s="8">
        <f>23738760</f>
        <v>23738760</v>
      </c>
      <c r="M1403" s="8">
        <f>51606000</f>
        <v>51606000</v>
      </c>
      <c r="N1403" s="6" t="s">
        <v>1254</v>
      </c>
      <c r="O1403" s="5" t="s">
        <v>755</v>
      </c>
      <c r="P1403" s="5" t="s">
        <v>269</v>
      </c>
      <c r="Q1403" s="8">
        <f>1548180</f>
        <v>1548180</v>
      </c>
      <c r="R1403" s="8">
        <f>27867240</f>
        <v>27867240</v>
      </c>
      <c r="S1403" s="5" t="s">
        <v>240</v>
      </c>
      <c r="T1403" s="5" t="s">
        <v>237</v>
      </c>
      <c r="U1403" s="5" t="s">
        <v>238</v>
      </c>
      <c r="V1403" s="5" t="s">
        <v>238</v>
      </c>
      <c r="W1403" s="5" t="s">
        <v>241</v>
      </c>
      <c r="X1403" s="5" t="s">
        <v>243</v>
      </c>
      <c r="Y1403" s="5" t="s">
        <v>238</v>
      </c>
      <c r="AB1403" s="5" t="s">
        <v>238</v>
      </c>
      <c r="AC1403" s="6" t="s">
        <v>238</v>
      </c>
      <c r="AD1403" s="6" t="s">
        <v>238</v>
      </c>
      <c r="AF1403" s="6" t="s">
        <v>238</v>
      </c>
      <c r="AG1403" s="6" t="s">
        <v>246</v>
      </c>
      <c r="AH1403" s="5" t="s">
        <v>247</v>
      </c>
      <c r="AI1403" s="5" t="s">
        <v>248</v>
      </c>
      <c r="AO1403" s="5" t="s">
        <v>238</v>
      </c>
      <c r="AP1403" s="5" t="s">
        <v>238</v>
      </c>
      <c r="AQ1403" s="5" t="s">
        <v>238</v>
      </c>
      <c r="AR1403" s="6" t="s">
        <v>238</v>
      </c>
      <c r="AS1403" s="6" t="s">
        <v>238</v>
      </c>
      <c r="AT1403" s="6" t="s">
        <v>238</v>
      </c>
      <c r="AW1403" s="5" t="s">
        <v>304</v>
      </c>
      <c r="AX1403" s="5" t="s">
        <v>304</v>
      </c>
      <c r="AY1403" s="5" t="s">
        <v>250</v>
      </c>
      <c r="AZ1403" s="5" t="s">
        <v>305</v>
      </c>
      <c r="BA1403" s="5" t="s">
        <v>251</v>
      </c>
      <c r="BB1403" s="5" t="s">
        <v>238</v>
      </c>
      <c r="BC1403" s="5" t="s">
        <v>253</v>
      </c>
      <c r="BD1403" s="5" t="s">
        <v>238</v>
      </c>
      <c r="BF1403" s="5" t="s">
        <v>1009</v>
      </c>
      <c r="BH1403" s="5" t="s">
        <v>283</v>
      </c>
      <c r="BI1403" s="6" t="s">
        <v>293</v>
      </c>
      <c r="BJ1403" s="5" t="s">
        <v>294</v>
      </c>
      <c r="BK1403" s="5" t="s">
        <v>294</v>
      </c>
      <c r="BL1403" s="5" t="s">
        <v>238</v>
      </c>
      <c r="BM1403" s="7">
        <f>0</f>
        <v>0</v>
      </c>
      <c r="BN1403" s="8">
        <f>-1548180</f>
        <v>-1548180</v>
      </c>
      <c r="BO1403" s="5" t="s">
        <v>257</v>
      </c>
      <c r="BP1403" s="5" t="s">
        <v>258</v>
      </c>
      <c r="BQ1403" s="5" t="s">
        <v>238</v>
      </c>
      <c r="BR1403" s="5" t="s">
        <v>238</v>
      </c>
      <c r="BS1403" s="5" t="s">
        <v>238</v>
      </c>
      <c r="BT1403" s="5" t="s">
        <v>238</v>
      </c>
      <c r="CC1403" s="5" t="s">
        <v>258</v>
      </c>
      <c r="CD1403" s="5" t="s">
        <v>238</v>
      </c>
      <c r="CE1403" s="5" t="s">
        <v>238</v>
      </c>
      <c r="CI1403" s="5" t="s">
        <v>259</v>
      </c>
      <c r="CJ1403" s="5" t="s">
        <v>260</v>
      </c>
      <c r="CK1403" s="5" t="s">
        <v>238</v>
      </c>
      <c r="CM1403" s="5" t="s">
        <v>682</v>
      </c>
      <c r="CN1403" s="6" t="s">
        <v>262</v>
      </c>
      <c r="CO1403" s="5" t="s">
        <v>263</v>
      </c>
      <c r="CP1403" s="5" t="s">
        <v>264</v>
      </c>
      <c r="CQ1403" s="5" t="s">
        <v>285</v>
      </c>
      <c r="CR1403" s="5" t="s">
        <v>238</v>
      </c>
      <c r="CS1403" s="5">
        <v>0.03</v>
      </c>
      <c r="CT1403" s="5" t="s">
        <v>265</v>
      </c>
      <c r="CU1403" s="5" t="s">
        <v>1493</v>
      </c>
      <c r="CV1403" s="5" t="s">
        <v>649</v>
      </c>
      <c r="CW1403" s="7">
        <f>0</f>
        <v>0</v>
      </c>
      <c r="CX1403" s="8">
        <f>51606000</f>
        <v>51606000</v>
      </c>
      <c r="CY1403" s="8">
        <f>25286940</f>
        <v>25286940</v>
      </c>
      <c r="DA1403" s="5" t="s">
        <v>238</v>
      </c>
      <c r="DB1403" s="5" t="s">
        <v>238</v>
      </c>
      <c r="DD1403" s="5" t="s">
        <v>238</v>
      </c>
      <c r="DE1403" s="8">
        <f>0</f>
        <v>0</v>
      </c>
      <c r="DG1403" s="5" t="s">
        <v>238</v>
      </c>
      <c r="DH1403" s="5" t="s">
        <v>238</v>
      </c>
      <c r="DI1403" s="5" t="s">
        <v>238</v>
      </c>
      <c r="DJ1403" s="5" t="s">
        <v>238</v>
      </c>
      <c r="DK1403" s="5" t="s">
        <v>271</v>
      </c>
      <c r="DL1403" s="5" t="s">
        <v>272</v>
      </c>
      <c r="DM1403" s="7">
        <f>282</f>
        <v>282</v>
      </c>
      <c r="DN1403" s="5" t="s">
        <v>238</v>
      </c>
      <c r="DO1403" s="5" t="s">
        <v>238</v>
      </c>
      <c r="DP1403" s="5" t="s">
        <v>238</v>
      </c>
      <c r="DQ1403" s="5" t="s">
        <v>238</v>
      </c>
      <c r="DT1403" s="5" t="s">
        <v>1046</v>
      </c>
      <c r="DU1403" s="5" t="s">
        <v>271</v>
      </c>
      <c r="GL1403" s="5" t="s">
        <v>1562</v>
      </c>
      <c r="HM1403" s="5" t="s">
        <v>313</v>
      </c>
      <c r="HP1403" s="5" t="s">
        <v>272</v>
      </c>
      <c r="HQ1403" s="5" t="s">
        <v>272</v>
      </c>
      <c r="HR1403" s="5" t="s">
        <v>238</v>
      </c>
      <c r="HS1403" s="5" t="s">
        <v>238</v>
      </c>
      <c r="HT1403" s="5" t="s">
        <v>238</v>
      </c>
      <c r="HU1403" s="5" t="s">
        <v>238</v>
      </c>
      <c r="HV1403" s="5" t="s">
        <v>238</v>
      </c>
      <c r="HW1403" s="5" t="s">
        <v>238</v>
      </c>
      <c r="HX1403" s="5" t="s">
        <v>238</v>
      </c>
      <c r="HY1403" s="5" t="s">
        <v>238</v>
      </c>
      <c r="HZ1403" s="5" t="s">
        <v>238</v>
      </c>
      <c r="IA1403" s="5" t="s">
        <v>238</v>
      </c>
      <c r="IB1403" s="5" t="s">
        <v>238</v>
      </c>
      <c r="IC1403" s="5" t="s">
        <v>238</v>
      </c>
      <c r="ID1403" s="5" t="s">
        <v>238</v>
      </c>
    </row>
    <row r="1404" spans="1:238" x14ac:dyDescent="0.4">
      <c r="A1404" s="5">
        <v>1762</v>
      </c>
      <c r="B1404" s="5">
        <v>1</v>
      </c>
      <c r="C1404" s="5">
        <v>1</v>
      </c>
      <c r="D1404" s="5" t="s">
        <v>1043</v>
      </c>
      <c r="E1404" s="5" t="s">
        <v>686</v>
      </c>
      <c r="F1404" s="5" t="s">
        <v>252</v>
      </c>
      <c r="G1404" s="5" t="s">
        <v>239</v>
      </c>
      <c r="H1404" s="6" t="s">
        <v>1045</v>
      </c>
      <c r="I1404" s="5" t="s">
        <v>239</v>
      </c>
      <c r="J1404" s="7">
        <f>8</f>
        <v>8</v>
      </c>
      <c r="K1404" s="5" t="s">
        <v>270</v>
      </c>
      <c r="L1404" s="8">
        <f>1</f>
        <v>1</v>
      </c>
      <c r="M1404" s="8">
        <f>14640</f>
        <v>14640</v>
      </c>
      <c r="N1404" s="6" t="s">
        <v>1044</v>
      </c>
      <c r="O1404" s="5" t="s">
        <v>651</v>
      </c>
      <c r="P1404" s="5" t="s">
        <v>1035</v>
      </c>
      <c r="R1404" s="8">
        <f>14639</f>
        <v>14639</v>
      </c>
      <c r="S1404" s="5" t="s">
        <v>240</v>
      </c>
      <c r="T1404" s="5" t="s">
        <v>237</v>
      </c>
      <c r="U1404" s="5" t="s">
        <v>238</v>
      </c>
      <c r="V1404" s="5" t="s">
        <v>238</v>
      </c>
      <c r="W1404" s="5" t="s">
        <v>241</v>
      </c>
      <c r="X1404" s="5" t="s">
        <v>243</v>
      </c>
      <c r="Y1404" s="5" t="s">
        <v>238</v>
      </c>
      <c r="AB1404" s="5" t="s">
        <v>238</v>
      </c>
      <c r="AD1404" s="6" t="s">
        <v>238</v>
      </c>
      <c r="AG1404" s="6" t="s">
        <v>246</v>
      </c>
      <c r="AH1404" s="5" t="s">
        <v>247</v>
      </c>
      <c r="AI1404" s="5" t="s">
        <v>248</v>
      </c>
      <c r="AY1404" s="5" t="s">
        <v>250</v>
      </c>
      <c r="AZ1404" s="5" t="s">
        <v>238</v>
      </c>
      <c r="BA1404" s="5" t="s">
        <v>251</v>
      </c>
      <c r="BB1404" s="5" t="s">
        <v>238</v>
      </c>
      <c r="BC1404" s="5" t="s">
        <v>253</v>
      </c>
      <c r="BD1404" s="5" t="s">
        <v>238</v>
      </c>
      <c r="BF1404" s="5" t="s">
        <v>238</v>
      </c>
      <c r="BH1404" s="5" t="s">
        <v>859</v>
      </c>
      <c r="BI1404" s="6" t="s">
        <v>368</v>
      </c>
      <c r="BJ1404" s="5" t="s">
        <v>255</v>
      </c>
      <c r="BK1404" s="5" t="s">
        <v>256</v>
      </c>
      <c r="BL1404" s="5" t="s">
        <v>238</v>
      </c>
      <c r="BM1404" s="7">
        <f>0</f>
        <v>0</v>
      </c>
      <c r="BN1404" s="8">
        <f>0</f>
        <v>0</v>
      </c>
      <c r="BO1404" s="5" t="s">
        <v>257</v>
      </c>
      <c r="BP1404" s="5" t="s">
        <v>258</v>
      </c>
      <c r="CD1404" s="5" t="s">
        <v>238</v>
      </c>
      <c r="CE1404" s="5" t="s">
        <v>238</v>
      </c>
      <c r="CI1404" s="5" t="s">
        <v>259</v>
      </c>
      <c r="CJ1404" s="5" t="s">
        <v>260</v>
      </c>
      <c r="CK1404" s="5" t="s">
        <v>238</v>
      </c>
      <c r="CM1404" s="5" t="s">
        <v>1034</v>
      </c>
      <c r="CN1404" s="6" t="s">
        <v>262</v>
      </c>
      <c r="CO1404" s="5" t="s">
        <v>263</v>
      </c>
      <c r="CP1404" s="5" t="s">
        <v>264</v>
      </c>
      <c r="CQ1404" s="5" t="s">
        <v>238</v>
      </c>
      <c r="CR1404" s="5" t="s">
        <v>238</v>
      </c>
      <c r="CS1404" s="5">
        <v>0</v>
      </c>
      <c r="CT1404" s="5" t="s">
        <v>265</v>
      </c>
      <c r="CU1404" s="5" t="s">
        <v>266</v>
      </c>
      <c r="CV1404" s="5" t="s">
        <v>331</v>
      </c>
      <c r="CX1404" s="8">
        <f>14640</f>
        <v>14640</v>
      </c>
      <c r="CY1404" s="8">
        <f>0</f>
        <v>0</v>
      </c>
      <c r="DA1404" s="5" t="s">
        <v>238</v>
      </c>
      <c r="DB1404" s="5" t="s">
        <v>238</v>
      </c>
      <c r="DD1404" s="5" t="s">
        <v>238</v>
      </c>
      <c r="DG1404" s="5" t="s">
        <v>238</v>
      </c>
      <c r="DH1404" s="5" t="s">
        <v>238</v>
      </c>
      <c r="DI1404" s="5" t="s">
        <v>238</v>
      </c>
      <c r="DJ1404" s="5" t="s">
        <v>238</v>
      </c>
      <c r="DK1404" s="5" t="s">
        <v>271</v>
      </c>
      <c r="DL1404" s="5" t="s">
        <v>272</v>
      </c>
      <c r="DM1404" s="7">
        <f>8</f>
        <v>8</v>
      </c>
      <c r="DN1404" s="5" t="s">
        <v>238</v>
      </c>
      <c r="DO1404" s="5" t="s">
        <v>238</v>
      </c>
      <c r="DP1404" s="5" t="s">
        <v>238</v>
      </c>
      <c r="DQ1404" s="5" t="s">
        <v>238</v>
      </c>
      <c r="DT1404" s="5" t="s">
        <v>1046</v>
      </c>
      <c r="DU1404" s="5" t="s">
        <v>274</v>
      </c>
      <c r="HM1404" s="5" t="s">
        <v>271</v>
      </c>
      <c r="HP1404" s="5" t="s">
        <v>272</v>
      </c>
      <c r="HQ1404" s="5" t="s">
        <v>272</v>
      </c>
    </row>
    <row r="1405" spans="1:238" x14ac:dyDescent="0.4">
      <c r="A1405" s="5">
        <v>1763</v>
      </c>
      <c r="B1405" s="5">
        <v>1</v>
      </c>
      <c r="C1405" s="5">
        <v>4</v>
      </c>
      <c r="D1405" s="5" t="s">
        <v>762</v>
      </c>
      <c r="E1405" s="5" t="s">
        <v>686</v>
      </c>
      <c r="F1405" s="5" t="s">
        <v>252</v>
      </c>
      <c r="G1405" s="5" t="s">
        <v>1499</v>
      </c>
      <c r="H1405" s="6" t="s">
        <v>764</v>
      </c>
      <c r="I1405" s="5" t="s">
        <v>1314</v>
      </c>
      <c r="J1405" s="7">
        <f>2162</f>
        <v>2162</v>
      </c>
      <c r="K1405" s="5" t="s">
        <v>270</v>
      </c>
      <c r="L1405" s="8">
        <f>137589680</f>
        <v>137589680</v>
      </c>
      <c r="M1405" s="8">
        <f>464830000</f>
        <v>464830000</v>
      </c>
      <c r="N1405" s="6" t="s">
        <v>1563</v>
      </c>
      <c r="O1405" s="5" t="s">
        <v>898</v>
      </c>
      <c r="P1405" s="5" t="s">
        <v>332</v>
      </c>
      <c r="Q1405" s="8">
        <f>10226260</f>
        <v>10226260</v>
      </c>
      <c r="R1405" s="8">
        <f>327240320</f>
        <v>327240320</v>
      </c>
      <c r="S1405" s="5" t="s">
        <v>240</v>
      </c>
      <c r="T1405" s="5" t="s">
        <v>237</v>
      </c>
      <c r="U1405" s="5" t="s">
        <v>238</v>
      </c>
      <c r="V1405" s="5" t="s">
        <v>238</v>
      </c>
      <c r="W1405" s="5" t="s">
        <v>241</v>
      </c>
      <c r="X1405" s="5" t="s">
        <v>243</v>
      </c>
      <c r="Y1405" s="5" t="s">
        <v>238</v>
      </c>
      <c r="AB1405" s="5" t="s">
        <v>238</v>
      </c>
      <c r="AC1405" s="6" t="s">
        <v>238</v>
      </c>
      <c r="AD1405" s="6" t="s">
        <v>238</v>
      </c>
      <c r="AF1405" s="6" t="s">
        <v>238</v>
      </c>
      <c r="AG1405" s="6" t="s">
        <v>246</v>
      </c>
      <c r="AH1405" s="5" t="s">
        <v>247</v>
      </c>
      <c r="AI1405" s="5" t="s">
        <v>248</v>
      </c>
      <c r="AO1405" s="5" t="s">
        <v>238</v>
      </c>
      <c r="AP1405" s="5" t="s">
        <v>238</v>
      </c>
      <c r="AQ1405" s="5" t="s">
        <v>238</v>
      </c>
      <c r="AR1405" s="6" t="s">
        <v>238</v>
      </c>
      <c r="AS1405" s="6" t="s">
        <v>238</v>
      </c>
      <c r="AT1405" s="6" t="s">
        <v>238</v>
      </c>
      <c r="AW1405" s="5" t="s">
        <v>304</v>
      </c>
      <c r="AX1405" s="5" t="s">
        <v>304</v>
      </c>
      <c r="AY1405" s="5" t="s">
        <v>250</v>
      </c>
      <c r="AZ1405" s="5" t="s">
        <v>305</v>
      </c>
      <c r="BA1405" s="5" t="s">
        <v>251</v>
      </c>
      <c r="BB1405" s="5" t="s">
        <v>238</v>
      </c>
      <c r="BC1405" s="5" t="s">
        <v>253</v>
      </c>
      <c r="BD1405" s="5" t="s">
        <v>238</v>
      </c>
      <c r="BF1405" s="5" t="s">
        <v>238</v>
      </c>
      <c r="BH1405" s="5" t="s">
        <v>283</v>
      </c>
      <c r="BI1405" s="6" t="s">
        <v>293</v>
      </c>
      <c r="BJ1405" s="5" t="s">
        <v>294</v>
      </c>
      <c r="BK1405" s="5" t="s">
        <v>294</v>
      </c>
      <c r="BL1405" s="5" t="s">
        <v>238</v>
      </c>
      <c r="BM1405" s="7">
        <f>0</f>
        <v>0</v>
      </c>
      <c r="BN1405" s="8">
        <f>-10226260</f>
        <v>-10226260</v>
      </c>
      <c r="BO1405" s="5" t="s">
        <v>257</v>
      </c>
      <c r="BP1405" s="5" t="s">
        <v>258</v>
      </c>
      <c r="BQ1405" s="5" t="s">
        <v>238</v>
      </c>
      <c r="BR1405" s="5" t="s">
        <v>238</v>
      </c>
      <c r="BS1405" s="5" t="s">
        <v>238</v>
      </c>
      <c r="BT1405" s="5" t="s">
        <v>238</v>
      </c>
      <c r="CC1405" s="5" t="s">
        <v>258</v>
      </c>
      <c r="CD1405" s="5" t="s">
        <v>238</v>
      </c>
      <c r="CE1405" s="5" t="s">
        <v>238</v>
      </c>
      <c r="CI1405" s="5" t="s">
        <v>259</v>
      </c>
      <c r="CJ1405" s="5" t="s">
        <v>260</v>
      </c>
      <c r="CK1405" s="5" t="s">
        <v>238</v>
      </c>
      <c r="CM1405" s="5" t="s">
        <v>342</v>
      </c>
      <c r="CN1405" s="6" t="s">
        <v>262</v>
      </c>
      <c r="CO1405" s="5" t="s">
        <v>263</v>
      </c>
      <c r="CP1405" s="5" t="s">
        <v>264</v>
      </c>
      <c r="CQ1405" s="5" t="s">
        <v>285</v>
      </c>
      <c r="CR1405" s="5" t="s">
        <v>238</v>
      </c>
      <c r="CS1405" s="5">
        <v>2.1999999999999999E-2</v>
      </c>
      <c r="CT1405" s="5" t="s">
        <v>265</v>
      </c>
      <c r="CU1405" s="5" t="s">
        <v>1493</v>
      </c>
      <c r="CV1405" s="5" t="s">
        <v>308</v>
      </c>
      <c r="CW1405" s="7">
        <f>0</f>
        <v>0</v>
      </c>
      <c r="CX1405" s="8">
        <f>464830000</f>
        <v>464830000</v>
      </c>
      <c r="CY1405" s="8">
        <f>147815940</f>
        <v>147815940</v>
      </c>
      <c r="DA1405" s="5" t="s">
        <v>238</v>
      </c>
      <c r="DB1405" s="5" t="s">
        <v>238</v>
      </c>
      <c r="DD1405" s="5" t="s">
        <v>238</v>
      </c>
      <c r="DE1405" s="8">
        <f>0</f>
        <v>0</v>
      </c>
      <c r="DG1405" s="5" t="s">
        <v>238</v>
      </c>
      <c r="DH1405" s="5" t="s">
        <v>238</v>
      </c>
      <c r="DI1405" s="5" t="s">
        <v>238</v>
      </c>
      <c r="DJ1405" s="5" t="s">
        <v>238</v>
      </c>
      <c r="DK1405" s="5" t="s">
        <v>274</v>
      </c>
      <c r="DL1405" s="5" t="s">
        <v>272</v>
      </c>
      <c r="DM1405" s="7">
        <f>2162</f>
        <v>2162</v>
      </c>
      <c r="DN1405" s="5" t="s">
        <v>238</v>
      </c>
      <c r="DO1405" s="5" t="s">
        <v>238</v>
      </c>
      <c r="DP1405" s="5" t="s">
        <v>238</v>
      </c>
      <c r="DQ1405" s="5" t="s">
        <v>238</v>
      </c>
      <c r="DT1405" s="5" t="s">
        <v>765</v>
      </c>
      <c r="DU1405" s="5" t="s">
        <v>271</v>
      </c>
      <c r="GL1405" s="5" t="s">
        <v>1564</v>
      </c>
      <c r="HM1405" s="5" t="s">
        <v>313</v>
      </c>
      <c r="HP1405" s="5" t="s">
        <v>272</v>
      </c>
      <c r="HQ1405" s="5" t="s">
        <v>272</v>
      </c>
      <c r="HR1405" s="5" t="s">
        <v>238</v>
      </c>
      <c r="HS1405" s="5" t="s">
        <v>238</v>
      </c>
      <c r="HT1405" s="5" t="s">
        <v>238</v>
      </c>
      <c r="HU1405" s="5" t="s">
        <v>238</v>
      </c>
      <c r="HV1405" s="5" t="s">
        <v>238</v>
      </c>
      <c r="HW1405" s="5" t="s">
        <v>238</v>
      </c>
      <c r="HX1405" s="5" t="s">
        <v>238</v>
      </c>
      <c r="HY1405" s="5" t="s">
        <v>238</v>
      </c>
      <c r="HZ1405" s="5" t="s">
        <v>238</v>
      </c>
      <c r="IA1405" s="5" t="s">
        <v>238</v>
      </c>
      <c r="IB1405" s="5" t="s">
        <v>238</v>
      </c>
      <c r="IC1405" s="5" t="s">
        <v>238</v>
      </c>
      <c r="ID1405" s="5" t="s">
        <v>238</v>
      </c>
    </row>
    <row r="1406" spans="1:238" x14ac:dyDescent="0.4">
      <c r="A1406" s="5">
        <v>1764</v>
      </c>
      <c r="B1406" s="5">
        <v>1</v>
      </c>
      <c r="C1406" s="5">
        <v>4</v>
      </c>
      <c r="D1406" s="5" t="s">
        <v>762</v>
      </c>
      <c r="E1406" s="5" t="s">
        <v>686</v>
      </c>
      <c r="F1406" s="5" t="s">
        <v>252</v>
      </c>
      <c r="G1406" s="5" t="s">
        <v>1666</v>
      </c>
      <c r="H1406" s="6" t="s">
        <v>764</v>
      </c>
      <c r="I1406" s="5" t="s">
        <v>1308</v>
      </c>
      <c r="J1406" s="7">
        <f>754</f>
        <v>754</v>
      </c>
      <c r="K1406" s="5" t="s">
        <v>270</v>
      </c>
      <c r="L1406" s="8">
        <f>51332320</f>
        <v>51332320</v>
      </c>
      <c r="M1406" s="8">
        <f>173420000</f>
        <v>173420000</v>
      </c>
      <c r="N1406" s="6" t="s">
        <v>1563</v>
      </c>
      <c r="O1406" s="5" t="s">
        <v>898</v>
      </c>
      <c r="P1406" s="5" t="s">
        <v>332</v>
      </c>
      <c r="Q1406" s="8">
        <f>3815240</f>
        <v>3815240</v>
      </c>
      <c r="R1406" s="8">
        <f>122087680</f>
        <v>122087680</v>
      </c>
      <c r="S1406" s="5" t="s">
        <v>240</v>
      </c>
      <c r="T1406" s="5" t="s">
        <v>237</v>
      </c>
      <c r="U1406" s="5" t="s">
        <v>238</v>
      </c>
      <c r="V1406" s="5" t="s">
        <v>238</v>
      </c>
      <c r="W1406" s="5" t="s">
        <v>241</v>
      </c>
      <c r="X1406" s="5" t="s">
        <v>243</v>
      </c>
      <c r="Y1406" s="5" t="s">
        <v>238</v>
      </c>
      <c r="AB1406" s="5" t="s">
        <v>238</v>
      </c>
      <c r="AC1406" s="6" t="s">
        <v>238</v>
      </c>
      <c r="AD1406" s="6" t="s">
        <v>238</v>
      </c>
      <c r="AF1406" s="6" t="s">
        <v>238</v>
      </c>
      <c r="AG1406" s="6" t="s">
        <v>246</v>
      </c>
      <c r="AH1406" s="5" t="s">
        <v>247</v>
      </c>
      <c r="AI1406" s="5" t="s">
        <v>248</v>
      </c>
      <c r="AO1406" s="5" t="s">
        <v>238</v>
      </c>
      <c r="AP1406" s="5" t="s">
        <v>238</v>
      </c>
      <c r="AQ1406" s="5" t="s">
        <v>238</v>
      </c>
      <c r="AR1406" s="6" t="s">
        <v>238</v>
      </c>
      <c r="AS1406" s="6" t="s">
        <v>238</v>
      </c>
      <c r="AT1406" s="6" t="s">
        <v>238</v>
      </c>
      <c r="AW1406" s="5" t="s">
        <v>304</v>
      </c>
      <c r="AX1406" s="5" t="s">
        <v>304</v>
      </c>
      <c r="AY1406" s="5" t="s">
        <v>250</v>
      </c>
      <c r="AZ1406" s="5" t="s">
        <v>305</v>
      </c>
      <c r="BA1406" s="5" t="s">
        <v>251</v>
      </c>
      <c r="BB1406" s="5" t="s">
        <v>238</v>
      </c>
      <c r="BC1406" s="5" t="s">
        <v>253</v>
      </c>
      <c r="BD1406" s="5" t="s">
        <v>238</v>
      </c>
      <c r="BF1406" s="5" t="s">
        <v>238</v>
      </c>
      <c r="BH1406" s="5" t="s">
        <v>283</v>
      </c>
      <c r="BI1406" s="6" t="s">
        <v>293</v>
      </c>
      <c r="BJ1406" s="5" t="s">
        <v>294</v>
      </c>
      <c r="BK1406" s="5" t="s">
        <v>294</v>
      </c>
      <c r="BL1406" s="5" t="s">
        <v>238</v>
      </c>
      <c r="BM1406" s="7">
        <f>0</f>
        <v>0</v>
      </c>
      <c r="BN1406" s="8">
        <f>-3815240</f>
        <v>-3815240</v>
      </c>
      <c r="BO1406" s="5" t="s">
        <v>257</v>
      </c>
      <c r="BP1406" s="5" t="s">
        <v>258</v>
      </c>
      <c r="BQ1406" s="5" t="s">
        <v>238</v>
      </c>
      <c r="BR1406" s="5" t="s">
        <v>238</v>
      </c>
      <c r="BS1406" s="5" t="s">
        <v>238</v>
      </c>
      <c r="BT1406" s="5" t="s">
        <v>238</v>
      </c>
      <c r="CC1406" s="5" t="s">
        <v>258</v>
      </c>
      <c r="CD1406" s="5" t="s">
        <v>238</v>
      </c>
      <c r="CE1406" s="5" t="s">
        <v>238</v>
      </c>
      <c r="CI1406" s="5" t="s">
        <v>259</v>
      </c>
      <c r="CJ1406" s="5" t="s">
        <v>260</v>
      </c>
      <c r="CK1406" s="5" t="s">
        <v>238</v>
      </c>
      <c r="CM1406" s="5" t="s">
        <v>342</v>
      </c>
      <c r="CN1406" s="6" t="s">
        <v>262</v>
      </c>
      <c r="CO1406" s="5" t="s">
        <v>263</v>
      </c>
      <c r="CP1406" s="5" t="s">
        <v>264</v>
      </c>
      <c r="CQ1406" s="5" t="s">
        <v>285</v>
      </c>
      <c r="CR1406" s="5" t="s">
        <v>238</v>
      </c>
      <c r="CS1406" s="5">
        <v>2.1999999999999999E-2</v>
      </c>
      <c r="CT1406" s="5" t="s">
        <v>265</v>
      </c>
      <c r="CU1406" s="5" t="s">
        <v>1330</v>
      </c>
      <c r="CV1406" s="5" t="s">
        <v>308</v>
      </c>
      <c r="CW1406" s="7">
        <f>0</f>
        <v>0</v>
      </c>
      <c r="CX1406" s="8">
        <f>173420000</f>
        <v>173420000</v>
      </c>
      <c r="CY1406" s="8">
        <f>55147560</f>
        <v>55147560</v>
      </c>
      <c r="DA1406" s="5" t="s">
        <v>238</v>
      </c>
      <c r="DB1406" s="5" t="s">
        <v>238</v>
      </c>
      <c r="DD1406" s="5" t="s">
        <v>238</v>
      </c>
      <c r="DE1406" s="8">
        <f>0</f>
        <v>0</v>
      </c>
      <c r="DG1406" s="5" t="s">
        <v>238</v>
      </c>
      <c r="DH1406" s="5" t="s">
        <v>238</v>
      </c>
      <c r="DI1406" s="5" t="s">
        <v>238</v>
      </c>
      <c r="DJ1406" s="5" t="s">
        <v>238</v>
      </c>
      <c r="DK1406" s="5" t="s">
        <v>271</v>
      </c>
      <c r="DL1406" s="5" t="s">
        <v>272</v>
      </c>
      <c r="DM1406" s="7">
        <f>754</f>
        <v>754</v>
      </c>
      <c r="DN1406" s="5" t="s">
        <v>238</v>
      </c>
      <c r="DO1406" s="5" t="s">
        <v>238</v>
      </c>
      <c r="DP1406" s="5" t="s">
        <v>238</v>
      </c>
      <c r="DQ1406" s="5" t="s">
        <v>238</v>
      </c>
      <c r="DT1406" s="5" t="s">
        <v>765</v>
      </c>
      <c r="DU1406" s="5" t="s">
        <v>274</v>
      </c>
      <c r="GL1406" s="5" t="s">
        <v>1765</v>
      </c>
      <c r="HM1406" s="5" t="s">
        <v>313</v>
      </c>
      <c r="HP1406" s="5" t="s">
        <v>272</v>
      </c>
      <c r="HQ1406" s="5" t="s">
        <v>272</v>
      </c>
      <c r="HR1406" s="5" t="s">
        <v>238</v>
      </c>
      <c r="HS1406" s="5" t="s">
        <v>238</v>
      </c>
      <c r="HT1406" s="5" t="s">
        <v>238</v>
      </c>
      <c r="HU1406" s="5" t="s">
        <v>238</v>
      </c>
      <c r="HV1406" s="5" t="s">
        <v>238</v>
      </c>
      <c r="HW1406" s="5" t="s">
        <v>238</v>
      </c>
      <c r="HX1406" s="5" t="s">
        <v>238</v>
      </c>
      <c r="HY1406" s="5" t="s">
        <v>238</v>
      </c>
      <c r="HZ1406" s="5" t="s">
        <v>238</v>
      </c>
      <c r="IA1406" s="5" t="s">
        <v>238</v>
      </c>
      <c r="IB1406" s="5" t="s">
        <v>238</v>
      </c>
      <c r="IC1406" s="5" t="s">
        <v>238</v>
      </c>
      <c r="ID1406" s="5" t="s">
        <v>238</v>
      </c>
    </row>
    <row r="1407" spans="1:238" x14ac:dyDescent="0.4">
      <c r="A1407" s="5">
        <v>1765</v>
      </c>
      <c r="B1407" s="5">
        <v>1</v>
      </c>
      <c r="C1407" s="5">
        <v>1</v>
      </c>
      <c r="D1407" s="5" t="s">
        <v>762</v>
      </c>
      <c r="E1407" s="5" t="s">
        <v>686</v>
      </c>
      <c r="F1407" s="5" t="s">
        <v>252</v>
      </c>
      <c r="G1407" s="5" t="s">
        <v>239</v>
      </c>
      <c r="H1407" s="6" t="s">
        <v>764</v>
      </c>
      <c r="I1407" s="5" t="s">
        <v>239</v>
      </c>
      <c r="J1407" s="7">
        <f>28</f>
        <v>28</v>
      </c>
      <c r="K1407" s="5" t="s">
        <v>270</v>
      </c>
      <c r="L1407" s="8">
        <f>1</f>
        <v>1</v>
      </c>
      <c r="M1407" s="8">
        <f>2548000</f>
        <v>2548000</v>
      </c>
      <c r="N1407" s="6" t="s">
        <v>763</v>
      </c>
      <c r="O1407" s="5" t="s">
        <v>268</v>
      </c>
      <c r="P1407" s="5" t="s">
        <v>640</v>
      </c>
      <c r="R1407" s="8">
        <f>2547999</f>
        <v>2547999</v>
      </c>
      <c r="S1407" s="5" t="s">
        <v>240</v>
      </c>
      <c r="T1407" s="5" t="s">
        <v>237</v>
      </c>
      <c r="U1407" s="5" t="s">
        <v>238</v>
      </c>
      <c r="V1407" s="5" t="s">
        <v>238</v>
      </c>
      <c r="W1407" s="5" t="s">
        <v>241</v>
      </c>
      <c r="X1407" s="5" t="s">
        <v>243</v>
      </c>
      <c r="Y1407" s="5" t="s">
        <v>238</v>
      </c>
      <c r="AB1407" s="5" t="s">
        <v>238</v>
      </c>
      <c r="AD1407" s="6" t="s">
        <v>238</v>
      </c>
      <c r="AG1407" s="6" t="s">
        <v>246</v>
      </c>
      <c r="AH1407" s="5" t="s">
        <v>247</v>
      </c>
      <c r="AI1407" s="5" t="s">
        <v>248</v>
      </c>
      <c r="AY1407" s="5" t="s">
        <v>250</v>
      </c>
      <c r="AZ1407" s="5" t="s">
        <v>238</v>
      </c>
      <c r="BA1407" s="5" t="s">
        <v>251</v>
      </c>
      <c r="BB1407" s="5" t="s">
        <v>238</v>
      </c>
      <c r="BC1407" s="5" t="s">
        <v>253</v>
      </c>
      <c r="BD1407" s="5" t="s">
        <v>238</v>
      </c>
      <c r="BF1407" s="5" t="s">
        <v>238</v>
      </c>
      <c r="BH1407" s="5" t="s">
        <v>254</v>
      </c>
      <c r="BI1407" s="6" t="s">
        <v>246</v>
      </c>
      <c r="BJ1407" s="5" t="s">
        <v>255</v>
      </c>
      <c r="BK1407" s="5" t="s">
        <v>256</v>
      </c>
      <c r="BL1407" s="5" t="s">
        <v>238</v>
      </c>
      <c r="BM1407" s="7">
        <f>0</f>
        <v>0</v>
      </c>
      <c r="BN1407" s="8">
        <f>0</f>
        <v>0</v>
      </c>
      <c r="BO1407" s="5" t="s">
        <v>257</v>
      </c>
      <c r="BP1407" s="5" t="s">
        <v>258</v>
      </c>
      <c r="CD1407" s="5" t="s">
        <v>238</v>
      </c>
      <c r="CE1407" s="5" t="s">
        <v>238</v>
      </c>
      <c r="CI1407" s="5" t="s">
        <v>259</v>
      </c>
      <c r="CJ1407" s="5" t="s">
        <v>260</v>
      </c>
      <c r="CK1407" s="5" t="s">
        <v>238</v>
      </c>
      <c r="CM1407" s="5" t="s">
        <v>342</v>
      </c>
      <c r="CN1407" s="6" t="s">
        <v>262</v>
      </c>
      <c r="CO1407" s="5" t="s">
        <v>263</v>
      </c>
      <c r="CP1407" s="5" t="s">
        <v>264</v>
      </c>
      <c r="CQ1407" s="5" t="s">
        <v>238</v>
      </c>
      <c r="CR1407" s="5" t="s">
        <v>238</v>
      </c>
      <c r="CS1407" s="5">
        <v>0</v>
      </c>
      <c r="CT1407" s="5" t="s">
        <v>265</v>
      </c>
      <c r="CU1407" s="5" t="s">
        <v>266</v>
      </c>
      <c r="CV1407" s="5" t="s">
        <v>267</v>
      </c>
      <c r="CX1407" s="8">
        <f>2548000</f>
        <v>2548000</v>
      </c>
      <c r="CY1407" s="8">
        <f>0</f>
        <v>0</v>
      </c>
      <c r="DA1407" s="5" t="s">
        <v>238</v>
      </c>
      <c r="DB1407" s="5" t="s">
        <v>238</v>
      </c>
      <c r="DD1407" s="5" t="s">
        <v>238</v>
      </c>
      <c r="DG1407" s="5" t="s">
        <v>238</v>
      </c>
      <c r="DH1407" s="5" t="s">
        <v>238</v>
      </c>
      <c r="DI1407" s="5" t="s">
        <v>238</v>
      </c>
      <c r="DJ1407" s="5" t="s">
        <v>238</v>
      </c>
      <c r="DK1407" s="5" t="s">
        <v>271</v>
      </c>
      <c r="DL1407" s="5" t="s">
        <v>272</v>
      </c>
      <c r="DM1407" s="7">
        <f>28</f>
        <v>28</v>
      </c>
      <c r="DN1407" s="5" t="s">
        <v>238</v>
      </c>
      <c r="DO1407" s="5" t="s">
        <v>238</v>
      </c>
      <c r="DP1407" s="5" t="s">
        <v>238</v>
      </c>
      <c r="DQ1407" s="5" t="s">
        <v>238</v>
      </c>
      <c r="DT1407" s="5" t="s">
        <v>765</v>
      </c>
      <c r="DU1407" s="5" t="s">
        <v>356</v>
      </c>
      <c r="HM1407" s="5" t="s">
        <v>271</v>
      </c>
      <c r="HP1407" s="5" t="s">
        <v>272</v>
      </c>
      <c r="HQ1407" s="5" t="s">
        <v>272</v>
      </c>
    </row>
    <row r="1408" spans="1:238" x14ac:dyDescent="0.4">
      <c r="A1408" s="5">
        <v>1766</v>
      </c>
      <c r="B1408" s="5">
        <v>1</v>
      </c>
      <c r="C1408" s="5">
        <v>1</v>
      </c>
      <c r="D1408" s="5" t="s">
        <v>762</v>
      </c>
      <c r="E1408" s="5" t="s">
        <v>686</v>
      </c>
      <c r="F1408" s="5" t="s">
        <v>252</v>
      </c>
      <c r="G1408" s="5" t="s">
        <v>1309</v>
      </c>
      <c r="H1408" s="6" t="s">
        <v>764</v>
      </c>
      <c r="I1408" s="5" t="s">
        <v>1309</v>
      </c>
      <c r="J1408" s="7">
        <f>15</f>
        <v>15</v>
      </c>
      <c r="K1408" s="5" t="s">
        <v>270</v>
      </c>
      <c r="L1408" s="8">
        <f>1</f>
        <v>1</v>
      </c>
      <c r="M1408" s="8">
        <f>1365000</f>
        <v>1365000</v>
      </c>
      <c r="N1408" s="6" t="s">
        <v>2195</v>
      </c>
      <c r="O1408" s="5" t="s">
        <v>268</v>
      </c>
      <c r="P1408" s="5" t="s">
        <v>269</v>
      </c>
      <c r="R1408" s="8">
        <f>1364999</f>
        <v>1364999</v>
      </c>
      <c r="S1408" s="5" t="s">
        <v>240</v>
      </c>
      <c r="T1408" s="5" t="s">
        <v>237</v>
      </c>
      <c r="U1408" s="5" t="s">
        <v>238</v>
      </c>
      <c r="V1408" s="5" t="s">
        <v>238</v>
      </c>
      <c r="W1408" s="5" t="s">
        <v>241</v>
      </c>
      <c r="X1408" s="5" t="s">
        <v>243</v>
      </c>
      <c r="Y1408" s="5" t="s">
        <v>238</v>
      </c>
      <c r="AB1408" s="5" t="s">
        <v>238</v>
      </c>
      <c r="AD1408" s="6" t="s">
        <v>238</v>
      </c>
      <c r="AG1408" s="6" t="s">
        <v>246</v>
      </c>
      <c r="AH1408" s="5" t="s">
        <v>247</v>
      </c>
      <c r="AI1408" s="5" t="s">
        <v>248</v>
      </c>
      <c r="AY1408" s="5" t="s">
        <v>250</v>
      </c>
      <c r="AZ1408" s="5" t="s">
        <v>238</v>
      </c>
      <c r="BA1408" s="5" t="s">
        <v>251</v>
      </c>
      <c r="BB1408" s="5" t="s">
        <v>238</v>
      </c>
      <c r="BC1408" s="5" t="s">
        <v>253</v>
      </c>
      <c r="BD1408" s="5" t="s">
        <v>238</v>
      </c>
      <c r="BF1408" s="5" t="s">
        <v>238</v>
      </c>
      <c r="BH1408" s="5" t="s">
        <v>859</v>
      </c>
      <c r="BI1408" s="6" t="s">
        <v>368</v>
      </c>
      <c r="BJ1408" s="5" t="s">
        <v>255</v>
      </c>
      <c r="BK1408" s="5" t="s">
        <v>256</v>
      </c>
      <c r="BL1408" s="5" t="s">
        <v>238</v>
      </c>
      <c r="BM1408" s="7">
        <f>0</f>
        <v>0</v>
      </c>
      <c r="BN1408" s="8">
        <f>0</f>
        <v>0</v>
      </c>
      <c r="BO1408" s="5" t="s">
        <v>257</v>
      </c>
      <c r="BP1408" s="5" t="s">
        <v>258</v>
      </c>
      <c r="CD1408" s="5" t="s">
        <v>238</v>
      </c>
      <c r="CE1408" s="5" t="s">
        <v>238</v>
      </c>
      <c r="CI1408" s="5" t="s">
        <v>259</v>
      </c>
      <c r="CJ1408" s="5" t="s">
        <v>260</v>
      </c>
      <c r="CK1408" s="5" t="s">
        <v>238</v>
      </c>
      <c r="CM1408" s="5" t="s">
        <v>261</v>
      </c>
      <c r="CN1408" s="6" t="s">
        <v>262</v>
      </c>
      <c r="CO1408" s="5" t="s">
        <v>263</v>
      </c>
      <c r="CP1408" s="5" t="s">
        <v>264</v>
      </c>
      <c r="CQ1408" s="5" t="s">
        <v>238</v>
      </c>
      <c r="CR1408" s="5" t="s">
        <v>238</v>
      </c>
      <c r="CS1408" s="5">
        <v>0</v>
      </c>
      <c r="CT1408" s="5" t="s">
        <v>265</v>
      </c>
      <c r="CU1408" s="5" t="s">
        <v>1342</v>
      </c>
      <c r="CV1408" s="5" t="s">
        <v>267</v>
      </c>
      <c r="CX1408" s="8">
        <f>1365000</f>
        <v>1365000</v>
      </c>
      <c r="CY1408" s="8">
        <f>0</f>
        <v>0</v>
      </c>
      <c r="DA1408" s="5" t="s">
        <v>238</v>
      </c>
      <c r="DB1408" s="5" t="s">
        <v>238</v>
      </c>
      <c r="DD1408" s="5" t="s">
        <v>238</v>
      </c>
      <c r="DG1408" s="5" t="s">
        <v>238</v>
      </c>
      <c r="DH1408" s="5" t="s">
        <v>238</v>
      </c>
      <c r="DI1408" s="5" t="s">
        <v>238</v>
      </c>
      <c r="DJ1408" s="5" t="s">
        <v>238</v>
      </c>
      <c r="DK1408" s="5" t="s">
        <v>271</v>
      </c>
      <c r="DL1408" s="5" t="s">
        <v>272</v>
      </c>
      <c r="DM1408" s="7">
        <f>15</f>
        <v>15</v>
      </c>
      <c r="DN1408" s="5" t="s">
        <v>238</v>
      </c>
      <c r="DO1408" s="5" t="s">
        <v>238</v>
      </c>
      <c r="DP1408" s="5" t="s">
        <v>238</v>
      </c>
      <c r="DQ1408" s="5" t="s">
        <v>238</v>
      </c>
      <c r="DT1408" s="5" t="s">
        <v>765</v>
      </c>
      <c r="DU1408" s="5" t="s">
        <v>310</v>
      </c>
      <c r="HM1408" s="5" t="s">
        <v>271</v>
      </c>
      <c r="HP1408" s="5" t="s">
        <v>272</v>
      </c>
      <c r="HQ1408" s="5" t="s">
        <v>272</v>
      </c>
    </row>
    <row r="1409" spans="1:238" x14ac:dyDescent="0.4">
      <c r="A1409" s="5">
        <v>1767</v>
      </c>
      <c r="B1409" s="5">
        <v>1</v>
      </c>
      <c r="C1409" s="5">
        <v>1</v>
      </c>
      <c r="D1409" s="5" t="s">
        <v>762</v>
      </c>
      <c r="E1409" s="5" t="s">
        <v>686</v>
      </c>
      <c r="F1409" s="5" t="s">
        <v>252</v>
      </c>
      <c r="G1409" s="5" t="s">
        <v>3027</v>
      </c>
      <c r="H1409" s="6" t="s">
        <v>764</v>
      </c>
      <c r="I1409" s="5" t="s">
        <v>3027</v>
      </c>
      <c r="J1409" s="7">
        <f>43</f>
        <v>43</v>
      </c>
      <c r="K1409" s="5" t="s">
        <v>270</v>
      </c>
      <c r="L1409" s="8">
        <f>1</f>
        <v>1</v>
      </c>
      <c r="M1409" s="8">
        <f>2580000</f>
        <v>2580000</v>
      </c>
      <c r="N1409" s="6" t="s">
        <v>3079</v>
      </c>
      <c r="O1409" s="5" t="s">
        <v>268</v>
      </c>
      <c r="P1409" s="5" t="s">
        <v>975</v>
      </c>
      <c r="R1409" s="8">
        <f>2579999</f>
        <v>2579999</v>
      </c>
      <c r="S1409" s="5" t="s">
        <v>240</v>
      </c>
      <c r="T1409" s="5" t="s">
        <v>237</v>
      </c>
      <c r="U1409" s="5" t="s">
        <v>238</v>
      </c>
      <c r="V1409" s="5" t="s">
        <v>238</v>
      </c>
      <c r="W1409" s="5" t="s">
        <v>241</v>
      </c>
      <c r="X1409" s="5" t="s">
        <v>243</v>
      </c>
      <c r="Y1409" s="5" t="s">
        <v>238</v>
      </c>
      <c r="AB1409" s="5" t="s">
        <v>238</v>
      </c>
      <c r="AD1409" s="6" t="s">
        <v>238</v>
      </c>
      <c r="AG1409" s="6" t="s">
        <v>246</v>
      </c>
      <c r="AH1409" s="5" t="s">
        <v>247</v>
      </c>
      <c r="AI1409" s="5" t="s">
        <v>248</v>
      </c>
      <c r="AY1409" s="5" t="s">
        <v>250</v>
      </c>
      <c r="AZ1409" s="5" t="s">
        <v>238</v>
      </c>
      <c r="BA1409" s="5" t="s">
        <v>251</v>
      </c>
      <c r="BB1409" s="5" t="s">
        <v>238</v>
      </c>
      <c r="BC1409" s="5" t="s">
        <v>253</v>
      </c>
      <c r="BD1409" s="5" t="s">
        <v>238</v>
      </c>
      <c r="BF1409" s="5" t="s">
        <v>238</v>
      </c>
      <c r="BH1409" s="5" t="s">
        <v>254</v>
      </c>
      <c r="BI1409" s="6" t="s">
        <v>246</v>
      </c>
      <c r="BJ1409" s="5" t="s">
        <v>255</v>
      </c>
      <c r="BK1409" s="5" t="s">
        <v>256</v>
      </c>
      <c r="BL1409" s="5" t="s">
        <v>238</v>
      </c>
      <c r="BM1409" s="7">
        <f>0</f>
        <v>0</v>
      </c>
      <c r="BN1409" s="8">
        <f>0</f>
        <v>0</v>
      </c>
      <c r="BO1409" s="5" t="s">
        <v>257</v>
      </c>
      <c r="BP1409" s="5" t="s">
        <v>258</v>
      </c>
      <c r="CD1409" s="5" t="s">
        <v>238</v>
      </c>
      <c r="CE1409" s="5" t="s">
        <v>238</v>
      </c>
      <c r="CI1409" s="5" t="s">
        <v>527</v>
      </c>
      <c r="CJ1409" s="5" t="s">
        <v>260</v>
      </c>
      <c r="CK1409" s="5" t="s">
        <v>238</v>
      </c>
      <c r="CM1409" s="5" t="s">
        <v>974</v>
      </c>
      <c r="CN1409" s="6" t="s">
        <v>262</v>
      </c>
      <c r="CO1409" s="5" t="s">
        <v>263</v>
      </c>
      <c r="CP1409" s="5" t="s">
        <v>264</v>
      </c>
      <c r="CQ1409" s="5" t="s">
        <v>238</v>
      </c>
      <c r="CR1409" s="5" t="s">
        <v>238</v>
      </c>
      <c r="CS1409" s="5">
        <v>0</v>
      </c>
      <c r="CT1409" s="5" t="s">
        <v>265</v>
      </c>
      <c r="CU1409" s="5" t="s">
        <v>351</v>
      </c>
      <c r="CV1409" s="5" t="s">
        <v>394</v>
      </c>
      <c r="CX1409" s="8">
        <f>2580000</f>
        <v>2580000</v>
      </c>
      <c r="CY1409" s="8">
        <f>0</f>
        <v>0</v>
      </c>
      <c r="DA1409" s="5" t="s">
        <v>238</v>
      </c>
      <c r="DB1409" s="5" t="s">
        <v>238</v>
      </c>
      <c r="DD1409" s="5" t="s">
        <v>238</v>
      </c>
      <c r="DG1409" s="5" t="s">
        <v>238</v>
      </c>
      <c r="DH1409" s="5" t="s">
        <v>238</v>
      </c>
      <c r="DI1409" s="5" t="s">
        <v>238</v>
      </c>
      <c r="DJ1409" s="5" t="s">
        <v>238</v>
      </c>
      <c r="DK1409" s="5" t="s">
        <v>271</v>
      </c>
      <c r="DL1409" s="5" t="s">
        <v>272</v>
      </c>
      <c r="DM1409" s="7">
        <f>43</f>
        <v>43</v>
      </c>
      <c r="DN1409" s="5" t="s">
        <v>238</v>
      </c>
      <c r="DO1409" s="5" t="s">
        <v>238</v>
      </c>
      <c r="DP1409" s="5" t="s">
        <v>238</v>
      </c>
      <c r="DQ1409" s="5" t="s">
        <v>238</v>
      </c>
      <c r="DT1409" s="5" t="s">
        <v>765</v>
      </c>
      <c r="DU1409" s="5" t="s">
        <v>379</v>
      </c>
      <c r="HM1409" s="5" t="s">
        <v>271</v>
      </c>
      <c r="HP1409" s="5" t="s">
        <v>272</v>
      </c>
      <c r="HQ1409" s="5" t="s">
        <v>272</v>
      </c>
    </row>
    <row r="1410" spans="1:238" x14ac:dyDescent="0.4">
      <c r="A1410" s="5">
        <v>1769</v>
      </c>
      <c r="B1410" s="5">
        <v>1</v>
      </c>
      <c r="C1410" s="5">
        <v>1</v>
      </c>
      <c r="D1410" s="5" t="s">
        <v>2137</v>
      </c>
      <c r="E1410" s="5" t="s">
        <v>686</v>
      </c>
      <c r="F1410" s="5" t="s">
        <v>252</v>
      </c>
      <c r="G1410" s="5" t="s">
        <v>1314</v>
      </c>
      <c r="H1410" s="6" t="s">
        <v>2139</v>
      </c>
      <c r="I1410" s="5" t="s">
        <v>2136</v>
      </c>
      <c r="J1410" s="7">
        <f>28</f>
        <v>28</v>
      </c>
      <c r="K1410" s="5" t="s">
        <v>270</v>
      </c>
      <c r="L1410" s="8">
        <f>1</f>
        <v>1</v>
      </c>
      <c r="M1410" s="8">
        <f>4564000</f>
        <v>4564000</v>
      </c>
      <c r="N1410" s="6" t="s">
        <v>2138</v>
      </c>
      <c r="O1410" s="5" t="s">
        <v>286</v>
      </c>
      <c r="P1410" s="5" t="s">
        <v>332</v>
      </c>
      <c r="R1410" s="8">
        <f>4563999</f>
        <v>4563999</v>
      </c>
      <c r="S1410" s="5" t="s">
        <v>240</v>
      </c>
      <c r="T1410" s="5" t="s">
        <v>237</v>
      </c>
      <c r="U1410" s="5" t="s">
        <v>238</v>
      </c>
      <c r="V1410" s="5" t="s">
        <v>238</v>
      </c>
      <c r="W1410" s="5" t="s">
        <v>241</v>
      </c>
      <c r="X1410" s="5" t="s">
        <v>243</v>
      </c>
      <c r="Y1410" s="5" t="s">
        <v>238</v>
      </c>
      <c r="AB1410" s="5" t="s">
        <v>238</v>
      </c>
      <c r="AD1410" s="6" t="s">
        <v>238</v>
      </c>
      <c r="AG1410" s="6" t="s">
        <v>246</v>
      </c>
      <c r="AH1410" s="5" t="s">
        <v>247</v>
      </c>
      <c r="AI1410" s="5" t="s">
        <v>248</v>
      </c>
      <c r="AY1410" s="5" t="s">
        <v>250</v>
      </c>
      <c r="AZ1410" s="5" t="s">
        <v>238</v>
      </c>
      <c r="BA1410" s="5" t="s">
        <v>251</v>
      </c>
      <c r="BB1410" s="5" t="s">
        <v>238</v>
      </c>
      <c r="BC1410" s="5" t="s">
        <v>253</v>
      </c>
      <c r="BD1410" s="5" t="s">
        <v>238</v>
      </c>
      <c r="BF1410" s="5" t="s">
        <v>238</v>
      </c>
      <c r="BH1410" s="5" t="s">
        <v>697</v>
      </c>
      <c r="BI1410" s="6" t="s">
        <v>698</v>
      </c>
      <c r="BJ1410" s="5" t="s">
        <v>255</v>
      </c>
      <c r="BK1410" s="5" t="s">
        <v>256</v>
      </c>
      <c r="BL1410" s="5" t="s">
        <v>238</v>
      </c>
      <c r="BM1410" s="7">
        <f>0</f>
        <v>0</v>
      </c>
      <c r="BN1410" s="8">
        <f>0</f>
        <v>0</v>
      </c>
      <c r="BO1410" s="5" t="s">
        <v>257</v>
      </c>
      <c r="BP1410" s="5" t="s">
        <v>258</v>
      </c>
      <c r="CD1410" s="5" t="s">
        <v>238</v>
      </c>
      <c r="CE1410" s="5" t="s">
        <v>238</v>
      </c>
      <c r="CI1410" s="5" t="s">
        <v>259</v>
      </c>
      <c r="CJ1410" s="5" t="s">
        <v>260</v>
      </c>
      <c r="CK1410" s="5" t="s">
        <v>238</v>
      </c>
      <c r="CM1410" s="5" t="s">
        <v>882</v>
      </c>
      <c r="CN1410" s="6" t="s">
        <v>262</v>
      </c>
      <c r="CO1410" s="5" t="s">
        <v>263</v>
      </c>
      <c r="CP1410" s="5" t="s">
        <v>264</v>
      </c>
      <c r="CQ1410" s="5" t="s">
        <v>238</v>
      </c>
      <c r="CR1410" s="5" t="s">
        <v>238</v>
      </c>
      <c r="CS1410" s="5">
        <v>0</v>
      </c>
      <c r="CT1410" s="5" t="s">
        <v>265</v>
      </c>
      <c r="CU1410" s="5" t="s">
        <v>2140</v>
      </c>
      <c r="CV1410" s="5" t="s">
        <v>267</v>
      </c>
      <c r="CX1410" s="8">
        <f>4564000</f>
        <v>4564000</v>
      </c>
      <c r="CY1410" s="8">
        <f>0</f>
        <v>0</v>
      </c>
      <c r="DA1410" s="5" t="s">
        <v>238</v>
      </c>
      <c r="DB1410" s="5" t="s">
        <v>238</v>
      </c>
      <c r="DD1410" s="5" t="s">
        <v>238</v>
      </c>
      <c r="DG1410" s="5" t="s">
        <v>238</v>
      </c>
      <c r="DH1410" s="5" t="s">
        <v>238</v>
      </c>
      <c r="DI1410" s="5" t="s">
        <v>238</v>
      </c>
      <c r="DJ1410" s="5" t="s">
        <v>238</v>
      </c>
      <c r="DK1410" s="5" t="s">
        <v>271</v>
      </c>
      <c r="DL1410" s="5" t="s">
        <v>272</v>
      </c>
      <c r="DM1410" s="7">
        <f>28</f>
        <v>28</v>
      </c>
      <c r="DN1410" s="5" t="s">
        <v>238</v>
      </c>
      <c r="DO1410" s="5" t="s">
        <v>238</v>
      </c>
      <c r="DP1410" s="5" t="s">
        <v>238</v>
      </c>
      <c r="DQ1410" s="5" t="s">
        <v>238</v>
      </c>
      <c r="DT1410" s="5" t="s">
        <v>2141</v>
      </c>
      <c r="DU1410" s="5" t="s">
        <v>274</v>
      </c>
      <c r="HM1410" s="5" t="s">
        <v>271</v>
      </c>
      <c r="HP1410" s="5" t="s">
        <v>272</v>
      </c>
      <c r="HQ1410" s="5" t="s">
        <v>272</v>
      </c>
    </row>
    <row r="1411" spans="1:238" x14ac:dyDescent="0.4">
      <c r="A1411" s="5">
        <v>1770</v>
      </c>
      <c r="B1411" s="5">
        <v>1</v>
      </c>
      <c r="C1411" s="5">
        <v>1</v>
      </c>
      <c r="D1411" s="5" t="s">
        <v>685</v>
      </c>
      <c r="E1411" s="5" t="s">
        <v>686</v>
      </c>
      <c r="F1411" s="5" t="s">
        <v>252</v>
      </c>
      <c r="G1411" s="5" t="s">
        <v>1314</v>
      </c>
      <c r="H1411" s="6" t="s">
        <v>688</v>
      </c>
      <c r="I1411" s="5" t="s">
        <v>1314</v>
      </c>
      <c r="J1411" s="7">
        <f>1536</f>
        <v>1536</v>
      </c>
      <c r="K1411" s="5" t="s">
        <v>270</v>
      </c>
      <c r="L1411" s="8">
        <f>1</f>
        <v>1</v>
      </c>
      <c r="M1411" s="8">
        <f>387072000</f>
        <v>387072000</v>
      </c>
      <c r="N1411" s="6" t="s">
        <v>1561</v>
      </c>
      <c r="O1411" s="5" t="s">
        <v>286</v>
      </c>
      <c r="P1411" s="5" t="s">
        <v>286</v>
      </c>
      <c r="R1411" s="8">
        <f>387071999</f>
        <v>387071999</v>
      </c>
      <c r="S1411" s="5" t="s">
        <v>240</v>
      </c>
      <c r="T1411" s="5" t="s">
        <v>237</v>
      </c>
      <c r="U1411" s="5" t="s">
        <v>238</v>
      </c>
      <c r="V1411" s="5" t="s">
        <v>238</v>
      </c>
      <c r="W1411" s="5" t="s">
        <v>241</v>
      </c>
      <c r="X1411" s="5" t="s">
        <v>243</v>
      </c>
      <c r="Y1411" s="5" t="s">
        <v>238</v>
      </c>
      <c r="AB1411" s="5" t="s">
        <v>238</v>
      </c>
      <c r="AD1411" s="6" t="s">
        <v>238</v>
      </c>
      <c r="AG1411" s="6" t="s">
        <v>246</v>
      </c>
      <c r="AH1411" s="5" t="s">
        <v>247</v>
      </c>
      <c r="AI1411" s="5" t="s">
        <v>248</v>
      </c>
      <c r="AY1411" s="5" t="s">
        <v>250</v>
      </c>
      <c r="AZ1411" s="5" t="s">
        <v>238</v>
      </c>
      <c r="BA1411" s="5" t="s">
        <v>251</v>
      </c>
      <c r="BB1411" s="5" t="s">
        <v>238</v>
      </c>
      <c r="BC1411" s="5" t="s">
        <v>253</v>
      </c>
      <c r="BD1411" s="5" t="s">
        <v>238</v>
      </c>
      <c r="BF1411" s="5" t="s">
        <v>238</v>
      </c>
      <c r="BH1411" s="5" t="s">
        <v>254</v>
      </c>
      <c r="BI1411" s="6" t="s">
        <v>246</v>
      </c>
      <c r="BJ1411" s="5" t="s">
        <v>255</v>
      </c>
      <c r="BK1411" s="5" t="s">
        <v>294</v>
      </c>
      <c r="BL1411" s="5" t="s">
        <v>238</v>
      </c>
      <c r="BM1411" s="7">
        <f>0</f>
        <v>0</v>
      </c>
      <c r="BN1411" s="8">
        <f>0</f>
        <v>0</v>
      </c>
      <c r="BO1411" s="5" t="s">
        <v>257</v>
      </c>
      <c r="BP1411" s="5" t="s">
        <v>258</v>
      </c>
      <c r="CD1411" s="5" t="s">
        <v>238</v>
      </c>
      <c r="CE1411" s="5" t="s">
        <v>238</v>
      </c>
      <c r="CI1411" s="5" t="s">
        <v>259</v>
      </c>
      <c r="CJ1411" s="5" t="s">
        <v>260</v>
      </c>
      <c r="CK1411" s="5" t="s">
        <v>238</v>
      </c>
      <c r="CM1411" s="5" t="s">
        <v>937</v>
      </c>
      <c r="CN1411" s="6" t="s">
        <v>262</v>
      </c>
      <c r="CO1411" s="5" t="s">
        <v>263</v>
      </c>
      <c r="CP1411" s="5" t="s">
        <v>264</v>
      </c>
      <c r="CQ1411" s="5" t="s">
        <v>238</v>
      </c>
      <c r="CR1411" s="5" t="s">
        <v>238</v>
      </c>
      <c r="CS1411" s="5">
        <v>0</v>
      </c>
      <c r="CT1411" s="5" t="s">
        <v>265</v>
      </c>
      <c r="CU1411" s="5" t="s">
        <v>1493</v>
      </c>
      <c r="CV1411" s="5" t="s">
        <v>267</v>
      </c>
      <c r="CX1411" s="8">
        <f>387072000</f>
        <v>387072000</v>
      </c>
      <c r="CY1411" s="8">
        <f>0</f>
        <v>0</v>
      </c>
      <c r="DA1411" s="5" t="s">
        <v>238</v>
      </c>
      <c r="DB1411" s="5" t="s">
        <v>238</v>
      </c>
      <c r="DD1411" s="5" t="s">
        <v>238</v>
      </c>
      <c r="DG1411" s="5" t="s">
        <v>238</v>
      </c>
      <c r="DH1411" s="5" t="s">
        <v>238</v>
      </c>
      <c r="DI1411" s="5" t="s">
        <v>238</v>
      </c>
      <c r="DJ1411" s="5" t="s">
        <v>238</v>
      </c>
      <c r="DK1411" s="5" t="s">
        <v>274</v>
      </c>
      <c r="DL1411" s="5" t="s">
        <v>272</v>
      </c>
      <c r="DM1411" s="7">
        <f>1536</f>
        <v>1536</v>
      </c>
      <c r="DN1411" s="5" t="s">
        <v>238</v>
      </c>
      <c r="DO1411" s="5" t="s">
        <v>238</v>
      </c>
      <c r="DP1411" s="5" t="s">
        <v>238</v>
      </c>
      <c r="DQ1411" s="5" t="s">
        <v>238</v>
      </c>
      <c r="DT1411" s="5" t="s">
        <v>691</v>
      </c>
      <c r="DU1411" s="5" t="s">
        <v>271</v>
      </c>
      <c r="HM1411" s="5" t="s">
        <v>274</v>
      </c>
      <c r="HP1411" s="5" t="s">
        <v>272</v>
      </c>
      <c r="HQ1411" s="5" t="s">
        <v>272</v>
      </c>
    </row>
    <row r="1412" spans="1:238" x14ac:dyDescent="0.4">
      <c r="A1412" s="5">
        <v>1771</v>
      </c>
      <c r="B1412" s="5">
        <v>1</v>
      </c>
      <c r="C1412" s="5">
        <v>4</v>
      </c>
      <c r="D1412" s="5" t="s">
        <v>685</v>
      </c>
      <c r="E1412" s="5" t="s">
        <v>686</v>
      </c>
      <c r="F1412" s="5" t="s">
        <v>252</v>
      </c>
      <c r="G1412" s="5" t="s">
        <v>1499</v>
      </c>
      <c r="H1412" s="6" t="s">
        <v>688</v>
      </c>
      <c r="I1412" s="5" t="s">
        <v>1314</v>
      </c>
      <c r="J1412" s="7">
        <f>53</f>
        <v>53</v>
      </c>
      <c r="K1412" s="5" t="s">
        <v>270</v>
      </c>
      <c r="L1412" s="8">
        <f>5128704</f>
        <v>5128704</v>
      </c>
      <c r="M1412" s="8">
        <f>13356000</f>
        <v>13356000</v>
      </c>
      <c r="N1412" s="6" t="s">
        <v>1561</v>
      </c>
      <c r="O1412" s="5" t="s">
        <v>898</v>
      </c>
      <c r="P1412" s="5" t="s">
        <v>1035</v>
      </c>
      <c r="Q1412" s="8">
        <f>293832</f>
        <v>293832</v>
      </c>
      <c r="R1412" s="8">
        <f>8227296</f>
        <v>8227296</v>
      </c>
      <c r="S1412" s="5" t="s">
        <v>240</v>
      </c>
      <c r="T1412" s="5" t="s">
        <v>237</v>
      </c>
      <c r="U1412" s="5" t="s">
        <v>238</v>
      </c>
      <c r="V1412" s="5" t="s">
        <v>238</v>
      </c>
      <c r="W1412" s="5" t="s">
        <v>241</v>
      </c>
      <c r="X1412" s="5" t="s">
        <v>243</v>
      </c>
      <c r="Y1412" s="5" t="s">
        <v>238</v>
      </c>
      <c r="AB1412" s="5" t="s">
        <v>238</v>
      </c>
      <c r="AC1412" s="6" t="s">
        <v>238</v>
      </c>
      <c r="AD1412" s="6" t="s">
        <v>238</v>
      </c>
      <c r="AF1412" s="6" t="s">
        <v>238</v>
      </c>
      <c r="AG1412" s="6" t="s">
        <v>246</v>
      </c>
      <c r="AH1412" s="5" t="s">
        <v>247</v>
      </c>
      <c r="AI1412" s="5" t="s">
        <v>248</v>
      </c>
      <c r="AO1412" s="5" t="s">
        <v>238</v>
      </c>
      <c r="AP1412" s="5" t="s">
        <v>238</v>
      </c>
      <c r="AQ1412" s="5" t="s">
        <v>238</v>
      </c>
      <c r="AR1412" s="6" t="s">
        <v>238</v>
      </c>
      <c r="AS1412" s="6" t="s">
        <v>238</v>
      </c>
      <c r="AT1412" s="6" t="s">
        <v>238</v>
      </c>
      <c r="AW1412" s="5" t="s">
        <v>304</v>
      </c>
      <c r="AX1412" s="5" t="s">
        <v>304</v>
      </c>
      <c r="AY1412" s="5" t="s">
        <v>250</v>
      </c>
      <c r="AZ1412" s="5" t="s">
        <v>305</v>
      </c>
      <c r="BA1412" s="5" t="s">
        <v>251</v>
      </c>
      <c r="BB1412" s="5" t="s">
        <v>238</v>
      </c>
      <c r="BC1412" s="5" t="s">
        <v>253</v>
      </c>
      <c r="BD1412" s="5" t="s">
        <v>238</v>
      </c>
      <c r="BF1412" s="5" t="s">
        <v>238</v>
      </c>
      <c r="BH1412" s="5" t="s">
        <v>283</v>
      </c>
      <c r="BI1412" s="6" t="s">
        <v>293</v>
      </c>
      <c r="BJ1412" s="5" t="s">
        <v>294</v>
      </c>
      <c r="BK1412" s="5" t="s">
        <v>294</v>
      </c>
      <c r="BL1412" s="5" t="s">
        <v>238</v>
      </c>
      <c r="BM1412" s="7">
        <f>0</f>
        <v>0</v>
      </c>
      <c r="BN1412" s="8">
        <f>-293832</f>
        <v>-293832</v>
      </c>
      <c r="BO1412" s="5" t="s">
        <v>257</v>
      </c>
      <c r="BP1412" s="5" t="s">
        <v>258</v>
      </c>
      <c r="BQ1412" s="5" t="s">
        <v>238</v>
      </c>
      <c r="BR1412" s="5" t="s">
        <v>238</v>
      </c>
      <c r="BS1412" s="5" t="s">
        <v>238</v>
      </c>
      <c r="BT1412" s="5" t="s">
        <v>238</v>
      </c>
      <c r="CC1412" s="5" t="s">
        <v>258</v>
      </c>
      <c r="CD1412" s="5" t="s">
        <v>238</v>
      </c>
      <c r="CE1412" s="5" t="s">
        <v>238</v>
      </c>
      <c r="CI1412" s="5" t="s">
        <v>259</v>
      </c>
      <c r="CJ1412" s="5" t="s">
        <v>260</v>
      </c>
      <c r="CK1412" s="5" t="s">
        <v>238</v>
      </c>
      <c r="CM1412" s="5" t="s">
        <v>937</v>
      </c>
      <c r="CN1412" s="6" t="s">
        <v>262</v>
      </c>
      <c r="CO1412" s="5" t="s">
        <v>263</v>
      </c>
      <c r="CP1412" s="5" t="s">
        <v>264</v>
      </c>
      <c r="CQ1412" s="5" t="s">
        <v>285</v>
      </c>
      <c r="CR1412" s="5" t="s">
        <v>238</v>
      </c>
      <c r="CS1412" s="5">
        <v>2.1999999999999999E-2</v>
      </c>
      <c r="CT1412" s="5" t="s">
        <v>265</v>
      </c>
      <c r="CU1412" s="5" t="s">
        <v>1493</v>
      </c>
      <c r="CV1412" s="5" t="s">
        <v>308</v>
      </c>
      <c r="CW1412" s="7">
        <f>0</f>
        <v>0</v>
      </c>
      <c r="CX1412" s="8">
        <f>13356000</f>
        <v>13356000</v>
      </c>
      <c r="CY1412" s="8">
        <f>5422536</f>
        <v>5422536</v>
      </c>
      <c r="DA1412" s="5" t="s">
        <v>238</v>
      </c>
      <c r="DB1412" s="5" t="s">
        <v>238</v>
      </c>
      <c r="DD1412" s="5" t="s">
        <v>238</v>
      </c>
      <c r="DE1412" s="8">
        <f>0</f>
        <v>0</v>
      </c>
      <c r="DG1412" s="5" t="s">
        <v>238</v>
      </c>
      <c r="DH1412" s="5" t="s">
        <v>238</v>
      </c>
      <c r="DI1412" s="5" t="s">
        <v>238</v>
      </c>
      <c r="DJ1412" s="5" t="s">
        <v>238</v>
      </c>
      <c r="DK1412" s="5" t="s">
        <v>271</v>
      </c>
      <c r="DL1412" s="5" t="s">
        <v>272</v>
      </c>
      <c r="DM1412" s="7">
        <f>53</f>
        <v>53</v>
      </c>
      <c r="DN1412" s="5" t="s">
        <v>238</v>
      </c>
      <c r="DO1412" s="5" t="s">
        <v>238</v>
      </c>
      <c r="DP1412" s="5" t="s">
        <v>238</v>
      </c>
      <c r="DQ1412" s="5" t="s">
        <v>238</v>
      </c>
      <c r="DT1412" s="5" t="s">
        <v>691</v>
      </c>
      <c r="DU1412" s="5" t="s">
        <v>274</v>
      </c>
      <c r="GL1412" s="5" t="s">
        <v>1565</v>
      </c>
      <c r="HM1412" s="5" t="s">
        <v>313</v>
      </c>
      <c r="HP1412" s="5" t="s">
        <v>272</v>
      </c>
      <c r="HQ1412" s="5" t="s">
        <v>272</v>
      </c>
      <c r="HR1412" s="5" t="s">
        <v>238</v>
      </c>
      <c r="HS1412" s="5" t="s">
        <v>238</v>
      </c>
      <c r="HT1412" s="5" t="s">
        <v>238</v>
      </c>
      <c r="HU1412" s="5" t="s">
        <v>238</v>
      </c>
      <c r="HV1412" s="5" t="s">
        <v>238</v>
      </c>
      <c r="HW1412" s="5" t="s">
        <v>238</v>
      </c>
      <c r="HX1412" s="5" t="s">
        <v>238</v>
      </c>
      <c r="HY1412" s="5" t="s">
        <v>238</v>
      </c>
      <c r="HZ1412" s="5" t="s">
        <v>238</v>
      </c>
      <c r="IA1412" s="5" t="s">
        <v>238</v>
      </c>
      <c r="IB1412" s="5" t="s">
        <v>238</v>
      </c>
      <c r="IC1412" s="5" t="s">
        <v>238</v>
      </c>
      <c r="ID1412" s="5" t="s">
        <v>238</v>
      </c>
    </row>
    <row r="1413" spans="1:238" x14ac:dyDescent="0.4">
      <c r="A1413" s="5">
        <v>1772</v>
      </c>
      <c r="B1413" s="5">
        <v>1</v>
      </c>
      <c r="C1413" s="5">
        <v>4</v>
      </c>
      <c r="D1413" s="5" t="s">
        <v>685</v>
      </c>
      <c r="E1413" s="5" t="s">
        <v>686</v>
      </c>
      <c r="F1413" s="5" t="s">
        <v>252</v>
      </c>
      <c r="G1413" s="5" t="s">
        <v>1666</v>
      </c>
      <c r="H1413" s="6" t="s">
        <v>688</v>
      </c>
      <c r="I1413" s="5" t="s">
        <v>1308</v>
      </c>
      <c r="J1413" s="7">
        <f>756</f>
        <v>756</v>
      </c>
      <c r="K1413" s="5" t="s">
        <v>270</v>
      </c>
      <c r="L1413" s="8">
        <f>36167040</f>
        <v>36167040</v>
      </c>
      <c r="M1413" s="8">
        <f>173880000</f>
        <v>173880000</v>
      </c>
      <c r="N1413" s="6" t="s">
        <v>1612</v>
      </c>
      <c r="O1413" s="5" t="s">
        <v>898</v>
      </c>
      <c r="P1413" s="5" t="s">
        <v>755</v>
      </c>
      <c r="Q1413" s="8">
        <f>3825360</f>
        <v>3825360</v>
      </c>
      <c r="R1413" s="8">
        <f>137712960</f>
        <v>137712960</v>
      </c>
      <c r="S1413" s="5" t="s">
        <v>240</v>
      </c>
      <c r="T1413" s="5" t="s">
        <v>237</v>
      </c>
      <c r="U1413" s="5" t="s">
        <v>238</v>
      </c>
      <c r="V1413" s="5" t="s">
        <v>238</v>
      </c>
      <c r="W1413" s="5" t="s">
        <v>241</v>
      </c>
      <c r="X1413" s="5" t="s">
        <v>243</v>
      </c>
      <c r="Y1413" s="5" t="s">
        <v>238</v>
      </c>
      <c r="AB1413" s="5" t="s">
        <v>238</v>
      </c>
      <c r="AC1413" s="6" t="s">
        <v>238</v>
      </c>
      <c r="AD1413" s="6" t="s">
        <v>238</v>
      </c>
      <c r="AF1413" s="6" t="s">
        <v>238</v>
      </c>
      <c r="AG1413" s="6" t="s">
        <v>246</v>
      </c>
      <c r="AH1413" s="5" t="s">
        <v>247</v>
      </c>
      <c r="AI1413" s="5" t="s">
        <v>248</v>
      </c>
      <c r="AO1413" s="5" t="s">
        <v>238</v>
      </c>
      <c r="AP1413" s="5" t="s">
        <v>238</v>
      </c>
      <c r="AQ1413" s="5" t="s">
        <v>238</v>
      </c>
      <c r="AR1413" s="6" t="s">
        <v>238</v>
      </c>
      <c r="AS1413" s="6" t="s">
        <v>238</v>
      </c>
      <c r="AT1413" s="6" t="s">
        <v>238</v>
      </c>
      <c r="AW1413" s="5" t="s">
        <v>304</v>
      </c>
      <c r="AX1413" s="5" t="s">
        <v>304</v>
      </c>
      <c r="AY1413" s="5" t="s">
        <v>250</v>
      </c>
      <c r="AZ1413" s="5" t="s">
        <v>305</v>
      </c>
      <c r="BA1413" s="5" t="s">
        <v>251</v>
      </c>
      <c r="BB1413" s="5" t="s">
        <v>238</v>
      </c>
      <c r="BC1413" s="5" t="s">
        <v>253</v>
      </c>
      <c r="BD1413" s="5" t="s">
        <v>238</v>
      </c>
      <c r="BF1413" s="5" t="s">
        <v>238</v>
      </c>
      <c r="BH1413" s="5" t="s">
        <v>283</v>
      </c>
      <c r="BI1413" s="6" t="s">
        <v>293</v>
      </c>
      <c r="BJ1413" s="5" t="s">
        <v>294</v>
      </c>
      <c r="BK1413" s="5" t="s">
        <v>294</v>
      </c>
      <c r="BL1413" s="5" t="s">
        <v>238</v>
      </c>
      <c r="BM1413" s="7">
        <f>0</f>
        <v>0</v>
      </c>
      <c r="BN1413" s="8">
        <f>-3825360</f>
        <v>-3825360</v>
      </c>
      <c r="BO1413" s="5" t="s">
        <v>257</v>
      </c>
      <c r="BP1413" s="5" t="s">
        <v>258</v>
      </c>
      <c r="BQ1413" s="5" t="s">
        <v>238</v>
      </c>
      <c r="BR1413" s="5" t="s">
        <v>238</v>
      </c>
      <c r="BS1413" s="5" t="s">
        <v>238</v>
      </c>
      <c r="BT1413" s="5" t="s">
        <v>238</v>
      </c>
      <c r="CC1413" s="5" t="s">
        <v>258</v>
      </c>
      <c r="CD1413" s="5" t="s">
        <v>238</v>
      </c>
      <c r="CE1413" s="5" t="s">
        <v>238</v>
      </c>
      <c r="CI1413" s="5" t="s">
        <v>259</v>
      </c>
      <c r="CJ1413" s="5" t="s">
        <v>260</v>
      </c>
      <c r="CK1413" s="5" t="s">
        <v>238</v>
      </c>
      <c r="CM1413" s="5" t="s">
        <v>689</v>
      </c>
      <c r="CN1413" s="6" t="s">
        <v>262</v>
      </c>
      <c r="CO1413" s="5" t="s">
        <v>263</v>
      </c>
      <c r="CP1413" s="5" t="s">
        <v>264</v>
      </c>
      <c r="CQ1413" s="5" t="s">
        <v>285</v>
      </c>
      <c r="CR1413" s="5" t="s">
        <v>238</v>
      </c>
      <c r="CS1413" s="5">
        <v>2.1999999999999999E-2</v>
      </c>
      <c r="CT1413" s="5" t="s">
        <v>265</v>
      </c>
      <c r="CU1413" s="5" t="s">
        <v>1330</v>
      </c>
      <c r="CV1413" s="5" t="s">
        <v>308</v>
      </c>
      <c r="CW1413" s="7">
        <f>0</f>
        <v>0</v>
      </c>
      <c r="CX1413" s="8">
        <f>173880000</f>
        <v>173880000</v>
      </c>
      <c r="CY1413" s="8">
        <f>39992400</f>
        <v>39992400</v>
      </c>
      <c r="DA1413" s="5" t="s">
        <v>238</v>
      </c>
      <c r="DB1413" s="5" t="s">
        <v>238</v>
      </c>
      <c r="DD1413" s="5" t="s">
        <v>238</v>
      </c>
      <c r="DE1413" s="8">
        <f>0</f>
        <v>0</v>
      </c>
      <c r="DG1413" s="5" t="s">
        <v>238</v>
      </c>
      <c r="DH1413" s="5" t="s">
        <v>238</v>
      </c>
      <c r="DI1413" s="5" t="s">
        <v>238</v>
      </c>
      <c r="DJ1413" s="5" t="s">
        <v>238</v>
      </c>
      <c r="DK1413" s="5" t="s">
        <v>274</v>
      </c>
      <c r="DL1413" s="5" t="s">
        <v>272</v>
      </c>
      <c r="DM1413" s="7">
        <f>756</f>
        <v>756</v>
      </c>
      <c r="DN1413" s="5" t="s">
        <v>238</v>
      </c>
      <c r="DO1413" s="5" t="s">
        <v>238</v>
      </c>
      <c r="DP1413" s="5" t="s">
        <v>238</v>
      </c>
      <c r="DQ1413" s="5" t="s">
        <v>238</v>
      </c>
      <c r="DT1413" s="5" t="s">
        <v>691</v>
      </c>
      <c r="DU1413" s="5" t="s">
        <v>356</v>
      </c>
      <c r="GL1413" s="5" t="s">
        <v>1768</v>
      </c>
      <c r="HM1413" s="5" t="s">
        <v>313</v>
      </c>
      <c r="HP1413" s="5" t="s">
        <v>272</v>
      </c>
      <c r="HQ1413" s="5" t="s">
        <v>272</v>
      </c>
      <c r="HR1413" s="5" t="s">
        <v>238</v>
      </c>
      <c r="HS1413" s="5" t="s">
        <v>238</v>
      </c>
      <c r="HT1413" s="5" t="s">
        <v>238</v>
      </c>
      <c r="HU1413" s="5" t="s">
        <v>238</v>
      </c>
      <c r="HV1413" s="5" t="s">
        <v>238</v>
      </c>
      <c r="HW1413" s="5" t="s">
        <v>238</v>
      </c>
      <c r="HX1413" s="5" t="s">
        <v>238</v>
      </c>
      <c r="HY1413" s="5" t="s">
        <v>238</v>
      </c>
      <c r="HZ1413" s="5" t="s">
        <v>238</v>
      </c>
      <c r="IA1413" s="5" t="s">
        <v>238</v>
      </c>
      <c r="IB1413" s="5" t="s">
        <v>238</v>
      </c>
      <c r="IC1413" s="5" t="s">
        <v>238</v>
      </c>
      <c r="ID1413" s="5" t="s">
        <v>238</v>
      </c>
    </row>
    <row r="1414" spans="1:238" x14ac:dyDescent="0.4">
      <c r="A1414" s="5">
        <v>1773</v>
      </c>
      <c r="B1414" s="5">
        <v>1</v>
      </c>
      <c r="C1414" s="5">
        <v>1</v>
      </c>
      <c r="D1414" s="5" t="s">
        <v>685</v>
      </c>
      <c r="E1414" s="5" t="s">
        <v>686</v>
      </c>
      <c r="F1414" s="5" t="s">
        <v>252</v>
      </c>
      <c r="G1414" s="5" t="s">
        <v>239</v>
      </c>
      <c r="H1414" s="6" t="s">
        <v>688</v>
      </c>
      <c r="I1414" s="5" t="s">
        <v>239</v>
      </c>
      <c r="J1414" s="7">
        <f>26</f>
        <v>26</v>
      </c>
      <c r="K1414" s="5" t="s">
        <v>270</v>
      </c>
      <c r="L1414" s="8">
        <f>1</f>
        <v>1</v>
      </c>
      <c r="M1414" s="8">
        <f>2366000</f>
        <v>2366000</v>
      </c>
      <c r="N1414" s="6" t="s">
        <v>687</v>
      </c>
      <c r="O1414" s="5" t="s">
        <v>651</v>
      </c>
      <c r="P1414" s="5" t="s">
        <v>690</v>
      </c>
      <c r="R1414" s="8">
        <f>2365999</f>
        <v>2365999</v>
      </c>
      <c r="S1414" s="5" t="s">
        <v>240</v>
      </c>
      <c r="T1414" s="5" t="s">
        <v>237</v>
      </c>
      <c r="U1414" s="5" t="s">
        <v>238</v>
      </c>
      <c r="V1414" s="5" t="s">
        <v>238</v>
      </c>
      <c r="W1414" s="5" t="s">
        <v>241</v>
      </c>
      <c r="X1414" s="5" t="s">
        <v>243</v>
      </c>
      <c r="Y1414" s="5" t="s">
        <v>238</v>
      </c>
      <c r="AB1414" s="5" t="s">
        <v>238</v>
      </c>
      <c r="AD1414" s="6" t="s">
        <v>238</v>
      </c>
      <c r="AG1414" s="6" t="s">
        <v>246</v>
      </c>
      <c r="AH1414" s="5" t="s">
        <v>247</v>
      </c>
      <c r="AI1414" s="5" t="s">
        <v>248</v>
      </c>
      <c r="AY1414" s="5" t="s">
        <v>250</v>
      </c>
      <c r="AZ1414" s="5" t="s">
        <v>238</v>
      </c>
      <c r="BA1414" s="5" t="s">
        <v>251</v>
      </c>
      <c r="BB1414" s="5" t="s">
        <v>238</v>
      </c>
      <c r="BC1414" s="5" t="s">
        <v>253</v>
      </c>
      <c r="BD1414" s="5" t="s">
        <v>238</v>
      </c>
      <c r="BF1414" s="5" t="s">
        <v>238</v>
      </c>
      <c r="BH1414" s="5" t="s">
        <v>254</v>
      </c>
      <c r="BI1414" s="6" t="s">
        <v>246</v>
      </c>
      <c r="BJ1414" s="5" t="s">
        <v>255</v>
      </c>
      <c r="BK1414" s="5" t="s">
        <v>256</v>
      </c>
      <c r="BL1414" s="5" t="s">
        <v>238</v>
      </c>
      <c r="BM1414" s="7">
        <f>0</f>
        <v>0</v>
      </c>
      <c r="BN1414" s="8">
        <f>0</f>
        <v>0</v>
      </c>
      <c r="BO1414" s="5" t="s">
        <v>257</v>
      </c>
      <c r="BP1414" s="5" t="s">
        <v>258</v>
      </c>
      <c r="CD1414" s="5" t="s">
        <v>238</v>
      </c>
      <c r="CE1414" s="5" t="s">
        <v>238</v>
      </c>
      <c r="CI1414" s="5" t="s">
        <v>259</v>
      </c>
      <c r="CJ1414" s="5" t="s">
        <v>260</v>
      </c>
      <c r="CK1414" s="5" t="s">
        <v>238</v>
      </c>
      <c r="CM1414" s="5" t="s">
        <v>689</v>
      </c>
      <c r="CN1414" s="6" t="s">
        <v>262</v>
      </c>
      <c r="CO1414" s="5" t="s">
        <v>263</v>
      </c>
      <c r="CP1414" s="5" t="s">
        <v>264</v>
      </c>
      <c r="CQ1414" s="5" t="s">
        <v>238</v>
      </c>
      <c r="CR1414" s="5" t="s">
        <v>238</v>
      </c>
      <c r="CS1414" s="5">
        <v>0</v>
      </c>
      <c r="CT1414" s="5" t="s">
        <v>265</v>
      </c>
      <c r="CU1414" s="5" t="s">
        <v>266</v>
      </c>
      <c r="CV1414" s="5" t="s">
        <v>331</v>
      </c>
      <c r="CX1414" s="8">
        <f>2366000</f>
        <v>2366000</v>
      </c>
      <c r="CY1414" s="8">
        <f>0</f>
        <v>0</v>
      </c>
      <c r="DA1414" s="5" t="s">
        <v>238</v>
      </c>
      <c r="DB1414" s="5" t="s">
        <v>238</v>
      </c>
      <c r="DD1414" s="5" t="s">
        <v>238</v>
      </c>
      <c r="DG1414" s="5" t="s">
        <v>238</v>
      </c>
      <c r="DH1414" s="5" t="s">
        <v>238</v>
      </c>
      <c r="DI1414" s="5" t="s">
        <v>238</v>
      </c>
      <c r="DJ1414" s="5" t="s">
        <v>238</v>
      </c>
      <c r="DK1414" s="5" t="s">
        <v>271</v>
      </c>
      <c r="DL1414" s="5" t="s">
        <v>272</v>
      </c>
      <c r="DM1414" s="7">
        <f>26</f>
        <v>26</v>
      </c>
      <c r="DN1414" s="5" t="s">
        <v>238</v>
      </c>
      <c r="DO1414" s="5" t="s">
        <v>238</v>
      </c>
      <c r="DP1414" s="5" t="s">
        <v>238</v>
      </c>
      <c r="DQ1414" s="5" t="s">
        <v>238</v>
      </c>
      <c r="DT1414" s="5" t="s">
        <v>691</v>
      </c>
      <c r="DU1414" s="5" t="s">
        <v>310</v>
      </c>
      <c r="HM1414" s="5" t="s">
        <v>271</v>
      </c>
      <c r="HP1414" s="5" t="s">
        <v>272</v>
      </c>
      <c r="HQ1414" s="5" t="s">
        <v>272</v>
      </c>
    </row>
    <row r="1415" spans="1:238" x14ac:dyDescent="0.4">
      <c r="A1415" s="5">
        <v>1774</v>
      </c>
      <c r="B1415" s="5">
        <v>1</v>
      </c>
      <c r="C1415" s="5">
        <v>1</v>
      </c>
      <c r="D1415" s="5" t="s">
        <v>685</v>
      </c>
      <c r="E1415" s="5" t="s">
        <v>686</v>
      </c>
      <c r="F1415" s="5" t="s">
        <v>252</v>
      </c>
      <c r="G1415" s="5" t="s">
        <v>2433</v>
      </c>
      <c r="H1415" s="6" t="s">
        <v>688</v>
      </c>
      <c r="I1415" s="5" t="s">
        <v>2433</v>
      </c>
      <c r="J1415" s="7">
        <f>10</f>
        <v>10</v>
      </c>
      <c r="K1415" s="5" t="s">
        <v>270</v>
      </c>
      <c r="L1415" s="8">
        <f>1</f>
        <v>1</v>
      </c>
      <c r="M1415" s="8">
        <f>910000</f>
        <v>910000</v>
      </c>
      <c r="N1415" s="6" t="s">
        <v>2448</v>
      </c>
      <c r="O1415" s="5" t="s">
        <v>268</v>
      </c>
      <c r="P1415" s="5" t="s">
        <v>1035</v>
      </c>
      <c r="R1415" s="8">
        <f>909999</f>
        <v>909999</v>
      </c>
      <c r="S1415" s="5" t="s">
        <v>240</v>
      </c>
      <c r="T1415" s="5" t="s">
        <v>237</v>
      </c>
      <c r="U1415" s="5" t="s">
        <v>238</v>
      </c>
      <c r="V1415" s="5" t="s">
        <v>238</v>
      </c>
      <c r="W1415" s="5" t="s">
        <v>241</v>
      </c>
      <c r="X1415" s="5" t="s">
        <v>243</v>
      </c>
      <c r="Y1415" s="5" t="s">
        <v>238</v>
      </c>
      <c r="AB1415" s="5" t="s">
        <v>238</v>
      </c>
      <c r="AD1415" s="6" t="s">
        <v>238</v>
      </c>
      <c r="AG1415" s="6" t="s">
        <v>246</v>
      </c>
      <c r="AH1415" s="5" t="s">
        <v>247</v>
      </c>
      <c r="AI1415" s="5" t="s">
        <v>248</v>
      </c>
      <c r="AY1415" s="5" t="s">
        <v>250</v>
      </c>
      <c r="AZ1415" s="5" t="s">
        <v>238</v>
      </c>
      <c r="BA1415" s="5" t="s">
        <v>251</v>
      </c>
      <c r="BB1415" s="5" t="s">
        <v>238</v>
      </c>
      <c r="BC1415" s="5" t="s">
        <v>253</v>
      </c>
      <c r="BD1415" s="5" t="s">
        <v>238</v>
      </c>
      <c r="BF1415" s="5" t="s">
        <v>238</v>
      </c>
      <c r="BH1415" s="5" t="s">
        <v>859</v>
      </c>
      <c r="BI1415" s="6" t="s">
        <v>368</v>
      </c>
      <c r="BJ1415" s="5" t="s">
        <v>255</v>
      </c>
      <c r="BK1415" s="5" t="s">
        <v>256</v>
      </c>
      <c r="BL1415" s="5" t="s">
        <v>238</v>
      </c>
      <c r="BM1415" s="7">
        <f>0</f>
        <v>0</v>
      </c>
      <c r="BN1415" s="8">
        <f>0</f>
        <v>0</v>
      </c>
      <c r="BO1415" s="5" t="s">
        <v>257</v>
      </c>
      <c r="BP1415" s="5" t="s">
        <v>258</v>
      </c>
      <c r="CD1415" s="5" t="s">
        <v>238</v>
      </c>
      <c r="CE1415" s="5" t="s">
        <v>238</v>
      </c>
      <c r="CI1415" s="5" t="s">
        <v>259</v>
      </c>
      <c r="CJ1415" s="5" t="s">
        <v>260</v>
      </c>
      <c r="CK1415" s="5" t="s">
        <v>238</v>
      </c>
      <c r="CM1415" s="5" t="s">
        <v>1034</v>
      </c>
      <c r="CN1415" s="6" t="s">
        <v>262</v>
      </c>
      <c r="CO1415" s="5" t="s">
        <v>263</v>
      </c>
      <c r="CP1415" s="5" t="s">
        <v>264</v>
      </c>
      <c r="CQ1415" s="5" t="s">
        <v>238</v>
      </c>
      <c r="CR1415" s="5" t="s">
        <v>238</v>
      </c>
      <c r="CS1415" s="5">
        <v>0</v>
      </c>
      <c r="CT1415" s="5" t="s">
        <v>265</v>
      </c>
      <c r="CU1415" s="5" t="s">
        <v>2381</v>
      </c>
      <c r="CV1415" s="5" t="s">
        <v>267</v>
      </c>
      <c r="CX1415" s="8">
        <f>910000</f>
        <v>910000</v>
      </c>
      <c r="CY1415" s="8">
        <f>0</f>
        <v>0</v>
      </c>
      <c r="DA1415" s="5" t="s">
        <v>238</v>
      </c>
      <c r="DB1415" s="5" t="s">
        <v>238</v>
      </c>
      <c r="DD1415" s="5" t="s">
        <v>238</v>
      </c>
      <c r="DG1415" s="5" t="s">
        <v>238</v>
      </c>
      <c r="DH1415" s="5" t="s">
        <v>238</v>
      </c>
      <c r="DI1415" s="5" t="s">
        <v>238</v>
      </c>
      <c r="DJ1415" s="5" t="s">
        <v>238</v>
      </c>
      <c r="DK1415" s="5" t="s">
        <v>271</v>
      </c>
      <c r="DL1415" s="5" t="s">
        <v>272</v>
      </c>
      <c r="DM1415" s="7">
        <f>10</f>
        <v>10</v>
      </c>
      <c r="DN1415" s="5" t="s">
        <v>238</v>
      </c>
      <c r="DO1415" s="5" t="s">
        <v>238</v>
      </c>
      <c r="DP1415" s="5" t="s">
        <v>238</v>
      </c>
      <c r="DQ1415" s="5" t="s">
        <v>238</v>
      </c>
      <c r="DT1415" s="5" t="s">
        <v>691</v>
      </c>
      <c r="DU1415" s="5" t="s">
        <v>379</v>
      </c>
      <c r="HM1415" s="5" t="s">
        <v>271</v>
      </c>
      <c r="HP1415" s="5" t="s">
        <v>272</v>
      </c>
      <c r="HQ1415" s="5" t="s">
        <v>272</v>
      </c>
    </row>
    <row r="1416" spans="1:238" x14ac:dyDescent="0.4">
      <c r="A1416" s="5">
        <v>1775</v>
      </c>
      <c r="B1416" s="5">
        <v>1</v>
      </c>
      <c r="C1416" s="5">
        <v>1</v>
      </c>
      <c r="D1416" s="5" t="s">
        <v>685</v>
      </c>
      <c r="E1416" s="5" t="s">
        <v>686</v>
      </c>
      <c r="F1416" s="5" t="s">
        <v>252</v>
      </c>
      <c r="G1416" s="5" t="s">
        <v>3027</v>
      </c>
      <c r="H1416" s="6" t="s">
        <v>688</v>
      </c>
      <c r="I1416" s="5" t="s">
        <v>3027</v>
      </c>
      <c r="J1416" s="7">
        <f>17</f>
        <v>17</v>
      </c>
      <c r="K1416" s="5" t="s">
        <v>270</v>
      </c>
      <c r="L1416" s="8">
        <f>1</f>
        <v>1</v>
      </c>
      <c r="M1416" s="8">
        <f>1547000</f>
        <v>1547000</v>
      </c>
      <c r="N1416" s="6" t="s">
        <v>2448</v>
      </c>
      <c r="O1416" s="5" t="s">
        <v>268</v>
      </c>
      <c r="P1416" s="5" t="s">
        <v>1035</v>
      </c>
      <c r="R1416" s="8">
        <f>1546999</f>
        <v>1546999</v>
      </c>
      <c r="S1416" s="5" t="s">
        <v>240</v>
      </c>
      <c r="T1416" s="5" t="s">
        <v>237</v>
      </c>
      <c r="U1416" s="5" t="s">
        <v>238</v>
      </c>
      <c r="V1416" s="5" t="s">
        <v>238</v>
      </c>
      <c r="W1416" s="5" t="s">
        <v>241</v>
      </c>
      <c r="X1416" s="5" t="s">
        <v>243</v>
      </c>
      <c r="Y1416" s="5" t="s">
        <v>238</v>
      </c>
      <c r="AB1416" s="5" t="s">
        <v>238</v>
      </c>
      <c r="AD1416" s="6" t="s">
        <v>238</v>
      </c>
      <c r="AG1416" s="6" t="s">
        <v>246</v>
      </c>
      <c r="AH1416" s="5" t="s">
        <v>247</v>
      </c>
      <c r="AI1416" s="5" t="s">
        <v>248</v>
      </c>
      <c r="AY1416" s="5" t="s">
        <v>250</v>
      </c>
      <c r="AZ1416" s="5" t="s">
        <v>238</v>
      </c>
      <c r="BA1416" s="5" t="s">
        <v>251</v>
      </c>
      <c r="BB1416" s="5" t="s">
        <v>238</v>
      </c>
      <c r="BC1416" s="5" t="s">
        <v>253</v>
      </c>
      <c r="BD1416" s="5" t="s">
        <v>238</v>
      </c>
      <c r="BF1416" s="5" t="s">
        <v>238</v>
      </c>
      <c r="BH1416" s="5" t="s">
        <v>697</v>
      </c>
      <c r="BI1416" s="6" t="s">
        <v>698</v>
      </c>
      <c r="BJ1416" s="5" t="s">
        <v>255</v>
      </c>
      <c r="BK1416" s="5" t="s">
        <v>256</v>
      </c>
      <c r="BL1416" s="5" t="s">
        <v>238</v>
      </c>
      <c r="BM1416" s="7">
        <f>0</f>
        <v>0</v>
      </c>
      <c r="BN1416" s="8">
        <f>0</f>
        <v>0</v>
      </c>
      <c r="BO1416" s="5" t="s">
        <v>257</v>
      </c>
      <c r="BP1416" s="5" t="s">
        <v>258</v>
      </c>
      <c r="CD1416" s="5" t="s">
        <v>238</v>
      </c>
      <c r="CE1416" s="5" t="s">
        <v>238</v>
      </c>
      <c r="CI1416" s="5" t="s">
        <v>259</v>
      </c>
      <c r="CJ1416" s="5" t="s">
        <v>260</v>
      </c>
      <c r="CK1416" s="5" t="s">
        <v>238</v>
      </c>
      <c r="CM1416" s="5" t="s">
        <v>1034</v>
      </c>
      <c r="CN1416" s="6" t="s">
        <v>262</v>
      </c>
      <c r="CO1416" s="5" t="s">
        <v>263</v>
      </c>
      <c r="CP1416" s="5" t="s">
        <v>264</v>
      </c>
      <c r="CQ1416" s="5" t="s">
        <v>238</v>
      </c>
      <c r="CR1416" s="5" t="s">
        <v>238</v>
      </c>
      <c r="CS1416" s="5">
        <v>0</v>
      </c>
      <c r="CT1416" s="5" t="s">
        <v>265</v>
      </c>
      <c r="CU1416" s="5" t="s">
        <v>351</v>
      </c>
      <c r="CV1416" s="5" t="s">
        <v>394</v>
      </c>
      <c r="CX1416" s="8">
        <f>1547000</f>
        <v>1547000</v>
      </c>
      <c r="CY1416" s="8">
        <f>0</f>
        <v>0</v>
      </c>
      <c r="DA1416" s="5" t="s">
        <v>238</v>
      </c>
      <c r="DB1416" s="5" t="s">
        <v>238</v>
      </c>
      <c r="DD1416" s="5" t="s">
        <v>238</v>
      </c>
      <c r="DG1416" s="5" t="s">
        <v>238</v>
      </c>
      <c r="DH1416" s="5" t="s">
        <v>238</v>
      </c>
      <c r="DI1416" s="5" t="s">
        <v>238</v>
      </c>
      <c r="DJ1416" s="5" t="s">
        <v>238</v>
      </c>
      <c r="DK1416" s="5" t="s">
        <v>271</v>
      </c>
      <c r="DL1416" s="5" t="s">
        <v>272</v>
      </c>
      <c r="DM1416" s="7">
        <f>17</f>
        <v>17</v>
      </c>
      <c r="DN1416" s="5" t="s">
        <v>238</v>
      </c>
      <c r="DO1416" s="5" t="s">
        <v>238</v>
      </c>
      <c r="DP1416" s="5" t="s">
        <v>238</v>
      </c>
      <c r="DQ1416" s="5" t="s">
        <v>238</v>
      </c>
      <c r="DT1416" s="5" t="s">
        <v>691</v>
      </c>
      <c r="DU1416" s="5" t="s">
        <v>313</v>
      </c>
      <c r="HM1416" s="5" t="s">
        <v>271</v>
      </c>
      <c r="HP1416" s="5" t="s">
        <v>272</v>
      </c>
      <c r="HQ1416" s="5" t="s">
        <v>272</v>
      </c>
    </row>
    <row r="1417" spans="1:238" x14ac:dyDescent="0.4">
      <c r="A1417" s="5">
        <v>1776</v>
      </c>
      <c r="B1417" s="5">
        <v>1</v>
      </c>
      <c r="C1417" s="5">
        <v>1</v>
      </c>
      <c r="D1417" s="5" t="s">
        <v>685</v>
      </c>
      <c r="E1417" s="5" t="s">
        <v>686</v>
      </c>
      <c r="F1417" s="5" t="s">
        <v>252</v>
      </c>
      <c r="G1417" s="5" t="s">
        <v>1309</v>
      </c>
      <c r="H1417" s="6" t="s">
        <v>688</v>
      </c>
      <c r="I1417" s="5" t="s">
        <v>1309</v>
      </c>
      <c r="J1417" s="7">
        <f>2</f>
        <v>2</v>
      </c>
      <c r="K1417" s="5" t="s">
        <v>270</v>
      </c>
      <c r="L1417" s="8">
        <f>1</f>
        <v>1</v>
      </c>
      <c r="M1417" s="8">
        <f>294000</f>
        <v>294000</v>
      </c>
      <c r="N1417" s="6" t="s">
        <v>1561</v>
      </c>
      <c r="O1417" s="5" t="s">
        <v>651</v>
      </c>
      <c r="P1417" s="5" t="s">
        <v>651</v>
      </c>
      <c r="R1417" s="8">
        <f>293999</f>
        <v>293999</v>
      </c>
      <c r="S1417" s="5" t="s">
        <v>240</v>
      </c>
      <c r="T1417" s="5" t="s">
        <v>237</v>
      </c>
      <c r="U1417" s="5" t="s">
        <v>238</v>
      </c>
      <c r="V1417" s="5" t="s">
        <v>238</v>
      </c>
      <c r="W1417" s="5" t="s">
        <v>241</v>
      </c>
      <c r="X1417" s="5" t="s">
        <v>243</v>
      </c>
      <c r="Y1417" s="5" t="s">
        <v>238</v>
      </c>
      <c r="AB1417" s="5" t="s">
        <v>238</v>
      </c>
      <c r="AD1417" s="6" t="s">
        <v>238</v>
      </c>
      <c r="AG1417" s="6" t="s">
        <v>246</v>
      </c>
      <c r="AH1417" s="5" t="s">
        <v>247</v>
      </c>
      <c r="AI1417" s="5" t="s">
        <v>248</v>
      </c>
      <c r="AY1417" s="5" t="s">
        <v>250</v>
      </c>
      <c r="AZ1417" s="5" t="s">
        <v>238</v>
      </c>
      <c r="BA1417" s="5" t="s">
        <v>251</v>
      </c>
      <c r="BB1417" s="5" t="s">
        <v>238</v>
      </c>
      <c r="BC1417" s="5" t="s">
        <v>253</v>
      </c>
      <c r="BD1417" s="5" t="s">
        <v>238</v>
      </c>
      <c r="BF1417" s="5" t="s">
        <v>238</v>
      </c>
      <c r="BH1417" s="5" t="s">
        <v>254</v>
      </c>
      <c r="BI1417" s="6" t="s">
        <v>246</v>
      </c>
      <c r="BJ1417" s="5" t="s">
        <v>255</v>
      </c>
      <c r="BK1417" s="5" t="s">
        <v>294</v>
      </c>
      <c r="BL1417" s="5" t="s">
        <v>238</v>
      </c>
      <c r="BM1417" s="7">
        <f>0</f>
        <v>0</v>
      </c>
      <c r="BN1417" s="8">
        <f>0</f>
        <v>0</v>
      </c>
      <c r="BO1417" s="5" t="s">
        <v>257</v>
      </c>
      <c r="BP1417" s="5" t="s">
        <v>258</v>
      </c>
      <c r="CD1417" s="5" t="s">
        <v>238</v>
      </c>
      <c r="CE1417" s="5" t="s">
        <v>238</v>
      </c>
      <c r="CI1417" s="5" t="s">
        <v>259</v>
      </c>
      <c r="CJ1417" s="5" t="s">
        <v>260</v>
      </c>
      <c r="CK1417" s="5" t="s">
        <v>238</v>
      </c>
      <c r="CM1417" s="5" t="s">
        <v>937</v>
      </c>
      <c r="CN1417" s="6" t="s">
        <v>262</v>
      </c>
      <c r="CO1417" s="5" t="s">
        <v>263</v>
      </c>
      <c r="CP1417" s="5" t="s">
        <v>264</v>
      </c>
      <c r="CQ1417" s="5" t="s">
        <v>238</v>
      </c>
      <c r="CR1417" s="5" t="s">
        <v>238</v>
      </c>
      <c r="CS1417" s="5">
        <v>0</v>
      </c>
      <c r="CT1417" s="5" t="s">
        <v>265</v>
      </c>
      <c r="CU1417" s="5" t="s">
        <v>1342</v>
      </c>
      <c r="CV1417" s="5" t="s">
        <v>331</v>
      </c>
      <c r="CX1417" s="8">
        <f>294000</f>
        <v>294000</v>
      </c>
      <c r="CY1417" s="8">
        <f>0</f>
        <v>0</v>
      </c>
      <c r="DA1417" s="5" t="s">
        <v>238</v>
      </c>
      <c r="DB1417" s="5" t="s">
        <v>238</v>
      </c>
      <c r="DD1417" s="5" t="s">
        <v>238</v>
      </c>
      <c r="DG1417" s="5" t="s">
        <v>238</v>
      </c>
      <c r="DH1417" s="5" t="s">
        <v>238</v>
      </c>
      <c r="DI1417" s="5" t="s">
        <v>238</v>
      </c>
      <c r="DJ1417" s="5" t="s">
        <v>238</v>
      </c>
      <c r="DK1417" s="5" t="s">
        <v>271</v>
      </c>
      <c r="DL1417" s="5" t="s">
        <v>272</v>
      </c>
      <c r="DM1417" s="7">
        <f>2</f>
        <v>2</v>
      </c>
      <c r="DN1417" s="5" t="s">
        <v>238</v>
      </c>
      <c r="DO1417" s="5" t="s">
        <v>238</v>
      </c>
      <c r="DP1417" s="5" t="s">
        <v>238</v>
      </c>
      <c r="DQ1417" s="5" t="s">
        <v>238</v>
      </c>
      <c r="DT1417" s="5" t="s">
        <v>691</v>
      </c>
      <c r="DU1417" s="5" t="s">
        <v>389</v>
      </c>
      <c r="HM1417" s="5" t="s">
        <v>310</v>
      </c>
      <c r="HP1417" s="5" t="s">
        <v>272</v>
      </c>
      <c r="HQ1417" s="5" t="s">
        <v>272</v>
      </c>
    </row>
    <row r="1418" spans="1:238" x14ac:dyDescent="0.4">
      <c r="A1418" s="5">
        <v>1777</v>
      </c>
      <c r="B1418" s="5">
        <v>1</v>
      </c>
      <c r="C1418" s="5">
        <v>4</v>
      </c>
      <c r="D1418" s="5" t="s">
        <v>1149</v>
      </c>
      <c r="E1418" s="5" t="s">
        <v>686</v>
      </c>
      <c r="F1418" s="5" t="s">
        <v>252</v>
      </c>
      <c r="G1418" s="5" t="s">
        <v>1499</v>
      </c>
      <c r="H1418" s="6" t="s">
        <v>1151</v>
      </c>
      <c r="I1418" s="5" t="s">
        <v>1314</v>
      </c>
      <c r="J1418" s="7">
        <f>1289</f>
        <v>1289</v>
      </c>
      <c r="K1418" s="5" t="s">
        <v>270</v>
      </c>
      <c r="L1418" s="8">
        <f>91121988</f>
        <v>91121988</v>
      </c>
      <c r="M1418" s="8">
        <f>332562000</f>
        <v>332562000</v>
      </c>
      <c r="N1418" s="6" t="s">
        <v>1044</v>
      </c>
      <c r="O1418" s="5" t="s">
        <v>898</v>
      </c>
      <c r="P1418" s="5" t="s">
        <v>650</v>
      </c>
      <c r="Q1418" s="8">
        <f>7316364</f>
        <v>7316364</v>
      </c>
      <c r="R1418" s="8">
        <f>241440012</f>
        <v>241440012</v>
      </c>
      <c r="S1418" s="5" t="s">
        <v>240</v>
      </c>
      <c r="T1418" s="5" t="s">
        <v>237</v>
      </c>
      <c r="U1418" s="5" t="s">
        <v>238</v>
      </c>
      <c r="V1418" s="5" t="s">
        <v>238</v>
      </c>
      <c r="W1418" s="5" t="s">
        <v>241</v>
      </c>
      <c r="X1418" s="5" t="s">
        <v>243</v>
      </c>
      <c r="Y1418" s="5" t="s">
        <v>238</v>
      </c>
      <c r="AB1418" s="5" t="s">
        <v>238</v>
      </c>
      <c r="AC1418" s="6" t="s">
        <v>238</v>
      </c>
      <c r="AD1418" s="6" t="s">
        <v>238</v>
      </c>
      <c r="AF1418" s="6" t="s">
        <v>238</v>
      </c>
      <c r="AG1418" s="6" t="s">
        <v>246</v>
      </c>
      <c r="AH1418" s="5" t="s">
        <v>247</v>
      </c>
      <c r="AI1418" s="5" t="s">
        <v>248</v>
      </c>
      <c r="AO1418" s="5" t="s">
        <v>238</v>
      </c>
      <c r="AP1418" s="5" t="s">
        <v>238</v>
      </c>
      <c r="AQ1418" s="5" t="s">
        <v>238</v>
      </c>
      <c r="AR1418" s="6" t="s">
        <v>238</v>
      </c>
      <c r="AS1418" s="6" t="s">
        <v>238</v>
      </c>
      <c r="AT1418" s="6" t="s">
        <v>238</v>
      </c>
      <c r="AW1418" s="5" t="s">
        <v>304</v>
      </c>
      <c r="AX1418" s="5" t="s">
        <v>304</v>
      </c>
      <c r="AY1418" s="5" t="s">
        <v>250</v>
      </c>
      <c r="AZ1418" s="5" t="s">
        <v>305</v>
      </c>
      <c r="BA1418" s="5" t="s">
        <v>251</v>
      </c>
      <c r="BB1418" s="5" t="s">
        <v>238</v>
      </c>
      <c r="BC1418" s="5" t="s">
        <v>253</v>
      </c>
      <c r="BD1418" s="5" t="s">
        <v>238</v>
      </c>
      <c r="BF1418" s="5" t="s">
        <v>238</v>
      </c>
      <c r="BH1418" s="5" t="s">
        <v>283</v>
      </c>
      <c r="BI1418" s="6" t="s">
        <v>293</v>
      </c>
      <c r="BJ1418" s="5" t="s">
        <v>294</v>
      </c>
      <c r="BK1418" s="5" t="s">
        <v>294</v>
      </c>
      <c r="BL1418" s="5" t="s">
        <v>238</v>
      </c>
      <c r="BM1418" s="7">
        <f>0</f>
        <v>0</v>
      </c>
      <c r="BN1418" s="8">
        <f>-7316364</f>
        <v>-7316364</v>
      </c>
      <c r="BO1418" s="5" t="s">
        <v>257</v>
      </c>
      <c r="BP1418" s="5" t="s">
        <v>258</v>
      </c>
      <c r="BQ1418" s="5" t="s">
        <v>238</v>
      </c>
      <c r="BR1418" s="5" t="s">
        <v>238</v>
      </c>
      <c r="BS1418" s="5" t="s">
        <v>238</v>
      </c>
      <c r="BT1418" s="5" t="s">
        <v>238</v>
      </c>
      <c r="CC1418" s="5" t="s">
        <v>258</v>
      </c>
      <c r="CD1418" s="5" t="s">
        <v>238</v>
      </c>
      <c r="CE1418" s="5" t="s">
        <v>238</v>
      </c>
      <c r="CI1418" s="5" t="s">
        <v>259</v>
      </c>
      <c r="CJ1418" s="5" t="s">
        <v>260</v>
      </c>
      <c r="CK1418" s="5" t="s">
        <v>238</v>
      </c>
      <c r="CM1418" s="5" t="s">
        <v>1034</v>
      </c>
      <c r="CN1418" s="6" t="s">
        <v>262</v>
      </c>
      <c r="CO1418" s="5" t="s">
        <v>263</v>
      </c>
      <c r="CP1418" s="5" t="s">
        <v>264</v>
      </c>
      <c r="CQ1418" s="5" t="s">
        <v>285</v>
      </c>
      <c r="CR1418" s="5" t="s">
        <v>238</v>
      </c>
      <c r="CS1418" s="5">
        <v>2.1999999999999999E-2</v>
      </c>
      <c r="CT1418" s="5" t="s">
        <v>265</v>
      </c>
      <c r="CU1418" s="5" t="s">
        <v>1493</v>
      </c>
      <c r="CV1418" s="5" t="s">
        <v>308</v>
      </c>
      <c r="CW1418" s="7">
        <f>0</f>
        <v>0</v>
      </c>
      <c r="CX1418" s="8">
        <f>332562000</f>
        <v>332562000</v>
      </c>
      <c r="CY1418" s="8">
        <f>98438352</f>
        <v>98438352</v>
      </c>
      <c r="DA1418" s="5" t="s">
        <v>238</v>
      </c>
      <c r="DB1418" s="5" t="s">
        <v>238</v>
      </c>
      <c r="DD1418" s="5" t="s">
        <v>238</v>
      </c>
      <c r="DE1418" s="8">
        <f>0</f>
        <v>0</v>
      </c>
      <c r="DG1418" s="5" t="s">
        <v>238</v>
      </c>
      <c r="DH1418" s="5" t="s">
        <v>238</v>
      </c>
      <c r="DI1418" s="5" t="s">
        <v>238</v>
      </c>
      <c r="DJ1418" s="5" t="s">
        <v>238</v>
      </c>
      <c r="DK1418" s="5" t="s">
        <v>274</v>
      </c>
      <c r="DL1418" s="5" t="s">
        <v>272</v>
      </c>
      <c r="DM1418" s="7">
        <f>1289</f>
        <v>1289</v>
      </c>
      <c r="DN1418" s="5" t="s">
        <v>238</v>
      </c>
      <c r="DO1418" s="5" t="s">
        <v>238</v>
      </c>
      <c r="DP1418" s="5" t="s">
        <v>238</v>
      </c>
      <c r="DQ1418" s="5" t="s">
        <v>238</v>
      </c>
      <c r="DT1418" s="5" t="s">
        <v>1152</v>
      </c>
      <c r="DU1418" s="5" t="s">
        <v>271</v>
      </c>
      <c r="GL1418" s="5" t="s">
        <v>1566</v>
      </c>
      <c r="HM1418" s="5" t="s">
        <v>313</v>
      </c>
      <c r="HP1418" s="5" t="s">
        <v>272</v>
      </c>
      <c r="HQ1418" s="5" t="s">
        <v>272</v>
      </c>
      <c r="HR1418" s="5" t="s">
        <v>238</v>
      </c>
      <c r="HS1418" s="5" t="s">
        <v>238</v>
      </c>
      <c r="HT1418" s="5" t="s">
        <v>238</v>
      </c>
      <c r="HU1418" s="5" t="s">
        <v>238</v>
      </c>
      <c r="HV1418" s="5" t="s">
        <v>238</v>
      </c>
      <c r="HW1418" s="5" t="s">
        <v>238</v>
      </c>
      <c r="HX1418" s="5" t="s">
        <v>238</v>
      </c>
      <c r="HY1418" s="5" t="s">
        <v>238</v>
      </c>
      <c r="HZ1418" s="5" t="s">
        <v>238</v>
      </c>
      <c r="IA1418" s="5" t="s">
        <v>238</v>
      </c>
      <c r="IB1418" s="5" t="s">
        <v>238</v>
      </c>
      <c r="IC1418" s="5" t="s">
        <v>238</v>
      </c>
      <c r="ID1418" s="5" t="s">
        <v>238</v>
      </c>
    </row>
    <row r="1419" spans="1:238" x14ac:dyDescent="0.4">
      <c r="A1419" s="5">
        <v>1778</v>
      </c>
      <c r="B1419" s="5">
        <v>1</v>
      </c>
      <c r="C1419" s="5">
        <v>1</v>
      </c>
      <c r="D1419" s="5" t="s">
        <v>1149</v>
      </c>
      <c r="E1419" s="5" t="s">
        <v>686</v>
      </c>
      <c r="F1419" s="5" t="s">
        <v>252</v>
      </c>
      <c r="G1419" s="5" t="s">
        <v>239</v>
      </c>
      <c r="H1419" s="6" t="s">
        <v>1151</v>
      </c>
      <c r="I1419" s="5" t="s">
        <v>239</v>
      </c>
      <c r="J1419" s="7">
        <f>22</f>
        <v>22</v>
      </c>
      <c r="K1419" s="5" t="s">
        <v>270</v>
      </c>
      <c r="L1419" s="8">
        <f>1</f>
        <v>1</v>
      </c>
      <c r="M1419" s="8">
        <f>5500000</f>
        <v>5500000</v>
      </c>
      <c r="N1419" s="6" t="s">
        <v>1150</v>
      </c>
      <c r="O1419" s="5" t="s">
        <v>651</v>
      </c>
      <c r="P1419" s="5" t="s">
        <v>640</v>
      </c>
      <c r="R1419" s="8">
        <f>5499999</f>
        <v>5499999</v>
      </c>
      <c r="S1419" s="5" t="s">
        <v>240</v>
      </c>
      <c r="T1419" s="5" t="s">
        <v>237</v>
      </c>
      <c r="U1419" s="5" t="s">
        <v>238</v>
      </c>
      <c r="V1419" s="5" t="s">
        <v>238</v>
      </c>
      <c r="W1419" s="5" t="s">
        <v>241</v>
      </c>
      <c r="X1419" s="5" t="s">
        <v>243</v>
      </c>
      <c r="Y1419" s="5" t="s">
        <v>238</v>
      </c>
      <c r="AB1419" s="5" t="s">
        <v>238</v>
      </c>
      <c r="AD1419" s="6" t="s">
        <v>238</v>
      </c>
      <c r="AG1419" s="6" t="s">
        <v>246</v>
      </c>
      <c r="AH1419" s="5" t="s">
        <v>247</v>
      </c>
      <c r="AI1419" s="5" t="s">
        <v>248</v>
      </c>
      <c r="AY1419" s="5" t="s">
        <v>250</v>
      </c>
      <c r="AZ1419" s="5" t="s">
        <v>238</v>
      </c>
      <c r="BA1419" s="5" t="s">
        <v>251</v>
      </c>
      <c r="BB1419" s="5" t="s">
        <v>238</v>
      </c>
      <c r="BC1419" s="5" t="s">
        <v>253</v>
      </c>
      <c r="BD1419" s="5" t="s">
        <v>238</v>
      </c>
      <c r="BF1419" s="5" t="s">
        <v>238</v>
      </c>
      <c r="BH1419" s="5" t="s">
        <v>697</v>
      </c>
      <c r="BI1419" s="6" t="s">
        <v>698</v>
      </c>
      <c r="BJ1419" s="5" t="s">
        <v>255</v>
      </c>
      <c r="BK1419" s="5" t="s">
        <v>256</v>
      </c>
      <c r="BL1419" s="5" t="s">
        <v>238</v>
      </c>
      <c r="BM1419" s="7">
        <f>0</f>
        <v>0</v>
      </c>
      <c r="BN1419" s="8">
        <f>0</f>
        <v>0</v>
      </c>
      <c r="BO1419" s="5" t="s">
        <v>257</v>
      </c>
      <c r="BP1419" s="5" t="s">
        <v>258</v>
      </c>
      <c r="CD1419" s="5" t="s">
        <v>238</v>
      </c>
      <c r="CE1419" s="5" t="s">
        <v>238</v>
      </c>
      <c r="CI1419" s="5" t="s">
        <v>259</v>
      </c>
      <c r="CJ1419" s="5" t="s">
        <v>260</v>
      </c>
      <c r="CK1419" s="5" t="s">
        <v>238</v>
      </c>
      <c r="CM1419" s="5" t="s">
        <v>342</v>
      </c>
      <c r="CN1419" s="6" t="s">
        <v>262</v>
      </c>
      <c r="CO1419" s="5" t="s">
        <v>263</v>
      </c>
      <c r="CP1419" s="5" t="s">
        <v>264</v>
      </c>
      <c r="CQ1419" s="5" t="s">
        <v>238</v>
      </c>
      <c r="CR1419" s="5" t="s">
        <v>238</v>
      </c>
      <c r="CS1419" s="5">
        <v>0</v>
      </c>
      <c r="CT1419" s="5" t="s">
        <v>265</v>
      </c>
      <c r="CU1419" s="5" t="s">
        <v>266</v>
      </c>
      <c r="CV1419" s="5" t="s">
        <v>331</v>
      </c>
      <c r="CX1419" s="8">
        <f>5500000</f>
        <v>5500000</v>
      </c>
      <c r="CY1419" s="8">
        <f>0</f>
        <v>0</v>
      </c>
      <c r="DA1419" s="5" t="s">
        <v>238</v>
      </c>
      <c r="DB1419" s="5" t="s">
        <v>238</v>
      </c>
      <c r="DD1419" s="5" t="s">
        <v>238</v>
      </c>
      <c r="DG1419" s="5" t="s">
        <v>238</v>
      </c>
      <c r="DH1419" s="5" t="s">
        <v>238</v>
      </c>
      <c r="DI1419" s="5" t="s">
        <v>238</v>
      </c>
      <c r="DJ1419" s="5" t="s">
        <v>238</v>
      </c>
      <c r="DK1419" s="5" t="s">
        <v>271</v>
      </c>
      <c r="DL1419" s="5" t="s">
        <v>272</v>
      </c>
      <c r="DM1419" s="7">
        <f>22</f>
        <v>22</v>
      </c>
      <c r="DN1419" s="5" t="s">
        <v>238</v>
      </c>
      <c r="DO1419" s="5" t="s">
        <v>238</v>
      </c>
      <c r="DP1419" s="5" t="s">
        <v>238</v>
      </c>
      <c r="DQ1419" s="5" t="s">
        <v>238</v>
      </c>
      <c r="DT1419" s="5" t="s">
        <v>1152</v>
      </c>
      <c r="DU1419" s="5" t="s">
        <v>274</v>
      </c>
      <c r="HM1419" s="5" t="s">
        <v>271</v>
      </c>
      <c r="HP1419" s="5" t="s">
        <v>272</v>
      </c>
      <c r="HQ1419" s="5" t="s">
        <v>272</v>
      </c>
    </row>
    <row r="1420" spans="1:238" x14ac:dyDescent="0.4">
      <c r="A1420" s="5">
        <v>1779</v>
      </c>
      <c r="B1420" s="5">
        <v>1</v>
      </c>
      <c r="C1420" s="5">
        <v>4</v>
      </c>
      <c r="D1420" s="5" t="s">
        <v>1149</v>
      </c>
      <c r="E1420" s="5" t="s">
        <v>686</v>
      </c>
      <c r="F1420" s="5" t="s">
        <v>252</v>
      </c>
      <c r="G1420" s="5" t="s">
        <v>1666</v>
      </c>
      <c r="H1420" s="6" t="s">
        <v>1151</v>
      </c>
      <c r="I1420" s="5" t="s">
        <v>1308</v>
      </c>
      <c r="J1420" s="7">
        <f>556</f>
        <v>556</v>
      </c>
      <c r="K1420" s="5" t="s">
        <v>270</v>
      </c>
      <c r="L1420" s="8">
        <f>68799440</f>
        <v>68799440</v>
      </c>
      <c r="M1420" s="8">
        <f>127880000</f>
        <v>127880000</v>
      </c>
      <c r="N1420" s="6" t="s">
        <v>1770</v>
      </c>
      <c r="O1420" s="5" t="s">
        <v>898</v>
      </c>
      <c r="P1420" s="5" t="s">
        <v>658</v>
      </c>
      <c r="Q1420" s="8">
        <f>2813360</f>
        <v>2813360</v>
      </c>
      <c r="R1420" s="8">
        <f>59080560</f>
        <v>59080560</v>
      </c>
      <c r="S1420" s="5" t="s">
        <v>240</v>
      </c>
      <c r="T1420" s="5" t="s">
        <v>237</v>
      </c>
      <c r="U1420" s="5" t="s">
        <v>238</v>
      </c>
      <c r="V1420" s="5" t="s">
        <v>238</v>
      </c>
      <c r="W1420" s="5" t="s">
        <v>241</v>
      </c>
      <c r="X1420" s="5" t="s">
        <v>243</v>
      </c>
      <c r="Y1420" s="5" t="s">
        <v>238</v>
      </c>
      <c r="AB1420" s="5" t="s">
        <v>238</v>
      </c>
      <c r="AC1420" s="6" t="s">
        <v>238</v>
      </c>
      <c r="AD1420" s="6" t="s">
        <v>238</v>
      </c>
      <c r="AF1420" s="6" t="s">
        <v>238</v>
      </c>
      <c r="AG1420" s="6" t="s">
        <v>246</v>
      </c>
      <c r="AH1420" s="5" t="s">
        <v>247</v>
      </c>
      <c r="AI1420" s="5" t="s">
        <v>248</v>
      </c>
      <c r="AO1420" s="5" t="s">
        <v>238</v>
      </c>
      <c r="AP1420" s="5" t="s">
        <v>238</v>
      </c>
      <c r="AQ1420" s="5" t="s">
        <v>238</v>
      </c>
      <c r="AR1420" s="6" t="s">
        <v>238</v>
      </c>
      <c r="AS1420" s="6" t="s">
        <v>238</v>
      </c>
      <c r="AT1420" s="6" t="s">
        <v>238</v>
      </c>
      <c r="AW1420" s="5" t="s">
        <v>304</v>
      </c>
      <c r="AX1420" s="5" t="s">
        <v>304</v>
      </c>
      <c r="AY1420" s="5" t="s">
        <v>250</v>
      </c>
      <c r="AZ1420" s="5" t="s">
        <v>305</v>
      </c>
      <c r="BA1420" s="5" t="s">
        <v>251</v>
      </c>
      <c r="BB1420" s="5" t="s">
        <v>238</v>
      </c>
      <c r="BC1420" s="5" t="s">
        <v>253</v>
      </c>
      <c r="BD1420" s="5" t="s">
        <v>238</v>
      </c>
      <c r="BF1420" s="5" t="s">
        <v>238</v>
      </c>
      <c r="BH1420" s="5" t="s">
        <v>283</v>
      </c>
      <c r="BI1420" s="6" t="s">
        <v>293</v>
      </c>
      <c r="BJ1420" s="5" t="s">
        <v>294</v>
      </c>
      <c r="BK1420" s="5" t="s">
        <v>294</v>
      </c>
      <c r="BL1420" s="5" t="s">
        <v>238</v>
      </c>
      <c r="BM1420" s="7">
        <f>0</f>
        <v>0</v>
      </c>
      <c r="BN1420" s="8">
        <f>-2813360</f>
        <v>-2813360</v>
      </c>
      <c r="BO1420" s="5" t="s">
        <v>257</v>
      </c>
      <c r="BP1420" s="5" t="s">
        <v>258</v>
      </c>
      <c r="BQ1420" s="5" t="s">
        <v>238</v>
      </c>
      <c r="BR1420" s="5" t="s">
        <v>238</v>
      </c>
      <c r="BS1420" s="5" t="s">
        <v>238</v>
      </c>
      <c r="BT1420" s="5" t="s">
        <v>238</v>
      </c>
      <c r="CC1420" s="5" t="s">
        <v>258</v>
      </c>
      <c r="CD1420" s="5" t="s">
        <v>238</v>
      </c>
      <c r="CE1420" s="5" t="s">
        <v>238</v>
      </c>
      <c r="CI1420" s="5" t="s">
        <v>259</v>
      </c>
      <c r="CJ1420" s="5" t="s">
        <v>260</v>
      </c>
      <c r="CK1420" s="5" t="s">
        <v>238</v>
      </c>
      <c r="CM1420" s="5" t="s">
        <v>657</v>
      </c>
      <c r="CN1420" s="6" t="s">
        <v>262</v>
      </c>
      <c r="CO1420" s="5" t="s">
        <v>263</v>
      </c>
      <c r="CP1420" s="5" t="s">
        <v>264</v>
      </c>
      <c r="CQ1420" s="5" t="s">
        <v>285</v>
      </c>
      <c r="CR1420" s="5" t="s">
        <v>238</v>
      </c>
      <c r="CS1420" s="5">
        <v>2.1999999999999999E-2</v>
      </c>
      <c r="CT1420" s="5" t="s">
        <v>265</v>
      </c>
      <c r="CU1420" s="5" t="s">
        <v>1330</v>
      </c>
      <c r="CV1420" s="5" t="s">
        <v>308</v>
      </c>
      <c r="CW1420" s="7">
        <f>0</f>
        <v>0</v>
      </c>
      <c r="CX1420" s="8">
        <f>127880000</f>
        <v>127880000</v>
      </c>
      <c r="CY1420" s="8">
        <f>71612800</f>
        <v>71612800</v>
      </c>
      <c r="DA1420" s="5" t="s">
        <v>238</v>
      </c>
      <c r="DB1420" s="5" t="s">
        <v>238</v>
      </c>
      <c r="DD1420" s="5" t="s">
        <v>238</v>
      </c>
      <c r="DE1420" s="8">
        <f>0</f>
        <v>0</v>
      </c>
      <c r="DG1420" s="5" t="s">
        <v>238</v>
      </c>
      <c r="DH1420" s="5" t="s">
        <v>238</v>
      </c>
      <c r="DI1420" s="5" t="s">
        <v>238</v>
      </c>
      <c r="DJ1420" s="5" t="s">
        <v>238</v>
      </c>
      <c r="DK1420" s="5" t="s">
        <v>271</v>
      </c>
      <c r="DL1420" s="5" t="s">
        <v>272</v>
      </c>
      <c r="DM1420" s="7">
        <f>556</f>
        <v>556</v>
      </c>
      <c r="DN1420" s="5" t="s">
        <v>238</v>
      </c>
      <c r="DO1420" s="5" t="s">
        <v>238</v>
      </c>
      <c r="DP1420" s="5" t="s">
        <v>238</v>
      </c>
      <c r="DQ1420" s="5" t="s">
        <v>238</v>
      </c>
      <c r="DT1420" s="5" t="s">
        <v>1152</v>
      </c>
      <c r="DU1420" s="5" t="s">
        <v>356</v>
      </c>
      <c r="GL1420" s="5" t="s">
        <v>1771</v>
      </c>
      <c r="HM1420" s="5" t="s">
        <v>313</v>
      </c>
      <c r="HP1420" s="5" t="s">
        <v>272</v>
      </c>
      <c r="HQ1420" s="5" t="s">
        <v>272</v>
      </c>
      <c r="HR1420" s="5" t="s">
        <v>238</v>
      </c>
      <c r="HS1420" s="5" t="s">
        <v>238</v>
      </c>
      <c r="HT1420" s="5" t="s">
        <v>238</v>
      </c>
      <c r="HU1420" s="5" t="s">
        <v>238</v>
      </c>
      <c r="HV1420" s="5" t="s">
        <v>238</v>
      </c>
      <c r="HW1420" s="5" t="s">
        <v>238</v>
      </c>
      <c r="HX1420" s="5" t="s">
        <v>238</v>
      </c>
      <c r="HY1420" s="5" t="s">
        <v>238</v>
      </c>
      <c r="HZ1420" s="5" t="s">
        <v>238</v>
      </c>
      <c r="IA1420" s="5" t="s">
        <v>238</v>
      </c>
      <c r="IB1420" s="5" t="s">
        <v>238</v>
      </c>
      <c r="IC1420" s="5" t="s">
        <v>238</v>
      </c>
      <c r="ID1420" s="5" t="s">
        <v>238</v>
      </c>
    </row>
    <row r="1421" spans="1:238" x14ac:dyDescent="0.4">
      <c r="A1421" s="5">
        <v>1780</v>
      </c>
      <c r="B1421" s="5">
        <v>1</v>
      </c>
      <c r="C1421" s="5">
        <v>1</v>
      </c>
      <c r="D1421" s="5" t="s">
        <v>1149</v>
      </c>
      <c r="E1421" s="5" t="s">
        <v>686</v>
      </c>
      <c r="F1421" s="5" t="s">
        <v>252</v>
      </c>
      <c r="G1421" s="5" t="s">
        <v>3027</v>
      </c>
      <c r="H1421" s="6" t="s">
        <v>1151</v>
      </c>
      <c r="I1421" s="5" t="s">
        <v>3027</v>
      </c>
      <c r="J1421" s="7">
        <f>49</f>
        <v>49</v>
      </c>
      <c r="K1421" s="5" t="s">
        <v>270</v>
      </c>
      <c r="L1421" s="8">
        <f>1</f>
        <v>1</v>
      </c>
      <c r="M1421" s="8">
        <f>7987000</f>
        <v>7987000</v>
      </c>
      <c r="N1421" s="6" t="s">
        <v>3029</v>
      </c>
      <c r="O1421" s="5" t="s">
        <v>268</v>
      </c>
      <c r="P1421" s="5" t="s">
        <v>640</v>
      </c>
      <c r="R1421" s="8">
        <f>7986999</f>
        <v>7986999</v>
      </c>
      <c r="S1421" s="5" t="s">
        <v>240</v>
      </c>
      <c r="T1421" s="5" t="s">
        <v>237</v>
      </c>
      <c r="U1421" s="5" t="s">
        <v>238</v>
      </c>
      <c r="V1421" s="5" t="s">
        <v>238</v>
      </c>
      <c r="W1421" s="5" t="s">
        <v>241</v>
      </c>
      <c r="X1421" s="5" t="s">
        <v>243</v>
      </c>
      <c r="Y1421" s="5" t="s">
        <v>238</v>
      </c>
      <c r="AB1421" s="5" t="s">
        <v>238</v>
      </c>
      <c r="AD1421" s="6" t="s">
        <v>238</v>
      </c>
      <c r="AG1421" s="6" t="s">
        <v>246</v>
      </c>
      <c r="AH1421" s="5" t="s">
        <v>247</v>
      </c>
      <c r="AI1421" s="5" t="s">
        <v>248</v>
      </c>
      <c r="AY1421" s="5" t="s">
        <v>250</v>
      </c>
      <c r="AZ1421" s="5" t="s">
        <v>238</v>
      </c>
      <c r="BA1421" s="5" t="s">
        <v>251</v>
      </c>
      <c r="BB1421" s="5" t="s">
        <v>238</v>
      </c>
      <c r="BC1421" s="5" t="s">
        <v>253</v>
      </c>
      <c r="BD1421" s="5" t="s">
        <v>238</v>
      </c>
      <c r="BF1421" s="5" t="s">
        <v>238</v>
      </c>
      <c r="BH1421" s="5" t="s">
        <v>859</v>
      </c>
      <c r="BI1421" s="6" t="s">
        <v>368</v>
      </c>
      <c r="BJ1421" s="5" t="s">
        <v>255</v>
      </c>
      <c r="BK1421" s="5" t="s">
        <v>256</v>
      </c>
      <c r="BL1421" s="5" t="s">
        <v>238</v>
      </c>
      <c r="BM1421" s="7">
        <f>0</f>
        <v>0</v>
      </c>
      <c r="BN1421" s="8">
        <f>0</f>
        <v>0</v>
      </c>
      <c r="BO1421" s="5" t="s">
        <v>257</v>
      </c>
      <c r="BP1421" s="5" t="s">
        <v>258</v>
      </c>
      <c r="CD1421" s="5" t="s">
        <v>238</v>
      </c>
      <c r="CE1421" s="5" t="s">
        <v>238</v>
      </c>
      <c r="CI1421" s="5" t="s">
        <v>259</v>
      </c>
      <c r="CJ1421" s="5" t="s">
        <v>260</v>
      </c>
      <c r="CK1421" s="5" t="s">
        <v>238</v>
      </c>
      <c r="CM1421" s="5" t="s">
        <v>342</v>
      </c>
      <c r="CN1421" s="6" t="s">
        <v>262</v>
      </c>
      <c r="CO1421" s="5" t="s">
        <v>263</v>
      </c>
      <c r="CP1421" s="5" t="s">
        <v>264</v>
      </c>
      <c r="CQ1421" s="5" t="s">
        <v>238</v>
      </c>
      <c r="CR1421" s="5" t="s">
        <v>238</v>
      </c>
      <c r="CS1421" s="5">
        <v>0</v>
      </c>
      <c r="CT1421" s="5" t="s">
        <v>265</v>
      </c>
      <c r="CU1421" s="5" t="s">
        <v>351</v>
      </c>
      <c r="CV1421" s="5" t="s">
        <v>394</v>
      </c>
      <c r="CX1421" s="8">
        <f>7987000</f>
        <v>7987000</v>
      </c>
      <c r="CY1421" s="8">
        <f>0</f>
        <v>0</v>
      </c>
      <c r="DA1421" s="5" t="s">
        <v>238</v>
      </c>
      <c r="DB1421" s="5" t="s">
        <v>238</v>
      </c>
      <c r="DD1421" s="5" t="s">
        <v>238</v>
      </c>
      <c r="DG1421" s="5" t="s">
        <v>238</v>
      </c>
      <c r="DH1421" s="5" t="s">
        <v>238</v>
      </c>
      <c r="DI1421" s="5" t="s">
        <v>238</v>
      </c>
      <c r="DJ1421" s="5" t="s">
        <v>238</v>
      </c>
      <c r="DK1421" s="5" t="s">
        <v>271</v>
      </c>
      <c r="DL1421" s="5" t="s">
        <v>272</v>
      </c>
      <c r="DM1421" s="7">
        <f>49</f>
        <v>49</v>
      </c>
      <c r="DN1421" s="5" t="s">
        <v>238</v>
      </c>
      <c r="DO1421" s="5" t="s">
        <v>238</v>
      </c>
      <c r="DP1421" s="5" t="s">
        <v>238</v>
      </c>
      <c r="DQ1421" s="5" t="s">
        <v>238</v>
      </c>
      <c r="DT1421" s="5" t="s">
        <v>1152</v>
      </c>
      <c r="DU1421" s="5" t="s">
        <v>310</v>
      </c>
      <c r="HM1421" s="5" t="s">
        <v>271</v>
      </c>
      <c r="HP1421" s="5" t="s">
        <v>272</v>
      </c>
      <c r="HQ1421" s="5" t="s">
        <v>272</v>
      </c>
    </row>
    <row r="1422" spans="1:238" x14ac:dyDescent="0.4">
      <c r="A1422" s="5">
        <v>1781</v>
      </c>
      <c r="B1422" s="5">
        <v>1</v>
      </c>
      <c r="C1422" s="5">
        <v>1</v>
      </c>
      <c r="D1422" s="5" t="s">
        <v>1055</v>
      </c>
      <c r="E1422" s="5" t="s">
        <v>852</v>
      </c>
      <c r="F1422" s="5" t="s">
        <v>252</v>
      </c>
      <c r="G1422" s="5" t="s">
        <v>3027</v>
      </c>
      <c r="H1422" s="6" t="s">
        <v>1056</v>
      </c>
      <c r="I1422" s="5" t="s">
        <v>3027</v>
      </c>
      <c r="J1422" s="7">
        <f>51</f>
        <v>51</v>
      </c>
      <c r="K1422" s="5" t="s">
        <v>270</v>
      </c>
      <c r="L1422" s="8">
        <f>1</f>
        <v>1</v>
      </c>
      <c r="M1422" s="8">
        <f>6630000</f>
        <v>6630000</v>
      </c>
      <c r="N1422" s="6" t="s">
        <v>3028</v>
      </c>
      <c r="O1422" s="5" t="s">
        <v>268</v>
      </c>
      <c r="P1422" s="5" t="s">
        <v>1411</v>
      </c>
      <c r="R1422" s="8">
        <f>6629999</f>
        <v>6629999</v>
      </c>
      <c r="S1422" s="5" t="s">
        <v>240</v>
      </c>
      <c r="T1422" s="5" t="s">
        <v>237</v>
      </c>
      <c r="U1422" s="5" t="s">
        <v>238</v>
      </c>
      <c r="V1422" s="5" t="s">
        <v>238</v>
      </c>
      <c r="W1422" s="5" t="s">
        <v>241</v>
      </c>
      <c r="X1422" s="5" t="s">
        <v>243</v>
      </c>
      <c r="Y1422" s="5" t="s">
        <v>238</v>
      </c>
      <c r="AB1422" s="5" t="s">
        <v>238</v>
      </c>
      <c r="AD1422" s="6" t="s">
        <v>238</v>
      </c>
      <c r="AG1422" s="6" t="s">
        <v>246</v>
      </c>
      <c r="AH1422" s="5" t="s">
        <v>247</v>
      </c>
      <c r="AI1422" s="5" t="s">
        <v>248</v>
      </c>
      <c r="AY1422" s="5" t="s">
        <v>250</v>
      </c>
      <c r="AZ1422" s="5" t="s">
        <v>238</v>
      </c>
      <c r="BA1422" s="5" t="s">
        <v>251</v>
      </c>
      <c r="BB1422" s="5" t="s">
        <v>238</v>
      </c>
      <c r="BC1422" s="5" t="s">
        <v>253</v>
      </c>
      <c r="BD1422" s="5" t="s">
        <v>238</v>
      </c>
      <c r="BF1422" s="5" t="s">
        <v>238</v>
      </c>
      <c r="BH1422" s="5" t="s">
        <v>697</v>
      </c>
      <c r="BI1422" s="6" t="s">
        <v>698</v>
      </c>
      <c r="BJ1422" s="5" t="s">
        <v>255</v>
      </c>
      <c r="BK1422" s="5" t="s">
        <v>256</v>
      </c>
      <c r="BL1422" s="5" t="s">
        <v>238</v>
      </c>
      <c r="BM1422" s="7">
        <f>0</f>
        <v>0</v>
      </c>
      <c r="BN1422" s="8">
        <f>0</f>
        <v>0</v>
      </c>
      <c r="BO1422" s="5" t="s">
        <v>257</v>
      </c>
      <c r="BP1422" s="5" t="s">
        <v>258</v>
      </c>
      <c r="CD1422" s="5" t="s">
        <v>238</v>
      </c>
      <c r="CE1422" s="5" t="s">
        <v>238</v>
      </c>
      <c r="CI1422" s="5" t="s">
        <v>527</v>
      </c>
      <c r="CJ1422" s="5" t="s">
        <v>260</v>
      </c>
      <c r="CK1422" s="5" t="s">
        <v>238</v>
      </c>
      <c r="CM1422" s="5" t="s">
        <v>1410</v>
      </c>
      <c r="CN1422" s="6" t="s">
        <v>262</v>
      </c>
      <c r="CO1422" s="5" t="s">
        <v>263</v>
      </c>
      <c r="CP1422" s="5" t="s">
        <v>264</v>
      </c>
      <c r="CQ1422" s="5" t="s">
        <v>238</v>
      </c>
      <c r="CR1422" s="5" t="s">
        <v>238</v>
      </c>
      <c r="CS1422" s="5">
        <v>0</v>
      </c>
      <c r="CT1422" s="5" t="s">
        <v>265</v>
      </c>
      <c r="CU1422" s="5" t="s">
        <v>351</v>
      </c>
      <c r="CV1422" s="5" t="s">
        <v>394</v>
      </c>
      <c r="CX1422" s="8">
        <f>6630000</f>
        <v>6630000</v>
      </c>
      <c r="CY1422" s="8">
        <f>0</f>
        <v>0</v>
      </c>
      <c r="DA1422" s="5" t="s">
        <v>238</v>
      </c>
      <c r="DB1422" s="5" t="s">
        <v>238</v>
      </c>
      <c r="DD1422" s="5" t="s">
        <v>238</v>
      </c>
      <c r="DG1422" s="5" t="s">
        <v>238</v>
      </c>
      <c r="DH1422" s="5" t="s">
        <v>238</v>
      </c>
      <c r="DI1422" s="5" t="s">
        <v>238</v>
      </c>
      <c r="DJ1422" s="5" t="s">
        <v>238</v>
      </c>
      <c r="DK1422" s="5" t="s">
        <v>271</v>
      </c>
      <c r="DL1422" s="5" t="s">
        <v>272</v>
      </c>
      <c r="DM1422" s="7">
        <f>51</f>
        <v>51</v>
      </c>
      <c r="DN1422" s="5" t="s">
        <v>238</v>
      </c>
      <c r="DO1422" s="5" t="s">
        <v>238</v>
      </c>
      <c r="DP1422" s="5" t="s">
        <v>238</v>
      </c>
      <c r="DQ1422" s="5" t="s">
        <v>238</v>
      </c>
      <c r="DT1422" s="5" t="s">
        <v>1057</v>
      </c>
      <c r="DU1422" s="5" t="s">
        <v>271</v>
      </c>
      <c r="HM1422" s="5" t="s">
        <v>271</v>
      </c>
      <c r="HP1422" s="5" t="s">
        <v>272</v>
      </c>
      <c r="HQ1422" s="5" t="s">
        <v>272</v>
      </c>
    </row>
    <row r="1423" spans="1:238" x14ac:dyDescent="0.4">
      <c r="A1423" s="5">
        <v>1782</v>
      </c>
      <c r="B1423" s="5">
        <v>1</v>
      </c>
      <c r="C1423" s="5">
        <v>8</v>
      </c>
      <c r="D1423" s="5" t="s">
        <v>1055</v>
      </c>
      <c r="E1423" s="5" t="s">
        <v>852</v>
      </c>
      <c r="F1423" s="5" t="s">
        <v>252</v>
      </c>
      <c r="G1423" s="5" t="s">
        <v>1666</v>
      </c>
      <c r="H1423" s="6" t="s">
        <v>1056</v>
      </c>
      <c r="I1423" s="5" t="s">
        <v>1308</v>
      </c>
      <c r="J1423" s="7">
        <f>806</f>
        <v>806</v>
      </c>
      <c r="K1423" s="5" t="s">
        <v>270</v>
      </c>
      <c r="L1423" s="8">
        <f>56311996</f>
        <v>56311996</v>
      </c>
      <c r="M1423" s="8">
        <f>155558000</f>
        <v>155558000</v>
      </c>
      <c r="N1423" s="6" t="s">
        <v>1773</v>
      </c>
      <c r="O1423" s="5" t="s">
        <v>898</v>
      </c>
      <c r="P1423" s="5" t="s">
        <v>784</v>
      </c>
      <c r="Q1423" s="8">
        <f>3422276</f>
        <v>3422276</v>
      </c>
      <c r="R1423" s="8">
        <f>99246004</f>
        <v>99246004</v>
      </c>
      <c r="S1423" s="5" t="s">
        <v>240</v>
      </c>
      <c r="T1423" s="5" t="s">
        <v>237</v>
      </c>
      <c r="U1423" s="5" t="s">
        <v>238</v>
      </c>
      <c r="V1423" s="5" t="s">
        <v>238</v>
      </c>
      <c r="W1423" s="5" t="s">
        <v>241</v>
      </c>
      <c r="X1423" s="5" t="s">
        <v>243</v>
      </c>
      <c r="Y1423" s="5" t="s">
        <v>238</v>
      </c>
      <c r="AB1423" s="5" t="s">
        <v>238</v>
      </c>
      <c r="AC1423" s="6" t="s">
        <v>238</v>
      </c>
      <c r="AD1423" s="6" t="s">
        <v>238</v>
      </c>
      <c r="AF1423" s="6" t="s">
        <v>238</v>
      </c>
      <c r="AG1423" s="6" t="s">
        <v>246</v>
      </c>
      <c r="AH1423" s="5" t="s">
        <v>247</v>
      </c>
      <c r="AI1423" s="5" t="s">
        <v>248</v>
      </c>
      <c r="AO1423" s="5" t="s">
        <v>238</v>
      </c>
      <c r="AP1423" s="5" t="s">
        <v>238</v>
      </c>
      <c r="AQ1423" s="5" t="s">
        <v>238</v>
      </c>
      <c r="AR1423" s="6" t="s">
        <v>238</v>
      </c>
      <c r="AS1423" s="6" t="s">
        <v>238</v>
      </c>
      <c r="AT1423" s="6" t="s">
        <v>238</v>
      </c>
      <c r="AW1423" s="5" t="s">
        <v>304</v>
      </c>
      <c r="AX1423" s="5" t="s">
        <v>304</v>
      </c>
      <c r="AY1423" s="5" t="s">
        <v>250</v>
      </c>
      <c r="AZ1423" s="5" t="s">
        <v>305</v>
      </c>
      <c r="BA1423" s="5" t="s">
        <v>251</v>
      </c>
      <c r="BB1423" s="5" t="s">
        <v>238</v>
      </c>
      <c r="BC1423" s="5" t="s">
        <v>253</v>
      </c>
      <c r="BD1423" s="5" t="s">
        <v>238</v>
      </c>
      <c r="BF1423" s="5" t="s">
        <v>238</v>
      </c>
      <c r="BH1423" s="5" t="s">
        <v>283</v>
      </c>
      <c r="BI1423" s="6" t="s">
        <v>293</v>
      </c>
      <c r="BJ1423" s="5" t="s">
        <v>294</v>
      </c>
      <c r="BK1423" s="5" t="s">
        <v>294</v>
      </c>
      <c r="BL1423" s="5" t="s">
        <v>238</v>
      </c>
      <c r="BM1423" s="7">
        <f>0</f>
        <v>0</v>
      </c>
      <c r="BN1423" s="8">
        <f>-3422276</f>
        <v>-3422276</v>
      </c>
      <c r="BO1423" s="5" t="s">
        <v>257</v>
      </c>
      <c r="BP1423" s="5" t="s">
        <v>258</v>
      </c>
      <c r="BQ1423" s="5" t="s">
        <v>238</v>
      </c>
      <c r="BR1423" s="5" t="s">
        <v>238</v>
      </c>
      <c r="BS1423" s="5" t="s">
        <v>238</v>
      </c>
      <c r="BT1423" s="5" t="s">
        <v>238</v>
      </c>
      <c r="CC1423" s="5" t="s">
        <v>258</v>
      </c>
      <c r="CD1423" s="5" t="s">
        <v>238</v>
      </c>
      <c r="CE1423" s="5" t="s">
        <v>238</v>
      </c>
      <c r="CI1423" s="5" t="s">
        <v>259</v>
      </c>
      <c r="CJ1423" s="5" t="s">
        <v>260</v>
      </c>
      <c r="CK1423" s="5" t="s">
        <v>238</v>
      </c>
      <c r="CM1423" s="5" t="s">
        <v>783</v>
      </c>
      <c r="CN1423" s="6" t="s">
        <v>262</v>
      </c>
      <c r="CO1423" s="5" t="s">
        <v>263</v>
      </c>
      <c r="CP1423" s="5" t="s">
        <v>264</v>
      </c>
      <c r="CQ1423" s="5" t="s">
        <v>285</v>
      </c>
      <c r="CR1423" s="5" t="s">
        <v>238</v>
      </c>
      <c r="CS1423" s="5">
        <v>2.1999999999999999E-2</v>
      </c>
      <c r="CT1423" s="5" t="s">
        <v>265</v>
      </c>
      <c r="CU1423" s="5" t="s">
        <v>1330</v>
      </c>
      <c r="CV1423" s="5" t="s">
        <v>308</v>
      </c>
      <c r="CW1423" s="7">
        <f>0</f>
        <v>0</v>
      </c>
      <c r="CX1423" s="8">
        <f>155558000</f>
        <v>155558000</v>
      </c>
      <c r="CY1423" s="8">
        <f>59734272</f>
        <v>59734272</v>
      </c>
      <c r="DA1423" s="5" t="s">
        <v>238</v>
      </c>
      <c r="DB1423" s="5" t="s">
        <v>238</v>
      </c>
      <c r="DD1423" s="5" t="s">
        <v>238</v>
      </c>
      <c r="DE1423" s="8">
        <f>0</f>
        <v>0</v>
      </c>
      <c r="DG1423" s="5" t="s">
        <v>238</v>
      </c>
      <c r="DH1423" s="5" t="s">
        <v>238</v>
      </c>
      <c r="DI1423" s="5" t="s">
        <v>238</v>
      </c>
      <c r="DJ1423" s="5" t="s">
        <v>238</v>
      </c>
      <c r="DK1423" s="5" t="s">
        <v>271</v>
      </c>
      <c r="DL1423" s="5" t="s">
        <v>272</v>
      </c>
      <c r="DM1423" s="7">
        <f>806</f>
        <v>806</v>
      </c>
      <c r="DN1423" s="5" t="s">
        <v>238</v>
      </c>
      <c r="DO1423" s="5" t="s">
        <v>238</v>
      </c>
      <c r="DP1423" s="5" t="s">
        <v>238</v>
      </c>
      <c r="DQ1423" s="5" t="s">
        <v>238</v>
      </c>
      <c r="DT1423" s="5" t="s">
        <v>1057</v>
      </c>
      <c r="DU1423" s="5" t="s">
        <v>274</v>
      </c>
      <c r="GL1423" s="5" t="s">
        <v>1774</v>
      </c>
      <c r="HM1423" s="5" t="s">
        <v>313</v>
      </c>
      <c r="HP1423" s="5" t="s">
        <v>272</v>
      </c>
      <c r="HQ1423" s="5" t="s">
        <v>272</v>
      </c>
      <c r="HR1423" s="5" t="s">
        <v>238</v>
      </c>
      <c r="HS1423" s="5" t="s">
        <v>238</v>
      </c>
      <c r="HT1423" s="5" t="s">
        <v>238</v>
      </c>
      <c r="HU1423" s="5" t="s">
        <v>238</v>
      </c>
      <c r="HV1423" s="5" t="s">
        <v>238</v>
      </c>
      <c r="HW1423" s="5" t="s">
        <v>238</v>
      </c>
      <c r="HX1423" s="5" t="s">
        <v>238</v>
      </c>
      <c r="HY1423" s="5" t="s">
        <v>238</v>
      </c>
      <c r="HZ1423" s="5" t="s">
        <v>238</v>
      </c>
      <c r="IA1423" s="5" t="s">
        <v>238</v>
      </c>
      <c r="IB1423" s="5" t="s">
        <v>238</v>
      </c>
      <c r="IC1423" s="5" t="s">
        <v>238</v>
      </c>
      <c r="ID1423" s="5" t="s">
        <v>238</v>
      </c>
    </row>
    <row r="1424" spans="1:238" x14ac:dyDescent="0.4">
      <c r="A1424" s="5">
        <v>1783</v>
      </c>
      <c r="B1424" s="5">
        <v>1</v>
      </c>
      <c r="C1424" s="5">
        <v>1</v>
      </c>
      <c r="D1424" s="5" t="s">
        <v>1055</v>
      </c>
      <c r="E1424" s="5" t="s">
        <v>852</v>
      </c>
      <c r="F1424" s="5" t="s">
        <v>252</v>
      </c>
      <c r="G1424" s="5" t="s">
        <v>239</v>
      </c>
      <c r="H1424" s="6" t="s">
        <v>1056</v>
      </c>
      <c r="I1424" s="5" t="s">
        <v>239</v>
      </c>
      <c r="J1424" s="7">
        <f>46</f>
        <v>46</v>
      </c>
      <c r="K1424" s="5" t="s">
        <v>270</v>
      </c>
      <c r="L1424" s="8">
        <f>1</f>
        <v>1</v>
      </c>
      <c r="M1424" s="8">
        <f>2760000</f>
        <v>2760000</v>
      </c>
      <c r="N1424" s="6" t="s">
        <v>876</v>
      </c>
      <c r="O1424" s="5" t="s">
        <v>268</v>
      </c>
      <c r="P1424" s="5" t="s">
        <v>650</v>
      </c>
      <c r="R1424" s="8">
        <f>2759999</f>
        <v>2759999</v>
      </c>
      <c r="S1424" s="5" t="s">
        <v>240</v>
      </c>
      <c r="T1424" s="5" t="s">
        <v>237</v>
      </c>
      <c r="U1424" s="5" t="s">
        <v>238</v>
      </c>
      <c r="V1424" s="5" t="s">
        <v>238</v>
      </c>
      <c r="W1424" s="5" t="s">
        <v>241</v>
      </c>
      <c r="X1424" s="5" t="s">
        <v>243</v>
      </c>
      <c r="Y1424" s="5" t="s">
        <v>238</v>
      </c>
      <c r="AB1424" s="5" t="s">
        <v>238</v>
      </c>
      <c r="AD1424" s="6" t="s">
        <v>238</v>
      </c>
      <c r="AG1424" s="6" t="s">
        <v>246</v>
      </c>
      <c r="AH1424" s="5" t="s">
        <v>247</v>
      </c>
      <c r="AI1424" s="5" t="s">
        <v>248</v>
      </c>
      <c r="AY1424" s="5" t="s">
        <v>250</v>
      </c>
      <c r="AZ1424" s="5" t="s">
        <v>238</v>
      </c>
      <c r="BA1424" s="5" t="s">
        <v>251</v>
      </c>
      <c r="BB1424" s="5" t="s">
        <v>238</v>
      </c>
      <c r="BC1424" s="5" t="s">
        <v>253</v>
      </c>
      <c r="BD1424" s="5" t="s">
        <v>238</v>
      </c>
      <c r="BF1424" s="5" t="s">
        <v>238</v>
      </c>
      <c r="BH1424" s="5" t="s">
        <v>859</v>
      </c>
      <c r="BI1424" s="6" t="s">
        <v>368</v>
      </c>
      <c r="BJ1424" s="5" t="s">
        <v>255</v>
      </c>
      <c r="BK1424" s="5" t="s">
        <v>256</v>
      </c>
      <c r="BL1424" s="5" t="s">
        <v>238</v>
      </c>
      <c r="BM1424" s="7">
        <f>0</f>
        <v>0</v>
      </c>
      <c r="BN1424" s="8">
        <f>0</f>
        <v>0</v>
      </c>
      <c r="BO1424" s="5" t="s">
        <v>257</v>
      </c>
      <c r="BP1424" s="5" t="s">
        <v>258</v>
      </c>
      <c r="CD1424" s="5" t="s">
        <v>238</v>
      </c>
      <c r="CE1424" s="5" t="s">
        <v>238</v>
      </c>
      <c r="CI1424" s="5" t="s">
        <v>527</v>
      </c>
      <c r="CJ1424" s="5" t="s">
        <v>260</v>
      </c>
      <c r="CK1424" s="5" t="s">
        <v>238</v>
      </c>
      <c r="CM1424" s="5" t="s">
        <v>877</v>
      </c>
      <c r="CN1424" s="6" t="s">
        <v>262</v>
      </c>
      <c r="CO1424" s="5" t="s">
        <v>263</v>
      </c>
      <c r="CP1424" s="5" t="s">
        <v>264</v>
      </c>
      <c r="CQ1424" s="5" t="s">
        <v>238</v>
      </c>
      <c r="CR1424" s="5" t="s">
        <v>238</v>
      </c>
      <c r="CS1424" s="5">
        <v>0</v>
      </c>
      <c r="CT1424" s="5" t="s">
        <v>265</v>
      </c>
      <c r="CU1424" s="5" t="s">
        <v>266</v>
      </c>
      <c r="CV1424" s="5" t="s">
        <v>267</v>
      </c>
      <c r="CX1424" s="8">
        <f>2760000</f>
        <v>2760000</v>
      </c>
      <c r="CY1424" s="8">
        <f>0</f>
        <v>0</v>
      </c>
      <c r="DA1424" s="5" t="s">
        <v>238</v>
      </c>
      <c r="DB1424" s="5" t="s">
        <v>238</v>
      </c>
      <c r="DD1424" s="5" t="s">
        <v>238</v>
      </c>
      <c r="DG1424" s="5" t="s">
        <v>238</v>
      </c>
      <c r="DH1424" s="5" t="s">
        <v>238</v>
      </c>
      <c r="DI1424" s="5" t="s">
        <v>238</v>
      </c>
      <c r="DJ1424" s="5" t="s">
        <v>238</v>
      </c>
      <c r="DK1424" s="5" t="s">
        <v>271</v>
      </c>
      <c r="DL1424" s="5" t="s">
        <v>272</v>
      </c>
      <c r="DM1424" s="7">
        <f>46</f>
        <v>46</v>
      </c>
      <c r="DN1424" s="5" t="s">
        <v>238</v>
      </c>
      <c r="DO1424" s="5" t="s">
        <v>238</v>
      </c>
      <c r="DP1424" s="5" t="s">
        <v>238</v>
      </c>
      <c r="DQ1424" s="5" t="s">
        <v>238</v>
      </c>
      <c r="DT1424" s="5" t="s">
        <v>1057</v>
      </c>
      <c r="DU1424" s="5" t="s">
        <v>356</v>
      </c>
      <c r="HM1424" s="5" t="s">
        <v>271</v>
      </c>
      <c r="HP1424" s="5" t="s">
        <v>272</v>
      </c>
      <c r="HQ1424" s="5" t="s">
        <v>272</v>
      </c>
    </row>
    <row r="1425" spans="1:238" x14ac:dyDescent="0.4">
      <c r="A1425" s="5">
        <v>1784</v>
      </c>
      <c r="B1425" s="5">
        <v>1</v>
      </c>
      <c r="C1425" s="5">
        <v>1</v>
      </c>
      <c r="D1425" s="5" t="s">
        <v>1055</v>
      </c>
      <c r="E1425" s="5" t="s">
        <v>852</v>
      </c>
      <c r="F1425" s="5" t="s">
        <v>252</v>
      </c>
      <c r="G1425" s="5" t="s">
        <v>239</v>
      </c>
      <c r="H1425" s="6" t="s">
        <v>1056</v>
      </c>
      <c r="I1425" s="5" t="s">
        <v>239</v>
      </c>
      <c r="J1425" s="7">
        <f>32</f>
        <v>32</v>
      </c>
      <c r="K1425" s="5" t="s">
        <v>270</v>
      </c>
      <c r="L1425" s="8">
        <f>1</f>
        <v>1</v>
      </c>
      <c r="M1425" s="8">
        <f>5440000</f>
        <v>5440000</v>
      </c>
      <c r="N1425" s="6" t="s">
        <v>1148</v>
      </c>
      <c r="O1425" s="5" t="s">
        <v>651</v>
      </c>
      <c r="P1425" s="5" t="s">
        <v>690</v>
      </c>
      <c r="R1425" s="8">
        <f>5439999</f>
        <v>5439999</v>
      </c>
      <c r="S1425" s="5" t="s">
        <v>240</v>
      </c>
      <c r="T1425" s="5" t="s">
        <v>237</v>
      </c>
      <c r="U1425" s="5" t="s">
        <v>238</v>
      </c>
      <c r="V1425" s="5" t="s">
        <v>238</v>
      </c>
      <c r="W1425" s="5" t="s">
        <v>241</v>
      </c>
      <c r="X1425" s="5" t="s">
        <v>243</v>
      </c>
      <c r="Y1425" s="5" t="s">
        <v>238</v>
      </c>
      <c r="AB1425" s="5" t="s">
        <v>238</v>
      </c>
      <c r="AD1425" s="6" t="s">
        <v>238</v>
      </c>
      <c r="AG1425" s="6" t="s">
        <v>246</v>
      </c>
      <c r="AH1425" s="5" t="s">
        <v>247</v>
      </c>
      <c r="AI1425" s="5" t="s">
        <v>248</v>
      </c>
      <c r="AY1425" s="5" t="s">
        <v>250</v>
      </c>
      <c r="AZ1425" s="5" t="s">
        <v>238</v>
      </c>
      <c r="BA1425" s="5" t="s">
        <v>251</v>
      </c>
      <c r="BB1425" s="5" t="s">
        <v>238</v>
      </c>
      <c r="BC1425" s="5" t="s">
        <v>253</v>
      </c>
      <c r="BD1425" s="5" t="s">
        <v>238</v>
      </c>
      <c r="BF1425" s="5" t="s">
        <v>238</v>
      </c>
      <c r="BH1425" s="5" t="s">
        <v>697</v>
      </c>
      <c r="BI1425" s="6" t="s">
        <v>698</v>
      </c>
      <c r="BJ1425" s="5" t="s">
        <v>255</v>
      </c>
      <c r="BK1425" s="5" t="s">
        <v>256</v>
      </c>
      <c r="BL1425" s="5" t="s">
        <v>238</v>
      </c>
      <c r="BM1425" s="7">
        <f>0</f>
        <v>0</v>
      </c>
      <c r="BN1425" s="8">
        <f>0</f>
        <v>0</v>
      </c>
      <c r="BO1425" s="5" t="s">
        <v>257</v>
      </c>
      <c r="BP1425" s="5" t="s">
        <v>258</v>
      </c>
      <c r="CD1425" s="5" t="s">
        <v>238</v>
      </c>
      <c r="CE1425" s="5" t="s">
        <v>238</v>
      </c>
      <c r="CI1425" s="5" t="s">
        <v>259</v>
      </c>
      <c r="CJ1425" s="5" t="s">
        <v>260</v>
      </c>
      <c r="CK1425" s="5" t="s">
        <v>238</v>
      </c>
      <c r="CM1425" s="5" t="s">
        <v>689</v>
      </c>
      <c r="CN1425" s="6" t="s">
        <v>262</v>
      </c>
      <c r="CO1425" s="5" t="s">
        <v>263</v>
      </c>
      <c r="CP1425" s="5" t="s">
        <v>264</v>
      </c>
      <c r="CQ1425" s="5" t="s">
        <v>238</v>
      </c>
      <c r="CR1425" s="5" t="s">
        <v>238</v>
      </c>
      <c r="CS1425" s="5">
        <v>0</v>
      </c>
      <c r="CT1425" s="5" t="s">
        <v>265</v>
      </c>
      <c r="CU1425" s="5" t="s">
        <v>266</v>
      </c>
      <c r="CV1425" s="5" t="s">
        <v>331</v>
      </c>
      <c r="CX1425" s="8">
        <f>5440000</f>
        <v>5440000</v>
      </c>
      <c r="CY1425" s="8">
        <f>0</f>
        <v>0</v>
      </c>
      <c r="DA1425" s="5" t="s">
        <v>238</v>
      </c>
      <c r="DB1425" s="5" t="s">
        <v>238</v>
      </c>
      <c r="DD1425" s="5" t="s">
        <v>238</v>
      </c>
      <c r="DG1425" s="5" t="s">
        <v>238</v>
      </c>
      <c r="DH1425" s="5" t="s">
        <v>238</v>
      </c>
      <c r="DI1425" s="5" t="s">
        <v>238</v>
      </c>
      <c r="DJ1425" s="5" t="s">
        <v>238</v>
      </c>
      <c r="DK1425" s="5" t="s">
        <v>271</v>
      </c>
      <c r="DL1425" s="5" t="s">
        <v>272</v>
      </c>
      <c r="DM1425" s="7">
        <f>32</f>
        <v>32</v>
      </c>
      <c r="DN1425" s="5" t="s">
        <v>238</v>
      </c>
      <c r="DO1425" s="5" t="s">
        <v>238</v>
      </c>
      <c r="DP1425" s="5" t="s">
        <v>238</v>
      </c>
      <c r="DQ1425" s="5" t="s">
        <v>238</v>
      </c>
      <c r="DT1425" s="5" t="s">
        <v>1057</v>
      </c>
      <c r="DU1425" s="5" t="s">
        <v>310</v>
      </c>
      <c r="HM1425" s="5" t="s">
        <v>271</v>
      </c>
      <c r="HP1425" s="5" t="s">
        <v>272</v>
      </c>
      <c r="HQ1425" s="5" t="s">
        <v>272</v>
      </c>
    </row>
    <row r="1426" spans="1:238" x14ac:dyDescent="0.4">
      <c r="A1426" s="5">
        <v>1785</v>
      </c>
      <c r="B1426" s="5">
        <v>1</v>
      </c>
      <c r="C1426" s="5">
        <v>1</v>
      </c>
      <c r="D1426" s="5" t="s">
        <v>1555</v>
      </c>
      <c r="E1426" s="5" t="s">
        <v>852</v>
      </c>
      <c r="F1426" s="5" t="s">
        <v>252</v>
      </c>
      <c r="G1426" s="5" t="s">
        <v>1497</v>
      </c>
      <c r="H1426" s="6" t="s">
        <v>1557</v>
      </c>
      <c r="I1426" s="5" t="s">
        <v>1497</v>
      </c>
      <c r="J1426" s="7">
        <f>250</f>
        <v>250</v>
      </c>
      <c r="K1426" s="5" t="s">
        <v>270</v>
      </c>
      <c r="L1426" s="8">
        <f>1</f>
        <v>1</v>
      </c>
      <c r="M1426" s="8">
        <f>20000000</f>
        <v>20000000</v>
      </c>
      <c r="N1426" s="6" t="s">
        <v>1556</v>
      </c>
      <c r="O1426" s="5" t="s">
        <v>755</v>
      </c>
      <c r="P1426" s="5" t="s">
        <v>755</v>
      </c>
      <c r="R1426" s="8">
        <f>19999999</f>
        <v>19999999</v>
      </c>
      <c r="S1426" s="5" t="s">
        <v>240</v>
      </c>
      <c r="T1426" s="5" t="s">
        <v>237</v>
      </c>
      <c r="U1426" s="5" t="s">
        <v>238</v>
      </c>
      <c r="V1426" s="5" t="s">
        <v>238</v>
      </c>
      <c r="W1426" s="5" t="s">
        <v>241</v>
      </c>
      <c r="X1426" s="5" t="s">
        <v>243</v>
      </c>
      <c r="Y1426" s="5" t="s">
        <v>238</v>
      </c>
      <c r="AB1426" s="5" t="s">
        <v>238</v>
      </c>
      <c r="AD1426" s="6" t="s">
        <v>238</v>
      </c>
      <c r="AG1426" s="6" t="s">
        <v>246</v>
      </c>
      <c r="AH1426" s="5" t="s">
        <v>247</v>
      </c>
      <c r="AI1426" s="5" t="s">
        <v>248</v>
      </c>
      <c r="AY1426" s="5" t="s">
        <v>250</v>
      </c>
      <c r="AZ1426" s="5" t="s">
        <v>238</v>
      </c>
      <c r="BA1426" s="5" t="s">
        <v>251</v>
      </c>
      <c r="BB1426" s="5" t="s">
        <v>238</v>
      </c>
      <c r="BC1426" s="5" t="s">
        <v>253</v>
      </c>
      <c r="BD1426" s="5" t="s">
        <v>238</v>
      </c>
      <c r="BF1426" s="5" t="s">
        <v>238</v>
      </c>
      <c r="BH1426" s="5" t="s">
        <v>798</v>
      </c>
      <c r="BI1426" s="6" t="s">
        <v>799</v>
      </c>
      <c r="BJ1426" s="5" t="s">
        <v>255</v>
      </c>
      <c r="BK1426" s="5" t="s">
        <v>294</v>
      </c>
      <c r="BL1426" s="5" t="s">
        <v>238</v>
      </c>
      <c r="BM1426" s="7">
        <f>0</f>
        <v>0</v>
      </c>
      <c r="BN1426" s="8">
        <f>0</f>
        <v>0</v>
      </c>
      <c r="BO1426" s="5" t="s">
        <v>257</v>
      </c>
      <c r="BP1426" s="5" t="s">
        <v>258</v>
      </c>
      <c r="CD1426" s="5" t="s">
        <v>238</v>
      </c>
      <c r="CE1426" s="5" t="s">
        <v>238</v>
      </c>
      <c r="CI1426" s="5" t="s">
        <v>527</v>
      </c>
      <c r="CJ1426" s="5" t="s">
        <v>260</v>
      </c>
      <c r="CK1426" s="5" t="s">
        <v>238</v>
      </c>
      <c r="CM1426" s="5" t="s">
        <v>990</v>
      </c>
      <c r="CN1426" s="6" t="s">
        <v>262</v>
      </c>
      <c r="CO1426" s="5" t="s">
        <v>263</v>
      </c>
      <c r="CP1426" s="5" t="s">
        <v>264</v>
      </c>
      <c r="CQ1426" s="5" t="s">
        <v>238</v>
      </c>
      <c r="CR1426" s="5" t="s">
        <v>238</v>
      </c>
      <c r="CS1426" s="5">
        <v>0</v>
      </c>
      <c r="CT1426" s="5" t="s">
        <v>265</v>
      </c>
      <c r="CU1426" s="5" t="s">
        <v>1493</v>
      </c>
      <c r="CV1426" s="5" t="s">
        <v>649</v>
      </c>
      <c r="CX1426" s="8">
        <f>20000000</f>
        <v>20000000</v>
      </c>
      <c r="CY1426" s="8">
        <f>0</f>
        <v>0</v>
      </c>
      <c r="DA1426" s="5" t="s">
        <v>238</v>
      </c>
      <c r="DB1426" s="5" t="s">
        <v>238</v>
      </c>
      <c r="DD1426" s="5" t="s">
        <v>238</v>
      </c>
      <c r="DG1426" s="5" t="s">
        <v>238</v>
      </c>
      <c r="DH1426" s="5" t="s">
        <v>238</v>
      </c>
      <c r="DI1426" s="5" t="s">
        <v>238</v>
      </c>
      <c r="DJ1426" s="5" t="s">
        <v>238</v>
      </c>
      <c r="DK1426" s="5" t="s">
        <v>271</v>
      </c>
      <c r="DL1426" s="5" t="s">
        <v>272</v>
      </c>
      <c r="DM1426" s="7">
        <f>250</f>
        <v>250</v>
      </c>
      <c r="DN1426" s="5" t="s">
        <v>238</v>
      </c>
      <c r="DO1426" s="5" t="s">
        <v>238</v>
      </c>
      <c r="DP1426" s="5" t="s">
        <v>238</v>
      </c>
      <c r="DQ1426" s="5" t="s">
        <v>238</v>
      </c>
      <c r="DT1426" s="5" t="s">
        <v>1558</v>
      </c>
      <c r="DU1426" s="5" t="s">
        <v>271</v>
      </c>
      <c r="HM1426" s="5" t="s">
        <v>356</v>
      </c>
      <c r="HP1426" s="5" t="s">
        <v>272</v>
      </c>
      <c r="HQ1426" s="5" t="s">
        <v>272</v>
      </c>
    </row>
    <row r="1427" spans="1:238" x14ac:dyDescent="0.4">
      <c r="A1427" s="5">
        <v>1786</v>
      </c>
      <c r="B1427" s="5">
        <v>1</v>
      </c>
      <c r="C1427" s="5">
        <v>8</v>
      </c>
      <c r="D1427" s="5" t="s">
        <v>1555</v>
      </c>
      <c r="E1427" s="5" t="s">
        <v>852</v>
      </c>
      <c r="F1427" s="5" t="s">
        <v>252</v>
      </c>
      <c r="G1427" s="5" t="s">
        <v>2144</v>
      </c>
      <c r="H1427" s="6" t="s">
        <v>1557</v>
      </c>
      <c r="I1427" s="5" t="s">
        <v>2142</v>
      </c>
      <c r="J1427" s="7">
        <f>89</f>
        <v>89</v>
      </c>
      <c r="K1427" s="5" t="s">
        <v>270</v>
      </c>
      <c r="L1427" s="8">
        <f>5186920</f>
        <v>5186920</v>
      </c>
      <c r="M1427" s="8">
        <f>16732000</f>
        <v>16732000</v>
      </c>
      <c r="N1427" s="6" t="s">
        <v>816</v>
      </c>
      <c r="O1427" s="5" t="s">
        <v>755</v>
      </c>
      <c r="P1427" s="5" t="s">
        <v>818</v>
      </c>
      <c r="Q1427" s="8">
        <f>501960</f>
        <v>501960</v>
      </c>
      <c r="R1427" s="8">
        <f>11545080</f>
        <v>11545080</v>
      </c>
      <c r="S1427" s="5" t="s">
        <v>240</v>
      </c>
      <c r="T1427" s="5" t="s">
        <v>237</v>
      </c>
      <c r="U1427" s="5" t="s">
        <v>238</v>
      </c>
      <c r="V1427" s="5" t="s">
        <v>238</v>
      </c>
      <c r="W1427" s="5" t="s">
        <v>241</v>
      </c>
      <c r="X1427" s="5" t="s">
        <v>243</v>
      </c>
      <c r="Y1427" s="5" t="s">
        <v>238</v>
      </c>
      <c r="AB1427" s="5" t="s">
        <v>238</v>
      </c>
      <c r="AC1427" s="6" t="s">
        <v>238</v>
      </c>
      <c r="AD1427" s="6" t="s">
        <v>238</v>
      </c>
      <c r="AF1427" s="6" t="s">
        <v>238</v>
      </c>
      <c r="AG1427" s="6" t="s">
        <v>246</v>
      </c>
      <c r="AH1427" s="5" t="s">
        <v>247</v>
      </c>
      <c r="AI1427" s="5" t="s">
        <v>248</v>
      </c>
      <c r="AO1427" s="5" t="s">
        <v>238</v>
      </c>
      <c r="AP1427" s="5" t="s">
        <v>238</v>
      </c>
      <c r="AQ1427" s="5" t="s">
        <v>238</v>
      </c>
      <c r="AR1427" s="6" t="s">
        <v>238</v>
      </c>
      <c r="AS1427" s="6" t="s">
        <v>238</v>
      </c>
      <c r="AT1427" s="6" t="s">
        <v>238</v>
      </c>
      <c r="AW1427" s="5" t="s">
        <v>304</v>
      </c>
      <c r="AX1427" s="5" t="s">
        <v>304</v>
      </c>
      <c r="AY1427" s="5" t="s">
        <v>250</v>
      </c>
      <c r="AZ1427" s="5" t="s">
        <v>305</v>
      </c>
      <c r="BA1427" s="5" t="s">
        <v>251</v>
      </c>
      <c r="BB1427" s="5" t="s">
        <v>238</v>
      </c>
      <c r="BC1427" s="5" t="s">
        <v>253</v>
      </c>
      <c r="BD1427" s="5" t="s">
        <v>238</v>
      </c>
      <c r="BF1427" s="5" t="s">
        <v>238</v>
      </c>
      <c r="BH1427" s="5" t="s">
        <v>283</v>
      </c>
      <c r="BI1427" s="6" t="s">
        <v>293</v>
      </c>
      <c r="BJ1427" s="5" t="s">
        <v>294</v>
      </c>
      <c r="BK1427" s="5" t="s">
        <v>294</v>
      </c>
      <c r="BL1427" s="5" t="s">
        <v>238</v>
      </c>
      <c r="BM1427" s="7">
        <f>0</f>
        <v>0</v>
      </c>
      <c r="BN1427" s="8">
        <f>-501960</f>
        <v>-501960</v>
      </c>
      <c r="BO1427" s="5" t="s">
        <v>257</v>
      </c>
      <c r="BP1427" s="5" t="s">
        <v>258</v>
      </c>
      <c r="BQ1427" s="5" t="s">
        <v>238</v>
      </c>
      <c r="BR1427" s="5" t="s">
        <v>238</v>
      </c>
      <c r="BS1427" s="5" t="s">
        <v>238</v>
      </c>
      <c r="BT1427" s="5" t="s">
        <v>238</v>
      </c>
      <c r="CC1427" s="5" t="s">
        <v>258</v>
      </c>
      <c r="CD1427" s="5" t="s">
        <v>238</v>
      </c>
      <c r="CE1427" s="5" t="s">
        <v>238</v>
      </c>
      <c r="CI1427" s="5" t="s">
        <v>259</v>
      </c>
      <c r="CJ1427" s="5" t="s">
        <v>260</v>
      </c>
      <c r="CK1427" s="5" t="s">
        <v>238</v>
      </c>
      <c r="CM1427" s="5" t="s">
        <v>261</v>
      </c>
      <c r="CN1427" s="6" t="s">
        <v>262</v>
      </c>
      <c r="CO1427" s="5" t="s">
        <v>263</v>
      </c>
      <c r="CP1427" s="5" t="s">
        <v>264</v>
      </c>
      <c r="CQ1427" s="5" t="s">
        <v>285</v>
      </c>
      <c r="CR1427" s="5" t="s">
        <v>238</v>
      </c>
      <c r="CS1427" s="5">
        <v>0.03</v>
      </c>
      <c r="CT1427" s="5" t="s">
        <v>265</v>
      </c>
      <c r="CU1427" s="5" t="s">
        <v>2145</v>
      </c>
      <c r="CV1427" s="5" t="s">
        <v>649</v>
      </c>
      <c r="CW1427" s="7">
        <f>0</f>
        <v>0</v>
      </c>
      <c r="CX1427" s="8">
        <f>16732000</f>
        <v>16732000</v>
      </c>
      <c r="CY1427" s="8">
        <f>5688880</f>
        <v>5688880</v>
      </c>
      <c r="DA1427" s="5" t="s">
        <v>238</v>
      </c>
      <c r="DB1427" s="5" t="s">
        <v>238</v>
      </c>
      <c r="DD1427" s="5" t="s">
        <v>238</v>
      </c>
      <c r="DE1427" s="8">
        <f>0</f>
        <v>0</v>
      </c>
      <c r="DG1427" s="5" t="s">
        <v>238</v>
      </c>
      <c r="DH1427" s="5" t="s">
        <v>238</v>
      </c>
      <c r="DI1427" s="5" t="s">
        <v>238</v>
      </c>
      <c r="DJ1427" s="5" t="s">
        <v>238</v>
      </c>
      <c r="DK1427" s="5" t="s">
        <v>271</v>
      </c>
      <c r="DL1427" s="5" t="s">
        <v>272</v>
      </c>
      <c r="DM1427" s="7">
        <f>89</f>
        <v>89</v>
      </c>
      <c r="DN1427" s="5" t="s">
        <v>238</v>
      </c>
      <c r="DO1427" s="5" t="s">
        <v>238</v>
      </c>
      <c r="DP1427" s="5" t="s">
        <v>238</v>
      </c>
      <c r="DQ1427" s="5" t="s">
        <v>238</v>
      </c>
      <c r="DT1427" s="5" t="s">
        <v>1558</v>
      </c>
      <c r="DU1427" s="5" t="s">
        <v>274</v>
      </c>
      <c r="GL1427" s="5" t="s">
        <v>2147</v>
      </c>
      <c r="HM1427" s="5" t="s">
        <v>313</v>
      </c>
      <c r="HP1427" s="5" t="s">
        <v>272</v>
      </c>
      <c r="HQ1427" s="5" t="s">
        <v>272</v>
      </c>
      <c r="HR1427" s="5" t="s">
        <v>238</v>
      </c>
      <c r="HS1427" s="5" t="s">
        <v>238</v>
      </c>
      <c r="HT1427" s="5" t="s">
        <v>238</v>
      </c>
      <c r="HU1427" s="5" t="s">
        <v>238</v>
      </c>
      <c r="HV1427" s="5" t="s">
        <v>238</v>
      </c>
      <c r="HW1427" s="5" t="s">
        <v>238</v>
      </c>
      <c r="HX1427" s="5" t="s">
        <v>238</v>
      </c>
      <c r="HY1427" s="5" t="s">
        <v>238</v>
      </c>
      <c r="HZ1427" s="5" t="s">
        <v>238</v>
      </c>
      <c r="IA1427" s="5" t="s">
        <v>238</v>
      </c>
      <c r="IB1427" s="5" t="s">
        <v>238</v>
      </c>
      <c r="IC1427" s="5" t="s">
        <v>238</v>
      </c>
      <c r="ID1427" s="5" t="s">
        <v>238</v>
      </c>
    </row>
    <row r="1428" spans="1:238" x14ac:dyDescent="0.4">
      <c r="A1428" s="5">
        <v>1787</v>
      </c>
      <c r="B1428" s="5">
        <v>1</v>
      </c>
      <c r="C1428" s="5">
        <v>1</v>
      </c>
      <c r="D1428" s="5" t="s">
        <v>1102</v>
      </c>
      <c r="E1428" s="5" t="s">
        <v>852</v>
      </c>
      <c r="F1428" s="5" t="s">
        <v>252</v>
      </c>
      <c r="G1428" s="5" t="s">
        <v>1103</v>
      </c>
      <c r="H1428" s="6" t="s">
        <v>1104</v>
      </c>
      <c r="I1428" s="5" t="s">
        <v>1101</v>
      </c>
      <c r="J1428" s="7">
        <f>9.57</f>
        <v>9.57</v>
      </c>
      <c r="K1428" s="5" t="s">
        <v>270</v>
      </c>
      <c r="L1428" s="8">
        <f>1</f>
        <v>1</v>
      </c>
      <c r="M1428" s="8">
        <f>574200</f>
        <v>574200</v>
      </c>
      <c r="N1428" s="6" t="s">
        <v>906</v>
      </c>
      <c r="O1428" s="5" t="s">
        <v>268</v>
      </c>
      <c r="P1428" s="5" t="s">
        <v>909</v>
      </c>
      <c r="R1428" s="8">
        <f>574199</f>
        <v>574199</v>
      </c>
      <c r="S1428" s="5" t="s">
        <v>240</v>
      </c>
      <c r="T1428" s="5" t="s">
        <v>237</v>
      </c>
      <c r="U1428" s="5" t="s">
        <v>238</v>
      </c>
      <c r="V1428" s="5" t="s">
        <v>238</v>
      </c>
      <c r="W1428" s="5" t="s">
        <v>241</v>
      </c>
      <c r="X1428" s="5" t="s">
        <v>243</v>
      </c>
      <c r="Y1428" s="5" t="s">
        <v>238</v>
      </c>
      <c r="AB1428" s="5" t="s">
        <v>238</v>
      </c>
      <c r="AD1428" s="6" t="s">
        <v>238</v>
      </c>
      <c r="AG1428" s="6" t="s">
        <v>246</v>
      </c>
      <c r="AH1428" s="5" t="s">
        <v>247</v>
      </c>
      <c r="AI1428" s="5" t="s">
        <v>248</v>
      </c>
      <c r="AY1428" s="5" t="s">
        <v>250</v>
      </c>
      <c r="AZ1428" s="5" t="s">
        <v>238</v>
      </c>
      <c r="BA1428" s="5" t="s">
        <v>251</v>
      </c>
      <c r="BB1428" s="5" t="s">
        <v>238</v>
      </c>
      <c r="BC1428" s="5" t="s">
        <v>253</v>
      </c>
      <c r="BD1428" s="5" t="s">
        <v>238</v>
      </c>
      <c r="BF1428" s="5" t="s">
        <v>1009</v>
      </c>
      <c r="BH1428" s="5" t="s">
        <v>859</v>
      </c>
      <c r="BI1428" s="6" t="s">
        <v>368</v>
      </c>
      <c r="BJ1428" s="5" t="s">
        <v>255</v>
      </c>
      <c r="BK1428" s="5" t="s">
        <v>256</v>
      </c>
      <c r="BL1428" s="5" t="s">
        <v>238</v>
      </c>
      <c r="BM1428" s="7">
        <f>0</f>
        <v>0</v>
      </c>
      <c r="BN1428" s="8">
        <f>0</f>
        <v>0</v>
      </c>
      <c r="BO1428" s="5" t="s">
        <v>257</v>
      </c>
      <c r="BP1428" s="5" t="s">
        <v>258</v>
      </c>
      <c r="CD1428" s="5" t="s">
        <v>238</v>
      </c>
      <c r="CE1428" s="5" t="s">
        <v>238</v>
      </c>
      <c r="CI1428" s="5" t="s">
        <v>527</v>
      </c>
      <c r="CJ1428" s="5" t="s">
        <v>260</v>
      </c>
      <c r="CK1428" s="5" t="s">
        <v>238</v>
      </c>
      <c r="CM1428" s="5" t="s">
        <v>908</v>
      </c>
      <c r="CN1428" s="6" t="s">
        <v>262</v>
      </c>
      <c r="CO1428" s="5" t="s">
        <v>263</v>
      </c>
      <c r="CP1428" s="5" t="s">
        <v>264</v>
      </c>
      <c r="CQ1428" s="5" t="s">
        <v>238</v>
      </c>
      <c r="CR1428" s="5" t="s">
        <v>238</v>
      </c>
      <c r="CS1428" s="5">
        <v>0</v>
      </c>
      <c r="CT1428" s="5" t="s">
        <v>265</v>
      </c>
      <c r="CU1428" s="5" t="s">
        <v>266</v>
      </c>
      <c r="CV1428" s="5" t="s">
        <v>267</v>
      </c>
      <c r="CX1428" s="8">
        <f>574200</f>
        <v>574200</v>
      </c>
      <c r="CY1428" s="8">
        <f>0</f>
        <v>0</v>
      </c>
      <c r="DA1428" s="5" t="s">
        <v>238</v>
      </c>
      <c r="DB1428" s="5" t="s">
        <v>238</v>
      </c>
      <c r="DD1428" s="5" t="s">
        <v>238</v>
      </c>
      <c r="DG1428" s="5" t="s">
        <v>238</v>
      </c>
      <c r="DH1428" s="5" t="s">
        <v>238</v>
      </c>
      <c r="DI1428" s="5" t="s">
        <v>238</v>
      </c>
      <c r="DJ1428" s="5" t="s">
        <v>238</v>
      </c>
      <c r="DK1428" s="5" t="s">
        <v>271</v>
      </c>
      <c r="DL1428" s="5" t="s">
        <v>272</v>
      </c>
      <c r="DM1428" s="7">
        <f>9.57</f>
        <v>9.57</v>
      </c>
      <c r="DN1428" s="5" t="s">
        <v>238</v>
      </c>
      <c r="DO1428" s="5" t="s">
        <v>238</v>
      </c>
      <c r="DP1428" s="5" t="s">
        <v>238</v>
      </c>
      <c r="DQ1428" s="5" t="s">
        <v>238</v>
      </c>
      <c r="DT1428" s="5" t="s">
        <v>1105</v>
      </c>
      <c r="DU1428" s="5" t="s">
        <v>271</v>
      </c>
      <c r="HM1428" s="5" t="s">
        <v>271</v>
      </c>
      <c r="HP1428" s="5" t="s">
        <v>272</v>
      </c>
      <c r="HQ1428" s="5" t="s">
        <v>272</v>
      </c>
    </row>
    <row r="1429" spans="1:238" x14ac:dyDescent="0.4">
      <c r="A1429" s="5">
        <v>1788</v>
      </c>
      <c r="B1429" s="5">
        <v>1</v>
      </c>
      <c r="C1429" s="5">
        <v>1</v>
      </c>
      <c r="D1429" s="5" t="s">
        <v>1144</v>
      </c>
      <c r="E1429" s="5" t="s">
        <v>852</v>
      </c>
      <c r="F1429" s="5" t="s">
        <v>252</v>
      </c>
      <c r="G1429" s="5" t="s">
        <v>1103</v>
      </c>
      <c r="H1429" s="6" t="s">
        <v>1145</v>
      </c>
      <c r="I1429" s="5" t="s">
        <v>1101</v>
      </c>
      <c r="J1429" s="7">
        <f>11.02</f>
        <v>11.02</v>
      </c>
      <c r="K1429" s="5" t="s">
        <v>270</v>
      </c>
      <c r="L1429" s="8">
        <f>1</f>
        <v>1</v>
      </c>
      <c r="M1429" s="8">
        <f>661200</f>
        <v>661200</v>
      </c>
      <c r="N1429" s="6" t="s">
        <v>906</v>
      </c>
      <c r="O1429" s="5" t="s">
        <v>268</v>
      </c>
      <c r="P1429" s="5" t="s">
        <v>909</v>
      </c>
      <c r="R1429" s="8">
        <f>661199</f>
        <v>661199</v>
      </c>
      <c r="S1429" s="5" t="s">
        <v>240</v>
      </c>
      <c r="T1429" s="5" t="s">
        <v>237</v>
      </c>
      <c r="U1429" s="5" t="s">
        <v>238</v>
      </c>
      <c r="V1429" s="5" t="s">
        <v>238</v>
      </c>
      <c r="W1429" s="5" t="s">
        <v>241</v>
      </c>
      <c r="X1429" s="5" t="s">
        <v>243</v>
      </c>
      <c r="Y1429" s="5" t="s">
        <v>238</v>
      </c>
      <c r="AB1429" s="5" t="s">
        <v>238</v>
      </c>
      <c r="AD1429" s="6" t="s">
        <v>238</v>
      </c>
      <c r="AG1429" s="6" t="s">
        <v>246</v>
      </c>
      <c r="AH1429" s="5" t="s">
        <v>247</v>
      </c>
      <c r="AI1429" s="5" t="s">
        <v>248</v>
      </c>
      <c r="AY1429" s="5" t="s">
        <v>250</v>
      </c>
      <c r="AZ1429" s="5" t="s">
        <v>238</v>
      </c>
      <c r="BA1429" s="5" t="s">
        <v>251</v>
      </c>
      <c r="BB1429" s="5" t="s">
        <v>238</v>
      </c>
      <c r="BC1429" s="5" t="s">
        <v>253</v>
      </c>
      <c r="BD1429" s="5" t="s">
        <v>238</v>
      </c>
      <c r="BF1429" s="5" t="s">
        <v>1009</v>
      </c>
      <c r="BH1429" s="5" t="s">
        <v>697</v>
      </c>
      <c r="BI1429" s="6" t="s">
        <v>698</v>
      </c>
      <c r="BJ1429" s="5" t="s">
        <v>255</v>
      </c>
      <c r="BK1429" s="5" t="s">
        <v>256</v>
      </c>
      <c r="BL1429" s="5" t="s">
        <v>238</v>
      </c>
      <c r="BM1429" s="7">
        <f>0</f>
        <v>0</v>
      </c>
      <c r="BN1429" s="8">
        <f>0</f>
        <v>0</v>
      </c>
      <c r="BO1429" s="5" t="s">
        <v>257</v>
      </c>
      <c r="BP1429" s="5" t="s">
        <v>258</v>
      </c>
      <c r="CD1429" s="5" t="s">
        <v>238</v>
      </c>
      <c r="CE1429" s="5" t="s">
        <v>238</v>
      </c>
      <c r="CI1429" s="5" t="s">
        <v>527</v>
      </c>
      <c r="CJ1429" s="5" t="s">
        <v>260</v>
      </c>
      <c r="CK1429" s="5" t="s">
        <v>238</v>
      </c>
      <c r="CM1429" s="5" t="s">
        <v>908</v>
      </c>
      <c r="CN1429" s="6" t="s">
        <v>262</v>
      </c>
      <c r="CO1429" s="5" t="s">
        <v>263</v>
      </c>
      <c r="CP1429" s="5" t="s">
        <v>264</v>
      </c>
      <c r="CQ1429" s="5" t="s">
        <v>238</v>
      </c>
      <c r="CR1429" s="5" t="s">
        <v>238</v>
      </c>
      <c r="CS1429" s="5">
        <v>0</v>
      </c>
      <c r="CT1429" s="5" t="s">
        <v>265</v>
      </c>
      <c r="CU1429" s="5" t="s">
        <v>266</v>
      </c>
      <c r="CV1429" s="5" t="s">
        <v>267</v>
      </c>
      <c r="CX1429" s="8">
        <f>661200</f>
        <v>661200</v>
      </c>
      <c r="CY1429" s="8">
        <f>0</f>
        <v>0</v>
      </c>
      <c r="DA1429" s="5" t="s">
        <v>238</v>
      </c>
      <c r="DB1429" s="5" t="s">
        <v>238</v>
      </c>
      <c r="DD1429" s="5" t="s">
        <v>238</v>
      </c>
      <c r="DG1429" s="5" t="s">
        <v>238</v>
      </c>
      <c r="DH1429" s="5" t="s">
        <v>238</v>
      </c>
      <c r="DI1429" s="5" t="s">
        <v>238</v>
      </c>
      <c r="DJ1429" s="5" t="s">
        <v>238</v>
      </c>
      <c r="DK1429" s="5" t="s">
        <v>271</v>
      </c>
      <c r="DL1429" s="5" t="s">
        <v>272</v>
      </c>
      <c r="DM1429" s="7">
        <f>11.02</f>
        <v>11.02</v>
      </c>
      <c r="DN1429" s="5" t="s">
        <v>238</v>
      </c>
      <c r="DO1429" s="5" t="s">
        <v>238</v>
      </c>
      <c r="DP1429" s="5" t="s">
        <v>238</v>
      </c>
      <c r="DQ1429" s="5" t="s">
        <v>238</v>
      </c>
      <c r="DT1429" s="5" t="s">
        <v>1146</v>
      </c>
      <c r="DU1429" s="5" t="s">
        <v>271</v>
      </c>
      <c r="HM1429" s="5" t="s">
        <v>271</v>
      </c>
      <c r="HP1429" s="5" t="s">
        <v>272</v>
      </c>
      <c r="HQ1429" s="5" t="s">
        <v>272</v>
      </c>
    </row>
    <row r="1430" spans="1:238" x14ac:dyDescent="0.4">
      <c r="A1430" s="5">
        <v>1789</v>
      </c>
      <c r="B1430" s="5">
        <v>1</v>
      </c>
      <c r="C1430" s="5">
        <v>1</v>
      </c>
      <c r="D1430" s="5" t="s">
        <v>2157</v>
      </c>
      <c r="E1430" s="5" t="s">
        <v>244</v>
      </c>
      <c r="F1430" s="5" t="s">
        <v>252</v>
      </c>
      <c r="G1430" s="5" t="s">
        <v>1007</v>
      </c>
      <c r="H1430" s="6" t="s">
        <v>2159</v>
      </c>
      <c r="I1430" s="5" t="s">
        <v>2148</v>
      </c>
      <c r="J1430" s="7">
        <f>156.7</f>
        <v>156.69999999999999</v>
      </c>
      <c r="K1430" s="5" t="s">
        <v>270</v>
      </c>
      <c r="L1430" s="8">
        <f>1</f>
        <v>1</v>
      </c>
      <c r="M1430" s="8">
        <f>14103000</f>
        <v>14103000</v>
      </c>
      <c r="N1430" s="6" t="s">
        <v>2158</v>
      </c>
      <c r="O1430" s="5" t="s">
        <v>286</v>
      </c>
      <c r="P1430" s="5" t="s">
        <v>898</v>
      </c>
      <c r="R1430" s="8">
        <f>14102999</f>
        <v>14102999</v>
      </c>
      <c r="S1430" s="5" t="s">
        <v>240</v>
      </c>
      <c r="T1430" s="5" t="s">
        <v>237</v>
      </c>
      <c r="U1430" s="5" t="s">
        <v>238</v>
      </c>
      <c r="V1430" s="5" t="s">
        <v>238</v>
      </c>
      <c r="W1430" s="5" t="s">
        <v>241</v>
      </c>
      <c r="X1430" s="5" t="s">
        <v>243</v>
      </c>
      <c r="Y1430" s="5" t="s">
        <v>238</v>
      </c>
      <c r="AB1430" s="5" t="s">
        <v>238</v>
      </c>
      <c r="AD1430" s="6" t="s">
        <v>238</v>
      </c>
      <c r="AG1430" s="6" t="s">
        <v>246</v>
      </c>
      <c r="AH1430" s="5" t="s">
        <v>247</v>
      </c>
      <c r="AI1430" s="5" t="s">
        <v>248</v>
      </c>
      <c r="AY1430" s="5" t="s">
        <v>250</v>
      </c>
      <c r="AZ1430" s="5" t="s">
        <v>238</v>
      </c>
      <c r="BA1430" s="5" t="s">
        <v>251</v>
      </c>
      <c r="BB1430" s="5" t="s">
        <v>238</v>
      </c>
      <c r="BC1430" s="5" t="s">
        <v>253</v>
      </c>
      <c r="BD1430" s="5" t="s">
        <v>238</v>
      </c>
      <c r="BF1430" s="5" t="s">
        <v>1009</v>
      </c>
      <c r="BH1430" s="5" t="s">
        <v>798</v>
      </c>
      <c r="BI1430" s="6" t="s">
        <v>799</v>
      </c>
      <c r="BJ1430" s="5" t="s">
        <v>255</v>
      </c>
      <c r="BK1430" s="5" t="s">
        <v>256</v>
      </c>
      <c r="BL1430" s="5" t="s">
        <v>238</v>
      </c>
      <c r="BM1430" s="7">
        <f>0</f>
        <v>0</v>
      </c>
      <c r="BN1430" s="8">
        <f>0</f>
        <v>0</v>
      </c>
      <c r="BO1430" s="5" t="s">
        <v>257</v>
      </c>
      <c r="BP1430" s="5" t="s">
        <v>258</v>
      </c>
      <c r="CD1430" s="5" t="s">
        <v>238</v>
      </c>
      <c r="CE1430" s="5" t="s">
        <v>238</v>
      </c>
      <c r="CI1430" s="5" t="s">
        <v>527</v>
      </c>
      <c r="CJ1430" s="5" t="s">
        <v>260</v>
      </c>
      <c r="CK1430" s="5" t="s">
        <v>238</v>
      </c>
      <c r="CM1430" s="5" t="s">
        <v>897</v>
      </c>
      <c r="CN1430" s="6" t="s">
        <v>262</v>
      </c>
      <c r="CO1430" s="5" t="s">
        <v>263</v>
      </c>
      <c r="CP1430" s="5" t="s">
        <v>264</v>
      </c>
      <c r="CQ1430" s="5" t="s">
        <v>238</v>
      </c>
      <c r="CR1430" s="5" t="s">
        <v>238</v>
      </c>
      <c r="CS1430" s="5">
        <v>0</v>
      </c>
      <c r="CT1430" s="5" t="s">
        <v>265</v>
      </c>
      <c r="CU1430" s="5" t="s">
        <v>2145</v>
      </c>
      <c r="CV1430" s="5" t="s">
        <v>267</v>
      </c>
      <c r="CX1430" s="8">
        <f>14103000</f>
        <v>14103000</v>
      </c>
      <c r="CY1430" s="8">
        <f>0</f>
        <v>0</v>
      </c>
      <c r="DA1430" s="5" t="s">
        <v>238</v>
      </c>
      <c r="DB1430" s="5" t="s">
        <v>238</v>
      </c>
      <c r="DD1430" s="5" t="s">
        <v>238</v>
      </c>
      <c r="DG1430" s="5" t="s">
        <v>238</v>
      </c>
      <c r="DH1430" s="5" t="s">
        <v>238</v>
      </c>
      <c r="DI1430" s="5" t="s">
        <v>238</v>
      </c>
      <c r="DJ1430" s="5" t="s">
        <v>238</v>
      </c>
      <c r="DK1430" s="5" t="s">
        <v>271</v>
      </c>
      <c r="DL1430" s="5" t="s">
        <v>272</v>
      </c>
      <c r="DM1430" s="7">
        <f>156.7</f>
        <v>156.69999999999999</v>
      </c>
      <c r="DN1430" s="5" t="s">
        <v>238</v>
      </c>
      <c r="DO1430" s="5" t="s">
        <v>238</v>
      </c>
      <c r="DP1430" s="5" t="s">
        <v>238</v>
      </c>
      <c r="DQ1430" s="5" t="s">
        <v>238</v>
      </c>
      <c r="DT1430" s="5" t="s">
        <v>2160</v>
      </c>
      <c r="DU1430" s="5" t="s">
        <v>271</v>
      </c>
      <c r="HM1430" s="5" t="s">
        <v>271</v>
      </c>
      <c r="HP1430" s="5" t="s">
        <v>272</v>
      </c>
      <c r="HQ1430" s="5" t="s">
        <v>272</v>
      </c>
    </row>
    <row r="1431" spans="1:238" x14ac:dyDescent="0.4">
      <c r="A1431" s="5">
        <v>1790</v>
      </c>
      <c r="B1431" s="5">
        <v>1</v>
      </c>
      <c r="C1431" s="5">
        <v>1</v>
      </c>
      <c r="D1431" s="5" t="s">
        <v>1138</v>
      </c>
      <c r="E1431" s="5" t="s">
        <v>1139</v>
      </c>
      <c r="F1431" s="5" t="s">
        <v>252</v>
      </c>
      <c r="G1431" s="5" t="s">
        <v>239</v>
      </c>
      <c r="H1431" s="6" t="s">
        <v>1141</v>
      </c>
      <c r="I1431" s="5" t="s">
        <v>239</v>
      </c>
      <c r="J1431" s="7">
        <f>15</f>
        <v>15</v>
      </c>
      <c r="K1431" s="5" t="s">
        <v>270</v>
      </c>
      <c r="L1431" s="8">
        <f>1</f>
        <v>1</v>
      </c>
      <c r="M1431" s="8">
        <f>900000</f>
        <v>900000</v>
      </c>
      <c r="N1431" s="6" t="s">
        <v>1140</v>
      </c>
      <c r="O1431" s="5" t="s">
        <v>268</v>
      </c>
      <c r="P1431" s="5" t="s">
        <v>975</v>
      </c>
      <c r="R1431" s="8">
        <f>899999</f>
        <v>899999</v>
      </c>
      <c r="S1431" s="5" t="s">
        <v>240</v>
      </c>
      <c r="T1431" s="5" t="s">
        <v>237</v>
      </c>
      <c r="U1431" s="5" t="s">
        <v>238</v>
      </c>
      <c r="V1431" s="5" t="s">
        <v>238</v>
      </c>
      <c r="W1431" s="5" t="s">
        <v>241</v>
      </c>
      <c r="X1431" s="5" t="s">
        <v>243</v>
      </c>
      <c r="Y1431" s="5" t="s">
        <v>238</v>
      </c>
      <c r="AB1431" s="5" t="s">
        <v>238</v>
      </c>
      <c r="AD1431" s="6" t="s">
        <v>238</v>
      </c>
      <c r="AG1431" s="6" t="s">
        <v>246</v>
      </c>
      <c r="AH1431" s="5" t="s">
        <v>247</v>
      </c>
      <c r="AI1431" s="5" t="s">
        <v>248</v>
      </c>
      <c r="AY1431" s="5" t="s">
        <v>250</v>
      </c>
      <c r="AZ1431" s="5" t="s">
        <v>238</v>
      </c>
      <c r="BA1431" s="5" t="s">
        <v>251</v>
      </c>
      <c r="BB1431" s="5" t="s">
        <v>238</v>
      </c>
      <c r="BC1431" s="5" t="s">
        <v>253</v>
      </c>
      <c r="BD1431" s="5" t="s">
        <v>238</v>
      </c>
      <c r="BF1431" s="5" t="s">
        <v>238</v>
      </c>
      <c r="BH1431" s="5" t="s">
        <v>254</v>
      </c>
      <c r="BI1431" s="6" t="s">
        <v>246</v>
      </c>
      <c r="BJ1431" s="5" t="s">
        <v>255</v>
      </c>
      <c r="BK1431" s="5" t="s">
        <v>256</v>
      </c>
      <c r="BL1431" s="5" t="s">
        <v>238</v>
      </c>
      <c r="BM1431" s="7">
        <f>0</f>
        <v>0</v>
      </c>
      <c r="BN1431" s="8">
        <f>0</f>
        <v>0</v>
      </c>
      <c r="BO1431" s="5" t="s">
        <v>257</v>
      </c>
      <c r="BP1431" s="5" t="s">
        <v>258</v>
      </c>
      <c r="CD1431" s="5" t="s">
        <v>238</v>
      </c>
      <c r="CE1431" s="5" t="s">
        <v>238</v>
      </c>
      <c r="CI1431" s="5" t="s">
        <v>527</v>
      </c>
      <c r="CJ1431" s="5" t="s">
        <v>260</v>
      </c>
      <c r="CK1431" s="5" t="s">
        <v>238</v>
      </c>
      <c r="CM1431" s="5" t="s">
        <v>974</v>
      </c>
      <c r="CN1431" s="6" t="s">
        <v>262</v>
      </c>
      <c r="CO1431" s="5" t="s">
        <v>263</v>
      </c>
      <c r="CP1431" s="5" t="s">
        <v>264</v>
      </c>
      <c r="CQ1431" s="5" t="s">
        <v>238</v>
      </c>
      <c r="CR1431" s="5" t="s">
        <v>238</v>
      </c>
      <c r="CS1431" s="5">
        <v>0</v>
      </c>
      <c r="CT1431" s="5" t="s">
        <v>265</v>
      </c>
      <c r="CU1431" s="5" t="s">
        <v>266</v>
      </c>
      <c r="CV1431" s="5" t="s">
        <v>267</v>
      </c>
      <c r="CX1431" s="8">
        <f>900000</f>
        <v>900000</v>
      </c>
      <c r="CY1431" s="8">
        <f>0</f>
        <v>0</v>
      </c>
      <c r="DA1431" s="5" t="s">
        <v>238</v>
      </c>
      <c r="DB1431" s="5" t="s">
        <v>238</v>
      </c>
      <c r="DD1431" s="5" t="s">
        <v>238</v>
      </c>
      <c r="DG1431" s="5" t="s">
        <v>238</v>
      </c>
      <c r="DH1431" s="5" t="s">
        <v>238</v>
      </c>
      <c r="DI1431" s="5" t="s">
        <v>238</v>
      </c>
      <c r="DJ1431" s="5" t="s">
        <v>238</v>
      </c>
      <c r="DK1431" s="5" t="s">
        <v>271</v>
      </c>
      <c r="DL1431" s="5" t="s">
        <v>272</v>
      </c>
      <c r="DM1431" s="7">
        <f>15</f>
        <v>15</v>
      </c>
      <c r="DN1431" s="5" t="s">
        <v>238</v>
      </c>
      <c r="DO1431" s="5" t="s">
        <v>238</v>
      </c>
      <c r="DP1431" s="5" t="s">
        <v>238</v>
      </c>
      <c r="DQ1431" s="5" t="s">
        <v>238</v>
      </c>
      <c r="DT1431" s="5" t="s">
        <v>1142</v>
      </c>
      <c r="DU1431" s="5" t="s">
        <v>271</v>
      </c>
      <c r="HM1431" s="5" t="s">
        <v>271</v>
      </c>
      <c r="HP1431" s="5" t="s">
        <v>272</v>
      </c>
      <c r="HQ1431" s="5" t="s">
        <v>272</v>
      </c>
    </row>
    <row r="1432" spans="1:238" x14ac:dyDescent="0.4">
      <c r="A1432" s="5">
        <v>1791</v>
      </c>
      <c r="B1432" s="5">
        <v>1</v>
      </c>
      <c r="C1432" s="5">
        <v>1</v>
      </c>
      <c r="D1432" s="5" t="s">
        <v>1138</v>
      </c>
      <c r="E1432" s="5" t="s">
        <v>1139</v>
      </c>
      <c r="F1432" s="5" t="s">
        <v>252</v>
      </c>
      <c r="G1432" s="5" t="s">
        <v>1007</v>
      </c>
      <c r="H1432" s="6" t="s">
        <v>1141</v>
      </c>
      <c r="I1432" s="5" t="s">
        <v>1652</v>
      </c>
      <c r="J1432" s="7">
        <f>319.6</f>
        <v>319.60000000000002</v>
      </c>
      <c r="K1432" s="5" t="s">
        <v>270</v>
      </c>
      <c r="L1432" s="8">
        <f>1</f>
        <v>1</v>
      </c>
      <c r="M1432" s="8">
        <f>25568000</f>
        <v>25568000</v>
      </c>
      <c r="N1432" s="6" t="s">
        <v>1140</v>
      </c>
      <c r="O1432" s="5" t="s">
        <v>755</v>
      </c>
      <c r="P1432" s="5" t="s">
        <v>975</v>
      </c>
      <c r="R1432" s="8">
        <f>25567999</f>
        <v>25567999</v>
      </c>
      <c r="S1432" s="5" t="s">
        <v>240</v>
      </c>
      <c r="T1432" s="5" t="s">
        <v>237</v>
      </c>
      <c r="U1432" s="5" t="s">
        <v>238</v>
      </c>
      <c r="V1432" s="5" t="s">
        <v>238</v>
      </c>
      <c r="W1432" s="5" t="s">
        <v>241</v>
      </c>
      <c r="X1432" s="5" t="s">
        <v>243</v>
      </c>
      <c r="Y1432" s="5" t="s">
        <v>238</v>
      </c>
      <c r="AB1432" s="5" t="s">
        <v>238</v>
      </c>
      <c r="AD1432" s="6" t="s">
        <v>238</v>
      </c>
      <c r="AG1432" s="6" t="s">
        <v>246</v>
      </c>
      <c r="AH1432" s="5" t="s">
        <v>247</v>
      </c>
      <c r="AI1432" s="5" t="s">
        <v>248</v>
      </c>
      <c r="AY1432" s="5" t="s">
        <v>250</v>
      </c>
      <c r="AZ1432" s="5" t="s">
        <v>238</v>
      </c>
      <c r="BA1432" s="5" t="s">
        <v>251</v>
      </c>
      <c r="BB1432" s="5" t="s">
        <v>238</v>
      </c>
      <c r="BC1432" s="5" t="s">
        <v>253</v>
      </c>
      <c r="BD1432" s="5" t="s">
        <v>238</v>
      </c>
      <c r="BF1432" s="5" t="s">
        <v>238</v>
      </c>
      <c r="BH1432" s="5" t="s">
        <v>859</v>
      </c>
      <c r="BI1432" s="6" t="s">
        <v>368</v>
      </c>
      <c r="BJ1432" s="5" t="s">
        <v>255</v>
      </c>
      <c r="BK1432" s="5" t="s">
        <v>256</v>
      </c>
      <c r="BL1432" s="5" t="s">
        <v>238</v>
      </c>
      <c r="BM1432" s="7">
        <f>0</f>
        <v>0</v>
      </c>
      <c r="BN1432" s="8">
        <f>0</f>
        <v>0</v>
      </c>
      <c r="BO1432" s="5" t="s">
        <v>257</v>
      </c>
      <c r="BP1432" s="5" t="s">
        <v>258</v>
      </c>
      <c r="CD1432" s="5" t="s">
        <v>238</v>
      </c>
      <c r="CE1432" s="5" t="s">
        <v>238</v>
      </c>
      <c r="CI1432" s="5" t="s">
        <v>527</v>
      </c>
      <c r="CJ1432" s="5" t="s">
        <v>260</v>
      </c>
      <c r="CK1432" s="5" t="s">
        <v>238</v>
      </c>
      <c r="CM1432" s="5" t="s">
        <v>974</v>
      </c>
      <c r="CN1432" s="6" t="s">
        <v>262</v>
      </c>
      <c r="CO1432" s="5" t="s">
        <v>263</v>
      </c>
      <c r="CP1432" s="5" t="s">
        <v>264</v>
      </c>
      <c r="CQ1432" s="5" t="s">
        <v>238</v>
      </c>
      <c r="CR1432" s="5" t="s">
        <v>238</v>
      </c>
      <c r="CS1432" s="5">
        <v>0</v>
      </c>
      <c r="CT1432" s="5" t="s">
        <v>265</v>
      </c>
      <c r="CU1432" s="5" t="s">
        <v>1493</v>
      </c>
      <c r="CV1432" s="5" t="s">
        <v>649</v>
      </c>
      <c r="CX1432" s="8">
        <f>25568000</f>
        <v>25568000</v>
      </c>
      <c r="CY1432" s="8">
        <f>0</f>
        <v>0</v>
      </c>
      <c r="DA1432" s="5" t="s">
        <v>238</v>
      </c>
      <c r="DB1432" s="5" t="s">
        <v>238</v>
      </c>
      <c r="DD1432" s="5" t="s">
        <v>238</v>
      </c>
      <c r="DG1432" s="5" t="s">
        <v>238</v>
      </c>
      <c r="DH1432" s="5" t="s">
        <v>238</v>
      </c>
      <c r="DI1432" s="5" t="s">
        <v>238</v>
      </c>
      <c r="DJ1432" s="5" t="s">
        <v>238</v>
      </c>
      <c r="DK1432" s="5" t="s">
        <v>271</v>
      </c>
      <c r="DL1432" s="5" t="s">
        <v>272</v>
      </c>
      <c r="DM1432" s="7">
        <f>319.6</f>
        <v>319.60000000000002</v>
      </c>
      <c r="DN1432" s="5" t="s">
        <v>238</v>
      </c>
      <c r="DO1432" s="5" t="s">
        <v>238</v>
      </c>
      <c r="DP1432" s="5" t="s">
        <v>238</v>
      </c>
      <c r="DQ1432" s="5" t="s">
        <v>238</v>
      </c>
      <c r="DT1432" s="5" t="s">
        <v>1142</v>
      </c>
      <c r="DU1432" s="5" t="s">
        <v>274</v>
      </c>
      <c r="HM1432" s="5" t="s">
        <v>271</v>
      </c>
      <c r="HP1432" s="5" t="s">
        <v>272</v>
      </c>
      <c r="HQ1432" s="5" t="s">
        <v>272</v>
      </c>
    </row>
    <row r="1433" spans="1:238" x14ac:dyDescent="0.4">
      <c r="A1433" s="5">
        <v>1792</v>
      </c>
      <c r="B1433" s="5">
        <v>1</v>
      </c>
      <c r="C1433" s="5">
        <v>1</v>
      </c>
      <c r="D1433" s="5" t="s">
        <v>1102</v>
      </c>
      <c r="E1433" s="5" t="s">
        <v>993</v>
      </c>
      <c r="F1433" s="5" t="s">
        <v>252</v>
      </c>
      <c r="G1433" s="5" t="s">
        <v>1103</v>
      </c>
      <c r="H1433" s="6" t="s">
        <v>1121</v>
      </c>
      <c r="I1433" s="5" t="s">
        <v>1101</v>
      </c>
      <c r="J1433" s="7">
        <f>9.99</f>
        <v>9.99</v>
      </c>
      <c r="K1433" s="5" t="s">
        <v>270</v>
      </c>
      <c r="L1433" s="8">
        <f>1</f>
        <v>1</v>
      </c>
      <c r="M1433" s="8">
        <f>699300</f>
        <v>699300</v>
      </c>
      <c r="N1433" s="6" t="s">
        <v>906</v>
      </c>
      <c r="O1433" s="5" t="s">
        <v>755</v>
      </c>
      <c r="P1433" s="5" t="s">
        <v>909</v>
      </c>
      <c r="R1433" s="8">
        <f>699299</f>
        <v>699299</v>
      </c>
      <c r="S1433" s="5" t="s">
        <v>240</v>
      </c>
      <c r="T1433" s="5" t="s">
        <v>237</v>
      </c>
      <c r="U1433" s="5" t="s">
        <v>238</v>
      </c>
      <c r="V1433" s="5" t="s">
        <v>238</v>
      </c>
      <c r="W1433" s="5" t="s">
        <v>241</v>
      </c>
      <c r="X1433" s="5" t="s">
        <v>243</v>
      </c>
      <c r="Y1433" s="5" t="s">
        <v>238</v>
      </c>
      <c r="AB1433" s="5" t="s">
        <v>238</v>
      </c>
      <c r="AD1433" s="6" t="s">
        <v>238</v>
      </c>
      <c r="AG1433" s="6" t="s">
        <v>246</v>
      </c>
      <c r="AH1433" s="5" t="s">
        <v>247</v>
      </c>
      <c r="AI1433" s="5" t="s">
        <v>248</v>
      </c>
      <c r="AY1433" s="5" t="s">
        <v>250</v>
      </c>
      <c r="AZ1433" s="5" t="s">
        <v>238</v>
      </c>
      <c r="BA1433" s="5" t="s">
        <v>251</v>
      </c>
      <c r="BB1433" s="5" t="s">
        <v>238</v>
      </c>
      <c r="BC1433" s="5" t="s">
        <v>253</v>
      </c>
      <c r="BD1433" s="5" t="s">
        <v>238</v>
      </c>
      <c r="BF1433" s="5" t="s">
        <v>238</v>
      </c>
      <c r="BH1433" s="5" t="s">
        <v>697</v>
      </c>
      <c r="BI1433" s="6" t="s">
        <v>698</v>
      </c>
      <c r="BJ1433" s="5" t="s">
        <v>255</v>
      </c>
      <c r="BK1433" s="5" t="s">
        <v>256</v>
      </c>
      <c r="BL1433" s="5" t="s">
        <v>238</v>
      </c>
      <c r="BM1433" s="7">
        <f>0</f>
        <v>0</v>
      </c>
      <c r="BN1433" s="8">
        <f>0</f>
        <v>0</v>
      </c>
      <c r="BO1433" s="5" t="s">
        <v>257</v>
      </c>
      <c r="BP1433" s="5" t="s">
        <v>258</v>
      </c>
      <c r="CD1433" s="5" t="s">
        <v>238</v>
      </c>
      <c r="CE1433" s="5" t="s">
        <v>238</v>
      </c>
      <c r="CI1433" s="5" t="s">
        <v>527</v>
      </c>
      <c r="CJ1433" s="5" t="s">
        <v>260</v>
      </c>
      <c r="CK1433" s="5" t="s">
        <v>238</v>
      </c>
      <c r="CM1433" s="5" t="s">
        <v>908</v>
      </c>
      <c r="CN1433" s="6" t="s">
        <v>262</v>
      </c>
      <c r="CO1433" s="5" t="s">
        <v>263</v>
      </c>
      <c r="CP1433" s="5" t="s">
        <v>264</v>
      </c>
      <c r="CQ1433" s="5" t="s">
        <v>238</v>
      </c>
      <c r="CR1433" s="5" t="s">
        <v>238</v>
      </c>
      <c r="CS1433" s="5">
        <v>0</v>
      </c>
      <c r="CT1433" s="5" t="s">
        <v>265</v>
      </c>
      <c r="CU1433" s="5" t="s">
        <v>266</v>
      </c>
      <c r="CV1433" s="5" t="s">
        <v>754</v>
      </c>
      <c r="CX1433" s="8">
        <f>699300</f>
        <v>699300</v>
      </c>
      <c r="CY1433" s="8">
        <f>0</f>
        <v>0</v>
      </c>
      <c r="DA1433" s="5" t="s">
        <v>238</v>
      </c>
      <c r="DB1433" s="5" t="s">
        <v>238</v>
      </c>
      <c r="DD1433" s="5" t="s">
        <v>238</v>
      </c>
      <c r="DG1433" s="5" t="s">
        <v>238</v>
      </c>
      <c r="DH1433" s="5" t="s">
        <v>238</v>
      </c>
      <c r="DI1433" s="5" t="s">
        <v>238</v>
      </c>
      <c r="DJ1433" s="5" t="s">
        <v>238</v>
      </c>
      <c r="DK1433" s="5" t="s">
        <v>271</v>
      </c>
      <c r="DL1433" s="5" t="s">
        <v>272</v>
      </c>
      <c r="DM1433" s="7">
        <f>9.99</f>
        <v>9.99</v>
      </c>
      <c r="DN1433" s="5" t="s">
        <v>238</v>
      </c>
      <c r="DO1433" s="5" t="s">
        <v>238</v>
      </c>
      <c r="DP1433" s="5" t="s">
        <v>238</v>
      </c>
      <c r="DQ1433" s="5" t="s">
        <v>238</v>
      </c>
      <c r="DT1433" s="5" t="s">
        <v>1122</v>
      </c>
      <c r="DU1433" s="5" t="s">
        <v>271</v>
      </c>
      <c r="HM1433" s="5" t="s">
        <v>271</v>
      </c>
      <c r="HP1433" s="5" t="s">
        <v>272</v>
      </c>
      <c r="HQ1433" s="5" t="s">
        <v>272</v>
      </c>
    </row>
    <row r="1434" spans="1:238" x14ac:dyDescent="0.4">
      <c r="A1434" s="5">
        <v>1793</v>
      </c>
      <c r="B1434" s="5">
        <v>1</v>
      </c>
      <c r="C1434" s="5">
        <v>1</v>
      </c>
      <c r="D1434" s="5" t="s">
        <v>1102</v>
      </c>
      <c r="E1434" s="5" t="s">
        <v>993</v>
      </c>
      <c r="F1434" s="5" t="s">
        <v>252</v>
      </c>
      <c r="G1434" s="5" t="s">
        <v>1103</v>
      </c>
      <c r="H1434" s="6" t="s">
        <v>1121</v>
      </c>
      <c r="I1434" s="5" t="s">
        <v>1101</v>
      </c>
      <c r="J1434" s="7">
        <f>9.99</f>
        <v>9.99</v>
      </c>
      <c r="K1434" s="5" t="s">
        <v>270</v>
      </c>
      <c r="L1434" s="8">
        <f>1</f>
        <v>1</v>
      </c>
      <c r="M1434" s="8">
        <f>699300</f>
        <v>699300</v>
      </c>
      <c r="N1434" s="6" t="s">
        <v>906</v>
      </c>
      <c r="O1434" s="5" t="s">
        <v>755</v>
      </c>
      <c r="P1434" s="5" t="s">
        <v>909</v>
      </c>
      <c r="R1434" s="8">
        <f>699299</f>
        <v>699299</v>
      </c>
      <c r="S1434" s="5" t="s">
        <v>240</v>
      </c>
      <c r="T1434" s="5" t="s">
        <v>237</v>
      </c>
      <c r="U1434" s="5" t="s">
        <v>238</v>
      </c>
      <c r="V1434" s="5" t="s">
        <v>238</v>
      </c>
      <c r="W1434" s="5" t="s">
        <v>241</v>
      </c>
      <c r="X1434" s="5" t="s">
        <v>243</v>
      </c>
      <c r="Y1434" s="5" t="s">
        <v>238</v>
      </c>
      <c r="AB1434" s="5" t="s">
        <v>238</v>
      </c>
      <c r="AD1434" s="6" t="s">
        <v>238</v>
      </c>
      <c r="AG1434" s="6" t="s">
        <v>246</v>
      </c>
      <c r="AH1434" s="5" t="s">
        <v>247</v>
      </c>
      <c r="AI1434" s="5" t="s">
        <v>248</v>
      </c>
      <c r="AY1434" s="5" t="s">
        <v>250</v>
      </c>
      <c r="AZ1434" s="5" t="s">
        <v>238</v>
      </c>
      <c r="BA1434" s="5" t="s">
        <v>251</v>
      </c>
      <c r="BB1434" s="5" t="s">
        <v>238</v>
      </c>
      <c r="BC1434" s="5" t="s">
        <v>253</v>
      </c>
      <c r="BD1434" s="5" t="s">
        <v>238</v>
      </c>
      <c r="BF1434" s="5" t="s">
        <v>238</v>
      </c>
      <c r="BH1434" s="5" t="s">
        <v>798</v>
      </c>
      <c r="BI1434" s="6" t="s">
        <v>799</v>
      </c>
      <c r="BJ1434" s="5" t="s">
        <v>255</v>
      </c>
      <c r="BK1434" s="5" t="s">
        <v>256</v>
      </c>
      <c r="BL1434" s="5" t="s">
        <v>238</v>
      </c>
      <c r="BM1434" s="7">
        <f>0</f>
        <v>0</v>
      </c>
      <c r="BN1434" s="8">
        <f>0</f>
        <v>0</v>
      </c>
      <c r="BO1434" s="5" t="s">
        <v>257</v>
      </c>
      <c r="BP1434" s="5" t="s">
        <v>258</v>
      </c>
      <c r="CD1434" s="5" t="s">
        <v>238</v>
      </c>
      <c r="CE1434" s="5" t="s">
        <v>238</v>
      </c>
      <c r="CI1434" s="5" t="s">
        <v>527</v>
      </c>
      <c r="CJ1434" s="5" t="s">
        <v>260</v>
      </c>
      <c r="CK1434" s="5" t="s">
        <v>238</v>
      </c>
      <c r="CM1434" s="5" t="s">
        <v>908</v>
      </c>
      <c r="CN1434" s="6" t="s">
        <v>262</v>
      </c>
      <c r="CO1434" s="5" t="s">
        <v>263</v>
      </c>
      <c r="CP1434" s="5" t="s">
        <v>264</v>
      </c>
      <c r="CQ1434" s="5" t="s">
        <v>238</v>
      </c>
      <c r="CR1434" s="5" t="s">
        <v>238</v>
      </c>
      <c r="CS1434" s="5">
        <v>0</v>
      </c>
      <c r="CT1434" s="5" t="s">
        <v>265</v>
      </c>
      <c r="CU1434" s="5" t="s">
        <v>266</v>
      </c>
      <c r="CV1434" s="5" t="s">
        <v>754</v>
      </c>
      <c r="CX1434" s="8">
        <f>699300</f>
        <v>699300</v>
      </c>
      <c r="CY1434" s="8">
        <f>0</f>
        <v>0</v>
      </c>
      <c r="DA1434" s="5" t="s">
        <v>238</v>
      </c>
      <c r="DB1434" s="5" t="s">
        <v>238</v>
      </c>
      <c r="DD1434" s="5" t="s">
        <v>238</v>
      </c>
      <c r="DG1434" s="5" t="s">
        <v>238</v>
      </c>
      <c r="DH1434" s="5" t="s">
        <v>238</v>
      </c>
      <c r="DI1434" s="5" t="s">
        <v>238</v>
      </c>
      <c r="DJ1434" s="5" t="s">
        <v>238</v>
      </c>
      <c r="DK1434" s="5" t="s">
        <v>271</v>
      </c>
      <c r="DL1434" s="5" t="s">
        <v>272</v>
      </c>
      <c r="DM1434" s="7">
        <f>9.99</f>
        <v>9.99</v>
      </c>
      <c r="DN1434" s="5" t="s">
        <v>238</v>
      </c>
      <c r="DO1434" s="5" t="s">
        <v>238</v>
      </c>
      <c r="DP1434" s="5" t="s">
        <v>238</v>
      </c>
      <c r="DQ1434" s="5" t="s">
        <v>238</v>
      </c>
      <c r="DT1434" s="5" t="s">
        <v>1122</v>
      </c>
      <c r="DU1434" s="5" t="s">
        <v>274</v>
      </c>
      <c r="HM1434" s="5" t="s">
        <v>271</v>
      </c>
      <c r="HP1434" s="5" t="s">
        <v>272</v>
      </c>
      <c r="HQ1434" s="5" t="s">
        <v>272</v>
      </c>
    </row>
    <row r="1435" spans="1:238" x14ac:dyDescent="0.4">
      <c r="A1435" s="5">
        <v>1794</v>
      </c>
      <c r="B1435" s="5">
        <v>1</v>
      </c>
      <c r="C1435" s="5">
        <v>1</v>
      </c>
      <c r="D1435" s="5" t="s">
        <v>1102</v>
      </c>
      <c r="E1435" s="5" t="s">
        <v>993</v>
      </c>
      <c r="F1435" s="5" t="s">
        <v>252</v>
      </c>
      <c r="G1435" s="5" t="s">
        <v>1103</v>
      </c>
      <c r="H1435" s="6" t="s">
        <v>1121</v>
      </c>
      <c r="I1435" s="5" t="s">
        <v>1101</v>
      </c>
      <c r="J1435" s="7">
        <f>9.99</f>
        <v>9.99</v>
      </c>
      <c r="K1435" s="5" t="s">
        <v>270</v>
      </c>
      <c r="L1435" s="8">
        <f>1</f>
        <v>1</v>
      </c>
      <c r="M1435" s="8">
        <f>699300</f>
        <v>699300</v>
      </c>
      <c r="N1435" s="6" t="s">
        <v>906</v>
      </c>
      <c r="O1435" s="5" t="s">
        <v>755</v>
      </c>
      <c r="P1435" s="5" t="s">
        <v>909</v>
      </c>
      <c r="R1435" s="8">
        <f>699299</f>
        <v>699299</v>
      </c>
      <c r="S1435" s="5" t="s">
        <v>240</v>
      </c>
      <c r="T1435" s="5" t="s">
        <v>237</v>
      </c>
      <c r="U1435" s="5" t="s">
        <v>238</v>
      </c>
      <c r="V1435" s="5" t="s">
        <v>238</v>
      </c>
      <c r="W1435" s="5" t="s">
        <v>241</v>
      </c>
      <c r="X1435" s="5" t="s">
        <v>243</v>
      </c>
      <c r="Y1435" s="5" t="s">
        <v>238</v>
      </c>
      <c r="AB1435" s="5" t="s">
        <v>238</v>
      </c>
      <c r="AD1435" s="6" t="s">
        <v>238</v>
      </c>
      <c r="AG1435" s="6" t="s">
        <v>246</v>
      </c>
      <c r="AH1435" s="5" t="s">
        <v>247</v>
      </c>
      <c r="AI1435" s="5" t="s">
        <v>248</v>
      </c>
      <c r="AY1435" s="5" t="s">
        <v>250</v>
      </c>
      <c r="AZ1435" s="5" t="s">
        <v>238</v>
      </c>
      <c r="BA1435" s="5" t="s">
        <v>251</v>
      </c>
      <c r="BB1435" s="5" t="s">
        <v>238</v>
      </c>
      <c r="BC1435" s="5" t="s">
        <v>253</v>
      </c>
      <c r="BD1435" s="5" t="s">
        <v>238</v>
      </c>
      <c r="BF1435" s="5" t="s">
        <v>238</v>
      </c>
      <c r="BH1435" s="5" t="s">
        <v>254</v>
      </c>
      <c r="BI1435" s="6" t="s">
        <v>246</v>
      </c>
      <c r="BJ1435" s="5" t="s">
        <v>255</v>
      </c>
      <c r="BK1435" s="5" t="s">
        <v>256</v>
      </c>
      <c r="BL1435" s="5" t="s">
        <v>238</v>
      </c>
      <c r="BM1435" s="7">
        <f>0</f>
        <v>0</v>
      </c>
      <c r="BN1435" s="8">
        <f>0</f>
        <v>0</v>
      </c>
      <c r="BO1435" s="5" t="s">
        <v>257</v>
      </c>
      <c r="BP1435" s="5" t="s">
        <v>258</v>
      </c>
      <c r="CD1435" s="5" t="s">
        <v>238</v>
      </c>
      <c r="CE1435" s="5" t="s">
        <v>238</v>
      </c>
      <c r="CI1435" s="5" t="s">
        <v>527</v>
      </c>
      <c r="CJ1435" s="5" t="s">
        <v>260</v>
      </c>
      <c r="CK1435" s="5" t="s">
        <v>238</v>
      </c>
      <c r="CM1435" s="5" t="s">
        <v>908</v>
      </c>
      <c r="CN1435" s="6" t="s">
        <v>262</v>
      </c>
      <c r="CO1435" s="5" t="s">
        <v>263</v>
      </c>
      <c r="CP1435" s="5" t="s">
        <v>264</v>
      </c>
      <c r="CQ1435" s="5" t="s">
        <v>238</v>
      </c>
      <c r="CR1435" s="5" t="s">
        <v>238</v>
      </c>
      <c r="CS1435" s="5">
        <v>0</v>
      </c>
      <c r="CT1435" s="5" t="s">
        <v>265</v>
      </c>
      <c r="CU1435" s="5" t="s">
        <v>266</v>
      </c>
      <c r="CV1435" s="5" t="s">
        <v>754</v>
      </c>
      <c r="CX1435" s="8">
        <f>699300</f>
        <v>699300</v>
      </c>
      <c r="CY1435" s="8">
        <f>0</f>
        <v>0</v>
      </c>
      <c r="DA1435" s="5" t="s">
        <v>238</v>
      </c>
      <c r="DB1435" s="5" t="s">
        <v>238</v>
      </c>
      <c r="DD1435" s="5" t="s">
        <v>238</v>
      </c>
      <c r="DG1435" s="5" t="s">
        <v>238</v>
      </c>
      <c r="DH1435" s="5" t="s">
        <v>238</v>
      </c>
      <c r="DI1435" s="5" t="s">
        <v>238</v>
      </c>
      <c r="DJ1435" s="5" t="s">
        <v>238</v>
      </c>
      <c r="DK1435" s="5" t="s">
        <v>271</v>
      </c>
      <c r="DL1435" s="5" t="s">
        <v>272</v>
      </c>
      <c r="DM1435" s="7">
        <f>9.99</f>
        <v>9.99</v>
      </c>
      <c r="DN1435" s="5" t="s">
        <v>238</v>
      </c>
      <c r="DO1435" s="5" t="s">
        <v>238</v>
      </c>
      <c r="DP1435" s="5" t="s">
        <v>238</v>
      </c>
      <c r="DQ1435" s="5" t="s">
        <v>238</v>
      </c>
      <c r="DT1435" s="5" t="s">
        <v>1122</v>
      </c>
      <c r="DU1435" s="5" t="s">
        <v>356</v>
      </c>
      <c r="HM1435" s="5" t="s">
        <v>271</v>
      </c>
      <c r="HP1435" s="5" t="s">
        <v>272</v>
      </c>
      <c r="HQ1435" s="5" t="s">
        <v>272</v>
      </c>
    </row>
    <row r="1436" spans="1:238" x14ac:dyDescent="0.4">
      <c r="A1436" s="5">
        <v>1795</v>
      </c>
      <c r="B1436" s="5">
        <v>1</v>
      </c>
      <c r="C1436" s="5">
        <v>1</v>
      </c>
      <c r="D1436" s="5" t="s">
        <v>2276</v>
      </c>
      <c r="E1436" s="5" t="s">
        <v>315</v>
      </c>
      <c r="F1436" s="5" t="s">
        <v>252</v>
      </c>
      <c r="G1436" s="5" t="s">
        <v>2263</v>
      </c>
      <c r="H1436" s="6" t="s">
        <v>2278</v>
      </c>
      <c r="I1436" s="5" t="s">
        <v>2263</v>
      </c>
      <c r="J1436" s="7">
        <f>102.68</f>
        <v>102.68</v>
      </c>
      <c r="K1436" s="5" t="s">
        <v>270</v>
      </c>
      <c r="L1436" s="8">
        <f>1</f>
        <v>1</v>
      </c>
      <c r="M1436" s="8">
        <f>23103000</f>
        <v>23103000</v>
      </c>
      <c r="N1436" s="6" t="s">
        <v>2277</v>
      </c>
      <c r="O1436" s="5" t="s">
        <v>268</v>
      </c>
      <c r="P1436" s="5" t="s">
        <v>611</v>
      </c>
      <c r="R1436" s="8">
        <f>23102999</f>
        <v>23102999</v>
      </c>
      <c r="S1436" s="5" t="s">
        <v>240</v>
      </c>
      <c r="T1436" s="5" t="s">
        <v>237</v>
      </c>
      <c r="U1436" s="5" t="s">
        <v>238</v>
      </c>
      <c r="V1436" s="5" t="s">
        <v>238</v>
      </c>
      <c r="W1436" s="5" t="s">
        <v>241</v>
      </c>
      <c r="X1436" s="5" t="s">
        <v>243</v>
      </c>
      <c r="Y1436" s="5" t="s">
        <v>238</v>
      </c>
      <c r="AB1436" s="5" t="s">
        <v>238</v>
      </c>
      <c r="AD1436" s="6" t="s">
        <v>238</v>
      </c>
      <c r="AG1436" s="6" t="s">
        <v>246</v>
      </c>
      <c r="AH1436" s="5" t="s">
        <v>247</v>
      </c>
      <c r="AI1436" s="5" t="s">
        <v>248</v>
      </c>
      <c r="AY1436" s="5" t="s">
        <v>250</v>
      </c>
      <c r="AZ1436" s="5" t="s">
        <v>238</v>
      </c>
      <c r="BA1436" s="5" t="s">
        <v>251</v>
      </c>
      <c r="BB1436" s="5" t="s">
        <v>238</v>
      </c>
      <c r="BC1436" s="5" t="s">
        <v>253</v>
      </c>
      <c r="BD1436" s="5" t="s">
        <v>238</v>
      </c>
      <c r="BF1436" s="5" t="s">
        <v>238</v>
      </c>
      <c r="BH1436" s="5" t="s">
        <v>254</v>
      </c>
      <c r="BI1436" s="6" t="s">
        <v>246</v>
      </c>
      <c r="BJ1436" s="5" t="s">
        <v>255</v>
      </c>
      <c r="BK1436" s="5" t="s">
        <v>256</v>
      </c>
      <c r="BL1436" s="5" t="s">
        <v>238</v>
      </c>
      <c r="BM1436" s="7">
        <f>0</f>
        <v>0</v>
      </c>
      <c r="BN1436" s="8">
        <f>0</f>
        <v>0</v>
      </c>
      <c r="BO1436" s="5" t="s">
        <v>257</v>
      </c>
      <c r="BP1436" s="5" t="s">
        <v>258</v>
      </c>
      <c r="CD1436" s="5" t="s">
        <v>238</v>
      </c>
      <c r="CE1436" s="5" t="s">
        <v>238</v>
      </c>
      <c r="CI1436" s="5" t="s">
        <v>259</v>
      </c>
      <c r="CJ1436" s="5" t="s">
        <v>260</v>
      </c>
      <c r="CK1436" s="5" t="s">
        <v>238</v>
      </c>
      <c r="CM1436" s="5" t="s">
        <v>1078</v>
      </c>
      <c r="CN1436" s="6" t="s">
        <v>262</v>
      </c>
      <c r="CO1436" s="5" t="s">
        <v>263</v>
      </c>
      <c r="CP1436" s="5" t="s">
        <v>264</v>
      </c>
      <c r="CQ1436" s="5" t="s">
        <v>238</v>
      </c>
      <c r="CR1436" s="5" t="s">
        <v>238</v>
      </c>
      <c r="CS1436" s="5">
        <v>0</v>
      </c>
      <c r="CT1436" s="5" t="s">
        <v>265</v>
      </c>
      <c r="CU1436" s="5" t="s">
        <v>2254</v>
      </c>
      <c r="CV1436" s="5" t="s">
        <v>267</v>
      </c>
      <c r="CX1436" s="8">
        <f>23103000</f>
        <v>23103000</v>
      </c>
      <c r="CY1436" s="8">
        <f>0</f>
        <v>0</v>
      </c>
      <c r="DA1436" s="5" t="s">
        <v>238</v>
      </c>
      <c r="DB1436" s="5" t="s">
        <v>238</v>
      </c>
      <c r="DD1436" s="5" t="s">
        <v>238</v>
      </c>
      <c r="DG1436" s="5" t="s">
        <v>238</v>
      </c>
      <c r="DH1436" s="5" t="s">
        <v>238</v>
      </c>
      <c r="DI1436" s="5" t="s">
        <v>238</v>
      </c>
      <c r="DJ1436" s="5" t="s">
        <v>238</v>
      </c>
      <c r="DK1436" s="5" t="s">
        <v>271</v>
      </c>
      <c r="DL1436" s="5" t="s">
        <v>272</v>
      </c>
      <c r="DM1436" s="7">
        <f>102.68</f>
        <v>102.68</v>
      </c>
      <c r="DN1436" s="5" t="s">
        <v>238</v>
      </c>
      <c r="DO1436" s="5" t="s">
        <v>238</v>
      </c>
      <c r="DP1436" s="5" t="s">
        <v>238</v>
      </c>
      <c r="DQ1436" s="5" t="s">
        <v>238</v>
      </c>
      <c r="DT1436" s="5" t="s">
        <v>2279</v>
      </c>
      <c r="DU1436" s="5" t="s">
        <v>271</v>
      </c>
      <c r="HM1436" s="5" t="s">
        <v>271</v>
      </c>
      <c r="HP1436" s="5" t="s">
        <v>272</v>
      </c>
      <c r="HQ1436" s="5" t="s">
        <v>272</v>
      </c>
    </row>
    <row r="1437" spans="1:238" x14ac:dyDescent="0.4">
      <c r="A1437" s="5">
        <v>1796</v>
      </c>
      <c r="B1437" s="5">
        <v>1</v>
      </c>
      <c r="C1437" s="5">
        <v>1</v>
      </c>
      <c r="D1437" s="5" t="s">
        <v>983</v>
      </c>
      <c r="E1437" s="5" t="s">
        <v>338</v>
      </c>
      <c r="F1437" s="5" t="s">
        <v>252</v>
      </c>
      <c r="G1437" s="5" t="s">
        <v>3027</v>
      </c>
      <c r="H1437" s="6" t="s">
        <v>985</v>
      </c>
      <c r="I1437" s="5" t="s">
        <v>3027</v>
      </c>
      <c r="J1437" s="7">
        <f>34</f>
        <v>34</v>
      </c>
      <c r="K1437" s="5" t="s">
        <v>270</v>
      </c>
      <c r="L1437" s="8">
        <f>1</f>
        <v>1</v>
      </c>
      <c r="M1437" s="8">
        <f>2040000</f>
        <v>2040000</v>
      </c>
      <c r="N1437" s="6" t="s">
        <v>3078</v>
      </c>
      <c r="O1437" s="5" t="s">
        <v>268</v>
      </c>
      <c r="P1437" s="5" t="s">
        <v>898</v>
      </c>
      <c r="R1437" s="8">
        <f>2039999</f>
        <v>2039999</v>
      </c>
      <c r="S1437" s="5" t="s">
        <v>240</v>
      </c>
      <c r="T1437" s="5" t="s">
        <v>237</v>
      </c>
      <c r="U1437" s="5" t="s">
        <v>238</v>
      </c>
      <c r="V1437" s="5" t="s">
        <v>238</v>
      </c>
      <c r="W1437" s="5" t="s">
        <v>241</v>
      </c>
      <c r="X1437" s="5" t="s">
        <v>243</v>
      </c>
      <c r="Y1437" s="5" t="s">
        <v>238</v>
      </c>
      <c r="AB1437" s="5" t="s">
        <v>238</v>
      </c>
      <c r="AD1437" s="6" t="s">
        <v>238</v>
      </c>
      <c r="AG1437" s="6" t="s">
        <v>246</v>
      </c>
      <c r="AH1437" s="5" t="s">
        <v>247</v>
      </c>
      <c r="AI1437" s="5" t="s">
        <v>248</v>
      </c>
      <c r="AY1437" s="5" t="s">
        <v>250</v>
      </c>
      <c r="AZ1437" s="5" t="s">
        <v>238</v>
      </c>
      <c r="BA1437" s="5" t="s">
        <v>251</v>
      </c>
      <c r="BB1437" s="5" t="s">
        <v>238</v>
      </c>
      <c r="BC1437" s="5" t="s">
        <v>253</v>
      </c>
      <c r="BD1437" s="5" t="s">
        <v>238</v>
      </c>
      <c r="BF1437" s="5" t="s">
        <v>238</v>
      </c>
      <c r="BH1437" s="5" t="s">
        <v>254</v>
      </c>
      <c r="BI1437" s="6" t="s">
        <v>246</v>
      </c>
      <c r="BJ1437" s="5" t="s">
        <v>255</v>
      </c>
      <c r="BK1437" s="5" t="s">
        <v>256</v>
      </c>
      <c r="BL1437" s="5" t="s">
        <v>238</v>
      </c>
      <c r="BM1437" s="7">
        <f>0</f>
        <v>0</v>
      </c>
      <c r="BN1437" s="8">
        <f>0</f>
        <v>0</v>
      </c>
      <c r="BO1437" s="5" t="s">
        <v>257</v>
      </c>
      <c r="BP1437" s="5" t="s">
        <v>258</v>
      </c>
      <c r="CD1437" s="5" t="s">
        <v>238</v>
      </c>
      <c r="CE1437" s="5" t="s">
        <v>238</v>
      </c>
      <c r="CI1437" s="5" t="s">
        <v>527</v>
      </c>
      <c r="CJ1437" s="5" t="s">
        <v>260</v>
      </c>
      <c r="CK1437" s="5" t="s">
        <v>238</v>
      </c>
      <c r="CM1437" s="5" t="s">
        <v>897</v>
      </c>
      <c r="CN1437" s="6" t="s">
        <v>262</v>
      </c>
      <c r="CO1437" s="5" t="s">
        <v>263</v>
      </c>
      <c r="CP1437" s="5" t="s">
        <v>264</v>
      </c>
      <c r="CQ1437" s="5" t="s">
        <v>238</v>
      </c>
      <c r="CR1437" s="5" t="s">
        <v>238</v>
      </c>
      <c r="CS1437" s="5">
        <v>0</v>
      </c>
      <c r="CT1437" s="5" t="s">
        <v>265</v>
      </c>
      <c r="CU1437" s="5" t="s">
        <v>351</v>
      </c>
      <c r="CV1437" s="5" t="s">
        <v>394</v>
      </c>
      <c r="CX1437" s="8">
        <f>2040000</f>
        <v>2040000</v>
      </c>
      <c r="CY1437" s="8">
        <f>0</f>
        <v>0</v>
      </c>
      <c r="DA1437" s="5" t="s">
        <v>238</v>
      </c>
      <c r="DB1437" s="5" t="s">
        <v>238</v>
      </c>
      <c r="DD1437" s="5" t="s">
        <v>238</v>
      </c>
      <c r="DG1437" s="5" t="s">
        <v>238</v>
      </c>
      <c r="DH1437" s="5" t="s">
        <v>238</v>
      </c>
      <c r="DI1437" s="5" t="s">
        <v>238</v>
      </c>
      <c r="DJ1437" s="5" t="s">
        <v>238</v>
      </c>
      <c r="DK1437" s="5" t="s">
        <v>271</v>
      </c>
      <c r="DL1437" s="5" t="s">
        <v>272</v>
      </c>
      <c r="DM1437" s="7">
        <f>34</f>
        <v>34</v>
      </c>
      <c r="DN1437" s="5" t="s">
        <v>238</v>
      </c>
      <c r="DO1437" s="5" t="s">
        <v>238</v>
      </c>
      <c r="DP1437" s="5" t="s">
        <v>238</v>
      </c>
      <c r="DQ1437" s="5" t="s">
        <v>238</v>
      </c>
      <c r="DT1437" s="5" t="s">
        <v>986</v>
      </c>
      <c r="DU1437" s="5" t="s">
        <v>271</v>
      </c>
      <c r="HM1437" s="5" t="s">
        <v>271</v>
      </c>
      <c r="HP1437" s="5" t="s">
        <v>272</v>
      </c>
      <c r="HQ1437" s="5" t="s">
        <v>272</v>
      </c>
    </row>
    <row r="1438" spans="1:238" x14ac:dyDescent="0.4">
      <c r="A1438" s="5">
        <v>1797</v>
      </c>
      <c r="B1438" s="5">
        <v>1</v>
      </c>
      <c r="C1438" s="5">
        <v>4</v>
      </c>
      <c r="D1438" s="5" t="s">
        <v>983</v>
      </c>
      <c r="E1438" s="5" t="s">
        <v>338</v>
      </c>
      <c r="F1438" s="5" t="s">
        <v>252</v>
      </c>
      <c r="G1438" s="5" t="s">
        <v>1499</v>
      </c>
      <c r="H1438" s="6" t="s">
        <v>985</v>
      </c>
      <c r="I1438" s="5" t="s">
        <v>1314</v>
      </c>
      <c r="J1438" s="7">
        <f>1938</f>
        <v>1938</v>
      </c>
      <c r="K1438" s="5" t="s">
        <v>270</v>
      </c>
      <c r="L1438" s="8">
        <f>19883880</f>
        <v>19883880</v>
      </c>
      <c r="M1438" s="8">
        <f>261630000</f>
        <v>261630000</v>
      </c>
      <c r="N1438" s="6" t="s">
        <v>1571</v>
      </c>
      <c r="O1438" s="5" t="s">
        <v>898</v>
      </c>
      <c r="P1438" s="5" t="s">
        <v>915</v>
      </c>
      <c r="Q1438" s="8">
        <f>5755860</f>
        <v>5755860</v>
      </c>
      <c r="R1438" s="8">
        <f>241746120</f>
        <v>241746120</v>
      </c>
      <c r="S1438" s="5" t="s">
        <v>240</v>
      </c>
      <c r="T1438" s="5" t="s">
        <v>237</v>
      </c>
      <c r="U1438" s="5" t="s">
        <v>238</v>
      </c>
      <c r="V1438" s="5" t="s">
        <v>238</v>
      </c>
      <c r="W1438" s="5" t="s">
        <v>241</v>
      </c>
      <c r="X1438" s="5" t="s">
        <v>243</v>
      </c>
      <c r="Y1438" s="5" t="s">
        <v>238</v>
      </c>
      <c r="AB1438" s="5" t="s">
        <v>238</v>
      </c>
      <c r="AC1438" s="6" t="s">
        <v>238</v>
      </c>
      <c r="AD1438" s="6" t="s">
        <v>238</v>
      </c>
      <c r="AF1438" s="6" t="s">
        <v>238</v>
      </c>
      <c r="AG1438" s="6" t="s">
        <v>246</v>
      </c>
      <c r="AH1438" s="5" t="s">
        <v>247</v>
      </c>
      <c r="AI1438" s="5" t="s">
        <v>248</v>
      </c>
      <c r="AO1438" s="5" t="s">
        <v>238</v>
      </c>
      <c r="AP1438" s="5" t="s">
        <v>238</v>
      </c>
      <c r="AQ1438" s="5" t="s">
        <v>238</v>
      </c>
      <c r="AR1438" s="6" t="s">
        <v>238</v>
      </c>
      <c r="AS1438" s="6" t="s">
        <v>238</v>
      </c>
      <c r="AT1438" s="6" t="s">
        <v>238</v>
      </c>
      <c r="AW1438" s="5" t="s">
        <v>304</v>
      </c>
      <c r="AX1438" s="5" t="s">
        <v>304</v>
      </c>
      <c r="AY1438" s="5" t="s">
        <v>250</v>
      </c>
      <c r="AZ1438" s="5" t="s">
        <v>305</v>
      </c>
      <c r="BA1438" s="5" t="s">
        <v>251</v>
      </c>
      <c r="BB1438" s="5" t="s">
        <v>238</v>
      </c>
      <c r="BC1438" s="5" t="s">
        <v>253</v>
      </c>
      <c r="BD1438" s="5" t="s">
        <v>238</v>
      </c>
      <c r="BF1438" s="5" t="s">
        <v>238</v>
      </c>
      <c r="BH1438" s="5" t="s">
        <v>283</v>
      </c>
      <c r="BI1438" s="6" t="s">
        <v>293</v>
      </c>
      <c r="BJ1438" s="5" t="s">
        <v>294</v>
      </c>
      <c r="BK1438" s="5" t="s">
        <v>294</v>
      </c>
      <c r="BL1438" s="5" t="s">
        <v>238</v>
      </c>
      <c r="BM1438" s="7">
        <f>0</f>
        <v>0</v>
      </c>
      <c r="BN1438" s="8">
        <f>-5755860</f>
        <v>-5755860</v>
      </c>
      <c r="BO1438" s="5" t="s">
        <v>257</v>
      </c>
      <c r="BP1438" s="5" t="s">
        <v>258</v>
      </c>
      <c r="BQ1438" s="5" t="s">
        <v>238</v>
      </c>
      <c r="BR1438" s="5" t="s">
        <v>238</v>
      </c>
      <c r="BS1438" s="5" t="s">
        <v>238</v>
      </c>
      <c r="BT1438" s="5" t="s">
        <v>238</v>
      </c>
      <c r="CC1438" s="5" t="s">
        <v>258</v>
      </c>
      <c r="CD1438" s="5" t="s">
        <v>238</v>
      </c>
      <c r="CE1438" s="5" t="s">
        <v>238</v>
      </c>
      <c r="CI1438" s="5" t="s">
        <v>527</v>
      </c>
      <c r="CJ1438" s="5" t="s">
        <v>260</v>
      </c>
      <c r="CK1438" s="5" t="s">
        <v>238</v>
      </c>
      <c r="CM1438" s="5" t="s">
        <v>699</v>
      </c>
      <c r="CN1438" s="6" t="s">
        <v>262</v>
      </c>
      <c r="CO1438" s="5" t="s">
        <v>263</v>
      </c>
      <c r="CP1438" s="5" t="s">
        <v>264</v>
      </c>
      <c r="CQ1438" s="5" t="s">
        <v>285</v>
      </c>
      <c r="CR1438" s="5" t="s">
        <v>238</v>
      </c>
      <c r="CS1438" s="5">
        <v>2.1999999999999999E-2</v>
      </c>
      <c r="CT1438" s="5" t="s">
        <v>265</v>
      </c>
      <c r="CU1438" s="5" t="s">
        <v>1493</v>
      </c>
      <c r="CV1438" s="5" t="s">
        <v>308</v>
      </c>
      <c r="CW1438" s="7">
        <f>0</f>
        <v>0</v>
      </c>
      <c r="CX1438" s="8">
        <f>261630000</f>
        <v>261630000</v>
      </c>
      <c r="CY1438" s="8">
        <f>25639740</f>
        <v>25639740</v>
      </c>
      <c r="DA1438" s="5" t="s">
        <v>238</v>
      </c>
      <c r="DB1438" s="5" t="s">
        <v>238</v>
      </c>
      <c r="DD1438" s="5" t="s">
        <v>238</v>
      </c>
      <c r="DE1438" s="8">
        <f>0</f>
        <v>0</v>
      </c>
      <c r="DG1438" s="5" t="s">
        <v>238</v>
      </c>
      <c r="DH1438" s="5" t="s">
        <v>238</v>
      </c>
      <c r="DI1438" s="5" t="s">
        <v>238</v>
      </c>
      <c r="DJ1438" s="5" t="s">
        <v>238</v>
      </c>
      <c r="DK1438" s="5" t="s">
        <v>356</v>
      </c>
      <c r="DL1438" s="5" t="s">
        <v>272</v>
      </c>
      <c r="DM1438" s="7">
        <f>1938</f>
        <v>1938</v>
      </c>
      <c r="DN1438" s="5" t="s">
        <v>238</v>
      </c>
      <c r="DO1438" s="5" t="s">
        <v>238</v>
      </c>
      <c r="DP1438" s="5" t="s">
        <v>238</v>
      </c>
      <c r="DQ1438" s="5" t="s">
        <v>238</v>
      </c>
      <c r="DT1438" s="5" t="s">
        <v>986</v>
      </c>
      <c r="DU1438" s="5" t="s">
        <v>274</v>
      </c>
      <c r="GL1438" s="5" t="s">
        <v>1572</v>
      </c>
      <c r="HM1438" s="5" t="s">
        <v>313</v>
      </c>
      <c r="HP1438" s="5" t="s">
        <v>272</v>
      </c>
      <c r="HQ1438" s="5" t="s">
        <v>272</v>
      </c>
      <c r="HR1438" s="5" t="s">
        <v>238</v>
      </c>
      <c r="HS1438" s="5" t="s">
        <v>238</v>
      </c>
      <c r="HT1438" s="5" t="s">
        <v>238</v>
      </c>
      <c r="HU1438" s="5" t="s">
        <v>238</v>
      </c>
      <c r="HV1438" s="5" t="s">
        <v>238</v>
      </c>
      <c r="HW1438" s="5" t="s">
        <v>238</v>
      </c>
      <c r="HX1438" s="5" t="s">
        <v>238</v>
      </c>
      <c r="HY1438" s="5" t="s">
        <v>238</v>
      </c>
      <c r="HZ1438" s="5" t="s">
        <v>238</v>
      </c>
      <c r="IA1438" s="5" t="s">
        <v>238</v>
      </c>
      <c r="IB1438" s="5" t="s">
        <v>238</v>
      </c>
      <c r="IC1438" s="5" t="s">
        <v>238</v>
      </c>
      <c r="ID1438" s="5" t="s">
        <v>238</v>
      </c>
    </row>
    <row r="1439" spans="1:238" x14ac:dyDescent="0.4">
      <c r="A1439" s="5">
        <v>1798</v>
      </c>
      <c r="B1439" s="5">
        <v>1</v>
      </c>
      <c r="C1439" s="5">
        <v>1</v>
      </c>
      <c r="D1439" s="5" t="s">
        <v>983</v>
      </c>
      <c r="E1439" s="5" t="s">
        <v>338</v>
      </c>
      <c r="F1439" s="5" t="s">
        <v>252</v>
      </c>
      <c r="G1439" s="5" t="s">
        <v>1308</v>
      </c>
      <c r="H1439" s="6" t="s">
        <v>985</v>
      </c>
      <c r="I1439" s="5" t="s">
        <v>1308</v>
      </c>
      <c r="J1439" s="7">
        <f>464</f>
        <v>464</v>
      </c>
      <c r="K1439" s="5" t="s">
        <v>270</v>
      </c>
      <c r="L1439" s="8">
        <f>1</f>
        <v>1</v>
      </c>
      <c r="M1439" s="8">
        <f>37120000</f>
        <v>37120000</v>
      </c>
      <c r="N1439" s="6" t="s">
        <v>1494</v>
      </c>
      <c r="O1439" s="5" t="s">
        <v>755</v>
      </c>
      <c r="P1439" s="5" t="s">
        <v>1017</v>
      </c>
      <c r="R1439" s="8">
        <f>37119999</f>
        <v>37119999</v>
      </c>
      <c r="S1439" s="5" t="s">
        <v>240</v>
      </c>
      <c r="T1439" s="5" t="s">
        <v>237</v>
      </c>
      <c r="U1439" s="5" t="s">
        <v>238</v>
      </c>
      <c r="V1439" s="5" t="s">
        <v>238</v>
      </c>
      <c r="W1439" s="5" t="s">
        <v>241</v>
      </c>
      <c r="X1439" s="5" t="s">
        <v>243</v>
      </c>
      <c r="Y1439" s="5" t="s">
        <v>238</v>
      </c>
      <c r="AB1439" s="5" t="s">
        <v>238</v>
      </c>
      <c r="AD1439" s="6" t="s">
        <v>238</v>
      </c>
      <c r="AG1439" s="6" t="s">
        <v>246</v>
      </c>
      <c r="AH1439" s="5" t="s">
        <v>247</v>
      </c>
      <c r="AI1439" s="5" t="s">
        <v>248</v>
      </c>
      <c r="AY1439" s="5" t="s">
        <v>250</v>
      </c>
      <c r="AZ1439" s="5" t="s">
        <v>238</v>
      </c>
      <c r="BA1439" s="5" t="s">
        <v>251</v>
      </c>
      <c r="BB1439" s="5" t="s">
        <v>238</v>
      </c>
      <c r="BC1439" s="5" t="s">
        <v>253</v>
      </c>
      <c r="BD1439" s="5" t="s">
        <v>238</v>
      </c>
      <c r="BF1439" s="5" t="s">
        <v>238</v>
      </c>
      <c r="BH1439" s="5" t="s">
        <v>254</v>
      </c>
      <c r="BI1439" s="6" t="s">
        <v>246</v>
      </c>
      <c r="BJ1439" s="5" t="s">
        <v>255</v>
      </c>
      <c r="BK1439" s="5" t="s">
        <v>256</v>
      </c>
      <c r="BL1439" s="5" t="s">
        <v>238</v>
      </c>
      <c r="BM1439" s="7">
        <f>0</f>
        <v>0</v>
      </c>
      <c r="BN1439" s="8">
        <f>0</f>
        <v>0</v>
      </c>
      <c r="BO1439" s="5" t="s">
        <v>257</v>
      </c>
      <c r="BP1439" s="5" t="s">
        <v>258</v>
      </c>
      <c r="CD1439" s="5" t="s">
        <v>238</v>
      </c>
      <c r="CE1439" s="5" t="s">
        <v>238</v>
      </c>
      <c r="CI1439" s="5" t="s">
        <v>527</v>
      </c>
      <c r="CJ1439" s="5" t="s">
        <v>260</v>
      </c>
      <c r="CK1439" s="5" t="s">
        <v>238</v>
      </c>
      <c r="CM1439" s="5" t="s">
        <v>1016</v>
      </c>
      <c r="CN1439" s="6" t="s">
        <v>262</v>
      </c>
      <c r="CO1439" s="5" t="s">
        <v>263</v>
      </c>
      <c r="CP1439" s="5" t="s">
        <v>264</v>
      </c>
      <c r="CQ1439" s="5" t="s">
        <v>238</v>
      </c>
      <c r="CR1439" s="5" t="s">
        <v>238</v>
      </c>
      <c r="CS1439" s="5">
        <v>0</v>
      </c>
      <c r="CT1439" s="5" t="s">
        <v>265</v>
      </c>
      <c r="CU1439" s="5" t="s">
        <v>1330</v>
      </c>
      <c r="CV1439" s="5" t="s">
        <v>649</v>
      </c>
      <c r="CX1439" s="8">
        <f>37120000</f>
        <v>37120000</v>
      </c>
      <c r="CY1439" s="8">
        <f>0</f>
        <v>0</v>
      </c>
      <c r="DA1439" s="5" t="s">
        <v>238</v>
      </c>
      <c r="DB1439" s="5" t="s">
        <v>238</v>
      </c>
      <c r="DD1439" s="5" t="s">
        <v>238</v>
      </c>
      <c r="DG1439" s="5" t="s">
        <v>238</v>
      </c>
      <c r="DH1439" s="5" t="s">
        <v>238</v>
      </c>
      <c r="DI1439" s="5" t="s">
        <v>238</v>
      </c>
      <c r="DJ1439" s="5" t="s">
        <v>238</v>
      </c>
      <c r="DK1439" s="5" t="s">
        <v>271</v>
      </c>
      <c r="DL1439" s="5" t="s">
        <v>272</v>
      </c>
      <c r="DM1439" s="7">
        <f>464</f>
        <v>464</v>
      </c>
      <c r="DN1439" s="5" t="s">
        <v>238</v>
      </c>
      <c r="DO1439" s="5" t="s">
        <v>238</v>
      </c>
      <c r="DP1439" s="5" t="s">
        <v>238</v>
      </c>
      <c r="DQ1439" s="5" t="s">
        <v>238</v>
      </c>
      <c r="DT1439" s="5" t="s">
        <v>986</v>
      </c>
      <c r="DU1439" s="5" t="s">
        <v>356</v>
      </c>
      <c r="HM1439" s="5" t="s">
        <v>271</v>
      </c>
      <c r="HP1439" s="5" t="s">
        <v>272</v>
      </c>
      <c r="HQ1439" s="5" t="s">
        <v>272</v>
      </c>
    </row>
    <row r="1440" spans="1:238" x14ac:dyDescent="0.4">
      <c r="A1440" s="5">
        <v>1799</v>
      </c>
      <c r="B1440" s="5">
        <v>1</v>
      </c>
      <c r="C1440" s="5">
        <v>1</v>
      </c>
      <c r="D1440" s="5" t="s">
        <v>983</v>
      </c>
      <c r="E1440" s="5" t="s">
        <v>338</v>
      </c>
      <c r="F1440" s="5" t="s">
        <v>252</v>
      </c>
      <c r="G1440" s="5" t="s">
        <v>1309</v>
      </c>
      <c r="H1440" s="6" t="s">
        <v>985</v>
      </c>
      <c r="I1440" s="5" t="s">
        <v>1309</v>
      </c>
      <c r="J1440" s="7">
        <f>22</f>
        <v>22</v>
      </c>
      <c r="K1440" s="5" t="s">
        <v>270</v>
      </c>
      <c r="L1440" s="8">
        <f>1</f>
        <v>1</v>
      </c>
      <c r="M1440" s="8">
        <f>1980000</f>
        <v>1980000</v>
      </c>
      <c r="N1440" s="6" t="s">
        <v>1494</v>
      </c>
      <c r="O1440" s="5" t="s">
        <v>268</v>
      </c>
      <c r="P1440" s="5" t="s">
        <v>1017</v>
      </c>
      <c r="R1440" s="8">
        <f>1979999</f>
        <v>1979999</v>
      </c>
      <c r="S1440" s="5" t="s">
        <v>240</v>
      </c>
      <c r="T1440" s="5" t="s">
        <v>237</v>
      </c>
      <c r="U1440" s="5" t="s">
        <v>238</v>
      </c>
      <c r="V1440" s="5" t="s">
        <v>238</v>
      </c>
      <c r="W1440" s="5" t="s">
        <v>241</v>
      </c>
      <c r="X1440" s="5" t="s">
        <v>243</v>
      </c>
      <c r="Y1440" s="5" t="s">
        <v>238</v>
      </c>
      <c r="AB1440" s="5" t="s">
        <v>238</v>
      </c>
      <c r="AD1440" s="6" t="s">
        <v>238</v>
      </c>
      <c r="AG1440" s="6" t="s">
        <v>246</v>
      </c>
      <c r="AH1440" s="5" t="s">
        <v>247</v>
      </c>
      <c r="AI1440" s="5" t="s">
        <v>248</v>
      </c>
      <c r="AY1440" s="5" t="s">
        <v>250</v>
      </c>
      <c r="AZ1440" s="5" t="s">
        <v>238</v>
      </c>
      <c r="BA1440" s="5" t="s">
        <v>251</v>
      </c>
      <c r="BB1440" s="5" t="s">
        <v>238</v>
      </c>
      <c r="BC1440" s="5" t="s">
        <v>253</v>
      </c>
      <c r="BD1440" s="5" t="s">
        <v>238</v>
      </c>
      <c r="BF1440" s="5" t="s">
        <v>238</v>
      </c>
      <c r="BH1440" s="5" t="s">
        <v>254</v>
      </c>
      <c r="BI1440" s="6" t="s">
        <v>246</v>
      </c>
      <c r="BJ1440" s="5" t="s">
        <v>255</v>
      </c>
      <c r="BK1440" s="5" t="s">
        <v>256</v>
      </c>
      <c r="BL1440" s="5" t="s">
        <v>238</v>
      </c>
      <c r="BM1440" s="7">
        <f>0</f>
        <v>0</v>
      </c>
      <c r="BN1440" s="8">
        <f>0</f>
        <v>0</v>
      </c>
      <c r="BO1440" s="5" t="s">
        <v>257</v>
      </c>
      <c r="BP1440" s="5" t="s">
        <v>258</v>
      </c>
      <c r="CD1440" s="5" t="s">
        <v>238</v>
      </c>
      <c r="CE1440" s="5" t="s">
        <v>238</v>
      </c>
      <c r="CI1440" s="5" t="s">
        <v>527</v>
      </c>
      <c r="CJ1440" s="5" t="s">
        <v>260</v>
      </c>
      <c r="CK1440" s="5" t="s">
        <v>238</v>
      </c>
      <c r="CM1440" s="5" t="s">
        <v>1016</v>
      </c>
      <c r="CN1440" s="6" t="s">
        <v>262</v>
      </c>
      <c r="CO1440" s="5" t="s">
        <v>263</v>
      </c>
      <c r="CP1440" s="5" t="s">
        <v>264</v>
      </c>
      <c r="CQ1440" s="5" t="s">
        <v>238</v>
      </c>
      <c r="CR1440" s="5" t="s">
        <v>238</v>
      </c>
      <c r="CS1440" s="5">
        <v>0</v>
      </c>
      <c r="CT1440" s="5" t="s">
        <v>265</v>
      </c>
      <c r="CU1440" s="5" t="s">
        <v>1342</v>
      </c>
      <c r="CV1440" s="5" t="s">
        <v>267</v>
      </c>
      <c r="CX1440" s="8">
        <f>1980000</f>
        <v>1980000</v>
      </c>
      <c r="CY1440" s="8">
        <f>0</f>
        <v>0</v>
      </c>
      <c r="DA1440" s="5" t="s">
        <v>238</v>
      </c>
      <c r="DB1440" s="5" t="s">
        <v>238</v>
      </c>
      <c r="DD1440" s="5" t="s">
        <v>238</v>
      </c>
      <c r="DG1440" s="5" t="s">
        <v>238</v>
      </c>
      <c r="DH1440" s="5" t="s">
        <v>238</v>
      </c>
      <c r="DI1440" s="5" t="s">
        <v>238</v>
      </c>
      <c r="DJ1440" s="5" t="s">
        <v>238</v>
      </c>
      <c r="DK1440" s="5" t="s">
        <v>271</v>
      </c>
      <c r="DL1440" s="5" t="s">
        <v>272</v>
      </c>
      <c r="DM1440" s="7">
        <f>22</f>
        <v>22</v>
      </c>
      <c r="DN1440" s="5" t="s">
        <v>238</v>
      </c>
      <c r="DO1440" s="5" t="s">
        <v>238</v>
      </c>
      <c r="DP1440" s="5" t="s">
        <v>238</v>
      </c>
      <c r="DQ1440" s="5" t="s">
        <v>238</v>
      </c>
      <c r="DT1440" s="5" t="s">
        <v>986</v>
      </c>
      <c r="DU1440" s="5" t="s">
        <v>310</v>
      </c>
      <c r="HM1440" s="5" t="s">
        <v>271</v>
      </c>
      <c r="HP1440" s="5" t="s">
        <v>272</v>
      </c>
      <c r="HQ1440" s="5" t="s">
        <v>272</v>
      </c>
    </row>
    <row r="1441" spans="1:238" x14ac:dyDescent="0.4">
      <c r="A1441" s="5">
        <v>1800</v>
      </c>
      <c r="B1441" s="5">
        <v>1</v>
      </c>
      <c r="C1441" s="5">
        <v>1</v>
      </c>
      <c r="D1441" s="5" t="s">
        <v>983</v>
      </c>
      <c r="E1441" s="5" t="s">
        <v>338</v>
      </c>
      <c r="F1441" s="5" t="s">
        <v>252</v>
      </c>
      <c r="G1441" s="5" t="s">
        <v>239</v>
      </c>
      <c r="H1441" s="6" t="s">
        <v>985</v>
      </c>
      <c r="I1441" s="5" t="s">
        <v>239</v>
      </c>
      <c r="J1441" s="7">
        <f>29</f>
        <v>29</v>
      </c>
      <c r="K1441" s="5" t="s">
        <v>270</v>
      </c>
      <c r="L1441" s="8">
        <f>1</f>
        <v>1</v>
      </c>
      <c r="M1441" s="8">
        <f>1740000</f>
        <v>1740000</v>
      </c>
      <c r="N1441" s="6" t="s">
        <v>1019</v>
      </c>
      <c r="O1441" s="5" t="s">
        <v>268</v>
      </c>
      <c r="P1441" s="5" t="s">
        <v>755</v>
      </c>
      <c r="R1441" s="8">
        <f>1739999</f>
        <v>1739999</v>
      </c>
      <c r="S1441" s="5" t="s">
        <v>240</v>
      </c>
      <c r="T1441" s="5" t="s">
        <v>237</v>
      </c>
      <c r="U1441" s="5" t="s">
        <v>238</v>
      </c>
      <c r="V1441" s="5" t="s">
        <v>238</v>
      </c>
      <c r="W1441" s="5" t="s">
        <v>241</v>
      </c>
      <c r="X1441" s="5" t="s">
        <v>243</v>
      </c>
      <c r="Y1441" s="5" t="s">
        <v>238</v>
      </c>
      <c r="AB1441" s="5" t="s">
        <v>238</v>
      </c>
      <c r="AD1441" s="6" t="s">
        <v>238</v>
      </c>
      <c r="AG1441" s="6" t="s">
        <v>246</v>
      </c>
      <c r="AH1441" s="5" t="s">
        <v>247</v>
      </c>
      <c r="AI1441" s="5" t="s">
        <v>248</v>
      </c>
      <c r="AY1441" s="5" t="s">
        <v>250</v>
      </c>
      <c r="AZ1441" s="5" t="s">
        <v>238</v>
      </c>
      <c r="BA1441" s="5" t="s">
        <v>251</v>
      </c>
      <c r="BB1441" s="5" t="s">
        <v>238</v>
      </c>
      <c r="BC1441" s="5" t="s">
        <v>253</v>
      </c>
      <c r="BD1441" s="5" t="s">
        <v>238</v>
      </c>
      <c r="BF1441" s="5" t="s">
        <v>238</v>
      </c>
      <c r="BH1441" s="5" t="s">
        <v>254</v>
      </c>
      <c r="BI1441" s="6" t="s">
        <v>246</v>
      </c>
      <c r="BJ1441" s="5" t="s">
        <v>255</v>
      </c>
      <c r="BK1441" s="5" t="s">
        <v>256</v>
      </c>
      <c r="BL1441" s="5" t="s">
        <v>238</v>
      </c>
      <c r="BM1441" s="7">
        <f>0</f>
        <v>0</v>
      </c>
      <c r="BN1441" s="8">
        <f>0</f>
        <v>0</v>
      </c>
      <c r="BO1441" s="5" t="s">
        <v>257</v>
      </c>
      <c r="BP1441" s="5" t="s">
        <v>258</v>
      </c>
      <c r="CD1441" s="5" t="s">
        <v>238</v>
      </c>
      <c r="CE1441" s="5" t="s">
        <v>238</v>
      </c>
      <c r="CI1441" s="5" t="s">
        <v>527</v>
      </c>
      <c r="CJ1441" s="5" t="s">
        <v>260</v>
      </c>
      <c r="CK1441" s="5" t="s">
        <v>238</v>
      </c>
      <c r="CM1441" s="5" t="s">
        <v>1020</v>
      </c>
      <c r="CN1441" s="6" t="s">
        <v>262</v>
      </c>
      <c r="CO1441" s="5" t="s">
        <v>263</v>
      </c>
      <c r="CP1441" s="5" t="s">
        <v>264</v>
      </c>
      <c r="CQ1441" s="5" t="s">
        <v>238</v>
      </c>
      <c r="CR1441" s="5" t="s">
        <v>238</v>
      </c>
      <c r="CS1441" s="5">
        <v>0</v>
      </c>
      <c r="CT1441" s="5" t="s">
        <v>265</v>
      </c>
      <c r="CU1441" s="5" t="s">
        <v>266</v>
      </c>
      <c r="CV1441" s="5" t="s">
        <v>267</v>
      </c>
      <c r="CX1441" s="8">
        <f>1740000</f>
        <v>1740000</v>
      </c>
      <c r="CY1441" s="8">
        <f>0</f>
        <v>0</v>
      </c>
      <c r="DA1441" s="5" t="s">
        <v>238</v>
      </c>
      <c r="DB1441" s="5" t="s">
        <v>238</v>
      </c>
      <c r="DD1441" s="5" t="s">
        <v>238</v>
      </c>
      <c r="DG1441" s="5" t="s">
        <v>238</v>
      </c>
      <c r="DH1441" s="5" t="s">
        <v>238</v>
      </c>
      <c r="DI1441" s="5" t="s">
        <v>238</v>
      </c>
      <c r="DJ1441" s="5" t="s">
        <v>238</v>
      </c>
      <c r="DK1441" s="5" t="s">
        <v>271</v>
      </c>
      <c r="DL1441" s="5" t="s">
        <v>272</v>
      </c>
      <c r="DM1441" s="7">
        <f>29</f>
        <v>29</v>
      </c>
      <c r="DN1441" s="5" t="s">
        <v>238</v>
      </c>
      <c r="DO1441" s="5" t="s">
        <v>238</v>
      </c>
      <c r="DP1441" s="5" t="s">
        <v>238</v>
      </c>
      <c r="DQ1441" s="5" t="s">
        <v>238</v>
      </c>
      <c r="DT1441" s="5" t="s">
        <v>986</v>
      </c>
      <c r="DU1441" s="5" t="s">
        <v>379</v>
      </c>
      <c r="HM1441" s="5" t="s">
        <v>271</v>
      </c>
      <c r="HP1441" s="5" t="s">
        <v>272</v>
      </c>
      <c r="HQ1441" s="5" t="s">
        <v>272</v>
      </c>
    </row>
    <row r="1442" spans="1:238" x14ac:dyDescent="0.4">
      <c r="A1442" s="5">
        <v>1801</v>
      </c>
      <c r="B1442" s="5">
        <v>1</v>
      </c>
      <c r="C1442" s="5">
        <v>1</v>
      </c>
      <c r="D1442" s="5" t="s">
        <v>983</v>
      </c>
      <c r="E1442" s="5" t="s">
        <v>338</v>
      </c>
      <c r="F1442" s="5" t="s">
        <v>252</v>
      </c>
      <c r="G1442" s="5" t="s">
        <v>239</v>
      </c>
      <c r="H1442" s="6" t="s">
        <v>985</v>
      </c>
      <c r="I1442" s="5" t="s">
        <v>239</v>
      </c>
      <c r="J1442" s="7">
        <f>46</f>
        <v>46</v>
      </c>
      <c r="K1442" s="5" t="s">
        <v>270</v>
      </c>
      <c r="L1442" s="8">
        <f>1</f>
        <v>1</v>
      </c>
      <c r="M1442" s="8">
        <f>4186000</f>
        <v>4186000</v>
      </c>
      <c r="N1442" s="6" t="s">
        <v>984</v>
      </c>
      <c r="O1442" s="5" t="s">
        <v>268</v>
      </c>
      <c r="P1442" s="5" t="s">
        <v>269</v>
      </c>
      <c r="R1442" s="8">
        <f>4185999</f>
        <v>4185999</v>
      </c>
      <c r="S1442" s="5" t="s">
        <v>240</v>
      </c>
      <c r="T1442" s="5" t="s">
        <v>237</v>
      </c>
      <c r="U1442" s="5" t="s">
        <v>238</v>
      </c>
      <c r="V1442" s="5" t="s">
        <v>238</v>
      </c>
      <c r="W1442" s="5" t="s">
        <v>241</v>
      </c>
      <c r="X1442" s="5" t="s">
        <v>243</v>
      </c>
      <c r="Y1442" s="5" t="s">
        <v>238</v>
      </c>
      <c r="AB1442" s="5" t="s">
        <v>238</v>
      </c>
      <c r="AD1442" s="6" t="s">
        <v>238</v>
      </c>
      <c r="AG1442" s="6" t="s">
        <v>246</v>
      </c>
      <c r="AH1442" s="5" t="s">
        <v>247</v>
      </c>
      <c r="AI1442" s="5" t="s">
        <v>248</v>
      </c>
      <c r="AY1442" s="5" t="s">
        <v>250</v>
      </c>
      <c r="AZ1442" s="5" t="s">
        <v>238</v>
      </c>
      <c r="BA1442" s="5" t="s">
        <v>251</v>
      </c>
      <c r="BB1442" s="5" t="s">
        <v>238</v>
      </c>
      <c r="BC1442" s="5" t="s">
        <v>253</v>
      </c>
      <c r="BD1442" s="5" t="s">
        <v>238</v>
      </c>
      <c r="BF1442" s="5" t="s">
        <v>238</v>
      </c>
      <c r="BH1442" s="5" t="s">
        <v>254</v>
      </c>
      <c r="BI1442" s="6" t="s">
        <v>246</v>
      </c>
      <c r="BJ1442" s="5" t="s">
        <v>255</v>
      </c>
      <c r="BK1442" s="5" t="s">
        <v>256</v>
      </c>
      <c r="BL1442" s="5" t="s">
        <v>238</v>
      </c>
      <c r="BM1442" s="7">
        <f>0</f>
        <v>0</v>
      </c>
      <c r="BN1442" s="8">
        <f>0</f>
        <v>0</v>
      </c>
      <c r="BO1442" s="5" t="s">
        <v>257</v>
      </c>
      <c r="BP1442" s="5" t="s">
        <v>258</v>
      </c>
      <c r="CD1442" s="5" t="s">
        <v>238</v>
      </c>
      <c r="CE1442" s="5" t="s">
        <v>238</v>
      </c>
      <c r="CI1442" s="5" t="s">
        <v>259</v>
      </c>
      <c r="CJ1442" s="5" t="s">
        <v>260</v>
      </c>
      <c r="CK1442" s="5" t="s">
        <v>238</v>
      </c>
      <c r="CM1442" s="5" t="s">
        <v>261</v>
      </c>
      <c r="CN1442" s="6" t="s">
        <v>262</v>
      </c>
      <c r="CO1442" s="5" t="s">
        <v>263</v>
      </c>
      <c r="CP1442" s="5" t="s">
        <v>264</v>
      </c>
      <c r="CQ1442" s="5" t="s">
        <v>238</v>
      </c>
      <c r="CR1442" s="5" t="s">
        <v>238</v>
      </c>
      <c r="CS1442" s="5">
        <v>0</v>
      </c>
      <c r="CT1442" s="5" t="s">
        <v>265</v>
      </c>
      <c r="CU1442" s="5" t="s">
        <v>266</v>
      </c>
      <c r="CV1442" s="5" t="s">
        <v>267</v>
      </c>
      <c r="CX1442" s="8">
        <f>4186000</f>
        <v>4186000</v>
      </c>
      <c r="CY1442" s="8">
        <f>0</f>
        <v>0</v>
      </c>
      <c r="DA1442" s="5" t="s">
        <v>238</v>
      </c>
      <c r="DB1442" s="5" t="s">
        <v>238</v>
      </c>
      <c r="DD1442" s="5" t="s">
        <v>238</v>
      </c>
      <c r="DG1442" s="5" t="s">
        <v>238</v>
      </c>
      <c r="DH1442" s="5" t="s">
        <v>238</v>
      </c>
      <c r="DI1442" s="5" t="s">
        <v>238</v>
      </c>
      <c r="DJ1442" s="5" t="s">
        <v>238</v>
      </c>
      <c r="DK1442" s="5" t="s">
        <v>271</v>
      </c>
      <c r="DL1442" s="5" t="s">
        <v>272</v>
      </c>
      <c r="DM1442" s="7">
        <f>46</f>
        <v>46</v>
      </c>
      <c r="DN1442" s="5" t="s">
        <v>238</v>
      </c>
      <c r="DO1442" s="5" t="s">
        <v>238</v>
      </c>
      <c r="DP1442" s="5" t="s">
        <v>238</v>
      </c>
      <c r="DQ1442" s="5" t="s">
        <v>238</v>
      </c>
      <c r="DT1442" s="5" t="s">
        <v>986</v>
      </c>
      <c r="DU1442" s="5" t="s">
        <v>313</v>
      </c>
      <c r="HM1442" s="5" t="s">
        <v>271</v>
      </c>
      <c r="HP1442" s="5" t="s">
        <v>272</v>
      </c>
      <c r="HQ1442" s="5" t="s">
        <v>272</v>
      </c>
    </row>
    <row r="1443" spans="1:238" x14ac:dyDescent="0.4">
      <c r="A1443" s="5">
        <v>1802</v>
      </c>
      <c r="B1443" s="5">
        <v>1</v>
      </c>
      <c r="C1443" s="5">
        <v>1</v>
      </c>
      <c r="D1443" s="5" t="s">
        <v>1439</v>
      </c>
      <c r="E1443" s="5" t="s">
        <v>338</v>
      </c>
      <c r="F1443" s="5" t="s">
        <v>252</v>
      </c>
      <c r="G1443" s="5" t="s">
        <v>1384</v>
      </c>
      <c r="H1443" s="6" t="s">
        <v>381</v>
      </c>
      <c r="I1443" s="5" t="s">
        <v>1382</v>
      </c>
      <c r="J1443" s="7">
        <f>163.64</f>
        <v>163.63999999999999</v>
      </c>
      <c r="K1443" s="5" t="s">
        <v>270</v>
      </c>
      <c r="L1443" s="8">
        <f>1</f>
        <v>1</v>
      </c>
      <c r="M1443" s="8">
        <f>14727600</f>
        <v>14727600</v>
      </c>
      <c r="N1443" s="6" t="s">
        <v>906</v>
      </c>
      <c r="O1443" s="5" t="s">
        <v>639</v>
      </c>
      <c r="P1443" s="5" t="s">
        <v>909</v>
      </c>
      <c r="R1443" s="8">
        <f>14727599</f>
        <v>14727599</v>
      </c>
      <c r="S1443" s="5" t="s">
        <v>240</v>
      </c>
      <c r="T1443" s="5" t="s">
        <v>237</v>
      </c>
      <c r="U1443" s="5" t="s">
        <v>238</v>
      </c>
      <c r="V1443" s="5" t="s">
        <v>238</v>
      </c>
      <c r="W1443" s="5" t="s">
        <v>241</v>
      </c>
      <c r="X1443" s="5" t="s">
        <v>243</v>
      </c>
      <c r="Y1443" s="5" t="s">
        <v>238</v>
      </c>
      <c r="AB1443" s="5" t="s">
        <v>238</v>
      </c>
      <c r="AD1443" s="6" t="s">
        <v>238</v>
      </c>
      <c r="AG1443" s="6" t="s">
        <v>246</v>
      </c>
      <c r="AH1443" s="5" t="s">
        <v>247</v>
      </c>
      <c r="AI1443" s="5" t="s">
        <v>248</v>
      </c>
      <c r="AY1443" s="5" t="s">
        <v>250</v>
      </c>
      <c r="AZ1443" s="5" t="s">
        <v>238</v>
      </c>
      <c r="BA1443" s="5" t="s">
        <v>251</v>
      </c>
      <c r="BB1443" s="5" t="s">
        <v>238</v>
      </c>
      <c r="BC1443" s="5" t="s">
        <v>253</v>
      </c>
      <c r="BD1443" s="5" t="s">
        <v>238</v>
      </c>
      <c r="BF1443" s="5" t="s">
        <v>1009</v>
      </c>
      <c r="BH1443" s="5" t="s">
        <v>254</v>
      </c>
      <c r="BI1443" s="6" t="s">
        <v>246</v>
      </c>
      <c r="BJ1443" s="5" t="s">
        <v>255</v>
      </c>
      <c r="BK1443" s="5" t="s">
        <v>256</v>
      </c>
      <c r="BL1443" s="5" t="s">
        <v>238</v>
      </c>
      <c r="BM1443" s="7">
        <f>0</f>
        <v>0</v>
      </c>
      <c r="BN1443" s="8">
        <f>0</f>
        <v>0</v>
      </c>
      <c r="BO1443" s="5" t="s">
        <v>257</v>
      </c>
      <c r="BP1443" s="5" t="s">
        <v>258</v>
      </c>
      <c r="CD1443" s="5" t="s">
        <v>238</v>
      </c>
      <c r="CE1443" s="5" t="s">
        <v>238</v>
      </c>
      <c r="CI1443" s="5" t="s">
        <v>527</v>
      </c>
      <c r="CJ1443" s="5" t="s">
        <v>260</v>
      </c>
      <c r="CK1443" s="5" t="s">
        <v>238</v>
      </c>
      <c r="CM1443" s="5" t="s">
        <v>908</v>
      </c>
      <c r="CN1443" s="6" t="s">
        <v>262</v>
      </c>
      <c r="CO1443" s="5" t="s">
        <v>263</v>
      </c>
      <c r="CP1443" s="5" t="s">
        <v>264</v>
      </c>
      <c r="CQ1443" s="5" t="s">
        <v>238</v>
      </c>
      <c r="CR1443" s="5" t="s">
        <v>238</v>
      </c>
      <c r="CS1443" s="5">
        <v>0</v>
      </c>
      <c r="CT1443" s="5" t="s">
        <v>265</v>
      </c>
      <c r="CU1443" s="5" t="s">
        <v>1325</v>
      </c>
      <c r="CV1443" s="5" t="s">
        <v>649</v>
      </c>
      <c r="CX1443" s="8">
        <f>14727600</f>
        <v>14727600</v>
      </c>
      <c r="CY1443" s="8">
        <f>0</f>
        <v>0</v>
      </c>
      <c r="DA1443" s="5" t="s">
        <v>238</v>
      </c>
      <c r="DB1443" s="5" t="s">
        <v>238</v>
      </c>
      <c r="DD1443" s="5" t="s">
        <v>238</v>
      </c>
      <c r="DG1443" s="5" t="s">
        <v>238</v>
      </c>
      <c r="DH1443" s="5" t="s">
        <v>238</v>
      </c>
      <c r="DI1443" s="5" t="s">
        <v>238</v>
      </c>
      <c r="DJ1443" s="5" t="s">
        <v>238</v>
      </c>
      <c r="DK1443" s="5" t="s">
        <v>271</v>
      </c>
      <c r="DL1443" s="5" t="s">
        <v>272</v>
      </c>
      <c r="DM1443" s="7">
        <f>163.64</f>
        <v>163.63999999999999</v>
      </c>
      <c r="DN1443" s="5" t="s">
        <v>238</v>
      </c>
      <c r="DO1443" s="5" t="s">
        <v>238</v>
      </c>
      <c r="DP1443" s="5" t="s">
        <v>238</v>
      </c>
      <c r="DQ1443" s="5" t="s">
        <v>238</v>
      </c>
      <c r="DT1443" s="5" t="s">
        <v>1440</v>
      </c>
      <c r="DU1443" s="5" t="s">
        <v>271</v>
      </c>
      <c r="HM1443" s="5" t="s">
        <v>271</v>
      </c>
      <c r="HP1443" s="5" t="s">
        <v>272</v>
      </c>
      <c r="HQ1443" s="5" t="s">
        <v>272</v>
      </c>
    </row>
    <row r="1444" spans="1:238" x14ac:dyDescent="0.4">
      <c r="A1444" s="5">
        <v>1815</v>
      </c>
      <c r="B1444" s="5">
        <v>1</v>
      </c>
      <c r="C1444" s="5">
        <v>1</v>
      </c>
      <c r="D1444" s="5" t="s">
        <v>1292</v>
      </c>
      <c r="E1444" s="5" t="s">
        <v>686</v>
      </c>
      <c r="F1444" s="5" t="s">
        <v>252</v>
      </c>
      <c r="G1444" s="5" t="s">
        <v>1007</v>
      </c>
      <c r="H1444" s="6" t="s">
        <v>1294</v>
      </c>
      <c r="I1444" s="5" t="s">
        <v>1306</v>
      </c>
      <c r="J1444" s="7">
        <f>81</f>
        <v>81</v>
      </c>
      <c r="K1444" s="5" t="s">
        <v>270</v>
      </c>
      <c r="L1444" s="8">
        <f>1</f>
        <v>1</v>
      </c>
      <c r="M1444" s="8">
        <f>1</f>
        <v>1</v>
      </c>
      <c r="N1444" s="6" t="s">
        <v>1299</v>
      </c>
      <c r="O1444" s="5" t="s">
        <v>274</v>
      </c>
      <c r="P1444" s="5" t="s">
        <v>898</v>
      </c>
      <c r="R1444" s="8">
        <f>0</f>
        <v>0</v>
      </c>
      <c r="S1444" s="5" t="s">
        <v>240</v>
      </c>
      <c r="T1444" s="5" t="s">
        <v>237</v>
      </c>
      <c r="U1444" s="5" t="s">
        <v>238</v>
      </c>
      <c r="V1444" s="5" t="s">
        <v>238</v>
      </c>
      <c r="W1444" s="5" t="s">
        <v>241</v>
      </c>
      <c r="X1444" s="5" t="s">
        <v>243</v>
      </c>
      <c r="Y1444" s="5" t="s">
        <v>238</v>
      </c>
      <c r="AB1444" s="5" t="s">
        <v>238</v>
      </c>
      <c r="AD1444" s="6" t="s">
        <v>238</v>
      </c>
      <c r="AG1444" s="6" t="s">
        <v>246</v>
      </c>
      <c r="AH1444" s="5" t="s">
        <v>247</v>
      </c>
      <c r="AI1444" s="5" t="s">
        <v>248</v>
      </c>
      <c r="AY1444" s="5" t="s">
        <v>250</v>
      </c>
      <c r="AZ1444" s="5" t="s">
        <v>238</v>
      </c>
      <c r="BA1444" s="5" t="s">
        <v>251</v>
      </c>
      <c r="BB1444" s="5" t="s">
        <v>238</v>
      </c>
      <c r="BC1444" s="5" t="s">
        <v>253</v>
      </c>
      <c r="BD1444" s="5" t="s">
        <v>238</v>
      </c>
      <c r="BF1444" s="5" t="s">
        <v>238</v>
      </c>
      <c r="BH1444" s="5" t="s">
        <v>254</v>
      </c>
      <c r="BI1444" s="6" t="s">
        <v>1299</v>
      </c>
      <c r="BJ1444" s="5" t="s">
        <v>255</v>
      </c>
      <c r="BK1444" s="5" t="s">
        <v>1300</v>
      </c>
      <c r="BL1444" s="5" t="s">
        <v>238</v>
      </c>
      <c r="BM1444" s="7">
        <f>0</f>
        <v>0</v>
      </c>
      <c r="BN1444" s="8">
        <f>0</f>
        <v>0</v>
      </c>
      <c r="BO1444" s="5" t="s">
        <v>257</v>
      </c>
      <c r="BP1444" s="5" t="s">
        <v>258</v>
      </c>
      <c r="CD1444" s="5" t="s">
        <v>238</v>
      </c>
      <c r="CE1444" s="5" t="s">
        <v>238</v>
      </c>
      <c r="CI1444" s="5" t="s">
        <v>527</v>
      </c>
      <c r="CJ1444" s="5" t="s">
        <v>260</v>
      </c>
      <c r="CK1444" s="5" t="s">
        <v>238</v>
      </c>
      <c r="CM1444" s="5" t="s">
        <v>921</v>
      </c>
      <c r="CN1444" s="6" t="s">
        <v>262</v>
      </c>
      <c r="CO1444" s="5" t="s">
        <v>263</v>
      </c>
      <c r="CP1444" s="5" t="s">
        <v>264</v>
      </c>
      <c r="CQ1444" s="5" t="s">
        <v>238</v>
      </c>
      <c r="CR1444" s="5" t="s">
        <v>238</v>
      </c>
      <c r="CS1444" s="5">
        <v>0</v>
      </c>
      <c r="CT1444" s="5" t="s">
        <v>265</v>
      </c>
      <c r="CU1444" s="5" t="s">
        <v>1295</v>
      </c>
      <c r="CV1444" s="5" t="s">
        <v>1301</v>
      </c>
      <c r="CX1444" s="8">
        <f>1</f>
        <v>1</v>
      </c>
      <c r="CY1444" s="8">
        <f>0</f>
        <v>0</v>
      </c>
      <c r="DA1444" s="5" t="s">
        <v>238</v>
      </c>
      <c r="DB1444" s="5" t="s">
        <v>238</v>
      </c>
      <c r="DD1444" s="5" t="s">
        <v>238</v>
      </c>
      <c r="DG1444" s="5" t="s">
        <v>238</v>
      </c>
      <c r="DH1444" s="5" t="s">
        <v>238</v>
      </c>
      <c r="DI1444" s="5" t="s">
        <v>238</v>
      </c>
      <c r="DJ1444" s="5" t="s">
        <v>238</v>
      </c>
      <c r="DK1444" s="5" t="s">
        <v>271</v>
      </c>
      <c r="DL1444" s="5" t="s">
        <v>272</v>
      </c>
      <c r="DM1444" s="7">
        <f>81</f>
        <v>81</v>
      </c>
      <c r="DN1444" s="5" t="s">
        <v>238</v>
      </c>
      <c r="DO1444" s="5" t="s">
        <v>238</v>
      </c>
      <c r="DP1444" s="5" t="s">
        <v>238</v>
      </c>
      <c r="DQ1444" s="5" t="s">
        <v>238</v>
      </c>
      <c r="DT1444" s="5" t="s">
        <v>1297</v>
      </c>
      <c r="DU1444" s="5" t="s">
        <v>319</v>
      </c>
      <c r="HM1444" s="5" t="s">
        <v>271</v>
      </c>
      <c r="HP1444" s="5" t="s">
        <v>272</v>
      </c>
      <c r="HQ1444" s="5" t="s">
        <v>272</v>
      </c>
    </row>
    <row r="1445" spans="1:238" x14ac:dyDescent="0.4">
      <c r="A1445" s="5">
        <v>1816</v>
      </c>
      <c r="B1445" s="5">
        <v>1</v>
      </c>
      <c r="C1445" s="5">
        <v>1</v>
      </c>
      <c r="D1445" s="5" t="s">
        <v>1292</v>
      </c>
      <c r="E1445" s="5" t="s">
        <v>686</v>
      </c>
      <c r="F1445" s="5" t="s">
        <v>252</v>
      </c>
      <c r="G1445" s="5" t="s">
        <v>1007</v>
      </c>
      <c r="H1445" s="6" t="s">
        <v>1294</v>
      </c>
      <c r="I1445" s="5" t="s">
        <v>1307</v>
      </c>
      <c r="J1445" s="7">
        <f>132.53</f>
        <v>132.53</v>
      </c>
      <c r="K1445" s="5" t="s">
        <v>270</v>
      </c>
      <c r="L1445" s="8">
        <f>1</f>
        <v>1</v>
      </c>
      <c r="M1445" s="8">
        <f>1</f>
        <v>1</v>
      </c>
      <c r="N1445" s="6" t="s">
        <v>1299</v>
      </c>
      <c r="O1445" s="5" t="s">
        <v>274</v>
      </c>
      <c r="P1445" s="5" t="s">
        <v>996</v>
      </c>
      <c r="R1445" s="8">
        <f>0</f>
        <v>0</v>
      </c>
      <c r="S1445" s="5" t="s">
        <v>240</v>
      </c>
      <c r="T1445" s="5" t="s">
        <v>237</v>
      </c>
      <c r="U1445" s="5" t="s">
        <v>238</v>
      </c>
      <c r="V1445" s="5" t="s">
        <v>238</v>
      </c>
      <c r="W1445" s="5" t="s">
        <v>241</v>
      </c>
      <c r="X1445" s="5" t="s">
        <v>243</v>
      </c>
      <c r="Y1445" s="5" t="s">
        <v>238</v>
      </c>
      <c r="AB1445" s="5" t="s">
        <v>238</v>
      </c>
      <c r="AD1445" s="6" t="s">
        <v>238</v>
      </c>
      <c r="AG1445" s="6" t="s">
        <v>246</v>
      </c>
      <c r="AH1445" s="5" t="s">
        <v>247</v>
      </c>
      <c r="AI1445" s="5" t="s">
        <v>248</v>
      </c>
      <c r="AY1445" s="5" t="s">
        <v>250</v>
      </c>
      <c r="AZ1445" s="5" t="s">
        <v>238</v>
      </c>
      <c r="BA1445" s="5" t="s">
        <v>251</v>
      </c>
      <c r="BB1445" s="5" t="s">
        <v>238</v>
      </c>
      <c r="BC1445" s="5" t="s">
        <v>253</v>
      </c>
      <c r="BD1445" s="5" t="s">
        <v>238</v>
      </c>
      <c r="BF1445" s="5" t="s">
        <v>238</v>
      </c>
      <c r="BH1445" s="5" t="s">
        <v>254</v>
      </c>
      <c r="BI1445" s="6" t="s">
        <v>1299</v>
      </c>
      <c r="BJ1445" s="5" t="s">
        <v>255</v>
      </c>
      <c r="BK1445" s="5" t="s">
        <v>1300</v>
      </c>
      <c r="BL1445" s="5" t="s">
        <v>238</v>
      </c>
      <c r="BM1445" s="7">
        <f>0</f>
        <v>0</v>
      </c>
      <c r="BN1445" s="8">
        <f>0</f>
        <v>0</v>
      </c>
      <c r="BO1445" s="5" t="s">
        <v>257</v>
      </c>
      <c r="BP1445" s="5" t="s">
        <v>258</v>
      </c>
      <c r="CD1445" s="5" t="s">
        <v>238</v>
      </c>
      <c r="CE1445" s="5" t="s">
        <v>238</v>
      </c>
      <c r="CI1445" s="5" t="s">
        <v>527</v>
      </c>
      <c r="CJ1445" s="5" t="s">
        <v>260</v>
      </c>
      <c r="CK1445" s="5" t="s">
        <v>238</v>
      </c>
      <c r="CM1445" s="5" t="s">
        <v>1097</v>
      </c>
      <c r="CN1445" s="6" t="s">
        <v>262</v>
      </c>
      <c r="CO1445" s="5" t="s">
        <v>263</v>
      </c>
      <c r="CP1445" s="5" t="s">
        <v>264</v>
      </c>
      <c r="CQ1445" s="5" t="s">
        <v>238</v>
      </c>
      <c r="CR1445" s="5" t="s">
        <v>238</v>
      </c>
      <c r="CS1445" s="5">
        <v>0</v>
      </c>
      <c r="CT1445" s="5" t="s">
        <v>265</v>
      </c>
      <c r="CU1445" s="5" t="s">
        <v>1295</v>
      </c>
      <c r="CV1445" s="5" t="s">
        <v>1301</v>
      </c>
      <c r="CX1445" s="8">
        <f>1</f>
        <v>1</v>
      </c>
      <c r="CY1445" s="8">
        <f>0</f>
        <v>0</v>
      </c>
      <c r="DA1445" s="5" t="s">
        <v>238</v>
      </c>
      <c r="DB1445" s="5" t="s">
        <v>238</v>
      </c>
      <c r="DD1445" s="5" t="s">
        <v>238</v>
      </c>
      <c r="DG1445" s="5" t="s">
        <v>238</v>
      </c>
      <c r="DH1445" s="5" t="s">
        <v>238</v>
      </c>
      <c r="DI1445" s="5" t="s">
        <v>238</v>
      </c>
      <c r="DJ1445" s="5" t="s">
        <v>238</v>
      </c>
      <c r="DK1445" s="5" t="s">
        <v>271</v>
      </c>
      <c r="DL1445" s="5" t="s">
        <v>272</v>
      </c>
      <c r="DM1445" s="7">
        <f>132.53</f>
        <v>132.53</v>
      </c>
      <c r="DN1445" s="5" t="s">
        <v>238</v>
      </c>
      <c r="DO1445" s="5" t="s">
        <v>238</v>
      </c>
      <c r="DP1445" s="5" t="s">
        <v>238</v>
      </c>
      <c r="DQ1445" s="5" t="s">
        <v>238</v>
      </c>
      <c r="DT1445" s="5" t="s">
        <v>1297</v>
      </c>
      <c r="DU1445" s="5" t="s">
        <v>1114</v>
      </c>
      <c r="HM1445" s="5" t="s">
        <v>271</v>
      </c>
      <c r="HP1445" s="5" t="s">
        <v>272</v>
      </c>
      <c r="HQ1445" s="5" t="s">
        <v>272</v>
      </c>
    </row>
    <row r="1446" spans="1:238" x14ac:dyDescent="0.4">
      <c r="A1446" s="5">
        <v>1817</v>
      </c>
      <c r="B1446" s="5">
        <v>1</v>
      </c>
      <c r="C1446" s="5">
        <v>1</v>
      </c>
      <c r="D1446" s="5" t="s">
        <v>1292</v>
      </c>
      <c r="E1446" s="5" t="s">
        <v>686</v>
      </c>
      <c r="F1446" s="5" t="s">
        <v>252</v>
      </c>
      <c r="G1446" s="5" t="s">
        <v>1007</v>
      </c>
      <c r="H1446" s="6" t="s">
        <v>1294</v>
      </c>
      <c r="I1446" s="5" t="s">
        <v>1312</v>
      </c>
      <c r="J1446" s="7">
        <f>148.98</f>
        <v>148.97999999999999</v>
      </c>
      <c r="K1446" s="5" t="s">
        <v>270</v>
      </c>
      <c r="L1446" s="8">
        <f>1</f>
        <v>1</v>
      </c>
      <c r="M1446" s="8">
        <f>1</f>
        <v>1</v>
      </c>
      <c r="N1446" s="6" t="s">
        <v>1299</v>
      </c>
      <c r="O1446" s="5" t="s">
        <v>274</v>
      </c>
      <c r="P1446" s="5" t="s">
        <v>996</v>
      </c>
      <c r="R1446" s="8">
        <f>0</f>
        <v>0</v>
      </c>
      <c r="S1446" s="5" t="s">
        <v>240</v>
      </c>
      <c r="T1446" s="5" t="s">
        <v>237</v>
      </c>
      <c r="U1446" s="5" t="s">
        <v>238</v>
      </c>
      <c r="V1446" s="5" t="s">
        <v>238</v>
      </c>
      <c r="W1446" s="5" t="s">
        <v>241</v>
      </c>
      <c r="X1446" s="5" t="s">
        <v>243</v>
      </c>
      <c r="Y1446" s="5" t="s">
        <v>238</v>
      </c>
      <c r="AB1446" s="5" t="s">
        <v>238</v>
      </c>
      <c r="AD1446" s="6" t="s">
        <v>238</v>
      </c>
      <c r="AG1446" s="6" t="s">
        <v>246</v>
      </c>
      <c r="AH1446" s="5" t="s">
        <v>247</v>
      </c>
      <c r="AI1446" s="5" t="s">
        <v>248</v>
      </c>
      <c r="AY1446" s="5" t="s">
        <v>250</v>
      </c>
      <c r="AZ1446" s="5" t="s">
        <v>238</v>
      </c>
      <c r="BA1446" s="5" t="s">
        <v>251</v>
      </c>
      <c r="BB1446" s="5" t="s">
        <v>238</v>
      </c>
      <c r="BC1446" s="5" t="s">
        <v>253</v>
      </c>
      <c r="BD1446" s="5" t="s">
        <v>238</v>
      </c>
      <c r="BF1446" s="5" t="s">
        <v>238</v>
      </c>
      <c r="BH1446" s="5" t="s">
        <v>859</v>
      </c>
      <c r="BI1446" s="6" t="s">
        <v>368</v>
      </c>
      <c r="BJ1446" s="5" t="s">
        <v>255</v>
      </c>
      <c r="BK1446" s="5" t="s">
        <v>1300</v>
      </c>
      <c r="BL1446" s="5" t="s">
        <v>238</v>
      </c>
      <c r="BM1446" s="7">
        <f>0</f>
        <v>0</v>
      </c>
      <c r="BN1446" s="8">
        <f>0</f>
        <v>0</v>
      </c>
      <c r="BO1446" s="5" t="s">
        <v>257</v>
      </c>
      <c r="BP1446" s="5" t="s">
        <v>258</v>
      </c>
      <c r="CD1446" s="5" t="s">
        <v>238</v>
      </c>
      <c r="CE1446" s="5" t="s">
        <v>238</v>
      </c>
      <c r="CI1446" s="5" t="s">
        <v>527</v>
      </c>
      <c r="CJ1446" s="5" t="s">
        <v>260</v>
      </c>
      <c r="CK1446" s="5" t="s">
        <v>238</v>
      </c>
      <c r="CM1446" s="5" t="s">
        <v>1097</v>
      </c>
      <c r="CN1446" s="6" t="s">
        <v>262</v>
      </c>
      <c r="CO1446" s="5" t="s">
        <v>263</v>
      </c>
      <c r="CP1446" s="5" t="s">
        <v>264</v>
      </c>
      <c r="CQ1446" s="5" t="s">
        <v>238</v>
      </c>
      <c r="CR1446" s="5" t="s">
        <v>238</v>
      </c>
      <c r="CS1446" s="5">
        <v>0</v>
      </c>
      <c r="CT1446" s="5" t="s">
        <v>265</v>
      </c>
      <c r="CU1446" s="5" t="s">
        <v>1295</v>
      </c>
      <c r="CV1446" s="5" t="s">
        <v>1301</v>
      </c>
      <c r="CX1446" s="8">
        <f>1</f>
        <v>1</v>
      </c>
      <c r="CY1446" s="8">
        <f>0</f>
        <v>0</v>
      </c>
      <c r="DA1446" s="5" t="s">
        <v>238</v>
      </c>
      <c r="DB1446" s="5" t="s">
        <v>238</v>
      </c>
      <c r="DD1446" s="5" t="s">
        <v>238</v>
      </c>
      <c r="DG1446" s="5" t="s">
        <v>238</v>
      </c>
      <c r="DH1446" s="5" t="s">
        <v>238</v>
      </c>
      <c r="DI1446" s="5" t="s">
        <v>238</v>
      </c>
      <c r="DJ1446" s="5" t="s">
        <v>238</v>
      </c>
      <c r="DK1446" s="5" t="s">
        <v>271</v>
      </c>
      <c r="DL1446" s="5" t="s">
        <v>272</v>
      </c>
      <c r="DM1446" s="7">
        <f>148.98</f>
        <v>148.97999999999999</v>
      </c>
      <c r="DN1446" s="5" t="s">
        <v>238</v>
      </c>
      <c r="DO1446" s="5" t="s">
        <v>238</v>
      </c>
      <c r="DP1446" s="5" t="s">
        <v>238</v>
      </c>
      <c r="DQ1446" s="5" t="s">
        <v>238</v>
      </c>
      <c r="DT1446" s="5" t="s">
        <v>1297</v>
      </c>
      <c r="DU1446" s="5" t="s">
        <v>268</v>
      </c>
      <c r="HM1446" s="5" t="s">
        <v>271</v>
      </c>
      <c r="HP1446" s="5" t="s">
        <v>272</v>
      </c>
      <c r="HQ1446" s="5" t="s">
        <v>272</v>
      </c>
    </row>
    <row r="1447" spans="1:238" x14ac:dyDescent="0.4">
      <c r="A1447" s="5">
        <v>1818</v>
      </c>
      <c r="B1447" s="5">
        <v>1</v>
      </c>
      <c r="C1447" s="5">
        <v>1</v>
      </c>
      <c r="D1447" s="5" t="s">
        <v>1292</v>
      </c>
      <c r="E1447" s="5" t="s">
        <v>686</v>
      </c>
      <c r="F1447" s="5" t="s">
        <v>252</v>
      </c>
      <c r="G1447" s="5" t="s">
        <v>1308</v>
      </c>
      <c r="H1447" s="6" t="s">
        <v>1294</v>
      </c>
      <c r="I1447" s="5" t="s">
        <v>1308</v>
      </c>
      <c r="J1447" s="7">
        <f>1657.04</f>
        <v>1657.04</v>
      </c>
      <c r="K1447" s="5" t="s">
        <v>270</v>
      </c>
      <c r="L1447" s="8">
        <f>1</f>
        <v>1</v>
      </c>
      <c r="M1447" s="8">
        <f>1</f>
        <v>1</v>
      </c>
      <c r="N1447" s="6" t="s">
        <v>1299</v>
      </c>
      <c r="O1447" s="5" t="s">
        <v>274</v>
      </c>
      <c r="P1447" s="5" t="s">
        <v>1017</v>
      </c>
      <c r="R1447" s="8">
        <f>0</f>
        <v>0</v>
      </c>
      <c r="S1447" s="5" t="s">
        <v>240</v>
      </c>
      <c r="T1447" s="5" t="s">
        <v>237</v>
      </c>
      <c r="U1447" s="5" t="s">
        <v>238</v>
      </c>
      <c r="V1447" s="5" t="s">
        <v>238</v>
      </c>
      <c r="W1447" s="5" t="s">
        <v>241</v>
      </c>
      <c r="X1447" s="5" t="s">
        <v>243</v>
      </c>
      <c r="Y1447" s="5" t="s">
        <v>238</v>
      </c>
      <c r="AB1447" s="5" t="s">
        <v>238</v>
      </c>
      <c r="AD1447" s="6" t="s">
        <v>238</v>
      </c>
      <c r="AG1447" s="6" t="s">
        <v>246</v>
      </c>
      <c r="AH1447" s="5" t="s">
        <v>247</v>
      </c>
      <c r="AI1447" s="5" t="s">
        <v>248</v>
      </c>
      <c r="AY1447" s="5" t="s">
        <v>250</v>
      </c>
      <c r="AZ1447" s="5" t="s">
        <v>238</v>
      </c>
      <c r="BA1447" s="5" t="s">
        <v>251</v>
      </c>
      <c r="BB1447" s="5" t="s">
        <v>238</v>
      </c>
      <c r="BC1447" s="5" t="s">
        <v>253</v>
      </c>
      <c r="BD1447" s="5" t="s">
        <v>238</v>
      </c>
      <c r="BF1447" s="5" t="s">
        <v>238</v>
      </c>
      <c r="BH1447" s="5" t="s">
        <v>254</v>
      </c>
      <c r="BI1447" s="6" t="s">
        <v>1299</v>
      </c>
      <c r="BJ1447" s="5" t="s">
        <v>255</v>
      </c>
      <c r="BK1447" s="5" t="s">
        <v>1300</v>
      </c>
      <c r="BL1447" s="5" t="s">
        <v>238</v>
      </c>
      <c r="BM1447" s="7">
        <f>0</f>
        <v>0</v>
      </c>
      <c r="BN1447" s="8">
        <f>0</f>
        <v>0</v>
      </c>
      <c r="BO1447" s="5" t="s">
        <v>257</v>
      </c>
      <c r="BP1447" s="5" t="s">
        <v>258</v>
      </c>
      <c r="CD1447" s="5" t="s">
        <v>238</v>
      </c>
      <c r="CE1447" s="5" t="s">
        <v>238</v>
      </c>
      <c r="CI1447" s="5" t="s">
        <v>527</v>
      </c>
      <c r="CJ1447" s="5" t="s">
        <v>260</v>
      </c>
      <c r="CK1447" s="5" t="s">
        <v>238</v>
      </c>
      <c r="CM1447" s="5" t="s">
        <v>964</v>
      </c>
      <c r="CN1447" s="6" t="s">
        <v>262</v>
      </c>
      <c r="CO1447" s="5" t="s">
        <v>263</v>
      </c>
      <c r="CP1447" s="5" t="s">
        <v>264</v>
      </c>
      <c r="CQ1447" s="5" t="s">
        <v>238</v>
      </c>
      <c r="CR1447" s="5" t="s">
        <v>238</v>
      </c>
      <c r="CS1447" s="5">
        <v>0</v>
      </c>
      <c r="CT1447" s="5" t="s">
        <v>265</v>
      </c>
      <c r="CU1447" s="5" t="s">
        <v>1295</v>
      </c>
      <c r="CV1447" s="5" t="s">
        <v>1301</v>
      </c>
      <c r="CX1447" s="8">
        <f>1</f>
        <v>1</v>
      </c>
      <c r="CY1447" s="8">
        <f>0</f>
        <v>0</v>
      </c>
      <c r="DA1447" s="5" t="s">
        <v>238</v>
      </c>
      <c r="DB1447" s="5" t="s">
        <v>238</v>
      </c>
      <c r="DD1447" s="5" t="s">
        <v>238</v>
      </c>
      <c r="DG1447" s="5" t="s">
        <v>238</v>
      </c>
      <c r="DH1447" s="5" t="s">
        <v>238</v>
      </c>
      <c r="DI1447" s="5" t="s">
        <v>238</v>
      </c>
      <c r="DJ1447" s="5" t="s">
        <v>238</v>
      </c>
      <c r="DK1447" s="5" t="s">
        <v>271</v>
      </c>
      <c r="DL1447" s="5" t="s">
        <v>272</v>
      </c>
      <c r="DM1447" s="7">
        <f>1657.04</f>
        <v>1657.04</v>
      </c>
      <c r="DN1447" s="5" t="s">
        <v>238</v>
      </c>
      <c r="DO1447" s="5" t="s">
        <v>238</v>
      </c>
      <c r="DP1447" s="5" t="s">
        <v>238</v>
      </c>
      <c r="DQ1447" s="5" t="s">
        <v>238</v>
      </c>
      <c r="DT1447" s="5" t="s">
        <v>1297</v>
      </c>
      <c r="DU1447" s="5" t="s">
        <v>269</v>
      </c>
      <c r="HM1447" s="5" t="s">
        <v>271</v>
      </c>
      <c r="HP1447" s="5" t="s">
        <v>272</v>
      </c>
      <c r="HQ1447" s="5" t="s">
        <v>272</v>
      </c>
    </row>
    <row r="1448" spans="1:238" x14ac:dyDescent="0.4">
      <c r="A1448" s="5">
        <v>1819</v>
      </c>
      <c r="B1448" s="5">
        <v>1</v>
      </c>
      <c r="C1448" s="5">
        <v>4</v>
      </c>
      <c r="D1448" s="5" t="s">
        <v>1292</v>
      </c>
      <c r="E1448" s="5" t="s">
        <v>686</v>
      </c>
      <c r="F1448" s="5" t="s">
        <v>252</v>
      </c>
      <c r="G1448" s="5" t="s">
        <v>1315</v>
      </c>
      <c r="H1448" s="6" t="s">
        <v>1294</v>
      </c>
      <c r="I1448" s="5" t="s">
        <v>1314</v>
      </c>
      <c r="J1448" s="7">
        <f>4376.91</f>
        <v>4376.91</v>
      </c>
      <c r="K1448" s="5" t="s">
        <v>270</v>
      </c>
      <c r="L1448" s="8">
        <f>62761236</f>
        <v>62761236</v>
      </c>
      <c r="M1448" s="8">
        <f>83905392</f>
        <v>83905392</v>
      </c>
      <c r="N1448" s="6" t="s">
        <v>376</v>
      </c>
      <c r="O1448" s="5" t="s">
        <v>269</v>
      </c>
      <c r="P1448" s="5" t="s">
        <v>274</v>
      </c>
      <c r="Q1448" s="8">
        <f>5286039</f>
        <v>5286039</v>
      </c>
      <c r="R1448" s="8">
        <f>21144156</f>
        <v>21144156</v>
      </c>
      <c r="S1448" s="5" t="s">
        <v>240</v>
      </c>
      <c r="T1448" s="5" t="s">
        <v>237</v>
      </c>
      <c r="U1448" s="5" t="s">
        <v>238</v>
      </c>
      <c r="V1448" s="5" t="s">
        <v>238</v>
      </c>
      <c r="W1448" s="5" t="s">
        <v>241</v>
      </c>
      <c r="X1448" s="5" t="s">
        <v>243</v>
      </c>
      <c r="Y1448" s="5" t="s">
        <v>238</v>
      </c>
      <c r="AB1448" s="5" t="s">
        <v>238</v>
      </c>
      <c r="AC1448" s="6" t="s">
        <v>238</v>
      </c>
      <c r="AD1448" s="6" t="s">
        <v>238</v>
      </c>
      <c r="AF1448" s="6" t="s">
        <v>238</v>
      </c>
      <c r="AG1448" s="6" t="s">
        <v>246</v>
      </c>
      <c r="AH1448" s="5" t="s">
        <v>247</v>
      </c>
      <c r="AI1448" s="5" t="s">
        <v>248</v>
      </c>
      <c r="AO1448" s="5" t="s">
        <v>238</v>
      </c>
      <c r="AP1448" s="5" t="s">
        <v>238</v>
      </c>
      <c r="AQ1448" s="5" t="s">
        <v>238</v>
      </c>
      <c r="AR1448" s="6" t="s">
        <v>238</v>
      </c>
      <c r="AS1448" s="6" t="s">
        <v>238</v>
      </c>
      <c r="AT1448" s="6" t="s">
        <v>238</v>
      </c>
      <c r="AW1448" s="5" t="s">
        <v>304</v>
      </c>
      <c r="AX1448" s="5" t="s">
        <v>304</v>
      </c>
      <c r="AY1448" s="5" t="s">
        <v>250</v>
      </c>
      <c r="AZ1448" s="5" t="s">
        <v>305</v>
      </c>
      <c r="BA1448" s="5" t="s">
        <v>251</v>
      </c>
      <c r="BB1448" s="5" t="s">
        <v>238</v>
      </c>
      <c r="BC1448" s="5" t="s">
        <v>253</v>
      </c>
      <c r="BD1448" s="5" t="s">
        <v>238</v>
      </c>
      <c r="BF1448" s="5" t="s">
        <v>238</v>
      </c>
      <c r="BH1448" s="5" t="s">
        <v>283</v>
      </c>
      <c r="BI1448" s="6" t="s">
        <v>293</v>
      </c>
      <c r="BJ1448" s="5" t="s">
        <v>294</v>
      </c>
      <c r="BK1448" s="5" t="s">
        <v>294</v>
      </c>
      <c r="BL1448" s="5" t="s">
        <v>238</v>
      </c>
      <c r="BM1448" s="7">
        <f>0</f>
        <v>0</v>
      </c>
      <c r="BN1448" s="8">
        <f>-5286039</f>
        <v>-5286039</v>
      </c>
      <c r="BO1448" s="5" t="s">
        <v>257</v>
      </c>
      <c r="BP1448" s="5" t="s">
        <v>258</v>
      </c>
      <c r="BQ1448" s="5" t="s">
        <v>238</v>
      </c>
      <c r="BR1448" s="5" t="s">
        <v>238</v>
      </c>
      <c r="BS1448" s="5" t="s">
        <v>238</v>
      </c>
      <c r="BT1448" s="5" t="s">
        <v>238</v>
      </c>
      <c r="CC1448" s="5" t="s">
        <v>258</v>
      </c>
      <c r="CD1448" s="5" t="s">
        <v>238</v>
      </c>
      <c r="CE1448" s="5" t="s">
        <v>238</v>
      </c>
      <c r="CI1448" s="5" t="s">
        <v>527</v>
      </c>
      <c r="CJ1448" s="5" t="s">
        <v>260</v>
      </c>
      <c r="CK1448" s="5" t="s">
        <v>238</v>
      </c>
      <c r="CM1448" s="5" t="s">
        <v>402</v>
      </c>
      <c r="CN1448" s="6" t="s">
        <v>262</v>
      </c>
      <c r="CO1448" s="5" t="s">
        <v>263</v>
      </c>
      <c r="CP1448" s="5" t="s">
        <v>264</v>
      </c>
      <c r="CQ1448" s="5" t="s">
        <v>285</v>
      </c>
      <c r="CR1448" s="5" t="s">
        <v>238</v>
      </c>
      <c r="CS1448" s="5">
        <v>6.3E-2</v>
      </c>
      <c r="CT1448" s="5" t="s">
        <v>265</v>
      </c>
      <c r="CU1448" s="5" t="s">
        <v>1295</v>
      </c>
      <c r="CV1448" s="5" t="s">
        <v>1316</v>
      </c>
      <c r="CW1448" s="7">
        <f>0</f>
        <v>0</v>
      </c>
      <c r="CX1448" s="8">
        <f>83905392</f>
        <v>83905392</v>
      </c>
      <c r="CY1448" s="8">
        <f>68047275</f>
        <v>68047275</v>
      </c>
      <c r="DA1448" s="5" t="s">
        <v>238</v>
      </c>
      <c r="DB1448" s="5" t="s">
        <v>238</v>
      </c>
      <c r="DD1448" s="5" t="s">
        <v>238</v>
      </c>
      <c r="DE1448" s="8">
        <f>0</f>
        <v>0</v>
      </c>
      <c r="DG1448" s="5" t="s">
        <v>238</v>
      </c>
      <c r="DH1448" s="5" t="s">
        <v>238</v>
      </c>
      <c r="DI1448" s="5" t="s">
        <v>238</v>
      </c>
      <c r="DJ1448" s="5" t="s">
        <v>238</v>
      </c>
      <c r="DK1448" s="5" t="s">
        <v>356</v>
      </c>
      <c r="DL1448" s="5" t="s">
        <v>272</v>
      </c>
      <c r="DM1448" s="7">
        <f>4376.91</f>
        <v>4376.91</v>
      </c>
      <c r="DN1448" s="5" t="s">
        <v>238</v>
      </c>
      <c r="DO1448" s="5" t="s">
        <v>238</v>
      </c>
      <c r="DP1448" s="5" t="s">
        <v>238</v>
      </c>
      <c r="DQ1448" s="5" t="s">
        <v>238</v>
      </c>
      <c r="DT1448" s="5" t="s">
        <v>1297</v>
      </c>
      <c r="DU1448" s="5" t="s">
        <v>631</v>
      </c>
      <c r="GL1448" s="5" t="s">
        <v>1317</v>
      </c>
      <c r="HM1448" s="5" t="s">
        <v>310</v>
      </c>
      <c r="HP1448" s="5" t="s">
        <v>272</v>
      </c>
      <c r="HQ1448" s="5" t="s">
        <v>272</v>
      </c>
      <c r="HR1448" s="5" t="s">
        <v>238</v>
      </c>
      <c r="HS1448" s="5" t="s">
        <v>238</v>
      </c>
      <c r="HT1448" s="5" t="s">
        <v>238</v>
      </c>
      <c r="HU1448" s="5" t="s">
        <v>238</v>
      </c>
      <c r="HV1448" s="5" t="s">
        <v>238</v>
      </c>
      <c r="HW1448" s="5" t="s">
        <v>238</v>
      </c>
      <c r="HX1448" s="5" t="s">
        <v>238</v>
      </c>
      <c r="HY1448" s="5" t="s">
        <v>238</v>
      </c>
      <c r="HZ1448" s="5" t="s">
        <v>238</v>
      </c>
      <c r="IA1448" s="5" t="s">
        <v>238</v>
      </c>
      <c r="IB1448" s="5" t="s">
        <v>238</v>
      </c>
      <c r="IC1448" s="5" t="s">
        <v>238</v>
      </c>
      <c r="ID1448" s="5" t="s">
        <v>238</v>
      </c>
    </row>
    <row r="1449" spans="1:238" x14ac:dyDescent="0.4">
      <c r="A1449" s="5">
        <v>1820</v>
      </c>
      <c r="B1449" s="5">
        <v>1</v>
      </c>
      <c r="C1449" s="5">
        <v>1</v>
      </c>
      <c r="D1449" s="5" t="s">
        <v>1292</v>
      </c>
      <c r="E1449" s="5" t="s">
        <v>686</v>
      </c>
      <c r="F1449" s="5" t="s">
        <v>252</v>
      </c>
      <c r="G1449" s="5" t="s">
        <v>1215</v>
      </c>
      <c r="H1449" s="6" t="s">
        <v>1294</v>
      </c>
      <c r="I1449" s="5" t="s">
        <v>1313</v>
      </c>
      <c r="J1449" s="7">
        <f>409.5</f>
        <v>409.5</v>
      </c>
      <c r="K1449" s="5" t="s">
        <v>270</v>
      </c>
      <c r="L1449" s="8">
        <f>1</f>
        <v>1</v>
      </c>
      <c r="M1449" s="8">
        <f>1</f>
        <v>1</v>
      </c>
      <c r="N1449" s="6" t="s">
        <v>1299</v>
      </c>
      <c r="O1449" s="5" t="s">
        <v>274</v>
      </c>
      <c r="P1449" s="5" t="s">
        <v>866</v>
      </c>
      <c r="R1449" s="8">
        <f>0</f>
        <v>0</v>
      </c>
      <c r="S1449" s="5" t="s">
        <v>240</v>
      </c>
      <c r="T1449" s="5" t="s">
        <v>237</v>
      </c>
      <c r="U1449" s="5" t="s">
        <v>238</v>
      </c>
      <c r="V1449" s="5" t="s">
        <v>238</v>
      </c>
      <c r="W1449" s="5" t="s">
        <v>241</v>
      </c>
      <c r="X1449" s="5" t="s">
        <v>243</v>
      </c>
      <c r="Y1449" s="5" t="s">
        <v>238</v>
      </c>
      <c r="AB1449" s="5" t="s">
        <v>238</v>
      </c>
      <c r="AD1449" s="6" t="s">
        <v>238</v>
      </c>
      <c r="AG1449" s="6" t="s">
        <v>246</v>
      </c>
      <c r="AH1449" s="5" t="s">
        <v>247</v>
      </c>
      <c r="AI1449" s="5" t="s">
        <v>248</v>
      </c>
      <c r="AY1449" s="5" t="s">
        <v>250</v>
      </c>
      <c r="AZ1449" s="5" t="s">
        <v>238</v>
      </c>
      <c r="BA1449" s="5" t="s">
        <v>251</v>
      </c>
      <c r="BB1449" s="5" t="s">
        <v>238</v>
      </c>
      <c r="BC1449" s="5" t="s">
        <v>253</v>
      </c>
      <c r="BD1449" s="5" t="s">
        <v>238</v>
      </c>
      <c r="BF1449" s="5" t="s">
        <v>238</v>
      </c>
      <c r="BH1449" s="5" t="s">
        <v>697</v>
      </c>
      <c r="BI1449" s="6" t="s">
        <v>698</v>
      </c>
      <c r="BJ1449" s="5" t="s">
        <v>255</v>
      </c>
      <c r="BK1449" s="5" t="s">
        <v>1300</v>
      </c>
      <c r="BL1449" s="5" t="s">
        <v>238</v>
      </c>
      <c r="BM1449" s="7">
        <f>0</f>
        <v>0</v>
      </c>
      <c r="BN1449" s="8">
        <f>0</f>
        <v>0</v>
      </c>
      <c r="BO1449" s="5" t="s">
        <v>257</v>
      </c>
      <c r="BP1449" s="5" t="s">
        <v>258</v>
      </c>
      <c r="CD1449" s="5" t="s">
        <v>238</v>
      </c>
      <c r="CE1449" s="5" t="s">
        <v>238</v>
      </c>
      <c r="CI1449" s="5" t="s">
        <v>527</v>
      </c>
      <c r="CJ1449" s="5" t="s">
        <v>260</v>
      </c>
      <c r="CK1449" s="5" t="s">
        <v>238</v>
      </c>
      <c r="CM1449" s="5" t="s">
        <v>1020</v>
      </c>
      <c r="CN1449" s="6" t="s">
        <v>262</v>
      </c>
      <c r="CO1449" s="5" t="s">
        <v>263</v>
      </c>
      <c r="CP1449" s="5" t="s">
        <v>264</v>
      </c>
      <c r="CQ1449" s="5" t="s">
        <v>238</v>
      </c>
      <c r="CR1449" s="5" t="s">
        <v>238</v>
      </c>
      <c r="CS1449" s="5">
        <v>0</v>
      </c>
      <c r="CT1449" s="5" t="s">
        <v>265</v>
      </c>
      <c r="CU1449" s="5" t="s">
        <v>1295</v>
      </c>
      <c r="CV1449" s="5" t="s">
        <v>1301</v>
      </c>
      <c r="CX1449" s="8">
        <f>1</f>
        <v>1</v>
      </c>
      <c r="CY1449" s="8">
        <f>0</f>
        <v>0</v>
      </c>
      <c r="DA1449" s="5" t="s">
        <v>238</v>
      </c>
      <c r="DB1449" s="5" t="s">
        <v>238</v>
      </c>
      <c r="DD1449" s="5" t="s">
        <v>238</v>
      </c>
      <c r="DG1449" s="5" t="s">
        <v>238</v>
      </c>
      <c r="DH1449" s="5" t="s">
        <v>238</v>
      </c>
      <c r="DI1449" s="5" t="s">
        <v>238</v>
      </c>
      <c r="DJ1449" s="5" t="s">
        <v>238</v>
      </c>
      <c r="DK1449" s="5" t="s">
        <v>271</v>
      </c>
      <c r="DL1449" s="5" t="s">
        <v>272</v>
      </c>
      <c r="DM1449" s="7">
        <f>409.5</f>
        <v>409.5</v>
      </c>
      <c r="DN1449" s="5" t="s">
        <v>238</v>
      </c>
      <c r="DO1449" s="5" t="s">
        <v>238</v>
      </c>
      <c r="DP1449" s="5" t="s">
        <v>238</v>
      </c>
      <c r="DQ1449" s="5" t="s">
        <v>238</v>
      </c>
      <c r="DT1449" s="5" t="s">
        <v>1297</v>
      </c>
      <c r="DU1449" s="5" t="s">
        <v>611</v>
      </c>
      <c r="HM1449" s="5" t="s">
        <v>271</v>
      </c>
      <c r="HP1449" s="5" t="s">
        <v>272</v>
      </c>
      <c r="HQ1449" s="5" t="s">
        <v>272</v>
      </c>
    </row>
    <row r="1450" spans="1:238" x14ac:dyDescent="0.4">
      <c r="A1450" s="5">
        <v>1821</v>
      </c>
      <c r="B1450" s="5">
        <v>1</v>
      </c>
      <c r="C1450" s="5">
        <v>1</v>
      </c>
      <c r="D1450" s="5" t="s">
        <v>1292</v>
      </c>
      <c r="E1450" s="5" t="s">
        <v>686</v>
      </c>
      <c r="F1450" s="5" t="s">
        <v>252</v>
      </c>
      <c r="G1450" s="5" t="s">
        <v>695</v>
      </c>
      <c r="H1450" s="6" t="s">
        <v>1294</v>
      </c>
      <c r="I1450" s="5" t="s">
        <v>695</v>
      </c>
      <c r="J1450" s="7">
        <f>60</f>
        <v>60</v>
      </c>
      <c r="K1450" s="5" t="s">
        <v>270</v>
      </c>
      <c r="L1450" s="8">
        <f>1</f>
        <v>1</v>
      </c>
      <c r="M1450" s="8">
        <f>1</f>
        <v>1</v>
      </c>
      <c r="N1450" s="6" t="s">
        <v>1299</v>
      </c>
      <c r="O1450" s="5" t="s">
        <v>274</v>
      </c>
      <c r="P1450" s="5" t="s">
        <v>639</v>
      </c>
      <c r="R1450" s="8">
        <f>0</f>
        <v>0</v>
      </c>
      <c r="S1450" s="5" t="s">
        <v>240</v>
      </c>
      <c r="T1450" s="5" t="s">
        <v>237</v>
      </c>
      <c r="U1450" s="5" t="s">
        <v>238</v>
      </c>
      <c r="V1450" s="5" t="s">
        <v>238</v>
      </c>
      <c r="W1450" s="5" t="s">
        <v>241</v>
      </c>
      <c r="X1450" s="5" t="s">
        <v>243</v>
      </c>
      <c r="Y1450" s="5" t="s">
        <v>238</v>
      </c>
      <c r="AB1450" s="5" t="s">
        <v>238</v>
      </c>
      <c r="AD1450" s="6" t="s">
        <v>238</v>
      </c>
      <c r="AG1450" s="6" t="s">
        <v>246</v>
      </c>
      <c r="AH1450" s="5" t="s">
        <v>247</v>
      </c>
      <c r="AI1450" s="5" t="s">
        <v>248</v>
      </c>
      <c r="AY1450" s="5" t="s">
        <v>250</v>
      </c>
      <c r="AZ1450" s="5" t="s">
        <v>238</v>
      </c>
      <c r="BA1450" s="5" t="s">
        <v>251</v>
      </c>
      <c r="BB1450" s="5" t="s">
        <v>238</v>
      </c>
      <c r="BC1450" s="5" t="s">
        <v>253</v>
      </c>
      <c r="BD1450" s="5" t="s">
        <v>238</v>
      </c>
      <c r="BF1450" s="5" t="s">
        <v>238</v>
      </c>
      <c r="BH1450" s="5" t="s">
        <v>798</v>
      </c>
      <c r="BI1450" s="6" t="s">
        <v>799</v>
      </c>
      <c r="BJ1450" s="5" t="s">
        <v>255</v>
      </c>
      <c r="BK1450" s="5" t="s">
        <v>1300</v>
      </c>
      <c r="BL1450" s="5" t="s">
        <v>238</v>
      </c>
      <c r="BM1450" s="7">
        <f>0</f>
        <v>0</v>
      </c>
      <c r="BN1450" s="8">
        <f>0</f>
        <v>0</v>
      </c>
      <c r="BO1450" s="5" t="s">
        <v>257</v>
      </c>
      <c r="BP1450" s="5" t="s">
        <v>258</v>
      </c>
      <c r="CD1450" s="5" t="s">
        <v>238</v>
      </c>
      <c r="CE1450" s="5" t="s">
        <v>238</v>
      </c>
      <c r="CI1450" s="5" t="s">
        <v>527</v>
      </c>
      <c r="CJ1450" s="5" t="s">
        <v>260</v>
      </c>
      <c r="CK1450" s="5" t="s">
        <v>238</v>
      </c>
      <c r="CM1450" s="5" t="s">
        <v>865</v>
      </c>
      <c r="CN1450" s="6" t="s">
        <v>262</v>
      </c>
      <c r="CO1450" s="5" t="s">
        <v>263</v>
      </c>
      <c r="CP1450" s="5" t="s">
        <v>264</v>
      </c>
      <c r="CQ1450" s="5" t="s">
        <v>238</v>
      </c>
      <c r="CR1450" s="5" t="s">
        <v>238</v>
      </c>
      <c r="CS1450" s="5">
        <v>0</v>
      </c>
      <c r="CT1450" s="5" t="s">
        <v>265</v>
      </c>
      <c r="CU1450" s="5" t="s">
        <v>1295</v>
      </c>
      <c r="CV1450" s="5" t="s">
        <v>1301</v>
      </c>
      <c r="CX1450" s="8">
        <f>1</f>
        <v>1</v>
      </c>
      <c r="CY1450" s="8">
        <f>0</f>
        <v>0</v>
      </c>
      <c r="DA1450" s="5" t="s">
        <v>238</v>
      </c>
      <c r="DB1450" s="5" t="s">
        <v>238</v>
      </c>
      <c r="DD1450" s="5" t="s">
        <v>238</v>
      </c>
      <c r="DG1450" s="5" t="s">
        <v>238</v>
      </c>
      <c r="DH1450" s="5" t="s">
        <v>238</v>
      </c>
      <c r="DI1450" s="5" t="s">
        <v>238</v>
      </c>
      <c r="DJ1450" s="5" t="s">
        <v>238</v>
      </c>
      <c r="DK1450" s="5" t="s">
        <v>271</v>
      </c>
      <c r="DL1450" s="5" t="s">
        <v>272</v>
      </c>
      <c r="DM1450" s="7">
        <f>60</f>
        <v>60</v>
      </c>
      <c r="DN1450" s="5" t="s">
        <v>238</v>
      </c>
      <c r="DO1450" s="5" t="s">
        <v>238</v>
      </c>
      <c r="DP1450" s="5" t="s">
        <v>238</v>
      </c>
      <c r="DQ1450" s="5" t="s">
        <v>238</v>
      </c>
      <c r="DT1450" s="5" t="s">
        <v>1297</v>
      </c>
      <c r="DU1450" s="5" t="s">
        <v>658</v>
      </c>
      <c r="HM1450" s="5" t="s">
        <v>271</v>
      </c>
      <c r="HP1450" s="5" t="s">
        <v>272</v>
      </c>
      <c r="HQ1450" s="5" t="s">
        <v>272</v>
      </c>
    </row>
    <row r="1451" spans="1:238" x14ac:dyDescent="0.4">
      <c r="A1451" s="5">
        <v>1822</v>
      </c>
      <c r="B1451" s="5">
        <v>1</v>
      </c>
      <c r="C1451" s="5">
        <v>4</v>
      </c>
      <c r="D1451" s="5" t="s">
        <v>1292</v>
      </c>
      <c r="E1451" s="5" t="s">
        <v>686</v>
      </c>
      <c r="F1451" s="5" t="s">
        <v>252</v>
      </c>
      <c r="G1451" s="5" t="s">
        <v>1293</v>
      </c>
      <c r="H1451" s="6" t="s">
        <v>1294</v>
      </c>
      <c r="I1451" s="5" t="s">
        <v>1291</v>
      </c>
      <c r="J1451" s="7">
        <f>388.8</f>
        <v>388.8</v>
      </c>
      <c r="K1451" s="5" t="s">
        <v>270</v>
      </c>
      <c r="L1451" s="8">
        <f>6576540</f>
        <v>6576540</v>
      </c>
      <c r="M1451" s="8">
        <f>8608032</f>
        <v>8608032</v>
      </c>
      <c r="N1451" s="6" t="s">
        <v>376</v>
      </c>
      <c r="O1451" s="5" t="s">
        <v>631</v>
      </c>
      <c r="P1451" s="5" t="s">
        <v>274</v>
      </c>
      <c r="Q1451" s="8">
        <f>507873</f>
        <v>507873</v>
      </c>
      <c r="R1451" s="8">
        <f>2031492</f>
        <v>2031492</v>
      </c>
      <c r="S1451" s="5" t="s">
        <v>240</v>
      </c>
      <c r="T1451" s="5" t="s">
        <v>237</v>
      </c>
      <c r="U1451" s="5" t="s">
        <v>238</v>
      </c>
      <c r="V1451" s="5" t="s">
        <v>238</v>
      </c>
      <c r="W1451" s="5" t="s">
        <v>241</v>
      </c>
      <c r="X1451" s="5" t="s">
        <v>243</v>
      </c>
      <c r="Y1451" s="5" t="s">
        <v>238</v>
      </c>
      <c r="AB1451" s="5" t="s">
        <v>238</v>
      </c>
      <c r="AC1451" s="6" t="s">
        <v>238</v>
      </c>
      <c r="AD1451" s="6" t="s">
        <v>238</v>
      </c>
      <c r="AF1451" s="6" t="s">
        <v>238</v>
      </c>
      <c r="AG1451" s="6" t="s">
        <v>246</v>
      </c>
      <c r="AH1451" s="5" t="s">
        <v>247</v>
      </c>
      <c r="AI1451" s="5" t="s">
        <v>248</v>
      </c>
      <c r="AO1451" s="5" t="s">
        <v>238</v>
      </c>
      <c r="AP1451" s="5" t="s">
        <v>238</v>
      </c>
      <c r="AQ1451" s="5" t="s">
        <v>238</v>
      </c>
      <c r="AR1451" s="6" t="s">
        <v>238</v>
      </c>
      <c r="AS1451" s="6" t="s">
        <v>238</v>
      </c>
      <c r="AT1451" s="6" t="s">
        <v>238</v>
      </c>
      <c r="AW1451" s="5" t="s">
        <v>304</v>
      </c>
      <c r="AX1451" s="5" t="s">
        <v>304</v>
      </c>
      <c r="AY1451" s="5" t="s">
        <v>250</v>
      </c>
      <c r="AZ1451" s="5" t="s">
        <v>305</v>
      </c>
      <c r="BA1451" s="5" t="s">
        <v>251</v>
      </c>
      <c r="BB1451" s="5" t="s">
        <v>238</v>
      </c>
      <c r="BC1451" s="5" t="s">
        <v>253</v>
      </c>
      <c r="BD1451" s="5" t="s">
        <v>238</v>
      </c>
      <c r="BF1451" s="5" t="s">
        <v>238</v>
      </c>
      <c r="BH1451" s="5" t="s">
        <v>283</v>
      </c>
      <c r="BI1451" s="6" t="s">
        <v>293</v>
      </c>
      <c r="BJ1451" s="5" t="s">
        <v>294</v>
      </c>
      <c r="BK1451" s="5" t="s">
        <v>294</v>
      </c>
      <c r="BL1451" s="5" t="s">
        <v>238</v>
      </c>
      <c r="BM1451" s="7">
        <f>0</f>
        <v>0</v>
      </c>
      <c r="BN1451" s="8">
        <f>-507873</f>
        <v>-507873</v>
      </c>
      <c r="BO1451" s="5" t="s">
        <v>257</v>
      </c>
      <c r="BP1451" s="5" t="s">
        <v>258</v>
      </c>
      <c r="BQ1451" s="5" t="s">
        <v>238</v>
      </c>
      <c r="BR1451" s="5" t="s">
        <v>238</v>
      </c>
      <c r="BS1451" s="5" t="s">
        <v>238</v>
      </c>
      <c r="BT1451" s="5" t="s">
        <v>238</v>
      </c>
      <c r="CC1451" s="5" t="s">
        <v>258</v>
      </c>
      <c r="CD1451" s="5" t="s">
        <v>238</v>
      </c>
      <c r="CE1451" s="5" t="s">
        <v>238</v>
      </c>
      <c r="CI1451" s="5" t="s">
        <v>527</v>
      </c>
      <c r="CJ1451" s="5" t="s">
        <v>260</v>
      </c>
      <c r="CK1451" s="5" t="s">
        <v>238</v>
      </c>
      <c r="CM1451" s="5" t="s">
        <v>402</v>
      </c>
      <c r="CN1451" s="6" t="s">
        <v>262</v>
      </c>
      <c r="CO1451" s="5" t="s">
        <v>263</v>
      </c>
      <c r="CP1451" s="5" t="s">
        <v>264</v>
      </c>
      <c r="CQ1451" s="5" t="s">
        <v>285</v>
      </c>
      <c r="CR1451" s="5" t="s">
        <v>238</v>
      </c>
      <c r="CS1451" s="5">
        <v>5.8999999999999997E-2</v>
      </c>
      <c r="CT1451" s="5" t="s">
        <v>265</v>
      </c>
      <c r="CU1451" s="5" t="s">
        <v>1295</v>
      </c>
      <c r="CV1451" s="5" t="s">
        <v>1296</v>
      </c>
      <c r="CW1451" s="7">
        <f>0</f>
        <v>0</v>
      </c>
      <c r="CX1451" s="8">
        <f>8608032</f>
        <v>8608032</v>
      </c>
      <c r="CY1451" s="8">
        <f>7084413</f>
        <v>7084413</v>
      </c>
      <c r="DA1451" s="5" t="s">
        <v>238</v>
      </c>
      <c r="DB1451" s="5" t="s">
        <v>238</v>
      </c>
      <c r="DD1451" s="5" t="s">
        <v>238</v>
      </c>
      <c r="DE1451" s="8">
        <f>0</f>
        <v>0</v>
      </c>
      <c r="DG1451" s="5" t="s">
        <v>238</v>
      </c>
      <c r="DH1451" s="5" t="s">
        <v>238</v>
      </c>
      <c r="DI1451" s="5" t="s">
        <v>238</v>
      </c>
      <c r="DJ1451" s="5" t="s">
        <v>238</v>
      </c>
      <c r="DK1451" s="5" t="s">
        <v>274</v>
      </c>
      <c r="DL1451" s="5" t="s">
        <v>272</v>
      </c>
      <c r="DM1451" s="7">
        <f>388.8</f>
        <v>388.8</v>
      </c>
      <c r="DN1451" s="5" t="s">
        <v>238</v>
      </c>
      <c r="DO1451" s="5" t="s">
        <v>238</v>
      </c>
      <c r="DP1451" s="5" t="s">
        <v>238</v>
      </c>
      <c r="DQ1451" s="5" t="s">
        <v>238</v>
      </c>
      <c r="DT1451" s="5" t="s">
        <v>1297</v>
      </c>
      <c r="DU1451" s="5" t="s">
        <v>712</v>
      </c>
      <c r="GL1451" s="5" t="s">
        <v>1298</v>
      </c>
      <c r="HM1451" s="5" t="s">
        <v>310</v>
      </c>
      <c r="HP1451" s="5" t="s">
        <v>272</v>
      </c>
      <c r="HQ1451" s="5" t="s">
        <v>272</v>
      </c>
      <c r="HR1451" s="5" t="s">
        <v>238</v>
      </c>
      <c r="HS1451" s="5" t="s">
        <v>238</v>
      </c>
      <c r="HT1451" s="5" t="s">
        <v>238</v>
      </c>
      <c r="HU1451" s="5" t="s">
        <v>238</v>
      </c>
      <c r="HV1451" s="5" t="s">
        <v>238</v>
      </c>
      <c r="HW1451" s="5" t="s">
        <v>238</v>
      </c>
      <c r="HX1451" s="5" t="s">
        <v>238</v>
      </c>
      <c r="HY1451" s="5" t="s">
        <v>238</v>
      </c>
      <c r="HZ1451" s="5" t="s">
        <v>238</v>
      </c>
      <c r="IA1451" s="5" t="s">
        <v>238</v>
      </c>
      <c r="IB1451" s="5" t="s">
        <v>238</v>
      </c>
      <c r="IC1451" s="5" t="s">
        <v>238</v>
      </c>
      <c r="ID1451" s="5" t="s">
        <v>238</v>
      </c>
    </row>
    <row r="1452" spans="1:238" x14ac:dyDescent="0.4">
      <c r="A1452" s="5">
        <v>1823</v>
      </c>
      <c r="B1452" s="5">
        <v>1</v>
      </c>
      <c r="C1452" s="5">
        <v>4</v>
      </c>
      <c r="D1452" s="5" t="s">
        <v>1292</v>
      </c>
      <c r="E1452" s="5" t="s">
        <v>686</v>
      </c>
      <c r="F1452" s="5" t="s">
        <v>252</v>
      </c>
      <c r="G1452" s="5" t="s">
        <v>1303</v>
      </c>
      <c r="H1452" s="6" t="s">
        <v>1294</v>
      </c>
      <c r="I1452" s="5" t="s">
        <v>1302</v>
      </c>
      <c r="J1452" s="7">
        <f>7.76</f>
        <v>7.76</v>
      </c>
      <c r="K1452" s="5" t="s">
        <v>270</v>
      </c>
      <c r="L1452" s="8">
        <f>159302</f>
        <v>159302</v>
      </c>
      <c r="M1452" s="8">
        <f>233576</f>
        <v>233576</v>
      </c>
      <c r="N1452" s="6" t="s">
        <v>1299</v>
      </c>
      <c r="O1452" s="5" t="s">
        <v>658</v>
      </c>
      <c r="P1452" s="5" t="s">
        <v>310</v>
      </c>
      <c r="Q1452" s="8">
        <f>12379</f>
        <v>12379</v>
      </c>
      <c r="R1452" s="8">
        <f>74274</f>
        <v>74274</v>
      </c>
      <c r="S1452" s="5" t="s">
        <v>240</v>
      </c>
      <c r="T1452" s="5" t="s">
        <v>237</v>
      </c>
      <c r="U1452" s="5" t="s">
        <v>238</v>
      </c>
      <c r="V1452" s="5" t="s">
        <v>238</v>
      </c>
      <c r="W1452" s="5" t="s">
        <v>241</v>
      </c>
      <c r="X1452" s="5" t="s">
        <v>243</v>
      </c>
      <c r="Y1452" s="5" t="s">
        <v>238</v>
      </c>
      <c r="AB1452" s="5" t="s">
        <v>238</v>
      </c>
      <c r="AC1452" s="6" t="s">
        <v>238</v>
      </c>
      <c r="AD1452" s="6" t="s">
        <v>238</v>
      </c>
      <c r="AF1452" s="6" t="s">
        <v>238</v>
      </c>
      <c r="AG1452" s="6" t="s">
        <v>246</v>
      </c>
      <c r="AH1452" s="5" t="s">
        <v>247</v>
      </c>
      <c r="AI1452" s="5" t="s">
        <v>248</v>
      </c>
      <c r="AO1452" s="5" t="s">
        <v>238</v>
      </c>
      <c r="AP1452" s="5" t="s">
        <v>238</v>
      </c>
      <c r="AQ1452" s="5" t="s">
        <v>238</v>
      </c>
      <c r="AR1452" s="6" t="s">
        <v>238</v>
      </c>
      <c r="AS1452" s="6" t="s">
        <v>238</v>
      </c>
      <c r="AT1452" s="6" t="s">
        <v>238</v>
      </c>
      <c r="AW1452" s="5" t="s">
        <v>304</v>
      </c>
      <c r="AX1452" s="5" t="s">
        <v>304</v>
      </c>
      <c r="AY1452" s="5" t="s">
        <v>250</v>
      </c>
      <c r="AZ1452" s="5" t="s">
        <v>305</v>
      </c>
      <c r="BA1452" s="5" t="s">
        <v>251</v>
      </c>
      <c r="BB1452" s="5" t="s">
        <v>238</v>
      </c>
      <c r="BC1452" s="5" t="s">
        <v>253</v>
      </c>
      <c r="BD1452" s="5" t="s">
        <v>238</v>
      </c>
      <c r="BF1452" s="5" t="s">
        <v>238</v>
      </c>
      <c r="BH1452" s="5" t="s">
        <v>283</v>
      </c>
      <c r="BI1452" s="6" t="s">
        <v>293</v>
      </c>
      <c r="BJ1452" s="5" t="s">
        <v>294</v>
      </c>
      <c r="BK1452" s="5" t="s">
        <v>294</v>
      </c>
      <c r="BL1452" s="5" t="s">
        <v>238</v>
      </c>
      <c r="BM1452" s="7">
        <f>0</f>
        <v>0</v>
      </c>
      <c r="BN1452" s="8">
        <f>-12379</f>
        <v>-12379</v>
      </c>
      <c r="BO1452" s="5" t="s">
        <v>257</v>
      </c>
      <c r="BP1452" s="5" t="s">
        <v>258</v>
      </c>
      <c r="BQ1452" s="5" t="s">
        <v>238</v>
      </c>
      <c r="BR1452" s="5" t="s">
        <v>238</v>
      </c>
      <c r="BS1452" s="5" t="s">
        <v>238</v>
      </c>
      <c r="BT1452" s="5" t="s">
        <v>238</v>
      </c>
      <c r="CC1452" s="5" t="s">
        <v>258</v>
      </c>
      <c r="CD1452" s="5" t="s">
        <v>238</v>
      </c>
      <c r="CE1452" s="5" t="s">
        <v>238</v>
      </c>
      <c r="CI1452" s="5" t="s">
        <v>527</v>
      </c>
      <c r="CJ1452" s="5" t="s">
        <v>260</v>
      </c>
      <c r="CK1452" s="5" t="s">
        <v>238</v>
      </c>
      <c r="CM1452" s="5" t="s">
        <v>1202</v>
      </c>
      <c r="CN1452" s="6" t="s">
        <v>262</v>
      </c>
      <c r="CO1452" s="5" t="s">
        <v>263</v>
      </c>
      <c r="CP1452" s="5" t="s">
        <v>264</v>
      </c>
      <c r="CQ1452" s="5" t="s">
        <v>285</v>
      </c>
      <c r="CR1452" s="5" t="s">
        <v>238</v>
      </c>
      <c r="CS1452" s="5">
        <v>5.2999999999999999E-2</v>
      </c>
      <c r="CT1452" s="5" t="s">
        <v>265</v>
      </c>
      <c r="CU1452" s="5" t="s">
        <v>1295</v>
      </c>
      <c r="CV1452" s="5" t="s">
        <v>1304</v>
      </c>
      <c r="CW1452" s="7">
        <f>0</f>
        <v>0</v>
      </c>
      <c r="CX1452" s="8">
        <f>233576</f>
        <v>233576</v>
      </c>
      <c r="CY1452" s="8">
        <f>171681</f>
        <v>171681</v>
      </c>
      <c r="DA1452" s="5" t="s">
        <v>238</v>
      </c>
      <c r="DB1452" s="5" t="s">
        <v>238</v>
      </c>
      <c r="DD1452" s="5" t="s">
        <v>238</v>
      </c>
      <c r="DE1452" s="8">
        <f>0</f>
        <v>0</v>
      </c>
      <c r="DG1452" s="5" t="s">
        <v>238</v>
      </c>
      <c r="DH1452" s="5" t="s">
        <v>238</v>
      </c>
      <c r="DI1452" s="5" t="s">
        <v>238</v>
      </c>
      <c r="DJ1452" s="5" t="s">
        <v>238</v>
      </c>
      <c r="DK1452" s="5" t="s">
        <v>271</v>
      </c>
      <c r="DL1452" s="5" t="s">
        <v>272</v>
      </c>
      <c r="DM1452" s="7">
        <f>7.76</f>
        <v>7.76</v>
      </c>
      <c r="DN1452" s="5" t="s">
        <v>238</v>
      </c>
      <c r="DO1452" s="5" t="s">
        <v>238</v>
      </c>
      <c r="DP1452" s="5" t="s">
        <v>238</v>
      </c>
      <c r="DQ1452" s="5" t="s">
        <v>238</v>
      </c>
      <c r="DT1452" s="5" t="s">
        <v>1297</v>
      </c>
      <c r="DU1452" s="5" t="s">
        <v>818</v>
      </c>
      <c r="GL1452" s="5" t="s">
        <v>1305</v>
      </c>
      <c r="HM1452" s="5" t="s">
        <v>310</v>
      </c>
      <c r="HP1452" s="5" t="s">
        <v>272</v>
      </c>
      <c r="HQ1452" s="5" t="s">
        <v>272</v>
      </c>
      <c r="HR1452" s="5" t="s">
        <v>238</v>
      </c>
      <c r="HS1452" s="5" t="s">
        <v>238</v>
      </c>
      <c r="HT1452" s="5" t="s">
        <v>238</v>
      </c>
      <c r="HU1452" s="5" t="s">
        <v>238</v>
      </c>
      <c r="HV1452" s="5" t="s">
        <v>238</v>
      </c>
      <c r="HW1452" s="5" t="s">
        <v>238</v>
      </c>
      <c r="HX1452" s="5" t="s">
        <v>238</v>
      </c>
      <c r="HY1452" s="5" t="s">
        <v>238</v>
      </c>
      <c r="HZ1452" s="5" t="s">
        <v>238</v>
      </c>
      <c r="IA1452" s="5" t="s">
        <v>238</v>
      </c>
      <c r="IB1452" s="5" t="s">
        <v>238</v>
      </c>
      <c r="IC1452" s="5" t="s">
        <v>238</v>
      </c>
      <c r="ID1452" s="5" t="s">
        <v>238</v>
      </c>
    </row>
    <row r="1453" spans="1:238" x14ac:dyDescent="0.4">
      <c r="A1453" s="5">
        <v>1824</v>
      </c>
      <c r="B1453" s="5">
        <v>1</v>
      </c>
      <c r="C1453" s="5">
        <v>4</v>
      </c>
      <c r="D1453" s="5" t="s">
        <v>1292</v>
      </c>
      <c r="E1453" s="5" t="s">
        <v>686</v>
      </c>
      <c r="F1453" s="5" t="s">
        <v>252</v>
      </c>
      <c r="G1453" s="5" t="s">
        <v>1318</v>
      </c>
      <c r="H1453" s="6" t="s">
        <v>1294</v>
      </c>
      <c r="I1453" s="5" t="s">
        <v>239</v>
      </c>
      <c r="J1453" s="7">
        <f>12.53</f>
        <v>12.53</v>
      </c>
      <c r="K1453" s="5" t="s">
        <v>270</v>
      </c>
      <c r="L1453" s="8">
        <f>297197</f>
        <v>297197</v>
      </c>
      <c r="M1453" s="8">
        <f>377153</f>
        <v>377153</v>
      </c>
      <c r="N1453" s="6" t="s">
        <v>376</v>
      </c>
      <c r="O1453" s="5" t="s">
        <v>658</v>
      </c>
      <c r="P1453" s="5" t="s">
        <v>274</v>
      </c>
      <c r="Q1453" s="8">
        <f>19989</f>
        <v>19989</v>
      </c>
      <c r="R1453" s="8">
        <f>79956</f>
        <v>79956</v>
      </c>
      <c r="S1453" s="5" t="s">
        <v>240</v>
      </c>
      <c r="T1453" s="5" t="s">
        <v>237</v>
      </c>
      <c r="U1453" s="5" t="s">
        <v>238</v>
      </c>
      <c r="V1453" s="5" t="s">
        <v>238</v>
      </c>
      <c r="W1453" s="5" t="s">
        <v>241</v>
      </c>
      <c r="X1453" s="5" t="s">
        <v>243</v>
      </c>
      <c r="Y1453" s="5" t="s">
        <v>238</v>
      </c>
      <c r="AB1453" s="5" t="s">
        <v>238</v>
      </c>
      <c r="AC1453" s="6" t="s">
        <v>238</v>
      </c>
      <c r="AD1453" s="6" t="s">
        <v>238</v>
      </c>
      <c r="AF1453" s="6" t="s">
        <v>238</v>
      </c>
      <c r="AG1453" s="6" t="s">
        <v>246</v>
      </c>
      <c r="AH1453" s="5" t="s">
        <v>247</v>
      </c>
      <c r="AI1453" s="5" t="s">
        <v>248</v>
      </c>
      <c r="AO1453" s="5" t="s">
        <v>238</v>
      </c>
      <c r="AP1453" s="5" t="s">
        <v>238</v>
      </c>
      <c r="AQ1453" s="5" t="s">
        <v>238</v>
      </c>
      <c r="AR1453" s="6" t="s">
        <v>238</v>
      </c>
      <c r="AS1453" s="6" t="s">
        <v>238</v>
      </c>
      <c r="AT1453" s="6" t="s">
        <v>238</v>
      </c>
      <c r="AW1453" s="5" t="s">
        <v>304</v>
      </c>
      <c r="AX1453" s="5" t="s">
        <v>304</v>
      </c>
      <c r="AY1453" s="5" t="s">
        <v>250</v>
      </c>
      <c r="AZ1453" s="5" t="s">
        <v>305</v>
      </c>
      <c r="BA1453" s="5" t="s">
        <v>251</v>
      </c>
      <c r="BB1453" s="5" t="s">
        <v>238</v>
      </c>
      <c r="BC1453" s="5" t="s">
        <v>253</v>
      </c>
      <c r="BD1453" s="5" t="s">
        <v>238</v>
      </c>
      <c r="BF1453" s="5" t="s">
        <v>238</v>
      </c>
      <c r="BH1453" s="5" t="s">
        <v>283</v>
      </c>
      <c r="BI1453" s="6" t="s">
        <v>293</v>
      </c>
      <c r="BJ1453" s="5" t="s">
        <v>294</v>
      </c>
      <c r="BK1453" s="5" t="s">
        <v>294</v>
      </c>
      <c r="BL1453" s="5" t="s">
        <v>238</v>
      </c>
      <c r="BM1453" s="7">
        <f>0</f>
        <v>0</v>
      </c>
      <c r="BN1453" s="8">
        <f>-19989</f>
        <v>-19989</v>
      </c>
      <c r="BO1453" s="5" t="s">
        <v>257</v>
      </c>
      <c r="BP1453" s="5" t="s">
        <v>258</v>
      </c>
      <c r="BQ1453" s="5" t="s">
        <v>238</v>
      </c>
      <c r="BR1453" s="5" t="s">
        <v>238</v>
      </c>
      <c r="BS1453" s="5" t="s">
        <v>238</v>
      </c>
      <c r="BT1453" s="5" t="s">
        <v>238</v>
      </c>
      <c r="CC1453" s="5" t="s">
        <v>258</v>
      </c>
      <c r="CD1453" s="5" t="s">
        <v>238</v>
      </c>
      <c r="CE1453" s="5" t="s">
        <v>238</v>
      </c>
      <c r="CI1453" s="5" t="s">
        <v>527</v>
      </c>
      <c r="CJ1453" s="5" t="s">
        <v>260</v>
      </c>
      <c r="CK1453" s="5" t="s">
        <v>238</v>
      </c>
      <c r="CM1453" s="5" t="s">
        <v>402</v>
      </c>
      <c r="CN1453" s="6" t="s">
        <v>262</v>
      </c>
      <c r="CO1453" s="5" t="s">
        <v>263</v>
      </c>
      <c r="CP1453" s="5" t="s">
        <v>264</v>
      </c>
      <c r="CQ1453" s="5" t="s">
        <v>285</v>
      </c>
      <c r="CR1453" s="5" t="s">
        <v>238</v>
      </c>
      <c r="CS1453" s="5">
        <v>5.2999999999999999E-2</v>
      </c>
      <c r="CT1453" s="5" t="s">
        <v>265</v>
      </c>
      <c r="CU1453" s="5" t="s">
        <v>1295</v>
      </c>
      <c r="CV1453" s="5" t="s">
        <v>1304</v>
      </c>
      <c r="CW1453" s="7">
        <f>0</f>
        <v>0</v>
      </c>
      <c r="CX1453" s="8">
        <f>377153</f>
        <v>377153</v>
      </c>
      <c r="CY1453" s="8">
        <f>317186</f>
        <v>317186</v>
      </c>
      <c r="DA1453" s="5" t="s">
        <v>238</v>
      </c>
      <c r="DB1453" s="5" t="s">
        <v>238</v>
      </c>
      <c r="DD1453" s="5" t="s">
        <v>238</v>
      </c>
      <c r="DE1453" s="8">
        <f>0</f>
        <v>0</v>
      </c>
      <c r="DG1453" s="5" t="s">
        <v>238</v>
      </c>
      <c r="DH1453" s="5" t="s">
        <v>238</v>
      </c>
      <c r="DI1453" s="5" t="s">
        <v>238</v>
      </c>
      <c r="DJ1453" s="5" t="s">
        <v>238</v>
      </c>
      <c r="DK1453" s="5" t="s">
        <v>271</v>
      </c>
      <c r="DL1453" s="5" t="s">
        <v>272</v>
      </c>
      <c r="DM1453" s="7">
        <f>12.53</f>
        <v>12.53</v>
      </c>
      <c r="DN1453" s="5" t="s">
        <v>238</v>
      </c>
      <c r="DO1453" s="5" t="s">
        <v>238</v>
      </c>
      <c r="DP1453" s="5" t="s">
        <v>238</v>
      </c>
      <c r="DQ1453" s="5" t="s">
        <v>238</v>
      </c>
      <c r="DT1453" s="5" t="s">
        <v>1297</v>
      </c>
      <c r="DU1453" s="5" t="s">
        <v>286</v>
      </c>
      <c r="GL1453" s="5" t="s">
        <v>1319</v>
      </c>
      <c r="HM1453" s="5" t="s">
        <v>310</v>
      </c>
      <c r="HP1453" s="5" t="s">
        <v>272</v>
      </c>
      <c r="HQ1453" s="5" t="s">
        <v>272</v>
      </c>
      <c r="HR1453" s="5" t="s">
        <v>238</v>
      </c>
      <c r="HS1453" s="5" t="s">
        <v>238</v>
      </c>
      <c r="HT1453" s="5" t="s">
        <v>238</v>
      </c>
      <c r="HU1453" s="5" t="s">
        <v>238</v>
      </c>
      <c r="HV1453" s="5" t="s">
        <v>238</v>
      </c>
      <c r="HW1453" s="5" t="s">
        <v>238</v>
      </c>
      <c r="HX1453" s="5" t="s">
        <v>238</v>
      </c>
      <c r="HY1453" s="5" t="s">
        <v>238</v>
      </c>
      <c r="HZ1453" s="5" t="s">
        <v>238</v>
      </c>
      <c r="IA1453" s="5" t="s">
        <v>238</v>
      </c>
      <c r="IB1453" s="5" t="s">
        <v>238</v>
      </c>
      <c r="IC1453" s="5" t="s">
        <v>238</v>
      </c>
      <c r="ID1453" s="5" t="s">
        <v>238</v>
      </c>
    </row>
    <row r="1454" spans="1:238" x14ac:dyDescent="0.4">
      <c r="A1454" s="5">
        <v>1825</v>
      </c>
      <c r="B1454" s="5">
        <v>1</v>
      </c>
      <c r="C1454" s="5">
        <v>4</v>
      </c>
      <c r="D1454" s="5" t="s">
        <v>1292</v>
      </c>
      <c r="E1454" s="5" t="s">
        <v>686</v>
      </c>
      <c r="F1454" s="5" t="s">
        <v>252</v>
      </c>
      <c r="G1454" s="5" t="s">
        <v>1321</v>
      </c>
      <c r="H1454" s="6" t="s">
        <v>1294</v>
      </c>
      <c r="I1454" s="5" t="s">
        <v>1320</v>
      </c>
      <c r="J1454" s="7">
        <f>142.44</f>
        <v>142.44</v>
      </c>
      <c r="K1454" s="5" t="s">
        <v>270</v>
      </c>
      <c r="L1454" s="8">
        <f>2384483</f>
        <v>2384483</v>
      </c>
      <c r="M1454" s="8">
        <f>3187811</f>
        <v>3187811</v>
      </c>
      <c r="N1454" s="6" t="s">
        <v>376</v>
      </c>
      <c r="O1454" s="5" t="s">
        <v>269</v>
      </c>
      <c r="P1454" s="5" t="s">
        <v>274</v>
      </c>
      <c r="Q1454" s="8">
        <f>200832</f>
        <v>200832</v>
      </c>
      <c r="R1454" s="8">
        <f>803328</f>
        <v>803328</v>
      </c>
      <c r="S1454" s="5" t="s">
        <v>240</v>
      </c>
      <c r="T1454" s="5" t="s">
        <v>287</v>
      </c>
      <c r="U1454" s="5" t="s">
        <v>238</v>
      </c>
      <c r="V1454" s="5" t="s">
        <v>238</v>
      </c>
      <c r="W1454" s="5" t="s">
        <v>241</v>
      </c>
      <c r="X1454" s="5" t="s">
        <v>243</v>
      </c>
      <c r="Y1454" s="5" t="s">
        <v>238</v>
      </c>
      <c r="AB1454" s="5" t="s">
        <v>238</v>
      </c>
      <c r="AC1454" s="6" t="s">
        <v>238</v>
      </c>
      <c r="AD1454" s="6" t="s">
        <v>238</v>
      </c>
      <c r="AF1454" s="6" t="s">
        <v>238</v>
      </c>
      <c r="AG1454" s="6" t="s">
        <v>246</v>
      </c>
      <c r="AH1454" s="5" t="s">
        <v>247</v>
      </c>
      <c r="AI1454" s="5" t="s">
        <v>248</v>
      </c>
      <c r="AO1454" s="5" t="s">
        <v>238</v>
      </c>
      <c r="AP1454" s="5" t="s">
        <v>238</v>
      </c>
      <c r="AQ1454" s="5" t="s">
        <v>238</v>
      </c>
      <c r="AR1454" s="6" t="s">
        <v>238</v>
      </c>
      <c r="AS1454" s="6" t="s">
        <v>238</v>
      </c>
      <c r="AT1454" s="6" t="s">
        <v>238</v>
      </c>
      <c r="AW1454" s="5" t="s">
        <v>304</v>
      </c>
      <c r="AX1454" s="5" t="s">
        <v>304</v>
      </c>
      <c r="AY1454" s="5" t="s">
        <v>250</v>
      </c>
      <c r="AZ1454" s="5" t="s">
        <v>305</v>
      </c>
      <c r="BA1454" s="5" t="s">
        <v>251</v>
      </c>
      <c r="BB1454" s="5" t="s">
        <v>238</v>
      </c>
      <c r="BC1454" s="5" t="s">
        <v>253</v>
      </c>
      <c r="BD1454" s="5" t="s">
        <v>238</v>
      </c>
      <c r="BF1454" s="5" t="s">
        <v>238</v>
      </c>
      <c r="BH1454" s="5" t="s">
        <v>283</v>
      </c>
      <c r="BI1454" s="6" t="s">
        <v>293</v>
      </c>
      <c r="BJ1454" s="5" t="s">
        <v>294</v>
      </c>
      <c r="BK1454" s="5" t="s">
        <v>294</v>
      </c>
      <c r="BL1454" s="5" t="s">
        <v>238</v>
      </c>
      <c r="BM1454" s="7">
        <f>0</f>
        <v>0</v>
      </c>
      <c r="BN1454" s="8">
        <f>-200832</f>
        <v>-200832</v>
      </c>
      <c r="BO1454" s="5" t="s">
        <v>257</v>
      </c>
      <c r="BP1454" s="5" t="s">
        <v>258</v>
      </c>
      <c r="BQ1454" s="5" t="s">
        <v>238</v>
      </c>
      <c r="BR1454" s="5" t="s">
        <v>238</v>
      </c>
      <c r="BS1454" s="5" t="s">
        <v>238</v>
      </c>
      <c r="BT1454" s="5" t="s">
        <v>238</v>
      </c>
      <c r="CC1454" s="5" t="s">
        <v>258</v>
      </c>
      <c r="CD1454" s="5" t="s">
        <v>238</v>
      </c>
      <c r="CE1454" s="5" t="s">
        <v>238</v>
      </c>
      <c r="CI1454" s="5" t="s">
        <v>527</v>
      </c>
      <c r="CJ1454" s="5" t="s">
        <v>260</v>
      </c>
      <c r="CK1454" s="5" t="s">
        <v>238</v>
      </c>
      <c r="CM1454" s="5" t="s">
        <v>402</v>
      </c>
      <c r="CN1454" s="6" t="s">
        <v>262</v>
      </c>
      <c r="CO1454" s="5" t="s">
        <v>263</v>
      </c>
      <c r="CP1454" s="5" t="s">
        <v>264</v>
      </c>
      <c r="CQ1454" s="5" t="s">
        <v>285</v>
      </c>
      <c r="CR1454" s="5" t="s">
        <v>238</v>
      </c>
      <c r="CS1454" s="5">
        <v>6.3E-2</v>
      </c>
      <c r="CT1454" s="5" t="s">
        <v>265</v>
      </c>
      <c r="CU1454" s="5" t="s">
        <v>1295</v>
      </c>
      <c r="CV1454" s="5" t="s">
        <v>1316</v>
      </c>
      <c r="CW1454" s="7">
        <f>0</f>
        <v>0</v>
      </c>
      <c r="CX1454" s="8">
        <f>3187811</f>
        <v>3187811</v>
      </c>
      <c r="CY1454" s="8">
        <f>2585315</f>
        <v>2585315</v>
      </c>
      <c r="DA1454" s="5" t="s">
        <v>238</v>
      </c>
      <c r="DB1454" s="5" t="s">
        <v>238</v>
      </c>
      <c r="DD1454" s="5" t="s">
        <v>238</v>
      </c>
      <c r="DE1454" s="8">
        <f>0</f>
        <v>0</v>
      </c>
      <c r="DG1454" s="5" t="s">
        <v>238</v>
      </c>
      <c r="DH1454" s="5" t="s">
        <v>238</v>
      </c>
      <c r="DI1454" s="5" t="s">
        <v>238</v>
      </c>
      <c r="DJ1454" s="5" t="s">
        <v>238</v>
      </c>
      <c r="DK1454" s="5" t="s">
        <v>271</v>
      </c>
      <c r="DL1454" s="5" t="s">
        <v>272</v>
      </c>
      <c r="DM1454" s="7">
        <f>142.44</f>
        <v>142.44</v>
      </c>
      <c r="DN1454" s="5" t="s">
        <v>238</v>
      </c>
      <c r="DO1454" s="5" t="s">
        <v>238</v>
      </c>
      <c r="DP1454" s="5" t="s">
        <v>238</v>
      </c>
      <c r="DQ1454" s="5" t="s">
        <v>238</v>
      </c>
      <c r="DT1454" s="5" t="s">
        <v>1297</v>
      </c>
      <c r="DU1454" s="5" t="s">
        <v>1040</v>
      </c>
      <c r="GL1454" s="5" t="s">
        <v>1322</v>
      </c>
      <c r="HM1454" s="5" t="s">
        <v>310</v>
      </c>
      <c r="HP1454" s="5" t="s">
        <v>272</v>
      </c>
      <c r="HQ1454" s="5" t="s">
        <v>272</v>
      </c>
      <c r="HR1454" s="5" t="s">
        <v>238</v>
      </c>
      <c r="HS1454" s="5" t="s">
        <v>238</v>
      </c>
      <c r="HT1454" s="5" t="s">
        <v>238</v>
      </c>
      <c r="HU1454" s="5" t="s">
        <v>238</v>
      </c>
      <c r="HV1454" s="5" t="s">
        <v>238</v>
      </c>
      <c r="HW1454" s="5" t="s">
        <v>238</v>
      </c>
      <c r="HX1454" s="5" t="s">
        <v>238</v>
      </c>
      <c r="HY1454" s="5" t="s">
        <v>238</v>
      </c>
      <c r="HZ1454" s="5" t="s">
        <v>238</v>
      </c>
      <c r="IA1454" s="5" t="s">
        <v>238</v>
      </c>
      <c r="IB1454" s="5" t="s">
        <v>238</v>
      </c>
      <c r="IC1454" s="5" t="s">
        <v>238</v>
      </c>
      <c r="ID1454" s="5" t="s">
        <v>238</v>
      </c>
    </row>
    <row r="1455" spans="1:238" x14ac:dyDescent="0.4">
      <c r="A1455" s="5">
        <v>1826</v>
      </c>
      <c r="B1455" s="5">
        <v>1</v>
      </c>
      <c r="C1455" s="5">
        <v>4</v>
      </c>
      <c r="D1455" s="5" t="s">
        <v>1292</v>
      </c>
      <c r="E1455" s="5" t="s">
        <v>686</v>
      </c>
      <c r="F1455" s="5" t="s">
        <v>252</v>
      </c>
      <c r="G1455" s="5" t="s">
        <v>1310</v>
      </c>
      <c r="H1455" s="6" t="s">
        <v>1294</v>
      </c>
      <c r="I1455" s="5" t="s">
        <v>1309</v>
      </c>
      <c r="J1455" s="7">
        <f>17.05</f>
        <v>17.05</v>
      </c>
      <c r="K1455" s="5" t="s">
        <v>270</v>
      </c>
      <c r="L1455" s="8">
        <f>462180</f>
        <v>462180</v>
      </c>
      <c r="M1455" s="8">
        <f>586520</f>
        <v>586520</v>
      </c>
      <c r="N1455" s="6" t="s">
        <v>376</v>
      </c>
      <c r="O1455" s="5" t="s">
        <v>658</v>
      </c>
      <c r="P1455" s="5" t="s">
        <v>274</v>
      </c>
      <c r="Q1455" s="8">
        <f>31085</f>
        <v>31085</v>
      </c>
      <c r="R1455" s="8">
        <f>124340</f>
        <v>124340</v>
      </c>
      <c r="S1455" s="5" t="s">
        <v>240</v>
      </c>
      <c r="T1455" s="5" t="s">
        <v>237</v>
      </c>
      <c r="U1455" s="5" t="s">
        <v>238</v>
      </c>
      <c r="V1455" s="5" t="s">
        <v>238</v>
      </c>
      <c r="W1455" s="5" t="s">
        <v>241</v>
      </c>
      <c r="X1455" s="5" t="s">
        <v>243</v>
      </c>
      <c r="Y1455" s="5" t="s">
        <v>238</v>
      </c>
      <c r="AB1455" s="5" t="s">
        <v>238</v>
      </c>
      <c r="AC1455" s="6" t="s">
        <v>238</v>
      </c>
      <c r="AD1455" s="6" t="s">
        <v>238</v>
      </c>
      <c r="AF1455" s="6" t="s">
        <v>238</v>
      </c>
      <c r="AG1455" s="6" t="s">
        <v>246</v>
      </c>
      <c r="AH1455" s="5" t="s">
        <v>247</v>
      </c>
      <c r="AI1455" s="5" t="s">
        <v>248</v>
      </c>
      <c r="AO1455" s="5" t="s">
        <v>238</v>
      </c>
      <c r="AP1455" s="5" t="s">
        <v>238</v>
      </c>
      <c r="AQ1455" s="5" t="s">
        <v>238</v>
      </c>
      <c r="AR1455" s="6" t="s">
        <v>238</v>
      </c>
      <c r="AS1455" s="6" t="s">
        <v>238</v>
      </c>
      <c r="AT1455" s="6" t="s">
        <v>238</v>
      </c>
      <c r="AW1455" s="5" t="s">
        <v>304</v>
      </c>
      <c r="AX1455" s="5" t="s">
        <v>304</v>
      </c>
      <c r="AY1455" s="5" t="s">
        <v>250</v>
      </c>
      <c r="AZ1455" s="5" t="s">
        <v>305</v>
      </c>
      <c r="BA1455" s="5" t="s">
        <v>251</v>
      </c>
      <c r="BB1455" s="5" t="s">
        <v>238</v>
      </c>
      <c r="BC1455" s="5" t="s">
        <v>253</v>
      </c>
      <c r="BD1455" s="5" t="s">
        <v>238</v>
      </c>
      <c r="BF1455" s="5" t="s">
        <v>238</v>
      </c>
      <c r="BH1455" s="5" t="s">
        <v>283</v>
      </c>
      <c r="BI1455" s="6" t="s">
        <v>293</v>
      </c>
      <c r="BJ1455" s="5" t="s">
        <v>294</v>
      </c>
      <c r="BK1455" s="5" t="s">
        <v>294</v>
      </c>
      <c r="BL1455" s="5" t="s">
        <v>238</v>
      </c>
      <c r="BM1455" s="7">
        <f>0</f>
        <v>0</v>
      </c>
      <c r="BN1455" s="8">
        <f>-31085</f>
        <v>-31085</v>
      </c>
      <c r="BO1455" s="5" t="s">
        <v>257</v>
      </c>
      <c r="BP1455" s="5" t="s">
        <v>258</v>
      </c>
      <c r="BQ1455" s="5" t="s">
        <v>238</v>
      </c>
      <c r="BR1455" s="5" t="s">
        <v>238</v>
      </c>
      <c r="BS1455" s="5" t="s">
        <v>238</v>
      </c>
      <c r="BT1455" s="5" t="s">
        <v>238</v>
      </c>
      <c r="CC1455" s="5" t="s">
        <v>258</v>
      </c>
      <c r="CD1455" s="5" t="s">
        <v>238</v>
      </c>
      <c r="CE1455" s="5" t="s">
        <v>238</v>
      </c>
      <c r="CI1455" s="5" t="s">
        <v>527</v>
      </c>
      <c r="CJ1455" s="5" t="s">
        <v>260</v>
      </c>
      <c r="CK1455" s="5" t="s">
        <v>238</v>
      </c>
      <c r="CM1455" s="5" t="s">
        <v>402</v>
      </c>
      <c r="CN1455" s="6" t="s">
        <v>262</v>
      </c>
      <c r="CO1455" s="5" t="s">
        <v>263</v>
      </c>
      <c r="CP1455" s="5" t="s">
        <v>264</v>
      </c>
      <c r="CQ1455" s="5" t="s">
        <v>285</v>
      </c>
      <c r="CR1455" s="5" t="s">
        <v>238</v>
      </c>
      <c r="CS1455" s="5">
        <v>5.2999999999999999E-2</v>
      </c>
      <c r="CT1455" s="5" t="s">
        <v>265</v>
      </c>
      <c r="CU1455" s="5" t="s">
        <v>1295</v>
      </c>
      <c r="CV1455" s="5" t="s">
        <v>1304</v>
      </c>
      <c r="CW1455" s="7">
        <f>0</f>
        <v>0</v>
      </c>
      <c r="CX1455" s="8">
        <f>586520</f>
        <v>586520</v>
      </c>
      <c r="CY1455" s="8">
        <f>493265</f>
        <v>493265</v>
      </c>
      <c r="DA1455" s="5" t="s">
        <v>238</v>
      </c>
      <c r="DB1455" s="5" t="s">
        <v>238</v>
      </c>
      <c r="DD1455" s="5" t="s">
        <v>238</v>
      </c>
      <c r="DE1455" s="8">
        <f>0</f>
        <v>0</v>
      </c>
      <c r="DG1455" s="5" t="s">
        <v>238</v>
      </c>
      <c r="DH1455" s="5" t="s">
        <v>238</v>
      </c>
      <c r="DI1455" s="5" t="s">
        <v>238</v>
      </c>
      <c r="DJ1455" s="5" t="s">
        <v>238</v>
      </c>
      <c r="DK1455" s="5" t="s">
        <v>271</v>
      </c>
      <c r="DL1455" s="5" t="s">
        <v>272</v>
      </c>
      <c r="DM1455" s="7">
        <f>17.05</f>
        <v>17.05</v>
      </c>
      <c r="DN1455" s="5" t="s">
        <v>238</v>
      </c>
      <c r="DO1455" s="5" t="s">
        <v>238</v>
      </c>
      <c r="DP1455" s="5" t="s">
        <v>238</v>
      </c>
      <c r="DQ1455" s="5" t="s">
        <v>238</v>
      </c>
      <c r="DT1455" s="5" t="s">
        <v>1297</v>
      </c>
      <c r="DU1455" s="5" t="s">
        <v>651</v>
      </c>
      <c r="GL1455" s="5" t="s">
        <v>1311</v>
      </c>
      <c r="HM1455" s="5" t="s">
        <v>310</v>
      </c>
      <c r="HP1455" s="5" t="s">
        <v>272</v>
      </c>
      <c r="HQ1455" s="5" t="s">
        <v>272</v>
      </c>
      <c r="HR1455" s="5" t="s">
        <v>238</v>
      </c>
      <c r="HS1455" s="5" t="s">
        <v>238</v>
      </c>
      <c r="HT1455" s="5" t="s">
        <v>238</v>
      </c>
      <c r="HU1455" s="5" t="s">
        <v>238</v>
      </c>
      <c r="HV1455" s="5" t="s">
        <v>238</v>
      </c>
      <c r="HW1455" s="5" t="s">
        <v>238</v>
      </c>
      <c r="HX1455" s="5" t="s">
        <v>238</v>
      </c>
      <c r="HY1455" s="5" t="s">
        <v>238</v>
      </c>
      <c r="HZ1455" s="5" t="s">
        <v>238</v>
      </c>
      <c r="IA1455" s="5" t="s">
        <v>238</v>
      </c>
      <c r="IB1455" s="5" t="s">
        <v>238</v>
      </c>
      <c r="IC1455" s="5" t="s">
        <v>238</v>
      </c>
      <c r="ID1455" s="5" t="s">
        <v>238</v>
      </c>
    </row>
    <row r="1456" spans="1:238" x14ac:dyDescent="0.4">
      <c r="A1456" s="5">
        <v>1827</v>
      </c>
      <c r="B1456" s="5">
        <v>1</v>
      </c>
      <c r="C1456" s="5">
        <v>1</v>
      </c>
      <c r="D1456" s="5" t="s">
        <v>1005</v>
      </c>
      <c r="E1456" s="5" t="s">
        <v>686</v>
      </c>
      <c r="F1456" s="5" t="s">
        <v>252</v>
      </c>
      <c r="G1456" s="5" t="s">
        <v>1007</v>
      </c>
      <c r="H1456" s="6" t="s">
        <v>1008</v>
      </c>
      <c r="I1456" s="5" t="s">
        <v>1004</v>
      </c>
      <c r="J1456" s="7">
        <f>104.33</f>
        <v>104.33</v>
      </c>
      <c r="K1456" s="5" t="s">
        <v>270</v>
      </c>
      <c r="L1456" s="8">
        <f>1</f>
        <v>1</v>
      </c>
      <c r="M1456" s="8">
        <f>6259800</f>
        <v>6259800</v>
      </c>
      <c r="N1456" s="6" t="s">
        <v>1006</v>
      </c>
      <c r="O1456" s="5" t="s">
        <v>651</v>
      </c>
      <c r="P1456" s="5" t="s">
        <v>971</v>
      </c>
      <c r="R1456" s="8">
        <f>6259799</f>
        <v>6259799</v>
      </c>
      <c r="S1456" s="5" t="s">
        <v>240</v>
      </c>
      <c r="T1456" s="5" t="s">
        <v>237</v>
      </c>
      <c r="U1456" s="5" t="s">
        <v>238</v>
      </c>
      <c r="V1456" s="5" t="s">
        <v>238</v>
      </c>
      <c r="W1456" s="5" t="s">
        <v>241</v>
      </c>
      <c r="X1456" s="5" t="s">
        <v>243</v>
      </c>
      <c r="Y1456" s="5" t="s">
        <v>238</v>
      </c>
      <c r="AB1456" s="5" t="s">
        <v>238</v>
      </c>
      <c r="AD1456" s="6" t="s">
        <v>238</v>
      </c>
      <c r="AG1456" s="6" t="s">
        <v>246</v>
      </c>
      <c r="AH1456" s="5" t="s">
        <v>247</v>
      </c>
      <c r="AI1456" s="5" t="s">
        <v>248</v>
      </c>
      <c r="AY1456" s="5" t="s">
        <v>250</v>
      </c>
      <c r="AZ1456" s="5" t="s">
        <v>238</v>
      </c>
      <c r="BA1456" s="5" t="s">
        <v>251</v>
      </c>
      <c r="BB1456" s="5" t="s">
        <v>238</v>
      </c>
      <c r="BC1456" s="5" t="s">
        <v>253</v>
      </c>
      <c r="BD1456" s="5" t="s">
        <v>238</v>
      </c>
      <c r="BF1456" s="5" t="s">
        <v>1009</v>
      </c>
      <c r="BH1456" s="5" t="s">
        <v>859</v>
      </c>
      <c r="BI1456" s="6" t="s">
        <v>368</v>
      </c>
      <c r="BJ1456" s="5" t="s">
        <v>255</v>
      </c>
      <c r="BK1456" s="5" t="s">
        <v>1010</v>
      </c>
      <c r="BL1456" s="5" t="s">
        <v>238</v>
      </c>
      <c r="BM1456" s="7">
        <f>0</f>
        <v>0</v>
      </c>
      <c r="BN1456" s="8">
        <f>0</f>
        <v>0</v>
      </c>
      <c r="BO1456" s="5" t="s">
        <v>257</v>
      </c>
      <c r="BP1456" s="5" t="s">
        <v>258</v>
      </c>
      <c r="CD1456" s="5" t="s">
        <v>238</v>
      </c>
      <c r="CE1456" s="5" t="s">
        <v>238</v>
      </c>
      <c r="CI1456" s="5" t="s">
        <v>527</v>
      </c>
      <c r="CJ1456" s="5" t="s">
        <v>260</v>
      </c>
      <c r="CK1456" s="5" t="s">
        <v>238</v>
      </c>
      <c r="CM1456" s="5" t="s">
        <v>865</v>
      </c>
      <c r="CN1456" s="6" t="s">
        <v>262</v>
      </c>
      <c r="CO1456" s="5" t="s">
        <v>263</v>
      </c>
      <c r="CP1456" s="5" t="s">
        <v>264</v>
      </c>
      <c r="CQ1456" s="5" t="s">
        <v>238</v>
      </c>
      <c r="CR1456" s="5" t="s">
        <v>238</v>
      </c>
      <c r="CS1456" s="5">
        <v>0</v>
      </c>
      <c r="CT1456" s="5" t="s">
        <v>265</v>
      </c>
      <c r="CU1456" s="5" t="s">
        <v>266</v>
      </c>
      <c r="CV1456" s="5" t="s">
        <v>331</v>
      </c>
      <c r="CX1456" s="8">
        <f>6259800</f>
        <v>6259800</v>
      </c>
      <c r="CY1456" s="8">
        <f>0</f>
        <v>0</v>
      </c>
      <c r="DA1456" s="5" t="s">
        <v>238</v>
      </c>
      <c r="DB1456" s="5" t="s">
        <v>238</v>
      </c>
      <c r="DD1456" s="5" t="s">
        <v>238</v>
      </c>
      <c r="DG1456" s="5" t="s">
        <v>238</v>
      </c>
      <c r="DH1456" s="5" t="s">
        <v>238</v>
      </c>
      <c r="DI1456" s="5" t="s">
        <v>238</v>
      </c>
      <c r="DJ1456" s="5" t="s">
        <v>238</v>
      </c>
      <c r="DK1456" s="5" t="s">
        <v>274</v>
      </c>
      <c r="DL1456" s="5" t="s">
        <v>272</v>
      </c>
      <c r="DM1456" s="7">
        <f>104.33</f>
        <v>104.33</v>
      </c>
      <c r="DN1456" s="5" t="s">
        <v>238</v>
      </c>
      <c r="DO1456" s="5" t="s">
        <v>238</v>
      </c>
      <c r="DP1456" s="5" t="s">
        <v>238</v>
      </c>
      <c r="DQ1456" s="5" t="s">
        <v>238</v>
      </c>
      <c r="DT1456" s="5" t="s">
        <v>1011</v>
      </c>
      <c r="DU1456" s="5" t="s">
        <v>271</v>
      </c>
      <c r="HM1456" s="5" t="s">
        <v>356</v>
      </c>
      <c r="HP1456" s="5" t="s">
        <v>272</v>
      </c>
      <c r="HQ1456" s="5" t="s">
        <v>272</v>
      </c>
    </row>
    <row r="1457" spans="1:238" x14ac:dyDescent="0.4">
      <c r="A1457" s="5">
        <v>1828</v>
      </c>
      <c r="B1457" s="5">
        <v>1</v>
      </c>
      <c r="C1457" s="5">
        <v>4</v>
      </c>
      <c r="D1457" s="5" t="s">
        <v>2149</v>
      </c>
      <c r="E1457" s="5" t="s">
        <v>686</v>
      </c>
      <c r="F1457" s="5" t="s">
        <v>252</v>
      </c>
      <c r="G1457" s="5" t="s">
        <v>2150</v>
      </c>
      <c r="H1457" s="6" t="s">
        <v>2151</v>
      </c>
      <c r="I1457" s="5" t="s">
        <v>2148</v>
      </c>
      <c r="J1457" s="7">
        <f>627.99</f>
        <v>627.99</v>
      </c>
      <c r="K1457" s="5" t="s">
        <v>270</v>
      </c>
      <c r="L1457" s="8">
        <f>16455940</f>
        <v>16455940</v>
      </c>
      <c r="M1457" s="8">
        <f>205699200</f>
        <v>205699200</v>
      </c>
      <c r="N1457" s="6" t="s">
        <v>1597</v>
      </c>
      <c r="O1457" s="5" t="s">
        <v>286</v>
      </c>
      <c r="P1457" s="5" t="s">
        <v>611</v>
      </c>
      <c r="Q1457" s="8">
        <f>9462163</f>
        <v>9462163</v>
      </c>
      <c r="R1457" s="8">
        <f>189243260</f>
        <v>189243260</v>
      </c>
      <c r="S1457" s="5" t="s">
        <v>240</v>
      </c>
      <c r="T1457" s="5" t="s">
        <v>237</v>
      </c>
      <c r="U1457" s="5" t="s">
        <v>238</v>
      </c>
      <c r="V1457" s="5" t="s">
        <v>238</v>
      </c>
      <c r="W1457" s="5" t="s">
        <v>241</v>
      </c>
      <c r="X1457" s="5" t="s">
        <v>453</v>
      </c>
      <c r="Y1457" s="5" t="s">
        <v>238</v>
      </c>
      <c r="AB1457" s="5" t="s">
        <v>238</v>
      </c>
      <c r="AC1457" s="6" t="s">
        <v>238</v>
      </c>
      <c r="AD1457" s="6" t="s">
        <v>238</v>
      </c>
      <c r="AF1457" s="6" t="s">
        <v>238</v>
      </c>
      <c r="AG1457" s="6" t="s">
        <v>246</v>
      </c>
      <c r="AH1457" s="5" t="s">
        <v>247</v>
      </c>
      <c r="AI1457" s="5" t="s">
        <v>248</v>
      </c>
      <c r="AO1457" s="5" t="s">
        <v>238</v>
      </c>
      <c r="AP1457" s="5" t="s">
        <v>238</v>
      </c>
      <c r="AQ1457" s="5" t="s">
        <v>238</v>
      </c>
      <c r="AR1457" s="6" t="s">
        <v>238</v>
      </c>
      <c r="AS1457" s="6" t="s">
        <v>238</v>
      </c>
      <c r="AT1457" s="6" t="s">
        <v>238</v>
      </c>
      <c r="AW1457" s="5" t="s">
        <v>304</v>
      </c>
      <c r="AX1457" s="5" t="s">
        <v>304</v>
      </c>
      <c r="AY1457" s="5" t="s">
        <v>250</v>
      </c>
      <c r="AZ1457" s="5" t="s">
        <v>305</v>
      </c>
      <c r="BA1457" s="5" t="s">
        <v>251</v>
      </c>
      <c r="BB1457" s="5" t="s">
        <v>238</v>
      </c>
      <c r="BC1457" s="5" t="s">
        <v>253</v>
      </c>
      <c r="BD1457" s="5" t="s">
        <v>238</v>
      </c>
      <c r="BF1457" s="5" t="s">
        <v>1009</v>
      </c>
      <c r="BH1457" s="5" t="s">
        <v>283</v>
      </c>
      <c r="BI1457" s="6" t="s">
        <v>293</v>
      </c>
      <c r="BJ1457" s="5" t="s">
        <v>294</v>
      </c>
      <c r="BK1457" s="5" t="s">
        <v>294</v>
      </c>
      <c r="BL1457" s="5" t="s">
        <v>238</v>
      </c>
      <c r="BM1457" s="7">
        <f>0</f>
        <v>0</v>
      </c>
      <c r="BN1457" s="8">
        <f>-9462163</f>
        <v>-9462163</v>
      </c>
      <c r="BO1457" s="5" t="s">
        <v>257</v>
      </c>
      <c r="BP1457" s="5" t="s">
        <v>258</v>
      </c>
      <c r="BQ1457" s="5" t="s">
        <v>238</v>
      </c>
      <c r="BR1457" s="5" t="s">
        <v>238</v>
      </c>
      <c r="BS1457" s="5" t="s">
        <v>238</v>
      </c>
      <c r="BT1457" s="5" t="s">
        <v>238</v>
      </c>
      <c r="CC1457" s="5" t="s">
        <v>258</v>
      </c>
      <c r="CD1457" s="5" t="s">
        <v>238</v>
      </c>
      <c r="CE1457" s="5" t="s">
        <v>238</v>
      </c>
      <c r="CI1457" s="5" t="s">
        <v>259</v>
      </c>
      <c r="CJ1457" s="5" t="s">
        <v>260</v>
      </c>
      <c r="CK1457" s="5" t="s">
        <v>238</v>
      </c>
      <c r="CM1457" s="5" t="s">
        <v>1357</v>
      </c>
      <c r="CN1457" s="6" t="s">
        <v>262</v>
      </c>
      <c r="CO1457" s="5" t="s">
        <v>263</v>
      </c>
      <c r="CP1457" s="5" t="s">
        <v>264</v>
      </c>
      <c r="CQ1457" s="5" t="s">
        <v>285</v>
      </c>
      <c r="CR1457" s="5" t="s">
        <v>238</v>
      </c>
      <c r="CS1457" s="5">
        <v>4.5999999999999999E-2</v>
      </c>
      <c r="CT1457" s="5" t="s">
        <v>265</v>
      </c>
      <c r="CU1457" s="5" t="s">
        <v>2145</v>
      </c>
      <c r="CV1457" s="5" t="s">
        <v>267</v>
      </c>
      <c r="CW1457" s="7">
        <f>0</f>
        <v>0</v>
      </c>
      <c r="CX1457" s="8">
        <f>205699200</f>
        <v>205699200</v>
      </c>
      <c r="CY1457" s="8">
        <f>25918103</f>
        <v>25918103</v>
      </c>
      <c r="DA1457" s="5" t="s">
        <v>238</v>
      </c>
      <c r="DB1457" s="5" t="s">
        <v>238</v>
      </c>
      <c r="DD1457" s="5" t="s">
        <v>238</v>
      </c>
      <c r="DE1457" s="8">
        <f>0</f>
        <v>0</v>
      </c>
      <c r="DG1457" s="5" t="s">
        <v>238</v>
      </c>
      <c r="DH1457" s="5" t="s">
        <v>238</v>
      </c>
      <c r="DI1457" s="5" t="s">
        <v>238</v>
      </c>
      <c r="DJ1457" s="5" t="s">
        <v>238</v>
      </c>
      <c r="DK1457" s="5" t="s">
        <v>271</v>
      </c>
      <c r="DL1457" s="5" t="s">
        <v>272</v>
      </c>
      <c r="DM1457" s="7">
        <f>627.99</f>
        <v>627.99</v>
      </c>
      <c r="DN1457" s="5" t="s">
        <v>238</v>
      </c>
      <c r="DO1457" s="5" t="s">
        <v>238</v>
      </c>
      <c r="DP1457" s="5" t="s">
        <v>238</v>
      </c>
      <c r="DQ1457" s="5" t="s">
        <v>238</v>
      </c>
      <c r="DT1457" s="5" t="s">
        <v>2152</v>
      </c>
      <c r="DU1457" s="5" t="s">
        <v>271</v>
      </c>
      <c r="GL1457" s="5" t="s">
        <v>2153</v>
      </c>
      <c r="HM1457" s="5" t="s">
        <v>361</v>
      </c>
      <c r="HP1457" s="5" t="s">
        <v>272</v>
      </c>
      <c r="HQ1457" s="5" t="s">
        <v>272</v>
      </c>
      <c r="HR1457" s="5" t="s">
        <v>238</v>
      </c>
      <c r="HS1457" s="5" t="s">
        <v>238</v>
      </c>
      <c r="HT1457" s="5" t="s">
        <v>238</v>
      </c>
      <c r="HU1457" s="5" t="s">
        <v>238</v>
      </c>
      <c r="HV1457" s="5" t="s">
        <v>238</v>
      </c>
      <c r="HW1457" s="5" t="s">
        <v>238</v>
      </c>
      <c r="HX1457" s="5" t="s">
        <v>238</v>
      </c>
      <c r="HY1457" s="5" t="s">
        <v>238</v>
      </c>
      <c r="HZ1457" s="5" t="s">
        <v>238</v>
      </c>
      <c r="IA1457" s="5" t="s">
        <v>238</v>
      </c>
      <c r="IB1457" s="5" t="s">
        <v>238</v>
      </c>
      <c r="IC1457" s="5" t="s">
        <v>238</v>
      </c>
      <c r="ID1457" s="5" t="s">
        <v>238</v>
      </c>
    </row>
    <row r="1458" spans="1:238" x14ac:dyDescent="0.4">
      <c r="A1458" s="5">
        <v>1829</v>
      </c>
      <c r="B1458" s="5">
        <v>1</v>
      </c>
      <c r="C1458" s="5">
        <v>4</v>
      </c>
      <c r="D1458" s="5" t="s">
        <v>2149</v>
      </c>
      <c r="E1458" s="5" t="s">
        <v>686</v>
      </c>
      <c r="F1458" s="5" t="s">
        <v>252</v>
      </c>
      <c r="G1458" s="5" t="s">
        <v>505</v>
      </c>
      <c r="H1458" s="6" t="s">
        <v>2151</v>
      </c>
      <c r="I1458" s="5" t="s">
        <v>3070</v>
      </c>
      <c r="J1458" s="7">
        <f>0</f>
        <v>0</v>
      </c>
      <c r="K1458" s="5" t="s">
        <v>270</v>
      </c>
      <c r="L1458" s="8">
        <f>1781855</f>
        <v>1781855</v>
      </c>
      <c r="M1458" s="8">
        <f>2679480</f>
        <v>2679480</v>
      </c>
      <c r="N1458" s="6" t="s">
        <v>3071</v>
      </c>
      <c r="O1458" s="5" t="s">
        <v>268</v>
      </c>
      <c r="P1458" s="5" t="s">
        <v>356</v>
      </c>
      <c r="Q1458" s="8">
        <f>179525</f>
        <v>179525</v>
      </c>
      <c r="R1458" s="8">
        <f>897625</f>
        <v>897625</v>
      </c>
      <c r="S1458" s="5" t="s">
        <v>240</v>
      </c>
      <c r="T1458" s="5" t="s">
        <v>287</v>
      </c>
      <c r="U1458" s="5" t="s">
        <v>238</v>
      </c>
      <c r="V1458" s="5" t="s">
        <v>238</v>
      </c>
      <c r="W1458" s="5" t="s">
        <v>241</v>
      </c>
      <c r="X1458" s="5" t="s">
        <v>453</v>
      </c>
      <c r="Y1458" s="5" t="s">
        <v>238</v>
      </c>
      <c r="AB1458" s="5" t="s">
        <v>238</v>
      </c>
      <c r="AC1458" s="6" t="s">
        <v>238</v>
      </c>
      <c r="AD1458" s="6" t="s">
        <v>238</v>
      </c>
      <c r="AF1458" s="6" t="s">
        <v>238</v>
      </c>
      <c r="AG1458" s="6" t="s">
        <v>246</v>
      </c>
      <c r="AH1458" s="5" t="s">
        <v>247</v>
      </c>
      <c r="AI1458" s="5" t="s">
        <v>248</v>
      </c>
      <c r="AO1458" s="5" t="s">
        <v>238</v>
      </c>
      <c r="AP1458" s="5" t="s">
        <v>238</v>
      </c>
      <c r="AQ1458" s="5" t="s">
        <v>238</v>
      </c>
      <c r="AR1458" s="6" t="s">
        <v>238</v>
      </c>
      <c r="AS1458" s="6" t="s">
        <v>238</v>
      </c>
      <c r="AT1458" s="6" t="s">
        <v>238</v>
      </c>
      <c r="AW1458" s="5" t="s">
        <v>304</v>
      </c>
      <c r="AX1458" s="5" t="s">
        <v>304</v>
      </c>
      <c r="AY1458" s="5" t="s">
        <v>250</v>
      </c>
      <c r="AZ1458" s="5" t="s">
        <v>305</v>
      </c>
      <c r="BA1458" s="5" t="s">
        <v>251</v>
      </c>
      <c r="BB1458" s="5" t="s">
        <v>238</v>
      </c>
      <c r="BC1458" s="5" t="s">
        <v>253</v>
      </c>
      <c r="BD1458" s="5" t="s">
        <v>238</v>
      </c>
      <c r="BF1458" s="5" t="s">
        <v>238</v>
      </c>
      <c r="BH1458" s="5" t="s">
        <v>283</v>
      </c>
      <c r="BI1458" s="6" t="s">
        <v>293</v>
      </c>
      <c r="BJ1458" s="5" t="s">
        <v>294</v>
      </c>
      <c r="BK1458" s="5" t="s">
        <v>294</v>
      </c>
      <c r="BL1458" s="5" t="s">
        <v>238</v>
      </c>
      <c r="BM1458" s="7">
        <f>0</f>
        <v>0</v>
      </c>
      <c r="BN1458" s="8">
        <f>-179525</f>
        <v>-179525</v>
      </c>
      <c r="BO1458" s="5" t="s">
        <v>257</v>
      </c>
      <c r="BP1458" s="5" t="s">
        <v>258</v>
      </c>
      <c r="BQ1458" s="5" t="s">
        <v>238</v>
      </c>
      <c r="BR1458" s="5" t="s">
        <v>238</v>
      </c>
      <c r="BS1458" s="5" t="s">
        <v>238</v>
      </c>
      <c r="BT1458" s="5" t="s">
        <v>238</v>
      </c>
      <c r="CC1458" s="5" t="s">
        <v>258</v>
      </c>
      <c r="CD1458" s="5" t="s">
        <v>238</v>
      </c>
      <c r="CE1458" s="5" t="s">
        <v>238</v>
      </c>
      <c r="CI1458" s="5" t="s">
        <v>259</v>
      </c>
      <c r="CJ1458" s="5" t="s">
        <v>260</v>
      </c>
      <c r="CK1458" s="5" t="s">
        <v>238</v>
      </c>
      <c r="CM1458" s="5" t="s">
        <v>376</v>
      </c>
      <c r="CN1458" s="6" t="s">
        <v>262</v>
      </c>
      <c r="CO1458" s="5" t="s">
        <v>263</v>
      </c>
      <c r="CP1458" s="5" t="s">
        <v>264</v>
      </c>
      <c r="CQ1458" s="5" t="s">
        <v>285</v>
      </c>
      <c r="CR1458" s="5" t="s">
        <v>238</v>
      </c>
      <c r="CS1458" s="5">
        <v>6.7000000000000004E-2</v>
      </c>
      <c r="CT1458" s="5" t="s">
        <v>265</v>
      </c>
      <c r="CU1458" s="5" t="s">
        <v>351</v>
      </c>
      <c r="CV1458" s="5" t="s">
        <v>365</v>
      </c>
      <c r="CW1458" s="7">
        <f>0</f>
        <v>0</v>
      </c>
      <c r="CX1458" s="8">
        <f>2679480</f>
        <v>2679480</v>
      </c>
      <c r="CY1458" s="8">
        <f>1961380</f>
        <v>1961380</v>
      </c>
      <c r="DA1458" s="5" t="s">
        <v>238</v>
      </c>
      <c r="DB1458" s="5" t="s">
        <v>238</v>
      </c>
      <c r="DD1458" s="5" t="s">
        <v>238</v>
      </c>
      <c r="DE1458" s="8">
        <f>0</f>
        <v>0</v>
      </c>
      <c r="DG1458" s="5" t="s">
        <v>238</v>
      </c>
      <c r="DH1458" s="5" t="s">
        <v>238</v>
      </c>
      <c r="DI1458" s="5" t="s">
        <v>238</v>
      </c>
      <c r="DJ1458" s="5" t="s">
        <v>238</v>
      </c>
      <c r="DK1458" s="5" t="s">
        <v>272</v>
      </c>
      <c r="DL1458" s="5" t="s">
        <v>272</v>
      </c>
      <c r="DM1458" s="8" t="s">
        <v>238</v>
      </c>
      <c r="DN1458" s="5" t="s">
        <v>238</v>
      </c>
      <c r="DO1458" s="5" t="s">
        <v>238</v>
      </c>
      <c r="DP1458" s="5" t="s">
        <v>238</v>
      </c>
      <c r="DQ1458" s="5" t="s">
        <v>238</v>
      </c>
      <c r="DT1458" s="5" t="s">
        <v>2152</v>
      </c>
      <c r="DU1458" s="5" t="s">
        <v>274</v>
      </c>
      <c r="GL1458" s="5" t="s">
        <v>3072</v>
      </c>
      <c r="HM1458" s="5" t="s">
        <v>389</v>
      </c>
      <c r="HP1458" s="5" t="s">
        <v>272</v>
      </c>
      <c r="HQ1458" s="5" t="s">
        <v>272</v>
      </c>
      <c r="HR1458" s="5" t="s">
        <v>238</v>
      </c>
      <c r="HS1458" s="5" t="s">
        <v>238</v>
      </c>
      <c r="HT1458" s="5" t="s">
        <v>238</v>
      </c>
      <c r="HU1458" s="5" t="s">
        <v>238</v>
      </c>
      <c r="HV1458" s="5" t="s">
        <v>238</v>
      </c>
      <c r="HW1458" s="5" t="s">
        <v>238</v>
      </c>
      <c r="HX1458" s="5" t="s">
        <v>238</v>
      </c>
      <c r="HY1458" s="5" t="s">
        <v>238</v>
      </c>
      <c r="HZ1458" s="5" t="s">
        <v>238</v>
      </c>
      <c r="IA1458" s="5" t="s">
        <v>238</v>
      </c>
      <c r="IB1458" s="5" t="s">
        <v>238</v>
      </c>
      <c r="IC1458" s="5" t="s">
        <v>238</v>
      </c>
      <c r="ID1458" s="5" t="s">
        <v>238</v>
      </c>
    </row>
    <row r="1459" spans="1:238" x14ac:dyDescent="0.4">
      <c r="A1459" s="5">
        <v>1830</v>
      </c>
      <c r="B1459" s="5">
        <v>1</v>
      </c>
      <c r="C1459" s="5">
        <v>4</v>
      </c>
      <c r="D1459" s="5" t="s">
        <v>1592</v>
      </c>
      <c r="E1459" s="5" t="s">
        <v>686</v>
      </c>
      <c r="F1459" s="5" t="s">
        <v>252</v>
      </c>
      <c r="G1459" s="5" t="s">
        <v>1521</v>
      </c>
      <c r="H1459" s="6" t="s">
        <v>1593</v>
      </c>
      <c r="I1459" s="5" t="s">
        <v>1497</v>
      </c>
      <c r="J1459" s="7">
        <f>571</f>
        <v>571</v>
      </c>
      <c r="K1459" s="5" t="s">
        <v>270</v>
      </c>
      <c r="L1459" s="8">
        <f>10552080</f>
        <v>10552080</v>
      </c>
      <c r="M1459" s="8">
        <f>150744000</f>
        <v>150744000</v>
      </c>
      <c r="N1459" s="6" t="s">
        <v>1535</v>
      </c>
      <c r="O1459" s="5" t="s">
        <v>755</v>
      </c>
      <c r="P1459" s="5" t="s">
        <v>690</v>
      </c>
      <c r="Q1459" s="8">
        <f>4522320</f>
        <v>4522320</v>
      </c>
      <c r="R1459" s="8">
        <f>140191920</f>
        <v>140191920</v>
      </c>
      <c r="S1459" s="5" t="s">
        <v>240</v>
      </c>
      <c r="T1459" s="5" t="s">
        <v>237</v>
      </c>
      <c r="U1459" s="5" t="s">
        <v>238</v>
      </c>
      <c r="V1459" s="5" t="s">
        <v>238</v>
      </c>
      <c r="W1459" s="5" t="s">
        <v>241</v>
      </c>
      <c r="X1459" s="5" t="s">
        <v>337</v>
      </c>
      <c r="Y1459" s="5" t="s">
        <v>238</v>
      </c>
      <c r="AB1459" s="5" t="s">
        <v>238</v>
      </c>
      <c r="AC1459" s="6" t="s">
        <v>238</v>
      </c>
      <c r="AD1459" s="6" t="s">
        <v>238</v>
      </c>
      <c r="AF1459" s="6" t="s">
        <v>238</v>
      </c>
      <c r="AG1459" s="6" t="s">
        <v>246</v>
      </c>
      <c r="AH1459" s="5" t="s">
        <v>247</v>
      </c>
      <c r="AI1459" s="5" t="s">
        <v>248</v>
      </c>
      <c r="AO1459" s="5" t="s">
        <v>238</v>
      </c>
      <c r="AP1459" s="5" t="s">
        <v>238</v>
      </c>
      <c r="AQ1459" s="5" t="s">
        <v>238</v>
      </c>
      <c r="AR1459" s="6" t="s">
        <v>238</v>
      </c>
      <c r="AS1459" s="6" t="s">
        <v>238</v>
      </c>
      <c r="AT1459" s="6" t="s">
        <v>238</v>
      </c>
      <c r="AW1459" s="5" t="s">
        <v>304</v>
      </c>
      <c r="AX1459" s="5" t="s">
        <v>304</v>
      </c>
      <c r="AY1459" s="5" t="s">
        <v>250</v>
      </c>
      <c r="AZ1459" s="5" t="s">
        <v>305</v>
      </c>
      <c r="BA1459" s="5" t="s">
        <v>251</v>
      </c>
      <c r="BB1459" s="5" t="s">
        <v>238</v>
      </c>
      <c r="BC1459" s="5" t="s">
        <v>253</v>
      </c>
      <c r="BD1459" s="5" t="s">
        <v>238</v>
      </c>
      <c r="BF1459" s="5" t="s">
        <v>903</v>
      </c>
      <c r="BH1459" s="5" t="s">
        <v>283</v>
      </c>
      <c r="BI1459" s="6" t="s">
        <v>293</v>
      </c>
      <c r="BJ1459" s="5" t="s">
        <v>294</v>
      </c>
      <c r="BK1459" s="5" t="s">
        <v>294</v>
      </c>
      <c r="BL1459" s="5" t="s">
        <v>238</v>
      </c>
      <c r="BM1459" s="7">
        <f>0</f>
        <v>0</v>
      </c>
      <c r="BN1459" s="8">
        <f>-4522320</f>
        <v>-4522320</v>
      </c>
      <c r="BO1459" s="5" t="s">
        <v>257</v>
      </c>
      <c r="BP1459" s="5" t="s">
        <v>258</v>
      </c>
      <c r="BQ1459" s="5" t="s">
        <v>238</v>
      </c>
      <c r="BR1459" s="5" t="s">
        <v>238</v>
      </c>
      <c r="BS1459" s="5" t="s">
        <v>238</v>
      </c>
      <c r="BT1459" s="5" t="s">
        <v>238</v>
      </c>
      <c r="CC1459" s="5" t="s">
        <v>258</v>
      </c>
      <c r="CD1459" s="5" t="s">
        <v>238</v>
      </c>
      <c r="CE1459" s="5" t="s">
        <v>238</v>
      </c>
      <c r="CI1459" s="5" t="s">
        <v>259</v>
      </c>
      <c r="CJ1459" s="5" t="s">
        <v>260</v>
      </c>
      <c r="CK1459" s="5" t="s">
        <v>238</v>
      </c>
      <c r="CM1459" s="5" t="s">
        <v>768</v>
      </c>
      <c r="CN1459" s="6" t="s">
        <v>262</v>
      </c>
      <c r="CO1459" s="5" t="s">
        <v>263</v>
      </c>
      <c r="CP1459" s="5" t="s">
        <v>264</v>
      </c>
      <c r="CQ1459" s="5" t="s">
        <v>285</v>
      </c>
      <c r="CR1459" s="5" t="s">
        <v>238</v>
      </c>
      <c r="CS1459" s="5">
        <v>0.03</v>
      </c>
      <c r="CT1459" s="5" t="s">
        <v>265</v>
      </c>
      <c r="CU1459" s="5" t="s">
        <v>1493</v>
      </c>
      <c r="CV1459" s="5" t="s">
        <v>649</v>
      </c>
      <c r="CW1459" s="7">
        <f>0</f>
        <v>0</v>
      </c>
      <c r="CX1459" s="8">
        <f>150744000</f>
        <v>150744000</v>
      </c>
      <c r="CY1459" s="8">
        <f>15074400</f>
        <v>15074400</v>
      </c>
      <c r="DA1459" s="5" t="s">
        <v>238</v>
      </c>
      <c r="DB1459" s="5" t="s">
        <v>238</v>
      </c>
      <c r="DD1459" s="5" t="s">
        <v>238</v>
      </c>
      <c r="DE1459" s="8">
        <f>0</f>
        <v>0</v>
      </c>
      <c r="DG1459" s="5" t="s">
        <v>238</v>
      </c>
      <c r="DH1459" s="5" t="s">
        <v>238</v>
      </c>
      <c r="DI1459" s="5" t="s">
        <v>238</v>
      </c>
      <c r="DJ1459" s="5" t="s">
        <v>238</v>
      </c>
      <c r="DK1459" s="5" t="s">
        <v>271</v>
      </c>
      <c r="DL1459" s="5" t="s">
        <v>272</v>
      </c>
      <c r="DM1459" s="7">
        <f>571</f>
        <v>571</v>
      </c>
      <c r="DN1459" s="5" t="s">
        <v>238</v>
      </c>
      <c r="DO1459" s="5" t="s">
        <v>238</v>
      </c>
      <c r="DP1459" s="5" t="s">
        <v>238</v>
      </c>
      <c r="DQ1459" s="5" t="s">
        <v>238</v>
      </c>
      <c r="DT1459" s="5" t="s">
        <v>1594</v>
      </c>
      <c r="DU1459" s="5" t="s">
        <v>274</v>
      </c>
      <c r="GL1459" s="5" t="s">
        <v>1595</v>
      </c>
      <c r="HM1459" s="5" t="s">
        <v>395</v>
      </c>
      <c r="HP1459" s="5" t="s">
        <v>272</v>
      </c>
      <c r="HQ1459" s="5" t="s">
        <v>272</v>
      </c>
      <c r="HR1459" s="5" t="s">
        <v>238</v>
      </c>
      <c r="HS1459" s="5" t="s">
        <v>238</v>
      </c>
      <c r="HT1459" s="5" t="s">
        <v>238</v>
      </c>
      <c r="HU1459" s="5" t="s">
        <v>238</v>
      </c>
      <c r="HV1459" s="5" t="s">
        <v>238</v>
      </c>
      <c r="HW1459" s="5" t="s">
        <v>238</v>
      </c>
      <c r="HX1459" s="5" t="s">
        <v>238</v>
      </c>
      <c r="HY1459" s="5" t="s">
        <v>238</v>
      </c>
      <c r="HZ1459" s="5" t="s">
        <v>238</v>
      </c>
      <c r="IA1459" s="5" t="s">
        <v>238</v>
      </c>
      <c r="IB1459" s="5" t="s">
        <v>238</v>
      </c>
      <c r="IC1459" s="5" t="s">
        <v>238</v>
      </c>
      <c r="ID1459" s="5" t="s">
        <v>238</v>
      </c>
    </row>
    <row r="1460" spans="1:238" x14ac:dyDescent="0.4">
      <c r="A1460" s="5">
        <v>1831</v>
      </c>
      <c r="B1460" s="5">
        <v>1</v>
      </c>
      <c r="C1460" s="5">
        <v>4</v>
      </c>
      <c r="D1460" s="5" t="s">
        <v>1596</v>
      </c>
      <c r="E1460" s="5" t="s">
        <v>686</v>
      </c>
      <c r="F1460" s="5" t="s">
        <v>252</v>
      </c>
      <c r="G1460" s="5" t="s">
        <v>1521</v>
      </c>
      <c r="H1460" s="6" t="s">
        <v>1598</v>
      </c>
      <c r="I1460" s="5" t="s">
        <v>1497</v>
      </c>
      <c r="J1460" s="7">
        <f>159</f>
        <v>159</v>
      </c>
      <c r="K1460" s="5" t="s">
        <v>270</v>
      </c>
      <c r="L1460" s="8">
        <f>4057680</f>
        <v>4057680</v>
      </c>
      <c r="M1460" s="8">
        <f>50721000</f>
        <v>50721000</v>
      </c>
      <c r="N1460" s="6" t="s">
        <v>1597</v>
      </c>
      <c r="O1460" s="5" t="s">
        <v>286</v>
      </c>
      <c r="P1460" s="5" t="s">
        <v>611</v>
      </c>
      <c r="Q1460" s="8">
        <f>2333166</f>
        <v>2333166</v>
      </c>
      <c r="R1460" s="8">
        <f>46663320</f>
        <v>46663320</v>
      </c>
      <c r="S1460" s="5" t="s">
        <v>240</v>
      </c>
      <c r="T1460" s="5" t="s">
        <v>237</v>
      </c>
      <c r="U1460" s="5" t="s">
        <v>238</v>
      </c>
      <c r="V1460" s="5" t="s">
        <v>238</v>
      </c>
      <c r="W1460" s="5" t="s">
        <v>241</v>
      </c>
      <c r="X1460" s="5" t="s">
        <v>337</v>
      </c>
      <c r="Y1460" s="5" t="s">
        <v>238</v>
      </c>
      <c r="AB1460" s="5" t="s">
        <v>238</v>
      </c>
      <c r="AC1460" s="6" t="s">
        <v>238</v>
      </c>
      <c r="AD1460" s="6" t="s">
        <v>238</v>
      </c>
      <c r="AF1460" s="6" t="s">
        <v>238</v>
      </c>
      <c r="AG1460" s="6" t="s">
        <v>246</v>
      </c>
      <c r="AH1460" s="5" t="s">
        <v>247</v>
      </c>
      <c r="AI1460" s="5" t="s">
        <v>248</v>
      </c>
      <c r="AO1460" s="5" t="s">
        <v>238</v>
      </c>
      <c r="AP1460" s="5" t="s">
        <v>238</v>
      </c>
      <c r="AQ1460" s="5" t="s">
        <v>238</v>
      </c>
      <c r="AR1460" s="6" t="s">
        <v>238</v>
      </c>
      <c r="AS1460" s="6" t="s">
        <v>238</v>
      </c>
      <c r="AT1460" s="6" t="s">
        <v>238</v>
      </c>
      <c r="AW1460" s="5" t="s">
        <v>304</v>
      </c>
      <c r="AX1460" s="5" t="s">
        <v>304</v>
      </c>
      <c r="AY1460" s="5" t="s">
        <v>250</v>
      </c>
      <c r="AZ1460" s="5" t="s">
        <v>305</v>
      </c>
      <c r="BA1460" s="5" t="s">
        <v>251</v>
      </c>
      <c r="BB1460" s="5" t="s">
        <v>238</v>
      </c>
      <c r="BC1460" s="5" t="s">
        <v>253</v>
      </c>
      <c r="BD1460" s="5" t="s">
        <v>238</v>
      </c>
      <c r="BF1460" s="5" t="s">
        <v>1009</v>
      </c>
      <c r="BH1460" s="5" t="s">
        <v>283</v>
      </c>
      <c r="BI1460" s="6" t="s">
        <v>293</v>
      </c>
      <c r="BJ1460" s="5" t="s">
        <v>294</v>
      </c>
      <c r="BK1460" s="5" t="s">
        <v>294</v>
      </c>
      <c r="BL1460" s="5" t="s">
        <v>238</v>
      </c>
      <c r="BM1460" s="7">
        <f>0</f>
        <v>0</v>
      </c>
      <c r="BN1460" s="8">
        <f>-2333166</f>
        <v>-2333166</v>
      </c>
      <c r="BO1460" s="5" t="s">
        <v>257</v>
      </c>
      <c r="BP1460" s="5" t="s">
        <v>258</v>
      </c>
      <c r="BQ1460" s="5" t="s">
        <v>238</v>
      </c>
      <c r="BR1460" s="5" t="s">
        <v>238</v>
      </c>
      <c r="BS1460" s="5" t="s">
        <v>238</v>
      </c>
      <c r="BT1460" s="5" t="s">
        <v>238</v>
      </c>
      <c r="CC1460" s="5" t="s">
        <v>258</v>
      </c>
      <c r="CD1460" s="5" t="s">
        <v>238</v>
      </c>
      <c r="CE1460" s="5" t="s">
        <v>238</v>
      </c>
      <c r="CI1460" s="5" t="s">
        <v>259</v>
      </c>
      <c r="CJ1460" s="5" t="s">
        <v>260</v>
      </c>
      <c r="CK1460" s="5" t="s">
        <v>238</v>
      </c>
      <c r="CM1460" s="5" t="s">
        <v>1357</v>
      </c>
      <c r="CN1460" s="6" t="s">
        <v>262</v>
      </c>
      <c r="CO1460" s="5" t="s">
        <v>263</v>
      </c>
      <c r="CP1460" s="5" t="s">
        <v>264</v>
      </c>
      <c r="CQ1460" s="5" t="s">
        <v>285</v>
      </c>
      <c r="CR1460" s="5" t="s">
        <v>238</v>
      </c>
      <c r="CS1460" s="5">
        <v>4.5999999999999999E-2</v>
      </c>
      <c r="CT1460" s="5" t="s">
        <v>265</v>
      </c>
      <c r="CU1460" s="5" t="s">
        <v>1493</v>
      </c>
      <c r="CV1460" s="5" t="s">
        <v>267</v>
      </c>
      <c r="CW1460" s="7">
        <f>0</f>
        <v>0</v>
      </c>
      <c r="CX1460" s="8">
        <f>50721000</f>
        <v>50721000</v>
      </c>
      <c r="CY1460" s="8">
        <f>6390846</f>
        <v>6390846</v>
      </c>
      <c r="DA1460" s="5" t="s">
        <v>238</v>
      </c>
      <c r="DB1460" s="5" t="s">
        <v>238</v>
      </c>
      <c r="DD1460" s="5" t="s">
        <v>238</v>
      </c>
      <c r="DE1460" s="8">
        <f>0</f>
        <v>0</v>
      </c>
      <c r="DG1460" s="5" t="s">
        <v>238</v>
      </c>
      <c r="DH1460" s="5" t="s">
        <v>238</v>
      </c>
      <c r="DI1460" s="5" t="s">
        <v>238</v>
      </c>
      <c r="DJ1460" s="5" t="s">
        <v>238</v>
      </c>
      <c r="DK1460" s="5" t="s">
        <v>271</v>
      </c>
      <c r="DL1460" s="5" t="s">
        <v>272</v>
      </c>
      <c r="DM1460" s="7">
        <f>159</f>
        <v>159</v>
      </c>
      <c r="DN1460" s="5" t="s">
        <v>238</v>
      </c>
      <c r="DO1460" s="5" t="s">
        <v>238</v>
      </c>
      <c r="DP1460" s="5" t="s">
        <v>238</v>
      </c>
      <c r="DQ1460" s="5" t="s">
        <v>238</v>
      </c>
      <c r="DT1460" s="5" t="s">
        <v>1599</v>
      </c>
      <c r="DU1460" s="5" t="s">
        <v>271</v>
      </c>
      <c r="GL1460" s="5" t="s">
        <v>1600</v>
      </c>
      <c r="HM1460" s="5" t="s">
        <v>354</v>
      </c>
      <c r="HP1460" s="5" t="s">
        <v>272</v>
      </c>
      <c r="HQ1460" s="5" t="s">
        <v>272</v>
      </c>
      <c r="HR1460" s="5" t="s">
        <v>238</v>
      </c>
      <c r="HS1460" s="5" t="s">
        <v>238</v>
      </c>
      <c r="HT1460" s="5" t="s">
        <v>238</v>
      </c>
      <c r="HU1460" s="5" t="s">
        <v>238</v>
      </c>
      <c r="HV1460" s="5" t="s">
        <v>238</v>
      </c>
      <c r="HW1460" s="5" t="s">
        <v>238</v>
      </c>
      <c r="HX1460" s="5" t="s">
        <v>238</v>
      </c>
      <c r="HY1460" s="5" t="s">
        <v>238</v>
      </c>
      <c r="HZ1460" s="5" t="s">
        <v>238</v>
      </c>
      <c r="IA1460" s="5" t="s">
        <v>238</v>
      </c>
      <c r="IB1460" s="5" t="s">
        <v>238</v>
      </c>
      <c r="IC1460" s="5" t="s">
        <v>238</v>
      </c>
      <c r="ID1460" s="5" t="s">
        <v>238</v>
      </c>
    </row>
    <row r="1461" spans="1:238" x14ac:dyDescent="0.4">
      <c r="A1461" s="5">
        <v>1833</v>
      </c>
      <c r="B1461" s="5">
        <v>1</v>
      </c>
      <c r="C1461" s="5">
        <v>1</v>
      </c>
      <c r="D1461" s="5" t="s">
        <v>867</v>
      </c>
      <c r="E1461" s="5" t="s">
        <v>852</v>
      </c>
      <c r="F1461" s="5" t="s">
        <v>252</v>
      </c>
      <c r="G1461" s="5" t="s">
        <v>677</v>
      </c>
      <c r="H1461" s="6" t="s">
        <v>869</v>
      </c>
      <c r="I1461" s="5" t="s">
        <v>677</v>
      </c>
      <c r="J1461" s="7">
        <f>63.5</f>
        <v>63.5</v>
      </c>
      <c r="K1461" s="5" t="s">
        <v>270</v>
      </c>
      <c r="L1461" s="8">
        <f>1</f>
        <v>1</v>
      </c>
      <c r="M1461" s="8">
        <f>3810000</f>
        <v>3810000</v>
      </c>
      <c r="N1461" s="6" t="s">
        <v>868</v>
      </c>
      <c r="O1461" s="5" t="s">
        <v>268</v>
      </c>
      <c r="P1461" s="5" t="s">
        <v>872</v>
      </c>
      <c r="R1461" s="8">
        <f>3809999</f>
        <v>3809999</v>
      </c>
      <c r="S1461" s="5" t="s">
        <v>240</v>
      </c>
      <c r="T1461" s="5" t="s">
        <v>237</v>
      </c>
      <c r="U1461" s="5" t="s">
        <v>238</v>
      </c>
      <c r="V1461" s="5" t="s">
        <v>238</v>
      </c>
      <c r="W1461" s="5" t="s">
        <v>241</v>
      </c>
      <c r="X1461" s="5" t="s">
        <v>243</v>
      </c>
      <c r="Y1461" s="5" t="s">
        <v>238</v>
      </c>
      <c r="AB1461" s="5" t="s">
        <v>238</v>
      </c>
      <c r="AD1461" s="6" t="s">
        <v>238</v>
      </c>
      <c r="AG1461" s="6" t="s">
        <v>246</v>
      </c>
      <c r="AH1461" s="5" t="s">
        <v>247</v>
      </c>
      <c r="AI1461" s="5" t="s">
        <v>248</v>
      </c>
      <c r="AY1461" s="5" t="s">
        <v>250</v>
      </c>
      <c r="AZ1461" s="5" t="s">
        <v>238</v>
      </c>
      <c r="BA1461" s="5" t="s">
        <v>251</v>
      </c>
      <c r="BB1461" s="5" t="s">
        <v>238</v>
      </c>
      <c r="BC1461" s="5" t="s">
        <v>253</v>
      </c>
      <c r="BD1461" s="5" t="s">
        <v>238</v>
      </c>
      <c r="BF1461" s="5" t="s">
        <v>238</v>
      </c>
      <c r="BH1461" s="5" t="s">
        <v>798</v>
      </c>
      <c r="BI1461" s="6" t="s">
        <v>799</v>
      </c>
      <c r="BJ1461" s="5" t="s">
        <v>255</v>
      </c>
      <c r="BK1461" s="5" t="s">
        <v>870</v>
      </c>
      <c r="BL1461" s="5" t="s">
        <v>238</v>
      </c>
      <c r="BM1461" s="7">
        <f>0</f>
        <v>0</v>
      </c>
      <c r="BN1461" s="8">
        <f>0</f>
        <v>0</v>
      </c>
      <c r="BO1461" s="5" t="s">
        <v>257</v>
      </c>
      <c r="BP1461" s="5" t="s">
        <v>258</v>
      </c>
      <c r="CD1461" s="5" t="s">
        <v>238</v>
      </c>
      <c r="CE1461" s="5" t="s">
        <v>238</v>
      </c>
      <c r="CI1461" s="5" t="s">
        <v>527</v>
      </c>
      <c r="CJ1461" s="5" t="s">
        <v>260</v>
      </c>
      <c r="CK1461" s="5" t="s">
        <v>238</v>
      </c>
      <c r="CM1461" s="5" t="s">
        <v>871</v>
      </c>
      <c r="CN1461" s="6" t="s">
        <v>262</v>
      </c>
      <c r="CO1461" s="5" t="s">
        <v>263</v>
      </c>
      <c r="CP1461" s="5" t="s">
        <v>264</v>
      </c>
      <c r="CQ1461" s="5" t="s">
        <v>238</v>
      </c>
      <c r="CR1461" s="5" t="s">
        <v>238</v>
      </c>
      <c r="CS1461" s="5">
        <v>0</v>
      </c>
      <c r="CT1461" s="5" t="s">
        <v>265</v>
      </c>
      <c r="CU1461" s="5" t="s">
        <v>266</v>
      </c>
      <c r="CV1461" s="5" t="s">
        <v>267</v>
      </c>
      <c r="CX1461" s="8">
        <f>3810000</f>
        <v>3810000</v>
      </c>
      <c r="CY1461" s="8">
        <f>0</f>
        <v>0</v>
      </c>
      <c r="DA1461" s="5" t="s">
        <v>238</v>
      </c>
      <c r="DB1461" s="5" t="s">
        <v>238</v>
      </c>
      <c r="DD1461" s="5" t="s">
        <v>238</v>
      </c>
      <c r="DG1461" s="5" t="s">
        <v>238</v>
      </c>
      <c r="DH1461" s="5" t="s">
        <v>238</v>
      </c>
      <c r="DI1461" s="5" t="s">
        <v>238</v>
      </c>
      <c r="DJ1461" s="5" t="s">
        <v>238</v>
      </c>
      <c r="DK1461" s="5" t="s">
        <v>271</v>
      </c>
      <c r="DL1461" s="5" t="s">
        <v>272</v>
      </c>
      <c r="DM1461" s="7">
        <f>63.5</f>
        <v>63.5</v>
      </c>
      <c r="DN1461" s="5" t="s">
        <v>238</v>
      </c>
      <c r="DO1461" s="5" t="s">
        <v>238</v>
      </c>
      <c r="DP1461" s="5" t="s">
        <v>238</v>
      </c>
      <c r="DQ1461" s="5" t="s">
        <v>238</v>
      </c>
      <c r="DT1461" s="5" t="s">
        <v>873</v>
      </c>
      <c r="DU1461" s="5" t="s">
        <v>271</v>
      </c>
      <c r="HM1461" s="5" t="s">
        <v>356</v>
      </c>
      <c r="HP1461" s="5" t="s">
        <v>272</v>
      </c>
      <c r="HQ1461" s="5" t="s">
        <v>272</v>
      </c>
    </row>
    <row r="1462" spans="1:238" x14ac:dyDescent="0.4">
      <c r="A1462" s="5">
        <v>1834</v>
      </c>
      <c r="B1462" s="5">
        <v>1</v>
      </c>
      <c r="C1462" s="5">
        <v>4</v>
      </c>
      <c r="D1462" s="5" t="s">
        <v>1208</v>
      </c>
      <c r="E1462" s="5" t="s">
        <v>1209</v>
      </c>
      <c r="F1462" s="5" t="s">
        <v>252</v>
      </c>
      <c r="G1462" s="5" t="s">
        <v>1331</v>
      </c>
      <c r="H1462" s="6" t="s">
        <v>1210</v>
      </c>
      <c r="I1462" s="5" t="s">
        <v>1334</v>
      </c>
      <c r="J1462" s="7">
        <f>535</f>
        <v>535</v>
      </c>
      <c r="K1462" s="5" t="s">
        <v>270</v>
      </c>
      <c r="L1462" s="8">
        <f>49648000</f>
        <v>49648000</v>
      </c>
      <c r="M1462" s="8">
        <f>155150000</f>
        <v>155150000</v>
      </c>
      <c r="N1462" s="6" t="s">
        <v>1063</v>
      </c>
      <c r="O1462" s="5" t="s">
        <v>279</v>
      </c>
      <c r="P1462" s="5" t="s">
        <v>991</v>
      </c>
      <c r="Q1462" s="8">
        <f>3103000</f>
        <v>3103000</v>
      </c>
      <c r="R1462" s="8">
        <f>105502000</f>
        <v>105502000</v>
      </c>
      <c r="S1462" s="5" t="s">
        <v>240</v>
      </c>
      <c r="T1462" s="5" t="s">
        <v>237</v>
      </c>
      <c r="U1462" s="5" t="s">
        <v>238</v>
      </c>
      <c r="V1462" s="5" t="s">
        <v>238</v>
      </c>
      <c r="W1462" s="5" t="s">
        <v>241</v>
      </c>
      <c r="X1462" s="5" t="s">
        <v>802</v>
      </c>
      <c r="Y1462" s="5" t="s">
        <v>238</v>
      </c>
      <c r="AB1462" s="5" t="s">
        <v>238</v>
      </c>
      <c r="AC1462" s="6" t="s">
        <v>238</v>
      </c>
      <c r="AD1462" s="6" t="s">
        <v>238</v>
      </c>
      <c r="AF1462" s="6" t="s">
        <v>238</v>
      </c>
      <c r="AG1462" s="6" t="s">
        <v>246</v>
      </c>
      <c r="AH1462" s="5" t="s">
        <v>247</v>
      </c>
      <c r="AI1462" s="5" t="s">
        <v>248</v>
      </c>
      <c r="AO1462" s="5" t="s">
        <v>238</v>
      </c>
      <c r="AP1462" s="5" t="s">
        <v>238</v>
      </c>
      <c r="AQ1462" s="5" t="s">
        <v>238</v>
      </c>
      <c r="AR1462" s="6" t="s">
        <v>238</v>
      </c>
      <c r="AS1462" s="6" t="s">
        <v>238</v>
      </c>
      <c r="AT1462" s="6" t="s">
        <v>238</v>
      </c>
      <c r="AW1462" s="5" t="s">
        <v>304</v>
      </c>
      <c r="AX1462" s="5" t="s">
        <v>304</v>
      </c>
      <c r="AY1462" s="5" t="s">
        <v>250</v>
      </c>
      <c r="AZ1462" s="5" t="s">
        <v>305</v>
      </c>
      <c r="BA1462" s="5" t="s">
        <v>251</v>
      </c>
      <c r="BB1462" s="5" t="s">
        <v>238</v>
      </c>
      <c r="BC1462" s="5" t="s">
        <v>253</v>
      </c>
      <c r="BD1462" s="5" t="s">
        <v>238</v>
      </c>
      <c r="BF1462" s="5" t="s">
        <v>238</v>
      </c>
      <c r="BH1462" s="5" t="s">
        <v>283</v>
      </c>
      <c r="BI1462" s="6" t="s">
        <v>293</v>
      </c>
      <c r="BJ1462" s="5" t="s">
        <v>294</v>
      </c>
      <c r="BK1462" s="5" t="s">
        <v>294</v>
      </c>
      <c r="BL1462" s="5" t="s">
        <v>238</v>
      </c>
      <c r="BM1462" s="7">
        <f>0</f>
        <v>0</v>
      </c>
      <c r="BN1462" s="8">
        <f>-3103000</f>
        <v>-3103000</v>
      </c>
      <c r="BO1462" s="5" t="s">
        <v>257</v>
      </c>
      <c r="BP1462" s="5" t="s">
        <v>258</v>
      </c>
      <c r="BQ1462" s="5" t="s">
        <v>238</v>
      </c>
      <c r="BR1462" s="5" t="s">
        <v>238</v>
      </c>
      <c r="BS1462" s="5" t="s">
        <v>238</v>
      </c>
      <c r="BT1462" s="5" t="s">
        <v>238</v>
      </c>
      <c r="CC1462" s="5" t="s">
        <v>258</v>
      </c>
      <c r="CD1462" s="5" t="s">
        <v>238</v>
      </c>
      <c r="CE1462" s="5" t="s">
        <v>238</v>
      </c>
      <c r="CI1462" s="5" t="s">
        <v>259</v>
      </c>
      <c r="CJ1462" s="5" t="s">
        <v>260</v>
      </c>
      <c r="CK1462" s="5" t="s">
        <v>238</v>
      </c>
      <c r="CM1462" s="5" t="s">
        <v>1064</v>
      </c>
      <c r="CN1462" s="6" t="s">
        <v>262</v>
      </c>
      <c r="CO1462" s="5" t="s">
        <v>263</v>
      </c>
      <c r="CP1462" s="5" t="s">
        <v>264</v>
      </c>
      <c r="CQ1462" s="5" t="s">
        <v>285</v>
      </c>
      <c r="CR1462" s="5" t="s">
        <v>238</v>
      </c>
      <c r="CS1462" s="5">
        <v>0.02</v>
      </c>
      <c r="CT1462" s="5" t="s">
        <v>265</v>
      </c>
      <c r="CU1462" s="5" t="s">
        <v>1333</v>
      </c>
      <c r="CV1462" s="5" t="s">
        <v>308</v>
      </c>
      <c r="CW1462" s="7">
        <f>0</f>
        <v>0</v>
      </c>
      <c r="CX1462" s="8">
        <f>155150000</f>
        <v>155150000</v>
      </c>
      <c r="CY1462" s="8">
        <f>52751000</f>
        <v>52751000</v>
      </c>
      <c r="DA1462" s="5" t="s">
        <v>238</v>
      </c>
      <c r="DB1462" s="5" t="s">
        <v>238</v>
      </c>
      <c r="DD1462" s="5" t="s">
        <v>238</v>
      </c>
      <c r="DE1462" s="8">
        <f>0</f>
        <v>0</v>
      </c>
      <c r="DG1462" s="5" t="s">
        <v>238</v>
      </c>
      <c r="DH1462" s="5" t="s">
        <v>238</v>
      </c>
      <c r="DI1462" s="5" t="s">
        <v>238</v>
      </c>
      <c r="DJ1462" s="5" t="s">
        <v>238</v>
      </c>
      <c r="DK1462" s="5" t="s">
        <v>271</v>
      </c>
      <c r="DL1462" s="5" t="s">
        <v>272</v>
      </c>
      <c r="DM1462" s="7">
        <f>535</f>
        <v>535</v>
      </c>
      <c r="DN1462" s="5" t="s">
        <v>238</v>
      </c>
      <c r="DO1462" s="5" t="s">
        <v>238</v>
      </c>
      <c r="DP1462" s="5" t="s">
        <v>238</v>
      </c>
      <c r="DQ1462" s="5" t="s">
        <v>238</v>
      </c>
      <c r="DT1462" s="5" t="s">
        <v>1211</v>
      </c>
      <c r="DU1462" s="5" t="s">
        <v>271</v>
      </c>
      <c r="GL1462" s="5" t="s">
        <v>1909</v>
      </c>
      <c r="HM1462" s="5" t="s">
        <v>354</v>
      </c>
      <c r="HP1462" s="5" t="s">
        <v>272</v>
      </c>
      <c r="HQ1462" s="5" t="s">
        <v>272</v>
      </c>
      <c r="HR1462" s="5" t="s">
        <v>238</v>
      </c>
      <c r="HS1462" s="5" t="s">
        <v>238</v>
      </c>
      <c r="HT1462" s="5" t="s">
        <v>238</v>
      </c>
      <c r="HU1462" s="5" t="s">
        <v>238</v>
      </c>
      <c r="HV1462" s="5" t="s">
        <v>238</v>
      </c>
      <c r="HW1462" s="5" t="s">
        <v>238</v>
      </c>
      <c r="HX1462" s="5" t="s">
        <v>238</v>
      </c>
      <c r="HY1462" s="5" t="s">
        <v>238</v>
      </c>
      <c r="HZ1462" s="5" t="s">
        <v>238</v>
      </c>
      <c r="IA1462" s="5" t="s">
        <v>238</v>
      </c>
      <c r="IB1462" s="5" t="s">
        <v>238</v>
      </c>
      <c r="IC1462" s="5" t="s">
        <v>238</v>
      </c>
      <c r="ID1462" s="5" t="s">
        <v>238</v>
      </c>
    </row>
    <row r="1463" spans="1:238" x14ac:dyDescent="0.4">
      <c r="A1463" s="5">
        <v>1835</v>
      </c>
      <c r="B1463" s="5">
        <v>1</v>
      </c>
      <c r="C1463" s="5">
        <v>4</v>
      </c>
      <c r="D1463" s="5" t="s">
        <v>1208</v>
      </c>
      <c r="E1463" s="5" t="s">
        <v>1209</v>
      </c>
      <c r="F1463" s="5" t="s">
        <v>252</v>
      </c>
      <c r="G1463" s="5" t="s">
        <v>2349</v>
      </c>
      <c r="H1463" s="6" t="s">
        <v>1210</v>
      </c>
      <c r="I1463" s="5" t="s">
        <v>2348</v>
      </c>
      <c r="J1463" s="7">
        <f>2469.33</f>
        <v>2469.33</v>
      </c>
      <c r="K1463" s="5" t="s">
        <v>270</v>
      </c>
      <c r="L1463" s="8">
        <f>58720698</f>
        <v>58720698</v>
      </c>
      <c r="M1463" s="8">
        <f>716105700</f>
        <v>716105700</v>
      </c>
      <c r="N1463" s="6" t="s">
        <v>1063</v>
      </c>
      <c r="O1463" s="5" t="s">
        <v>639</v>
      </c>
      <c r="P1463" s="5" t="s">
        <v>991</v>
      </c>
      <c r="Q1463" s="8">
        <f>19334853</f>
        <v>19334853</v>
      </c>
      <c r="R1463" s="8">
        <f>657385002</f>
        <v>657385002</v>
      </c>
      <c r="S1463" s="5" t="s">
        <v>240</v>
      </c>
      <c r="T1463" s="5" t="s">
        <v>237</v>
      </c>
      <c r="U1463" s="5" t="s">
        <v>238</v>
      </c>
      <c r="V1463" s="5" t="s">
        <v>238</v>
      </c>
      <c r="W1463" s="5" t="s">
        <v>241</v>
      </c>
      <c r="X1463" s="5" t="s">
        <v>802</v>
      </c>
      <c r="Y1463" s="5" t="s">
        <v>238</v>
      </c>
      <c r="AB1463" s="5" t="s">
        <v>238</v>
      </c>
      <c r="AC1463" s="6" t="s">
        <v>238</v>
      </c>
      <c r="AD1463" s="6" t="s">
        <v>238</v>
      </c>
      <c r="AF1463" s="6" t="s">
        <v>238</v>
      </c>
      <c r="AG1463" s="6" t="s">
        <v>246</v>
      </c>
      <c r="AH1463" s="5" t="s">
        <v>247</v>
      </c>
      <c r="AI1463" s="5" t="s">
        <v>248</v>
      </c>
      <c r="AO1463" s="5" t="s">
        <v>238</v>
      </c>
      <c r="AP1463" s="5" t="s">
        <v>238</v>
      </c>
      <c r="AQ1463" s="5" t="s">
        <v>238</v>
      </c>
      <c r="AR1463" s="6" t="s">
        <v>238</v>
      </c>
      <c r="AS1463" s="6" t="s">
        <v>238</v>
      </c>
      <c r="AT1463" s="6" t="s">
        <v>238</v>
      </c>
      <c r="AW1463" s="5" t="s">
        <v>304</v>
      </c>
      <c r="AX1463" s="5" t="s">
        <v>304</v>
      </c>
      <c r="AY1463" s="5" t="s">
        <v>250</v>
      </c>
      <c r="AZ1463" s="5" t="s">
        <v>305</v>
      </c>
      <c r="BA1463" s="5" t="s">
        <v>251</v>
      </c>
      <c r="BB1463" s="5" t="s">
        <v>238</v>
      </c>
      <c r="BC1463" s="5" t="s">
        <v>253</v>
      </c>
      <c r="BD1463" s="5" t="s">
        <v>238</v>
      </c>
      <c r="BF1463" s="5" t="s">
        <v>238</v>
      </c>
      <c r="BH1463" s="5" t="s">
        <v>283</v>
      </c>
      <c r="BI1463" s="6" t="s">
        <v>293</v>
      </c>
      <c r="BJ1463" s="5" t="s">
        <v>294</v>
      </c>
      <c r="BK1463" s="5" t="s">
        <v>294</v>
      </c>
      <c r="BL1463" s="5" t="s">
        <v>238</v>
      </c>
      <c r="BM1463" s="7">
        <f>0</f>
        <v>0</v>
      </c>
      <c r="BN1463" s="8">
        <f>-19334853</f>
        <v>-19334853</v>
      </c>
      <c r="BO1463" s="5" t="s">
        <v>257</v>
      </c>
      <c r="BP1463" s="5" t="s">
        <v>258</v>
      </c>
      <c r="BQ1463" s="5" t="s">
        <v>238</v>
      </c>
      <c r="BR1463" s="5" t="s">
        <v>238</v>
      </c>
      <c r="BS1463" s="5" t="s">
        <v>238</v>
      </c>
      <c r="BT1463" s="5" t="s">
        <v>238</v>
      </c>
      <c r="CC1463" s="5" t="s">
        <v>258</v>
      </c>
      <c r="CD1463" s="5" t="s">
        <v>238</v>
      </c>
      <c r="CE1463" s="5" t="s">
        <v>238</v>
      </c>
      <c r="CI1463" s="5" t="s">
        <v>259</v>
      </c>
      <c r="CJ1463" s="5" t="s">
        <v>260</v>
      </c>
      <c r="CK1463" s="5" t="s">
        <v>238</v>
      </c>
      <c r="CM1463" s="5" t="s">
        <v>1064</v>
      </c>
      <c r="CN1463" s="6" t="s">
        <v>262</v>
      </c>
      <c r="CO1463" s="5" t="s">
        <v>263</v>
      </c>
      <c r="CP1463" s="5" t="s">
        <v>264</v>
      </c>
      <c r="CQ1463" s="5" t="s">
        <v>285</v>
      </c>
      <c r="CR1463" s="5" t="s">
        <v>238</v>
      </c>
      <c r="CS1463" s="5">
        <v>2.7E-2</v>
      </c>
      <c r="CT1463" s="5" t="s">
        <v>265</v>
      </c>
      <c r="CU1463" s="5" t="s">
        <v>2321</v>
      </c>
      <c r="CV1463" s="5" t="s">
        <v>308</v>
      </c>
      <c r="CW1463" s="7">
        <f>0</f>
        <v>0</v>
      </c>
      <c r="CX1463" s="8">
        <f>716105700</f>
        <v>716105700</v>
      </c>
      <c r="CY1463" s="8">
        <f>78055551</f>
        <v>78055551</v>
      </c>
      <c r="DA1463" s="5" t="s">
        <v>238</v>
      </c>
      <c r="DB1463" s="5" t="s">
        <v>238</v>
      </c>
      <c r="DD1463" s="5" t="s">
        <v>238</v>
      </c>
      <c r="DE1463" s="8">
        <f>0</f>
        <v>0</v>
      </c>
      <c r="DG1463" s="5" t="s">
        <v>238</v>
      </c>
      <c r="DH1463" s="5" t="s">
        <v>238</v>
      </c>
      <c r="DI1463" s="5" t="s">
        <v>238</v>
      </c>
      <c r="DJ1463" s="5" t="s">
        <v>238</v>
      </c>
      <c r="DK1463" s="5" t="s">
        <v>271</v>
      </c>
      <c r="DL1463" s="5" t="s">
        <v>272</v>
      </c>
      <c r="DM1463" s="7">
        <f>2469.33</f>
        <v>2469.33</v>
      </c>
      <c r="DN1463" s="5" t="s">
        <v>238</v>
      </c>
      <c r="DO1463" s="5" t="s">
        <v>238</v>
      </c>
      <c r="DP1463" s="5" t="s">
        <v>238</v>
      </c>
      <c r="DQ1463" s="5" t="s">
        <v>238</v>
      </c>
      <c r="DT1463" s="5" t="s">
        <v>1211</v>
      </c>
      <c r="DU1463" s="5" t="s">
        <v>274</v>
      </c>
      <c r="GL1463" s="5" t="s">
        <v>2350</v>
      </c>
      <c r="HM1463" s="5" t="s">
        <v>354</v>
      </c>
      <c r="HP1463" s="5" t="s">
        <v>272</v>
      </c>
      <c r="HQ1463" s="5" t="s">
        <v>272</v>
      </c>
      <c r="HR1463" s="5" t="s">
        <v>238</v>
      </c>
      <c r="HS1463" s="5" t="s">
        <v>238</v>
      </c>
      <c r="HT1463" s="5" t="s">
        <v>238</v>
      </c>
      <c r="HU1463" s="5" t="s">
        <v>238</v>
      </c>
      <c r="HV1463" s="5" t="s">
        <v>238</v>
      </c>
      <c r="HW1463" s="5" t="s">
        <v>238</v>
      </c>
      <c r="HX1463" s="5" t="s">
        <v>238</v>
      </c>
      <c r="HY1463" s="5" t="s">
        <v>238</v>
      </c>
      <c r="HZ1463" s="5" t="s">
        <v>238</v>
      </c>
      <c r="IA1463" s="5" t="s">
        <v>238</v>
      </c>
      <c r="IB1463" s="5" t="s">
        <v>238</v>
      </c>
      <c r="IC1463" s="5" t="s">
        <v>238</v>
      </c>
      <c r="ID1463" s="5" t="s">
        <v>238</v>
      </c>
    </row>
    <row r="1464" spans="1:238" x14ac:dyDescent="0.4">
      <c r="A1464" s="5">
        <v>1836</v>
      </c>
      <c r="B1464" s="5">
        <v>1</v>
      </c>
      <c r="C1464" s="5">
        <v>4</v>
      </c>
      <c r="D1464" s="5" t="s">
        <v>1208</v>
      </c>
      <c r="E1464" s="5" t="s">
        <v>1209</v>
      </c>
      <c r="F1464" s="5" t="s">
        <v>252</v>
      </c>
      <c r="G1464" s="5" t="s">
        <v>2352</v>
      </c>
      <c r="H1464" s="6" t="s">
        <v>1210</v>
      </c>
      <c r="I1464" s="5" t="s">
        <v>2351</v>
      </c>
      <c r="J1464" s="7">
        <f>1011.56</f>
        <v>1011.56</v>
      </c>
      <c r="K1464" s="5" t="s">
        <v>270</v>
      </c>
      <c r="L1464" s="8">
        <f>24054924</f>
        <v>24054924</v>
      </c>
      <c r="M1464" s="8">
        <f>293352400</f>
        <v>293352400</v>
      </c>
      <c r="N1464" s="6" t="s">
        <v>1063</v>
      </c>
      <c r="O1464" s="5" t="s">
        <v>639</v>
      </c>
      <c r="P1464" s="5" t="s">
        <v>991</v>
      </c>
      <c r="Q1464" s="8">
        <f>7920514</f>
        <v>7920514</v>
      </c>
      <c r="R1464" s="8">
        <f>269297476</f>
        <v>269297476</v>
      </c>
      <c r="S1464" s="5" t="s">
        <v>240</v>
      </c>
      <c r="T1464" s="5" t="s">
        <v>237</v>
      </c>
      <c r="U1464" s="5" t="s">
        <v>238</v>
      </c>
      <c r="V1464" s="5" t="s">
        <v>238</v>
      </c>
      <c r="W1464" s="5" t="s">
        <v>241</v>
      </c>
      <c r="X1464" s="5" t="s">
        <v>802</v>
      </c>
      <c r="Y1464" s="5" t="s">
        <v>238</v>
      </c>
      <c r="AB1464" s="5" t="s">
        <v>238</v>
      </c>
      <c r="AC1464" s="6" t="s">
        <v>238</v>
      </c>
      <c r="AD1464" s="6" t="s">
        <v>238</v>
      </c>
      <c r="AF1464" s="6" t="s">
        <v>238</v>
      </c>
      <c r="AG1464" s="6" t="s">
        <v>246</v>
      </c>
      <c r="AH1464" s="5" t="s">
        <v>247</v>
      </c>
      <c r="AI1464" s="5" t="s">
        <v>248</v>
      </c>
      <c r="AO1464" s="5" t="s">
        <v>238</v>
      </c>
      <c r="AP1464" s="5" t="s">
        <v>238</v>
      </c>
      <c r="AQ1464" s="5" t="s">
        <v>238</v>
      </c>
      <c r="AR1464" s="6" t="s">
        <v>238</v>
      </c>
      <c r="AS1464" s="6" t="s">
        <v>238</v>
      </c>
      <c r="AT1464" s="6" t="s">
        <v>238</v>
      </c>
      <c r="AW1464" s="5" t="s">
        <v>304</v>
      </c>
      <c r="AX1464" s="5" t="s">
        <v>304</v>
      </c>
      <c r="AY1464" s="5" t="s">
        <v>250</v>
      </c>
      <c r="AZ1464" s="5" t="s">
        <v>305</v>
      </c>
      <c r="BA1464" s="5" t="s">
        <v>251</v>
      </c>
      <c r="BB1464" s="5" t="s">
        <v>238</v>
      </c>
      <c r="BC1464" s="5" t="s">
        <v>253</v>
      </c>
      <c r="BD1464" s="5" t="s">
        <v>238</v>
      </c>
      <c r="BF1464" s="5" t="s">
        <v>238</v>
      </c>
      <c r="BH1464" s="5" t="s">
        <v>283</v>
      </c>
      <c r="BI1464" s="6" t="s">
        <v>293</v>
      </c>
      <c r="BJ1464" s="5" t="s">
        <v>294</v>
      </c>
      <c r="BK1464" s="5" t="s">
        <v>294</v>
      </c>
      <c r="BL1464" s="5" t="s">
        <v>238</v>
      </c>
      <c r="BM1464" s="7">
        <f>0</f>
        <v>0</v>
      </c>
      <c r="BN1464" s="8">
        <f>-7920514</f>
        <v>-7920514</v>
      </c>
      <c r="BO1464" s="5" t="s">
        <v>257</v>
      </c>
      <c r="BP1464" s="5" t="s">
        <v>258</v>
      </c>
      <c r="BQ1464" s="5" t="s">
        <v>238</v>
      </c>
      <c r="BR1464" s="5" t="s">
        <v>238</v>
      </c>
      <c r="BS1464" s="5" t="s">
        <v>238</v>
      </c>
      <c r="BT1464" s="5" t="s">
        <v>238</v>
      </c>
      <c r="CC1464" s="5" t="s">
        <v>258</v>
      </c>
      <c r="CD1464" s="5" t="s">
        <v>238</v>
      </c>
      <c r="CE1464" s="5" t="s">
        <v>238</v>
      </c>
      <c r="CI1464" s="5" t="s">
        <v>259</v>
      </c>
      <c r="CJ1464" s="5" t="s">
        <v>260</v>
      </c>
      <c r="CK1464" s="5" t="s">
        <v>238</v>
      </c>
      <c r="CM1464" s="5" t="s">
        <v>1064</v>
      </c>
      <c r="CN1464" s="6" t="s">
        <v>262</v>
      </c>
      <c r="CO1464" s="5" t="s">
        <v>263</v>
      </c>
      <c r="CP1464" s="5" t="s">
        <v>264</v>
      </c>
      <c r="CQ1464" s="5" t="s">
        <v>285</v>
      </c>
      <c r="CR1464" s="5" t="s">
        <v>238</v>
      </c>
      <c r="CS1464" s="5">
        <v>2.7E-2</v>
      </c>
      <c r="CT1464" s="5" t="s">
        <v>265</v>
      </c>
      <c r="CU1464" s="5" t="s">
        <v>2321</v>
      </c>
      <c r="CV1464" s="5" t="s">
        <v>308</v>
      </c>
      <c r="CW1464" s="7">
        <f>0</f>
        <v>0</v>
      </c>
      <c r="CX1464" s="8">
        <f>293352400</f>
        <v>293352400</v>
      </c>
      <c r="CY1464" s="8">
        <f>31975438</f>
        <v>31975438</v>
      </c>
      <c r="DA1464" s="5" t="s">
        <v>238</v>
      </c>
      <c r="DB1464" s="5" t="s">
        <v>238</v>
      </c>
      <c r="DD1464" s="5" t="s">
        <v>238</v>
      </c>
      <c r="DE1464" s="8">
        <f>0</f>
        <v>0</v>
      </c>
      <c r="DG1464" s="5" t="s">
        <v>238</v>
      </c>
      <c r="DH1464" s="5" t="s">
        <v>238</v>
      </c>
      <c r="DI1464" s="5" t="s">
        <v>238</v>
      </c>
      <c r="DJ1464" s="5" t="s">
        <v>238</v>
      </c>
      <c r="DK1464" s="5" t="s">
        <v>271</v>
      </c>
      <c r="DL1464" s="5" t="s">
        <v>272</v>
      </c>
      <c r="DM1464" s="7">
        <f>1011.56</f>
        <v>1011.56</v>
      </c>
      <c r="DN1464" s="5" t="s">
        <v>238</v>
      </c>
      <c r="DO1464" s="5" t="s">
        <v>238</v>
      </c>
      <c r="DP1464" s="5" t="s">
        <v>238</v>
      </c>
      <c r="DQ1464" s="5" t="s">
        <v>238</v>
      </c>
      <c r="DT1464" s="5" t="s">
        <v>1211</v>
      </c>
      <c r="DU1464" s="5" t="s">
        <v>356</v>
      </c>
      <c r="GL1464" s="5" t="s">
        <v>2353</v>
      </c>
      <c r="HM1464" s="5" t="s">
        <v>354</v>
      </c>
      <c r="HP1464" s="5" t="s">
        <v>272</v>
      </c>
      <c r="HQ1464" s="5" t="s">
        <v>272</v>
      </c>
      <c r="HR1464" s="5" t="s">
        <v>238</v>
      </c>
      <c r="HS1464" s="5" t="s">
        <v>238</v>
      </c>
      <c r="HT1464" s="5" t="s">
        <v>238</v>
      </c>
      <c r="HU1464" s="5" t="s">
        <v>238</v>
      </c>
      <c r="HV1464" s="5" t="s">
        <v>238</v>
      </c>
      <c r="HW1464" s="5" t="s">
        <v>238</v>
      </c>
      <c r="HX1464" s="5" t="s">
        <v>238</v>
      </c>
      <c r="HY1464" s="5" t="s">
        <v>238</v>
      </c>
      <c r="HZ1464" s="5" t="s">
        <v>238</v>
      </c>
      <c r="IA1464" s="5" t="s">
        <v>238</v>
      </c>
      <c r="IB1464" s="5" t="s">
        <v>238</v>
      </c>
      <c r="IC1464" s="5" t="s">
        <v>238</v>
      </c>
      <c r="ID1464" s="5" t="s">
        <v>238</v>
      </c>
    </row>
    <row r="1465" spans="1:238" x14ac:dyDescent="0.4">
      <c r="A1465" s="5">
        <v>1837</v>
      </c>
      <c r="B1465" s="5">
        <v>1</v>
      </c>
      <c r="C1465" s="5">
        <v>1</v>
      </c>
      <c r="D1465" s="5" t="s">
        <v>1208</v>
      </c>
      <c r="E1465" s="5" t="s">
        <v>1209</v>
      </c>
      <c r="F1465" s="5" t="s">
        <v>252</v>
      </c>
      <c r="G1465" s="5" t="s">
        <v>1181</v>
      </c>
      <c r="H1465" s="6" t="s">
        <v>1210</v>
      </c>
      <c r="I1465" s="5" t="s">
        <v>1181</v>
      </c>
      <c r="J1465" s="7">
        <f>132.21</f>
        <v>132.21</v>
      </c>
      <c r="K1465" s="5" t="s">
        <v>270</v>
      </c>
      <c r="L1465" s="8">
        <f>1</f>
        <v>1</v>
      </c>
      <c r="M1465" s="8">
        <f>38340900</f>
        <v>38340900</v>
      </c>
      <c r="N1465" s="6" t="s">
        <v>1063</v>
      </c>
      <c r="O1465" s="5" t="s">
        <v>650</v>
      </c>
      <c r="P1465" s="5" t="s">
        <v>650</v>
      </c>
      <c r="R1465" s="8">
        <f>38340899</f>
        <v>38340899</v>
      </c>
      <c r="S1465" s="5" t="s">
        <v>240</v>
      </c>
      <c r="T1465" s="5" t="s">
        <v>237</v>
      </c>
      <c r="U1465" s="5" t="s">
        <v>238</v>
      </c>
      <c r="V1465" s="5" t="s">
        <v>238</v>
      </c>
      <c r="W1465" s="5" t="s">
        <v>241</v>
      </c>
      <c r="X1465" s="5" t="s">
        <v>802</v>
      </c>
      <c r="Y1465" s="5" t="s">
        <v>238</v>
      </c>
      <c r="AB1465" s="5" t="s">
        <v>238</v>
      </c>
      <c r="AD1465" s="6" t="s">
        <v>238</v>
      </c>
      <c r="AG1465" s="6" t="s">
        <v>246</v>
      </c>
      <c r="AH1465" s="5" t="s">
        <v>247</v>
      </c>
      <c r="AI1465" s="5" t="s">
        <v>248</v>
      </c>
      <c r="AY1465" s="5" t="s">
        <v>250</v>
      </c>
      <c r="AZ1465" s="5" t="s">
        <v>238</v>
      </c>
      <c r="BA1465" s="5" t="s">
        <v>251</v>
      </c>
      <c r="BB1465" s="5" t="s">
        <v>238</v>
      </c>
      <c r="BC1465" s="5" t="s">
        <v>253</v>
      </c>
      <c r="BD1465" s="5" t="s">
        <v>238</v>
      </c>
      <c r="BF1465" s="5" t="s">
        <v>238</v>
      </c>
      <c r="BH1465" s="5" t="s">
        <v>798</v>
      </c>
      <c r="BI1465" s="6" t="s">
        <v>799</v>
      </c>
      <c r="BJ1465" s="5" t="s">
        <v>255</v>
      </c>
      <c r="BK1465" s="5" t="s">
        <v>870</v>
      </c>
      <c r="BL1465" s="5" t="s">
        <v>238</v>
      </c>
      <c r="BM1465" s="7">
        <f>0</f>
        <v>0</v>
      </c>
      <c r="BN1465" s="8">
        <f>0</f>
        <v>0</v>
      </c>
      <c r="BO1465" s="5" t="s">
        <v>257</v>
      </c>
      <c r="BP1465" s="5" t="s">
        <v>258</v>
      </c>
      <c r="CD1465" s="5" t="s">
        <v>238</v>
      </c>
      <c r="CE1465" s="5" t="s">
        <v>238</v>
      </c>
      <c r="CI1465" s="5" t="s">
        <v>259</v>
      </c>
      <c r="CJ1465" s="5" t="s">
        <v>260</v>
      </c>
      <c r="CK1465" s="5" t="s">
        <v>238</v>
      </c>
      <c r="CM1465" s="5" t="s">
        <v>1064</v>
      </c>
      <c r="CN1465" s="6" t="s">
        <v>262</v>
      </c>
      <c r="CO1465" s="5" t="s">
        <v>263</v>
      </c>
      <c r="CP1465" s="5" t="s">
        <v>264</v>
      </c>
      <c r="CQ1465" s="5" t="s">
        <v>238</v>
      </c>
      <c r="CR1465" s="5" t="s">
        <v>238</v>
      </c>
      <c r="CS1465" s="5">
        <v>0</v>
      </c>
      <c r="CT1465" s="5" t="s">
        <v>265</v>
      </c>
      <c r="CU1465" s="5" t="s">
        <v>1187</v>
      </c>
      <c r="CV1465" s="5" t="s">
        <v>649</v>
      </c>
      <c r="CX1465" s="8">
        <f>38340900</f>
        <v>38340900</v>
      </c>
      <c r="CY1465" s="8">
        <f>0</f>
        <v>0</v>
      </c>
      <c r="DA1465" s="5" t="s">
        <v>238</v>
      </c>
      <c r="DB1465" s="5" t="s">
        <v>238</v>
      </c>
      <c r="DD1465" s="5" t="s">
        <v>238</v>
      </c>
      <c r="DG1465" s="5" t="s">
        <v>238</v>
      </c>
      <c r="DH1465" s="5" t="s">
        <v>238</v>
      </c>
      <c r="DI1465" s="5" t="s">
        <v>238</v>
      </c>
      <c r="DJ1465" s="5" t="s">
        <v>238</v>
      </c>
      <c r="DK1465" s="5" t="s">
        <v>271</v>
      </c>
      <c r="DL1465" s="5" t="s">
        <v>272</v>
      </c>
      <c r="DM1465" s="7">
        <f>132.21</f>
        <v>132.21</v>
      </c>
      <c r="DN1465" s="5" t="s">
        <v>238</v>
      </c>
      <c r="DO1465" s="5" t="s">
        <v>238</v>
      </c>
      <c r="DP1465" s="5" t="s">
        <v>238</v>
      </c>
      <c r="DQ1465" s="5" t="s">
        <v>238</v>
      </c>
      <c r="DT1465" s="5" t="s">
        <v>1211</v>
      </c>
      <c r="DU1465" s="5" t="s">
        <v>310</v>
      </c>
      <c r="HM1465" s="5" t="s">
        <v>389</v>
      </c>
      <c r="HP1465" s="5" t="s">
        <v>272</v>
      </c>
      <c r="HQ1465" s="5" t="s">
        <v>272</v>
      </c>
    </row>
    <row r="1466" spans="1:238" x14ac:dyDescent="0.4">
      <c r="A1466" s="5">
        <v>1838</v>
      </c>
      <c r="B1466" s="5">
        <v>1</v>
      </c>
      <c r="C1466" s="5">
        <v>4</v>
      </c>
      <c r="D1466" s="5" t="s">
        <v>1208</v>
      </c>
      <c r="E1466" s="5" t="s">
        <v>1209</v>
      </c>
      <c r="F1466" s="5" t="s">
        <v>252</v>
      </c>
      <c r="G1466" s="5" t="s">
        <v>2314</v>
      </c>
      <c r="H1466" s="6" t="s">
        <v>1210</v>
      </c>
      <c r="I1466" s="5" t="s">
        <v>2308</v>
      </c>
      <c r="J1466" s="7">
        <f>315.1</f>
        <v>315.10000000000002</v>
      </c>
      <c r="K1466" s="5" t="s">
        <v>270</v>
      </c>
      <c r="L1466" s="8">
        <f>7493078</f>
        <v>7493078</v>
      </c>
      <c r="M1466" s="8">
        <f>91379000</f>
        <v>91379000</v>
      </c>
      <c r="N1466" s="6" t="s">
        <v>1063</v>
      </c>
      <c r="O1466" s="5" t="s">
        <v>639</v>
      </c>
      <c r="P1466" s="5" t="s">
        <v>991</v>
      </c>
      <c r="Q1466" s="8">
        <f>2467233</f>
        <v>2467233</v>
      </c>
      <c r="R1466" s="8">
        <f>83885922</f>
        <v>83885922</v>
      </c>
      <c r="S1466" s="5" t="s">
        <v>240</v>
      </c>
      <c r="T1466" s="5" t="s">
        <v>237</v>
      </c>
      <c r="U1466" s="5" t="s">
        <v>238</v>
      </c>
      <c r="V1466" s="5" t="s">
        <v>238</v>
      </c>
      <c r="W1466" s="5" t="s">
        <v>241</v>
      </c>
      <c r="X1466" s="5" t="s">
        <v>802</v>
      </c>
      <c r="Y1466" s="5" t="s">
        <v>238</v>
      </c>
      <c r="AB1466" s="5" t="s">
        <v>238</v>
      </c>
      <c r="AC1466" s="6" t="s">
        <v>238</v>
      </c>
      <c r="AD1466" s="6" t="s">
        <v>238</v>
      </c>
      <c r="AF1466" s="6" t="s">
        <v>238</v>
      </c>
      <c r="AG1466" s="6" t="s">
        <v>246</v>
      </c>
      <c r="AH1466" s="5" t="s">
        <v>247</v>
      </c>
      <c r="AI1466" s="5" t="s">
        <v>248</v>
      </c>
      <c r="AO1466" s="5" t="s">
        <v>238</v>
      </c>
      <c r="AP1466" s="5" t="s">
        <v>238</v>
      </c>
      <c r="AQ1466" s="5" t="s">
        <v>238</v>
      </c>
      <c r="AR1466" s="6" t="s">
        <v>238</v>
      </c>
      <c r="AS1466" s="6" t="s">
        <v>238</v>
      </c>
      <c r="AT1466" s="6" t="s">
        <v>238</v>
      </c>
      <c r="AW1466" s="5" t="s">
        <v>304</v>
      </c>
      <c r="AX1466" s="5" t="s">
        <v>304</v>
      </c>
      <c r="AY1466" s="5" t="s">
        <v>250</v>
      </c>
      <c r="AZ1466" s="5" t="s">
        <v>305</v>
      </c>
      <c r="BA1466" s="5" t="s">
        <v>251</v>
      </c>
      <c r="BB1466" s="5" t="s">
        <v>238</v>
      </c>
      <c r="BC1466" s="5" t="s">
        <v>253</v>
      </c>
      <c r="BD1466" s="5" t="s">
        <v>238</v>
      </c>
      <c r="BF1466" s="5" t="s">
        <v>238</v>
      </c>
      <c r="BH1466" s="5" t="s">
        <v>283</v>
      </c>
      <c r="BI1466" s="6" t="s">
        <v>293</v>
      </c>
      <c r="BJ1466" s="5" t="s">
        <v>294</v>
      </c>
      <c r="BK1466" s="5" t="s">
        <v>294</v>
      </c>
      <c r="BL1466" s="5" t="s">
        <v>238</v>
      </c>
      <c r="BM1466" s="7">
        <f>0</f>
        <v>0</v>
      </c>
      <c r="BN1466" s="8">
        <f>-2467233</f>
        <v>-2467233</v>
      </c>
      <c r="BO1466" s="5" t="s">
        <v>257</v>
      </c>
      <c r="BP1466" s="5" t="s">
        <v>258</v>
      </c>
      <c r="BQ1466" s="5" t="s">
        <v>238</v>
      </c>
      <c r="BR1466" s="5" t="s">
        <v>238</v>
      </c>
      <c r="BS1466" s="5" t="s">
        <v>238</v>
      </c>
      <c r="BT1466" s="5" t="s">
        <v>238</v>
      </c>
      <c r="CC1466" s="5" t="s">
        <v>258</v>
      </c>
      <c r="CD1466" s="5" t="s">
        <v>238</v>
      </c>
      <c r="CE1466" s="5" t="s">
        <v>238</v>
      </c>
      <c r="CI1466" s="5" t="s">
        <v>259</v>
      </c>
      <c r="CJ1466" s="5" t="s">
        <v>260</v>
      </c>
      <c r="CK1466" s="5" t="s">
        <v>238</v>
      </c>
      <c r="CM1466" s="5" t="s">
        <v>1064</v>
      </c>
      <c r="CN1466" s="6" t="s">
        <v>262</v>
      </c>
      <c r="CO1466" s="5" t="s">
        <v>263</v>
      </c>
      <c r="CP1466" s="5" t="s">
        <v>264</v>
      </c>
      <c r="CQ1466" s="5" t="s">
        <v>285</v>
      </c>
      <c r="CR1466" s="5" t="s">
        <v>238</v>
      </c>
      <c r="CS1466" s="5">
        <v>2.7E-2</v>
      </c>
      <c r="CT1466" s="5" t="s">
        <v>265</v>
      </c>
      <c r="CU1466" s="5" t="s">
        <v>2321</v>
      </c>
      <c r="CV1466" s="5" t="s">
        <v>308</v>
      </c>
      <c r="CW1466" s="7">
        <f>0</f>
        <v>0</v>
      </c>
      <c r="CX1466" s="8">
        <f>91379000</f>
        <v>91379000</v>
      </c>
      <c r="CY1466" s="8">
        <f>9960311</f>
        <v>9960311</v>
      </c>
      <c r="DA1466" s="5" t="s">
        <v>238</v>
      </c>
      <c r="DB1466" s="5" t="s">
        <v>238</v>
      </c>
      <c r="DD1466" s="5" t="s">
        <v>238</v>
      </c>
      <c r="DE1466" s="8">
        <f>0</f>
        <v>0</v>
      </c>
      <c r="DG1466" s="5" t="s">
        <v>238</v>
      </c>
      <c r="DH1466" s="5" t="s">
        <v>238</v>
      </c>
      <c r="DI1466" s="5" t="s">
        <v>238</v>
      </c>
      <c r="DJ1466" s="5" t="s">
        <v>238</v>
      </c>
      <c r="DK1466" s="5" t="s">
        <v>271</v>
      </c>
      <c r="DL1466" s="5" t="s">
        <v>272</v>
      </c>
      <c r="DM1466" s="7">
        <f>315.1</f>
        <v>315.10000000000002</v>
      </c>
      <c r="DN1466" s="5" t="s">
        <v>238</v>
      </c>
      <c r="DO1466" s="5" t="s">
        <v>238</v>
      </c>
      <c r="DP1466" s="5" t="s">
        <v>238</v>
      </c>
      <c r="DQ1466" s="5" t="s">
        <v>238</v>
      </c>
      <c r="DT1466" s="5" t="s">
        <v>1211</v>
      </c>
      <c r="DU1466" s="5" t="s">
        <v>379</v>
      </c>
      <c r="GL1466" s="5" t="s">
        <v>2354</v>
      </c>
      <c r="HM1466" s="5" t="s">
        <v>354</v>
      </c>
      <c r="HP1466" s="5" t="s">
        <v>272</v>
      </c>
      <c r="HQ1466" s="5" t="s">
        <v>272</v>
      </c>
      <c r="HR1466" s="5" t="s">
        <v>238</v>
      </c>
      <c r="HS1466" s="5" t="s">
        <v>238</v>
      </c>
      <c r="HT1466" s="5" t="s">
        <v>238</v>
      </c>
      <c r="HU1466" s="5" t="s">
        <v>238</v>
      </c>
      <c r="HV1466" s="5" t="s">
        <v>238</v>
      </c>
      <c r="HW1466" s="5" t="s">
        <v>238</v>
      </c>
      <c r="HX1466" s="5" t="s">
        <v>238</v>
      </c>
      <c r="HY1466" s="5" t="s">
        <v>238</v>
      </c>
      <c r="HZ1466" s="5" t="s">
        <v>238</v>
      </c>
      <c r="IA1466" s="5" t="s">
        <v>238</v>
      </c>
      <c r="IB1466" s="5" t="s">
        <v>238</v>
      </c>
      <c r="IC1466" s="5" t="s">
        <v>238</v>
      </c>
      <c r="ID1466" s="5" t="s">
        <v>238</v>
      </c>
    </row>
    <row r="1467" spans="1:238" x14ac:dyDescent="0.4">
      <c r="A1467" s="5">
        <v>1839</v>
      </c>
      <c r="B1467" s="5">
        <v>1</v>
      </c>
      <c r="C1467" s="5">
        <v>4</v>
      </c>
      <c r="D1467" s="5" t="s">
        <v>1208</v>
      </c>
      <c r="E1467" s="5" t="s">
        <v>1209</v>
      </c>
      <c r="F1467" s="5" t="s">
        <v>252</v>
      </c>
      <c r="G1467" s="5" t="s">
        <v>3074</v>
      </c>
      <c r="H1467" s="6" t="s">
        <v>1210</v>
      </c>
      <c r="I1467" s="5" t="s">
        <v>3073</v>
      </c>
      <c r="J1467" s="7">
        <f>0</f>
        <v>0</v>
      </c>
      <c r="K1467" s="5" t="s">
        <v>270</v>
      </c>
      <c r="L1467" s="8">
        <f>441695</f>
        <v>441695</v>
      </c>
      <c r="M1467" s="8">
        <f>664200</f>
        <v>664200</v>
      </c>
      <c r="N1467" s="6" t="s">
        <v>1627</v>
      </c>
      <c r="O1467" s="5" t="s">
        <v>268</v>
      </c>
      <c r="P1467" s="5" t="s">
        <v>356</v>
      </c>
      <c r="Q1467" s="8">
        <f>44501</f>
        <v>44501</v>
      </c>
      <c r="R1467" s="8">
        <f>222505</f>
        <v>222505</v>
      </c>
      <c r="S1467" s="5" t="s">
        <v>240</v>
      </c>
      <c r="T1467" s="5" t="s">
        <v>287</v>
      </c>
      <c r="U1467" s="5" t="s">
        <v>238</v>
      </c>
      <c r="V1467" s="5" t="s">
        <v>238</v>
      </c>
      <c r="W1467" s="5" t="s">
        <v>241</v>
      </c>
      <c r="X1467" s="5" t="s">
        <v>802</v>
      </c>
      <c r="Y1467" s="5" t="s">
        <v>238</v>
      </c>
      <c r="AB1467" s="5" t="s">
        <v>238</v>
      </c>
      <c r="AC1467" s="6" t="s">
        <v>238</v>
      </c>
      <c r="AD1467" s="6" t="s">
        <v>238</v>
      </c>
      <c r="AF1467" s="6" t="s">
        <v>238</v>
      </c>
      <c r="AG1467" s="6" t="s">
        <v>246</v>
      </c>
      <c r="AH1467" s="5" t="s">
        <v>247</v>
      </c>
      <c r="AI1467" s="5" t="s">
        <v>248</v>
      </c>
      <c r="AO1467" s="5" t="s">
        <v>238</v>
      </c>
      <c r="AP1467" s="5" t="s">
        <v>238</v>
      </c>
      <c r="AQ1467" s="5" t="s">
        <v>238</v>
      </c>
      <c r="AR1467" s="6" t="s">
        <v>238</v>
      </c>
      <c r="AS1467" s="6" t="s">
        <v>238</v>
      </c>
      <c r="AT1467" s="6" t="s">
        <v>238</v>
      </c>
      <c r="AW1467" s="5" t="s">
        <v>304</v>
      </c>
      <c r="AX1467" s="5" t="s">
        <v>304</v>
      </c>
      <c r="AY1467" s="5" t="s">
        <v>250</v>
      </c>
      <c r="AZ1467" s="5" t="s">
        <v>305</v>
      </c>
      <c r="BA1467" s="5" t="s">
        <v>251</v>
      </c>
      <c r="BB1467" s="5" t="s">
        <v>238</v>
      </c>
      <c r="BC1467" s="5" t="s">
        <v>253</v>
      </c>
      <c r="BD1467" s="5" t="s">
        <v>238</v>
      </c>
      <c r="BF1467" s="5" t="s">
        <v>238</v>
      </c>
      <c r="BH1467" s="5" t="s">
        <v>283</v>
      </c>
      <c r="BI1467" s="6" t="s">
        <v>293</v>
      </c>
      <c r="BJ1467" s="5" t="s">
        <v>294</v>
      </c>
      <c r="BK1467" s="5" t="s">
        <v>294</v>
      </c>
      <c r="BL1467" s="5" t="s">
        <v>238</v>
      </c>
      <c r="BM1467" s="7">
        <f>0</f>
        <v>0</v>
      </c>
      <c r="BN1467" s="8">
        <f>-44501</f>
        <v>-44501</v>
      </c>
      <c r="BO1467" s="5" t="s">
        <v>257</v>
      </c>
      <c r="BP1467" s="5" t="s">
        <v>258</v>
      </c>
      <c r="BQ1467" s="5" t="s">
        <v>238</v>
      </c>
      <c r="BR1467" s="5" t="s">
        <v>238</v>
      </c>
      <c r="BS1467" s="5" t="s">
        <v>238</v>
      </c>
      <c r="BT1467" s="5" t="s">
        <v>238</v>
      </c>
      <c r="CC1467" s="5" t="s">
        <v>258</v>
      </c>
      <c r="CD1467" s="5" t="s">
        <v>238</v>
      </c>
      <c r="CE1467" s="5" t="s">
        <v>238</v>
      </c>
      <c r="CI1467" s="5" t="s">
        <v>259</v>
      </c>
      <c r="CJ1467" s="5" t="s">
        <v>260</v>
      </c>
      <c r="CK1467" s="5" t="s">
        <v>238</v>
      </c>
      <c r="CM1467" s="5" t="s">
        <v>376</v>
      </c>
      <c r="CN1467" s="6" t="s">
        <v>262</v>
      </c>
      <c r="CO1467" s="5" t="s">
        <v>263</v>
      </c>
      <c r="CP1467" s="5" t="s">
        <v>264</v>
      </c>
      <c r="CQ1467" s="5" t="s">
        <v>285</v>
      </c>
      <c r="CR1467" s="5" t="s">
        <v>238</v>
      </c>
      <c r="CS1467" s="5">
        <v>6.7000000000000004E-2</v>
      </c>
      <c r="CT1467" s="5" t="s">
        <v>265</v>
      </c>
      <c r="CU1467" s="5" t="s">
        <v>351</v>
      </c>
      <c r="CV1467" s="5" t="s">
        <v>365</v>
      </c>
      <c r="CW1467" s="7">
        <f>0</f>
        <v>0</v>
      </c>
      <c r="CX1467" s="8">
        <f>664200</f>
        <v>664200</v>
      </c>
      <c r="CY1467" s="8">
        <f>486196</f>
        <v>486196</v>
      </c>
      <c r="DA1467" s="5" t="s">
        <v>238</v>
      </c>
      <c r="DB1467" s="5" t="s">
        <v>238</v>
      </c>
      <c r="DD1467" s="5" t="s">
        <v>238</v>
      </c>
      <c r="DE1467" s="8">
        <f>0</f>
        <v>0</v>
      </c>
      <c r="DG1467" s="5" t="s">
        <v>238</v>
      </c>
      <c r="DH1467" s="5" t="s">
        <v>238</v>
      </c>
      <c r="DI1467" s="5" t="s">
        <v>238</v>
      </c>
      <c r="DJ1467" s="5" t="s">
        <v>238</v>
      </c>
      <c r="DK1467" s="5" t="s">
        <v>272</v>
      </c>
      <c r="DL1467" s="5" t="s">
        <v>272</v>
      </c>
      <c r="DM1467" s="8" t="s">
        <v>238</v>
      </c>
      <c r="DN1467" s="5" t="s">
        <v>238</v>
      </c>
      <c r="DO1467" s="5" t="s">
        <v>238</v>
      </c>
      <c r="DP1467" s="5" t="s">
        <v>238</v>
      </c>
      <c r="DQ1467" s="5" t="s">
        <v>238</v>
      </c>
      <c r="DT1467" s="5" t="s">
        <v>1211</v>
      </c>
      <c r="DU1467" s="5" t="s">
        <v>313</v>
      </c>
      <c r="GL1467" s="5" t="s">
        <v>3075</v>
      </c>
      <c r="HM1467" s="5" t="s">
        <v>389</v>
      </c>
      <c r="HP1467" s="5" t="s">
        <v>272</v>
      </c>
      <c r="HQ1467" s="5" t="s">
        <v>272</v>
      </c>
      <c r="HR1467" s="5" t="s">
        <v>238</v>
      </c>
      <c r="HS1467" s="5" t="s">
        <v>238</v>
      </c>
      <c r="HT1467" s="5" t="s">
        <v>238</v>
      </c>
      <c r="HU1467" s="5" t="s">
        <v>238</v>
      </c>
      <c r="HV1467" s="5" t="s">
        <v>238</v>
      </c>
      <c r="HW1467" s="5" t="s">
        <v>238</v>
      </c>
      <c r="HX1467" s="5" t="s">
        <v>238</v>
      </c>
      <c r="HY1467" s="5" t="s">
        <v>238</v>
      </c>
      <c r="HZ1467" s="5" t="s">
        <v>238</v>
      </c>
      <c r="IA1467" s="5" t="s">
        <v>238</v>
      </c>
      <c r="IB1467" s="5" t="s">
        <v>238</v>
      </c>
      <c r="IC1467" s="5" t="s">
        <v>238</v>
      </c>
      <c r="ID1467" s="5" t="s">
        <v>238</v>
      </c>
    </row>
    <row r="1468" spans="1:238" x14ac:dyDescent="0.4">
      <c r="A1468" s="5">
        <v>1842</v>
      </c>
      <c r="B1468" s="5">
        <v>1</v>
      </c>
      <c r="C1468" s="5">
        <v>1</v>
      </c>
      <c r="D1468" s="5" t="s">
        <v>1865</v>
      </c>
      <c r="E1468" s="5" t="s">
        <v>244</v>
      </c>
      <c r="F1468" s="5" t="s">
        <v>252</v>
      </c>
      <c r="G1468" s="5" t="s">
        <v>1809</v>
      </c>
      <c r="H1468" s="6" t="s">
        <v>1867</v>
      </c>
      <c r="I1468" s="5" t="s">
        <v>1864</v>
      </c>
      <c r="J1468" s="7">
        <f>84</f>
        <v>84</v>
      </c>
      <c r="K1468" s="5" t="s">
        <v>270</v>
      </c>
      <c r="L1468" s="8">
        <f>1</f>
        <v>1</v>
      </c>
      <c r="M1468" s="8">
        <f>7560000</f>
        <v>7560000</v>
      </c>
      <c r="N1468" s="6" t="s">
        <v>1883</v>
      </c>
      <c r="O1468" s="5" t="s">
        <v>286</v>
      </c>
      <c r="P1468" s="5" t="s">
        <v>1884</v>
      </c>
      <c r="R1468" s="8">
        <f>7559999</f>
        <v>7559999</v>
      </c>
      <c r="S1468" s="5" t="s">
        <v>240</v>
      </c>
      <c r="T1468" s="5" t="s">
        <v>237</v>
      </c>
      <c r="U1468" s="5" t="s">
        <v>238</v>
      </c>
      <c r="V1468" s="5" t="s">
        <v>238</v>
      </c>
      <c r="W1468" s="5" t="s">
        <v>241</v>
      </c>
      <c r="X1468" s="5" t="s">
        <v>243</v>
      </c>
      <c r="Y1468" s="5" t="s">
        <v>238</v>
      </c>
      <c r="AB1468" s="5" t="s">
        <v>238</v>
      </c>
      <c r="AD1468" s="6" t="s">
        <v>238</v>
      </c>
      <c r="AG1468" s="6" t="s">
        <v>246</v>
      </c>
      <c r="AH1468" s="5" t="s">
        <v>247</v>
      </c>
      <c r="AI1468" s="5" t="s">
        <v>248</v>
      </c>
      <c r="AY1468" s="5" t="s">
        <v>250</v>
      </c>
      <c r="AZ1468" s="5" t="s">
        <v>238</v>
      </c>
      <c r="BA1468" s="5" t="s">
        <v>251</v>
      </c>
      <c r="BB1468" s="5" t="s">
        <v>238</v>
      </c>
      <c r="BC1468" s="5" t="s">
        <v>253</v>
      </c>
      <c r="BD1468" s="5" t="s">
        <v>238</v>
      </c>
      <c r="BF1468" s="5" t="s">
        <v>238</v>
      </c>
      <c r="BH1468" s="5" t="s">
        <v>254</v>
      </c>
      <c r="BI1468" s="6" t="s">
        <v>246</v>
      </c>
      <c r="BJ1468" s="5" t="s">
        <v>255</v>
      </c>
      <c r="BK1468" s="5" t="s">
        <v>256</v>
      </c>
      <c r="BL1468" s="5" t="s">
        <v>238</v>
      </c>
      <c r="BM1468" s="7">
        <f>0</f>
        <v>0</v>
      </c>
      <c r="BN1468" s="8">
        <f>0</f>
        <v>0</v>
      </c>
      <c r="BO1468" s="5" t="s">
        <v>257</v>
      </c>
      <c r="BP1468" s="5" t="s">
        <v>258</v>
      </c>
      <c r="CD1468" s="5" t="s">
        <v>238</v>
      </c>
      <c r="CE1468" s="5" t="s">
        <v>238</v>
      </c>
      <c r="CI1468" s="5" t="s">
        <v>527</v>
      </c>
      <c r="CJ1468" s="5" t="s">
        <v>260</v>
      </c>
      <c r="CK1468" s="5" t="s">
        <v>238</v>
      </c>
      <c r="CM1468" s="5" t="s">
        <v>1588</v>
      </c>
      <c r="CN1468" s="6" t="s">
        <v>262</v>
      </c>
      <c r="CO1468" s="5" t="s">
        <v>263</v>
      </c>
      <c r="CP1468" s="5" t="s">
        <v>264</v>
      </c>
      <c r="CQ1468" s="5" t="s">
        <v>238</v>
      </c>
      <c r="CR1468" s="5" t="s">
        <v>238</v>
      </c>
      <c r="CS1468" s="5">
        <v>0</v>
      </c>
      <c r="CT1468" s="5" t="s">
        <v>265</v>
      </c>
      <c r="CU1468" s="5" t="s">
        <v>1803</v>
      </c>
      <c r="CV1468" s="5" t="s">
        <v>267</v>
      </c>
      <c r="CX1468" s="8">
        <f>7560000</f>
        <v>7560000</v>
      </c>
      <c r="CY1468" s="8">
        <f>0</f>
        <v>0</v>
      </c>
      <c r="DA1468" s="5" t="s">
        <v>238</v>
      </c>
      <c r="DB1468" s="5" t="s">
        <v>238</v>
      </c>
      <c r="DD1468" s="5" t="s">
        <v>238</v>
      </c>
      <c r="DG1468" s="5" t="s">
        <v>238</v>
      </c>
      <c r="DH1468" s="5" t="s">
        <v>238</v>
      </c>
      <c r="DI1468" s="5" t="s">
        <v>238</v>
      </c>
      <c r="DJ1468" s="5" t="s">
        <v>238</v>
      </c>
      <c r="DK1468" s="5" t="s">
        <v>271</v>
      </c>
      <c r="DL1468" s="5" t="s">
        <v>272</v>
      </c>
      <c r="DM1468" s="7">
        <f>84</f>
        <v>84</v>
      </c>
      <c r="DN1468" s="5" t="s">
        <v>238</v>
      </c>
      <c r="DO1468" s="5" t="s">
        <v>238</v>
      </c>
      <c r="DP1468" s="5" t="s">
        <v>238</v>
      </c>
      <c r="DQ1468" s="5" t="s">
        <v>238</v>
      </c>
      <c r="DT1468" s="5" t="s">
        <v>1870</v>
      </c>
      <c r="DU1468" s="5" t="s">
        <v>271</v>
      </c>
      <c r="HM1468" s="5" t="s">
        <v>271</v>
      </c>
      <c r="HP1468" s="5" t="s">
        <v>272</v>
      </c>
      <c r="HQ1468" s="5" t="s">
        <v>272</v>
      </c>
    </row>
    <row r="1469" spans="1:238" x14ac:dyDescent="0.4">
      <c r="A1469" s="5">
        <v>1843</v>
      </c>
      <c r="B1469" s="5">
        <v>1</v>
      </c>
      <c r="C1469" s="5">
        <v>1</v>
      </c>
      <c r="D1469" s="5" t="s">
        <v>1865</v>
      </c>
      <c r="E1469" s="5" t="s">
        <v>244</v>
      </c>
      <c r="F1469" s="5" t="s">
        <v>252</v>
      </c>
      <c r="G1469" s="5" t="s">
        <v>1809</v>
      </c>
      <c r="H1469" s="6" t="s">
        <v>1867</v>
      </c>
      <c r="I1469" s="5" t="s">
        <v>1864</v>
      </c>
      <c r="J1469" s="7">
        <f>132</f>
        <v>132</v>
      </c>
      <c r="K1469" s="5" t="s">
        <v>270</v>
      </c>
      <c r="L1469" s="8">
        <f>1</f>
        <v>1</v>
      </c>
      <c r="M1469" s="8">
        <f>11880000</f>
        <v>11880000</v>
      </c>
      <c r="N1469" s="6" t="s">
        <v>1866</v>
      </c>
      <c r="O1469" s="5" t="s">
        <v>286</v>
      </c>
      <c r="P1469" s="5" t="s">
        <v>1869</v>
      </c>
      <c r="R1469" s="8">
        <f>11879999</f>
        <v>11879999</v>
      </c>
      <c r="S1469" s="5" t="s">
        <v>240</v>
      </c>
      <c r="T1469" s="5" t="s">
        <v>237</v>
      </c>
      <c r="U1469" s="5" t="s">
        <v>238</v>
      </c>
      <c r="V1469" s="5" t="s">
        <v>238</v>
      </c>
      <c r="W1469" s="5" t="s">
        <v>241</v>
      </c>
      <c r="X1469" s="5" t="s">
        <v>243</v>
      </c>
      <c r="Y1469" s="5" t="s">
        <v>238</v>
      </c>
      <c r="AB1469" s="5" t="s">
        <v>238</v>
      </c>
      <c r="AD1469" s="6" t="s">
        <v>238</v>
      </c>
      <c r="AG1469" s="6" t="s">
        <v>246</v>
      </c>
      <c r="AH1469" s="5" t="s">
        <v>247</v>
      </c>
      <c r="AI1469" s="5" t="s">
        <v>248</v>
      </c>
      <c r="AY1469" s="5" t="s">
        <v>250</v>
      </c>
      <c r="AZ1469" s="5" t="s">
        <v>238</v>
      </c>
      <c r="BA1469" s="5" t="s">
        <v>251</v>
      </c>
      <c r="BB1469" s="5" t="s">
        <v>238</v>
      </c>
      <c r="BC1469" s="5" t="s">
        <v>253</v>
      </c>
      <c r="BD1469" s="5" t="s">
        <v>238</v>
      </c>
      <c r="BF1469" s="5" t="s">
        <v>238</v>
      </c>
      <c r="BH1469" s="5" t="s">
        <v>859</v>
      </c>
      <c r="BI1469" s="6" t="s">
        <v>368</v>
      </c>
      <c r="BJ1469" s="5" t="s">
        <v>255</v>
      </c>
      <c r="BK1469" s="5" t="s">
        <v>256</v>
      </c>
      <c r="BL1469" s="5" t="s">
        <v>238</v>
      </c>
      <c r="BM1469" s="7">
        <f>0</f>
        <v>0</v>
      </c>
      <c r="BN1469" s="8">
        <f>0</f>
        <v>0</v>
      </c>
      <c r="BO1469" s="5" t="s">
        <v>257</v>
      </c>
      <c r="BP1469" s="5" t="s">
        <v>258</v>
      </c>
      <c r="CD1469" s="5" t="s">
        <v>238</v>
      </c>
      <c r="CE1469" s="5" t="s">
        <v>238</v>
      </c>
      <c r="CI1469" s="5" t="s">
        <v>527</v>
      </c>
      <c r="CJ1469" s="5" t="s">
        <v>260</v>
      </c>
      <c r="CK1469" s="5" t="s">
        <v>238</v>
      </c>
      <c r="CM1469" s="5" t="s">
        <v>1868</v>
      </c>
      <c r="CN1469" s="6" t="s">
        <v>262</v>
      </c>
      <c r="CO1469" s="5" t="s">
        <v>263</v>
      </c>
      <c r="CP1469" s="5" t="s">
        <v>264</v>
      </c>
      <c r="CQ1469" s="5" t="s">
        <v>238</v>
      </c>
      <c r="CR1469" s="5" t="s">
        <v>238</v>
      </c>
      <c r="CS1469" s="5">
        <v>0</v>
      </c>
      <c r="CT1469" s="5" t="s">
        <v>265</v>
      </c>
      <c r="CU1469" s="5" t="s">
        <v>1803</v>
      </c>
      <c r="CV1469" s="5" t="s">
        <v>267</v>
      </c>
      <c r="CX1469" s="8">
        <f>11880000</f>
        <v>11880000</v>
      </c>
      <c r="CY1469" s="8">
        <f>0</f>
        <v>0</v>
      </c>
      <c r="DA1469" s="5" t="s">
        <v>238</v>
      </c>
      <c r="DB1469" s="5" t="s">
        <v>238</v>
      </c>
      <c r="DD1469" s="5" t="s">
        <v>238</v>
      </c>
      <c r="DG1469" s="5" t="s">
        <v>238</v>
      </c>
      <c r="DH1469" s="5" t="s">
        <v>238</v>
      </c>
      <c r="DI1469" s="5" t="s">
        <v>238</v>
      </c>
      <c r="DJ1469" s="5" t="s">
        <v>238</v>
      </c>
      <c r="DK1469" s="5" t="s">
        <v>271</v>
      </c>
      <c r="DL1469" s="5" t="s">
        <v>272</v>
      </c>
      <c r="DM1469" s="7">
        <f>132</f>
        <v>132</v>
      </c>
      <c r="DN1469" s="5" t="s">
        <v>238</v>
      </c>
      <c r="DO1469" s="5" t="s">
        <v>238</v>
      </c>
      <c r="DP1469" s="5" t="s">
        <v>238</v>
      </c>
      <c r="DQ1469" s="5" t="s">
        <v>238</v>
      </c>
      <c r="DT1469" s="5" t="s">
        <v>1870</v>
      </c>
      <c r="DU1469" s="5" t="s">
        <v>274</v>
      </c>
      <c r="HM1469" s="5" t="s">
        <v>271</v>
      </c>
      <c r="HP1469" s="5" t="s">
        <v>272</v>
      </c>
      <c r="HQ1469" s="5" t="s">
        <v>272</v>
      </c>
    </row>
    <row r="1470" spans="1:238" x14ac:dyDescent="0.4">
      <c r="A1470" s="5">
        <v>1850</v>
      </c>
      <c r="B1470" s="5">
        <v>1</v>
      </c>
      <c r="C1470" s="5">
        <v>1</v>
      </c>
      <c r="D1470" s="5" t="s">
        <v>1517</v>
      </c>
      <c r="E1470" s="5" t="s">
        <v>315</v>
      </c>
      <c r="F1470" s="5" t="s">
        <v>252</v>
      </c>
      <c r="G1470" s="5" t="s">
        <v>1007</v>
      </c>
      <c r="H1470" s="6" t="s">
        <v>1519</v>
      </c>
      <c r="I1470" s="5" t="s">
        <v>1516</v>
      </c>
      <c r="J1470" s="7">
        <f>216</f>
        <v>216</v>
      </c>
      <c r="K1470" s="5" t="s">
        <v>270</v>
      </c>
      <c r="L1470" s="8">
        <f>1</f>
        <v>1</v>
      </c>
      <c r="M1470" s="8">
        <f>17280000</f>
        <v>17280000</v>
      </c>
      <c r="N1470" s="6" t="s">
        <v>1518</v>
      </c>
      <c r="O1470" s="5" t="s">
        <v>755</v>
      </c>
      <c r="P1470" s="5" t="s">
        <v>279</v>
      </c>
      <c r="R1470" s="8">
        <f>17279999</f>
        <v>17279999</v>
      </c>
      <c r="S1470" s="5" t="s">
        <v>240</v>
      </c>
      <c r="T1470" s="5" t="s">
        <v>237</v>
      </c>
      <c r="U1470" s="5" t="s">
        <v>238</v>
      </c>
      <c r="V1470" s="5" t="s">
        <v>238</v>
      </c>
      <c r="W1470" s="5" t="s">
        <v>241</v>
      </c>
      <c r="X1470" s="5" t="s">
        <v>243</v>
      </c>
      <c r="Y1470" s="5" t="s">
        <v>238</v>
      </c>
      <c r="AB1470" s="5" t="s">
        <v>238</v>
      </c>
      <c r="AD1470" s="6" t="s">
        <v>238</v>
      </c>
      <c r="AG1470" s="6" t="s">
        <v>246</v>
      </c>
      <c r="AH1470" s="5" t="s">
        <v>247</v>
      </c>
      <c r="AI1470" s="5" t="s">
        <v>248</v>
      </c>
      <c r="AY1470" s="5" t="s">
        <v>250</v>
      </c>
      <c r="AZ1470" s="5" t="s">
        <v>238</v>
      </c>
      <c r="BA1470" s="5" t="s">
        <v>251</v>
      </c>
      <c r="BB1470" s="5" t="s">
        <v>238</v>
      </c>
      <c r="BC1470" s="5" t="s">
        <v>253</v>
      </c>
      <c r="BD1470" s="5" t="s">
        <v>238</v>
      </c>
      <c r="BF1470" s="5" t="s">
        <v>1009</v>
      </c>
      <c r="BH1470" s="5" t="s">
        <v>254</v>
      </c>
      <c r="BI1470" s="6" t="s">
        <v>246</v>
      </c>
      <c r="BJ1470" s="5" t="s">
        <v>255</v>
      </c>
      <c r="BK1470" s="5" t="s">
        <v>256</v>
      </c>
      <c r="BL1470" s="5" t="s">
        <v>238</v>
      </c>
      <c r="BM1470" s="7">
        <f>0</f>
        <v>0</v>
      </c>
      <c r="BN1470" s="8">
        <f>0</f>
        <v>0</v>
      </c>
      <c r="BO1470" s="5" t="s">
        <v>257</v>
      </c>
      <c r="BP1470" s="5" t="s">
        <v>258</v>
      </c>
      <c r="CD1470" s="5" t="s">
        <v>238</v>
      </c>
      <c r="CE1470" s="5" t="s">
        <v>238</v>
      </c>
      <c r="CI1470" s="5" t="s">
        <v>527</v>
      </c>
      <c r="CJ1470" s="5" t="s">
        <v>260</v>
      </c>
      <c r="CK1470" s="5" t="s">
        <v>238</v>
      </c>
      <c r="CM1470" s="5" t="s">
        <v>1050</v>
      </c>
      <c r="CN1470" s="6" t="s">
        <v>262</v>
      </c>
      <c r="CO1470" s="5" t="s">
        <v>263</v>
      </c>
      <c r="CP1470" s="5" t="s">
        <v>264</v>
      </c>
      <c r="CQ1470" s="5" t="s">
        <v>238</v>
      </c>
      <c r="CR1470" s="5" t="s">
        <v>238</v>
      </c>
      <c r="CS1470" s="5">
        <v>0</v>
      </c>
      <c r="CT1470" s="5" t="s">
        <v>265</v>
      </c>
      <c r="CU1470" s="5" t="s">
        <v>1493</v>
      </c>
      <c r="CV1470" s="5" t="s">
        <v>649</v>
      </c>
      <c r="CX1470" s="8">
        <f>17280000</f>
        <v>17280000</v>
      </c>
      <c r="CY1470" s="8">
        <f>0</f>
        <v>0</v>
      </c>
      <c r="DA1470" s="5" t="s">
        <v>238</v>
      </c>
      <c r="DB1470" s="5" t="s">
        <v>238</v>
      </c>
      <c r="DD1470" s="5" t="s">
        <v>238</v>
      </c>
      <c r="DG1470" s="5" t="s">
        <v>238</v>
      </c>
      <c r="DH1470" s="5" t="s">
        <v>238</v>
      </c>
      <c r="DI1470" s="5" t="s">
        <v>238</v>
      </c>
      <c r="DJ1470" s="5" t="s">
        <v>238</v>
      </c>
      <c r="DK1470" s="5" t="s">
        <v>271</v>
      </c>
      <c r="DL1470" s="5" t="s">
        <v>272</v>
      </c>
      <c r="DM1470" s="7">
        <f>216</f>
        <v>216</v>
      </c>
      <c r="DN1470" s="5" t="s">
        <v>238</v>
      </c>
      <c r="DO1470" s="5" t="s">
        <v>238</v>
      </c>
      <c r="DP1470" s="5" t="s">
        <v>238</v>
      </c>
      <c r="DQ1470" s="5" t="s">
        <v>238</v>
      </c>
      <c r="DT1470" s="5" t="s">
        <v>1520</v>
      </c>
      <c r="DU1470" s="5" t="s">
        <v>271</v>
      </c>
      <c r="HM1470" s="5" t="s">
        <v>271</v>
      </c>
      <c r="HP1470" s="5" t="s">
        <v>272</v>
      </c>
      <c r="HQ1470" s="5" t="s">
        <v>272</v>
      </c>
    </row>
    <row r="1471" spans="1:238" x14ac:dyDescent="0.4">
      <c r="A1471" s="5">
        <v>1863</v>
      </c>
      <c r="B1471" s="5">
        <v>1</v>
      </c>
      <c r="C1471" s="5">
        <v>3</v>
      </c>
      <c r="D1471" s="5" t="s">
        <v>357</v>
      </c>
      <c r="E1471" s="5" t="s">
        <v>347</v>
      </c>
      <c r="F1471" s="5" t="s">
        <v>282</v>
      </c>
      <c r="G1471" s="5" t="s">
        <v>4280</v>
      </c>
      <c r="H1471" s="6" t="s">
        <v>3994</v>
      </c>
      <c r="I1471" s="5" t="s">
        <v>3129</v>
      </c>
      <c r="J1471" s="8">
        <f>1</f>
        <v>1</v>
      </c>
      <c r="K1471" s="5" t="s">
        <v>3176</v>
      </c>
      <c r="L1471" s="8">
        <f>164987</f>
        <v>164987</v>
      </c>
      <c r="M1471" s="8">
        <f>178750</f>
        <v>178750</v>
      </c>
      <c r="N1471" s="6" t="s">
        <v>4279</v>
      </c>
      <c r="O1471" s="5" t="s">
        <v>319</v>
      </c>
      <c r="P1471" s="5" t="s">
        <v>238</v>
      </c>
      <c r="Q1471" s="8">
        <f>0</f>
        <v>0</v>
      </c>
      <c r="R1471" s="8">
        <f>13763</f>
        <v>13763</v>
      </c>
      <c r="S1471" s="5" t="s">
        <v>240</v>
      </c>
      <c r="T1471" s="5" t="s">
        <v>238</v>
      </c>
      <c r="W1471" s="5" t="s">
        <v>238</v>
      </c>
      <c r="X1471" s="5" t="s">
        <v>238</v>
      </c>
      <c r="Y1471" s="5" t="s">
        <v>238</v>
      </c>
      <c r="AB1471" s="5" t="s">
        <v>347</v>
      </c>
      <c r="AC1471" s="6" t="s">
        <v>238</v>
      </c>
      <c r="AD1471" s="6" t="s">
        <v>238</v>
      </c>
      <c r="AE1471" s="5" t="s">
        <v>238</v>
      </c>
      <c r="AF1471" s="6" t="s">
        <v>238</v>
      </c>
      <c r="AG1471" s="6" t="s">
        <v>4279</v>
      </c>
      <c r="AH1471" s="5" t="s">
        <v>247</v>
      </c>
      <c r="AI1471" s="5" t="s">
        <v>238</v>
      </c>
      <c r="AO1471" s="5" t="s">
        <v>238</v>
      </c>
      <c r="AP1471" s="5" t="s">
        <v>238</v>
      </c>
      <c r="AQ1471" s="5" t="s">
        <v>238</v>
      </c>
      <c r="AR1471" s="6" t="s">
        <v>238</v>
      </c>
      <c r="AS1471" s="6" t="s">
        <v>238</v>
      </c>
      <c r="AT1471" s="6" t="s">
        <v>238</v>
      </c>
      <c r="AW1471" s="5" t="s">
        <v>304</v>
      </c>
      <c r="AX1471" s="5" t="s">
        <v>304</v>
      </c>
      <c r="AY1471" s="5" t="s">
        <v>250</v>
      </c>
      <c r="AZ1471" s="5" t="s">
        <v>281</v>
      </c>
      <c r="BA1471" s="5" t="s">
        <v>251</v>
      </c>
      <c r="BB1471" s="5" t="s">
        <v>238</v>
      </c>
      <c r="BC1471" s="5" t="s">
        <v>253</v>
      </c>
      <c r="BD1471" s="5" t="s">
        <v>3170</v>
      </c>
      <c r="BF1471" s="5" t="s">
        <v>238</v>
      </c>
      <c r="BH1471" s="5" t="s">
        <v>283</v>
      </c>
      <c r="BI1471" s="6" t="s">
        <v>293</v>
      </c>
      <c r="BJ1471" s="5" t="s">
        <v>294</v>
      </c>
      <c r="BK1471" s="5" t="s">
        <v>3171</v>
      </c>
      <c r="BL1471" s="5" t="s">
        <v>238</v>
      </c>
      <c r="BM1471" s="8">
        <f>0</f>
        <v>0</v>
      </c>
      <c r="BN1471" s="8">
        <f>-13763</f>
        <v>-13763</v>
      </c>
      <c r="BO1471" s="5" t="s">
        <v>257</v>
      </c>
      <c r="BP1471" s="5" t="s">
        <v>258</v>
      </c>
      <c r="BQ1471" s="5" t="s">
        <v>377</v>
      </c>
      <c r="BR1471" s="5" t="s">
        <v>3172</v>
      </c>
      <c r="BS1471" s="5" t="s">
        <v>258</v>
      </c>
      <c r="BT1471" s="5" t="s">
        <v>238</v>
      </c>
      <c r="BU1471" s="5" t="s">
        <v>3173</v>
      </c>
      <c r="BV1471" s="5" t="s">
        <v>3174</v>
      </c>
      <c r="BW1471" s="5" t="s">
        <v>3174</v>
      </c>
      <c r="BY1471" s="6" t="s">
        <v>4281</v>
      </c>
      <c r="BZ1471" s="5" t="s">
        <v>257</v>
      </c>
      <c r="CA1471" s="5" t="s">
        <v>238</v>
      </c>
      <c r="CB1471" s="5" t="s">
        <v>238</v>
      </c>
      <c r="CC1471" s="5" t="s">
        <v>258</v>
      </c>
      <c r="CD1471" s="5" t="s">
        <v>238</v>
      </c>
      <c r="CE1471" s="5" t="s">
        <v>238</v>
      </c>
      <c r="CI1471" s="5" t="s">
        <v>238</v>
      </c>
      <c r="CJ1471" s="5" t="s">
        <v>238</v>
      </c>
      <c r="CK1471" s="5" t="s">
        <v>272</v>
      </c>
      <c r="CM1471" s="5" t="s">
        <v>238</v>
      </c>
      <c r="CN1471" s="6" t="s">
        <v>262</v>
      </c>
      <c r="CO1471" s="5" t="s">
        <v>263</v>
      </c>
      <c r="CP1471" s="5" t="s">
        <v>264</v>
      </c>
      <c r="CQ1471" s="5" t="s">
        <v>285</v>
      </c>
      <c r="CR1471" s="5" t="s">
        <v>238</v>
      </c>
      <c r="CS1471" s="5">
        <v>0</v>
      </c>
      <c r="CT1471" s="5" t="s">
        <v>265</v>
      </c>
      <c r="CU1471" s="5" t="s">
        <v>351</v>
      </c>
      <c r="CV1471" s="5" t="s">
        <v>352</v>
      </c>
      <c r="CW1471" s="7">
        <f>178750</f>
        <v>178750</v>
      </c>
      <c r="CX1471" s="8">
        <f>178750</f>
        <v>178750</v>
      </c>
      <c r="CY1471" s="8">
        <f>178750</f>
        <v>178750</v>
      </c>
      <c r="CZ1471" s="8" t="s">
        <v>238</v>
      </c>
      <c r="DA1471" s="5" t="s">
        <v>238</v>
      </c>
      <c r="DB1471" s="5" t="s">
        <v>238</v>
      </c>
      <c r="DD1471" s="5" t="s">
        <v>238</v>
      </c>
      <c r="DE1471" s="8">
        <f>0</f>
        <v>0</v>
      </c>
      <c r="DF1471" s="6" t="s">
        <v>238</v>
      </c>
      <c r="DG1471" s="5" t="s">
        <v>238</v>
      </c>
      <c r="DH1471" s="5" t="s">
        <v>238</v>
      </c>
      <c r="DI1471" s="5" t="s">
        <v>238</v>
      </c>
      <c r="DJ1471" s="5" t="s">
        <v>238</v>
      </c>
      <c r="DK1471" s="5" t="s">
        <v>238</v>
      </c>
      <c r="DL1471" s="5" t="s">
        <v>238</v>
      </c>
      <c r="DM1471" s="8" t="s">
        <v>238</v>
      </c>
      <c r="DN1471" s="5" t="s">
        <v>238</v>
      </c>
      <c r="DO1471" s="5" t="s">
        <v>247</v>
      </c>
      <c r="DP1471" s="5" t="s">
        <v>3170</v>
      </c>
      <c r="DQ1471" s="5" t="s">
        <v>3170</v>
      </c>
      <c r="DR1471" s="5" t="s">
        <v>238</v>
      </c>
      <c r="DS1471" s="5" t="s">
        <v>238</v>
      </c>
      <c r="GL1471" s="5" t="s">
        <v>4282</v>
      </c>
      <c r="HP1471" s="5" t="s">
        <v>238</v>
      </c>
      <c r="HQ1471" s="5" t="s">
        <v>238</v>
      </c>
      <c r="HR1471" s="5" t="s">
        <v>238</v>
      </c>
      <c r="HS1471" s="5" t="s">
        <v>238</v>
      </c>
      <c r="HT1471" s="5" t="s">
        <v>238</v>
      </c>
      <c r="HU1471" s="5" t="s">
        <v>238</v>
      </c>
      <c r="HV1471" s="5" t="s">
        <v>238</v>
      </c>
      <c r="HW1471" s="5" t="s">
        <v>238</v>
      </c>
      <c r="HX1471" s="5" t="s">
        <v>238</v>
      </c>
      <c r="HY1471" s="5" t="s">
        <v>238</v>
      </c>
      <c r="HZ1471" s="5" t="s">
        <v>238</v>
      </c>
      <c r="IA1471" s="5" t="s">
        <v>238</v>
      </c>
      <c r="IB1471" s="5" t="s">
        <v>238</v>
      </c>
      <c r="IC1471" s="5" t="s">
        <v>238</v>
      </c>
      <c r="ID1471" s="5" t="s">
        <v>238</v>
      </c>
    </row>
    <row r="1472" spans="1:238" x14ac:dyDescent="0.4">
      <c r="A1472" s="5">
        <v>1864</v>
      </c>
      <c r="B1472" s="5">
        <v>1</v>
      </c>
      <c r="C1472" s="5">
        <v>3</v>
      </c>
      <c r="D1472" s="5" t="s">
        <v>1123</v>
      </c>
      <c r="E1472" s="5" t="s">
        <v>347</v>
      </c>
      <c r="F1472" s="5" t="s">
        <v>282</v>
      </c>
      <c r="G1472" s="5" t="s">
        <v>4127</v>
      </c>
      <c r="H1472" s="6" t="s">
        <v>3182</v>
      </c>
      <c r="I1472" s="5" t="s">
        <v>3129</v>
      </c>
      <c r="J1472" s="8">
        <f>1</f>
        <v>1</v>
      </c>
      <c r="K1472" s="5" t="s">
        <v>3176</v>
      </c>
      <c r="L1472" s="8">
        <f>1908764</f>
        <v>1908764</v>
      </c>
      <c r="M1472" s="8">
        <f>2068000</f>
        <v>2068000</v>
      </c>
      <c r="N1472" s="6" t="s">
        <v>4126</v>
      </c>
      <c r="O1472" s="5" t="s">
        <v>319</v>
      </c>
      <c r="P1472" s="5" t="s">
        <v>238</v>
      </c>
      <c r="Q1472" s="8">
        <f>0</f>
        <v>0</v>
      </c>
      <c r="R1472" s="8">
        <f>159236</f>
        <v>159236</v>
      </c>
      <c r="S1472" s="5" t="s">
        <v>240</v>
      </c>
      <c r="T1472" s="5" t="s">
        <v>238</v>
      </c>
      <c r="W1472" s="5" t="s">
        <v>238</v>
      </c>
      <c r="X1472" s="5" t="s">
        <v>238</v>
      </c>
      <c r="Y1472" s="5" t="s">
        <v>238</v>
      </c>
      <c r="AB1472" s="5" t="s">
        <v>347</v>
      </c>
      <c r="AC1472" s="6" t="s">
        <v>238</v>
      </c>
      <c r="AD1472" s="6" t="s">
        <v>238</v>
      </c>
      <c r="AE1472" s="5" t="s">
        <v>238</v>
      </c>
      <c r="AF1472" s="6" t="s">
        <v>238</v>
      </c>
      <c r="AG1472" s="6" t="s">
        <v>4126</v>
      </c>
      <c r="AH1472" s="5" t="s">
        <v>247</v>
      </c>
      <c r="AI1472" s="5" t="s">
        <v>238</v>
      </c>
      <c r="AO1472" s="5" t="s">
        <v>238</v>
      </c>
      <c r="AP1472" s="5" t="s">
        <v>238</v>
      </c>
      <c r="AQ1472" s="5" t="s">
        <v>238</v>
      </c>
      <c r="AR1472" s="6" t="s">
        <v>238</v>
      </c>
      <c r="AS1472" s="6" t="s">
        <v>238</v>
      </c>
      <c r="AT1472" s="6" t="s">
        <v>238</v>
      </c>
      <c r="AW1472" s="5" t="s">
        <v>304</v>
      </c>
      <c r="AX1472" s="5" t="s">
        <v>304</v>
      </c>
      <c r="AY1472" s="5" t="s">
        <v>250</v>
      </c>
      <c r="AZ1472" s="5" t="s">
        <v>281</v>
      </c>
      <c r="BA1472" s="5" t="s">
        <v>251</v>
      </c>
      <c r="BB1472" s="5" t="s">
        <v>238</v>
      </c>
      <c r="BC1472" s="5" t="s">
        <v>253</v>
      </c>
      <c r="BD1472" s="5" t="s">
        <v>3170</v>
      </c>
      <c r="BF1472" s="5" t="s">
        <v>238</v>
      </c>
      <c r="BH1472" s="5" t="s">
        <v>283</v>
      </c>
      <c r="BI1472" s="6" t="s">
        <v>293</v>
      </c>
      <c r="BJ1472" s="5" t="s">
        <v>294</v>
      </c>
      <c r="BK1472" s="5" t="s">
        <v>3171</v>
      </c>
      <c r="BL1472" s="5" t="s">
        <v>238</v>
      </c>
      <c r="BM1472" s="8">
        <f>0</f>
        <v>0</v>
      </c>
      <c r="BN1472" s="8">
        <f>-159236</f>
        <v>-159236</v>
      </c>
      <c r="BO1472" s="5" t="s">
        <v>257</v>
      </c>
      <c r="BP1472" s="5" t="s">
        <v>258</v>
      </c>
      <c r="BQ1472" s="5" t="s">
        <v>377</v>
      </c>
      <c r="BR1472" s="5" t="s">
        <v>3183</v>
      </c>
      <c r="BS1472" s="5" t="s">
        <v>258</v>
      </c>
      <c r="BT1472" s="5" t="s">
        <v>238</v>
      </c>
      <c r="BU1472" s="5" t="s">
        <v>3173</v>
      </c>
      <c r="BV1472" s="5" t="s">
        <v>3174</v>
      </c>
      <c r="BW1472" s="5" t="s">
        <v>3174</v>
      </c>
      <c r="BY1472" s="6" t="s">
        <v>4128</v>
      </c>
      <c r="BZ1472" s="5" t="s">
        <v>257</v>
      </c>
      <c r="CA1472" s="5" t="s">
        <v>238</v>
      </c>
      <c r="CB1472" s="5" t="s">
        <v>238</v>
      </c>
      <c r="CC1472" s="5" t="s">
        <v>258</v>
      </c>
      <c r="CD1472" s="5" t="s">
        <v>238</v>
      </c>
      <c r="CE1472" s="5" t="s">
        <v>238</v>
      </c>
      <c r="CI1472" s="5" t="s">
        <v>238</v>
      </c>
      <c r="CJ1472" s="5" t="s">
        <v>238</v>
      </c>
      <c r="CK1472" s="5" t="s">
        <v>272</v>
      </c>
      <c r="CM1472" s="5" t="s">
        <v>238</v>
      </c>
      <c r="CN1472" s="6" t="s">
        <v>262</v>
      </c>
      <c r="CO1472" s="5" t="s">
        <v>263</v>
      </c>
      <c r="CP1472" s="5" t="s">
        <v>264</v>
      </c>
      <c r="CQ1472" s="5" t="s">
        <v>285</v>
      </c>
      <c r="CR1472" s="5" t="s">
        <v>238</v>
      </c>
      <c r="CS1472" s="5">
        <v>0</v>
      </c>
      <c r="CT1472" s="5" t="s">
        <v>265</v>
      </c>
      <c r="CU1472" s="5" t="s">
        <v>351</v>
      </c>
      <c r="CV1472" s="5" t="s">
        <v>352</v>
      </c>
      <c r="CW1472" s="7">
        <f>2068000</f>
        <v>2068000</v>
      </c>
      <c r="CX1472" s="8">
        <f>2068000</f>
        <v>2068000</v>
      </c>
      <c r="CY1472" s="8">
        <f>2068000</f>
        <v>2068000</v>
      </c>
      <c r="CZ1472" s="8" t="s">
        <v>238</v>
      </c>
      <c r="DA1472" s="5" t="s">
        <v>238</v>
      </c>
      <c r="DB1472" s="5" t="s">
        <v>238</v>
      </c>
      <c r="DD1472" s="5" t="s">
        <v>238</v>
      </c>
      <c r="DE1472" s="8">
        <f>0</f>
        <v>0</v>
      </c>
      <c r="DF1472" s="6" t="s">
        <v>238</v>
      </c>
      <c r="DG1472" s="5" t="s">
        <v>238</v>
      </c>
      <c r="DH1472" s="5" t="s">
        <v>238</v>
      </c>
      <c r="DI1472" s="5" t="s">
        <v>238</v>
      </c>
      <c r="DJ1472" s="5" t="s">
        <v>238</v>
      </c>
      <c r="DK1472" s="5" t="s">
        <v>238</v>
      </c>
      <c r="DL1472" s="5" t="s">
        <v>238</v>
      </c>
      <c r="DM1472" s="8" t="s">
        <v>238</v>
      </c>
      <c r="DN1472" s="5" t="s">
        <v>238</v>
      </c>
      <c r="DO1472" s="5" t="s">
        <v>247</v>
      </c>
      <c r="DP1472" s="5" t="s">
        <v>3170</v>
      </c>
      <c r="DQ1472" s="5" t="s">
        <v>3170</v>
      </c>
      <c r="DR1472" s="5" t="s">
        <v>238</v>
      </c>
      <c r="DS1472" s="5" t="s">
        <v>238</v>
      </c>
      <c r="GL1472" s="5" t="s">
        <v>4129</v>
      </c>
      <c r="HP1472" s="5" t="s">
        <v>238</v>
      </c>
      <c r="HQ1472" s="5" t="s">
        <v>238</v>
      </c>
      <c r="HR1472" s="5" t="s">
        <v>238</v>
      </c>
      <c r="HS1472" s="5" t="s">
        <v>238</v>
      </c>
      <c r="HT1472" s="5" t="s">
        <v>238</v>
      </c>
      <c r="HU1472" s="5" t="s">
        <v>238</v>
      </c>
      <c r="HV1472" s="5" t="s">
        <v>238</v>
      </c>
      <c r="HW1472" s="5" t="s">
        <v>238</v>
      </c>
      <c r="HX1472" s="5" t="s">
        <v>238</v>
      </c>
      <c r="HY1472" s="5" t="s">
        <v>238</v>
      </c>
      <c r="HZ1472" s="5" t="s">
        <v>238</v>
      </c>
      <c r="IA1472" s="5" t="s">
        <v>238</v>
      </c>
      <c r="IB1472" s="5" t="s">
        <v>238</v>
      </c>
      <c r="IC1472" s="5" t="s">
        <v>238</v>
      </c>
      <c r="ID1472" s="5" t="s">
        <v>238</v>
      </c>
    </row>
    <row r="1473" spans="1:238" x14ac:dyDescent="0.4">
      <c r="A1473" s="5">
        <v>1865</v>
      </c>
      <c r="B1473" s="5">
        <v>1</v>
      </c>
      <c r="C1473" s="5">
        <v>4</v>
      </c>
      <c r="D1473" s="5" t="s">
        <v>1639</v>
      </c>
      <c r="E1473" s="5" t="s">
        <v>347</v>
      </c>
      <c r="F1473" s="5" t="s">
        <v>282</v>
      </c>
      <c r="G1473" s="5" t="s">
        <v>4131</v>
      </c>
      <c r="H1473" s="6" t="s">
        <v>4132</v>
      </c>
      <c r="I1473" s="5" t="s">
        <v>363</v>
      </c>
      <c r="J1473" s="8">
        <f>1</f>
        <v>1</v>
      </c>
      <c r="K1473" s="5" t="s">
        <v>3176</v>
      </c>
      <c r="L1473" s="8">
        <f>1449882</f>
        <v>1449882</v>
      </c>
      <c r="M1473" s="8">
        <f>1554000</f>
        <v>1554000</v>
      </c>
      <c r="N1473" s="6" t="s">
        <v>4130</v>
      </c>
      <c r="O1473" s="5" t="s">
        <v>268</v>
      </c>
      <c r="P1473" s="5" t="s">
        <v>238</v>
      </c>
      <c r="Q1473" s="8">
        <f>0</f>
        <v>0</v>
      </c>
      <c r="R1473" s="8">
        <f>104118</f>
        <v>104118</v>
      </c>
      <c r="S1473" s="5" t="s">
        <v>240</v>
      </c>
      <c r="T1473" s="5" t="s">
        <v>238</v>
      </c>
      <c r="W1473" s="5" t="s">
        <v>238</v>
      </c>
      <c r="X1473" s="5" t="s">
        <v>238</v>
      </c>
      <c r="Y1473" s="5" t="s">
        <v>238</v>
      </c>
      <c r="AB1473" s="5" t="s">
        <v>347</v>
      </c>
      <c r="AC1473" s="6" t="s">
        <v>238</v>
      </c>
      <c r="AD1473" s="6" t="s">
        <v>238</v>
      </c>
      <c r="AE1473" s="5" t="s">
        <v>238</v>
      </c>
      <c r="AF1473" s="6" t="s">
        <v>238</v>
      </c>
      <c r="AG1473" s="6" t="s">
        <v>4130</v>
      </c>
      <c r="AH1473" s="5" t="s">
        <v>247</v>
      </c>
      <c r="AI1473" s="5" t="s">
        <v>238</v>
      </c>
      <c r="AO1473" s="5" t="s">
        <v>238</v>
      </c>
      <c r="AP1473" s="5" t="s">
        <v>238</v>
      </c>
      <c r="AQ1473" s="5" t="s">
        <v>238</v>
      </c>
      <c r="AR1473" s="6" t="s">
        <v>238</v>
      </c>
      <c r="AS1473" s="6" t="s">
        <v>238</v>
      </c>
      <c r="AT1473" s="6" t="s">
        <v>238</v>
      </c>
      <c r="AW1473" s="5" t="s">
        <v>304</v>
      </c>
      <c r="AX1473" s="5" t="s">
        <v>304</v>
      </c>
      <c r="AY1473" s="5" t="s">
        <v>250</v>
      </c>
      <c r="AZ1473" s="5" t="s">
        <v>281</v>
      </c>
      <c r="BA1473" s="5" t="s">
        <v>251</v>
      </c>
      <c r="BB1473" s="5" t="s">
        <v>238</v>
      </c>
      <c r="BC1473" s="5" t="s">
        <v>253</v>
      </c>
      <c r="BD1473" s="5" t="s">
        <v>3170</v>
      </c>
      <c r="BF1473" s="5" t="s">
        <v>238</v>
      </c>
      <c r="BH1473" s="5" t="s">
        <v>283</v>
      </c>
      <c r="BI1473" s="6" t="s">
        <v>293</v>
      </c>
      <c r="BJ1473" s="5" t="s">
        <v>294</v>
      </c>
      <c r="BK1473" s="5" t="s">
        <v>3171</v>
      </c>
      <c r="BL1473" s="5" t="s">
        <v>238</v>
      </c>
      <c r="BM1473" s="8">
        <f>0</f>
        <v>0</v>
      </c>
      <c r="BN1473" s="8">
        <f>-104118</f>
        <v>-104118</v>
      </c>
      <c r="BO1473" s="5" t="s">
        <v>257</v>
      </c>
      <c r="BP1473" s="5" t="s">
        <v>258</v>
      </c>
      <c r="BQ1473" s="5" t="s">
        <v>377</v>
      </c>
      <c r="BR1473" s="5" t="s">
        <v>3183</v>
      </c>
      <c r="BS1473" s="5" t="s">
        <v>258</v>
      </c>
      <c r="BT1473" s="5" t="s">
        <v>238</v>
      </c>
      <c r="BU1473" s="5" t="s">
        <v>3173</v>
      </c>
      <c r="BV1473" s="5" t="s">
        <v>3174</v>
      </c>
      <c r="BW1473" s="5" t="s">
        <v>3174</v>
      </c>
      <c r="BY1473" s="6" t="s">
        <v>4133</v>
      </c>
      <c r="BZ1473" s="5" t="s">
        <v>257</v>
      </c>
      <c r="CA1473" s="5" t="s">
        <v>238</v>
      </c>
      <c r="CB1473" s="5" t="s">
        <v>238</v>
      </c>
      <c r="CC1473" s="5" t="s">
        <v>258</v>
      </c>
      <c r="CD1473" s="5" t="s">
        <v>238</v>
      </c>
      <c r="CE1473" s="5" t="s">
        <v>238</v>
      </c>
      <c r="CI1473" s="5" t="s">
        <v>238</v>
      </c>
      <c r="CJ1473" s="5" t="s">
        <v>238</v>
      </c>
      <c r="CK1473" s="5" t="s">
        <v>272</v>
      </c>
      <c r="CM1473" s="5" t="s">
        <v>238</v>
      </c>
      <c r="CN1473" s="6" t="s">
        <v>262</v>
      </c>
      <c r="CO1473" s="5" t="s">
        <v>263</v>
      </c>
      <c r="CP1473" s="5" t="s">
        <v>264</v>
      </c>
      <c r="CQ1473" s="5" t="s">
        <v>285</v>
      </c>
      <c r="CR1473" s="5" t="s">
        <v>238</v>
      </c>
      <c r="CS1473" s="5">
        <v>0</v>
      </c>
      <c r="CT1473" s="5" t="s">
        <v>265</v>
      </c>
      <c r="CU1473" s="5" t="s">
        <v>351</v>
      </c>
      <c r="CV1473" s="5" t="s">
        <v>365</v>
      </c>
      <c r="CW1473" s="7">
        <f>1554000</f>
        <v>1554000</v>
      </c>
      <c r="CX1473" s="8">
        <f>1554000</f>
        <v>1554000</v>
      </c>
      <c r="CY1473" s="8">
        <f>1554000</f>
        <v>1554000</v>
      </c>
      <c r="CZ1473" s="8" t="s">
        <v>238</v>
      </c>
      <c r="DA1473" s="5" t="s">
        <v>238</v>
      </c>
      <c r="DB1473" s="5" t="s">
        <v>238</v>
      </c>
      <c r="DD1473" s="5" t="s">
        <v>238</v>
      </c>
      <c r="DE1473" s="8">
        <f>0</f>
        <v>0</v>
      </c>
      <c r="DF1473" s="6" t="s">
        <v>238</v>
      </c>
      <c r="DG1473" s="5" t="s">
        <v>238</v>
      </c>
      <c r="DH1473" s="5" t="s">
        <v>238</v>
      </c>
      <c r="DI1473" s="5" t="s">
        <v>238</v>
      </c>
      <c r="DJ1473" s="5" t="s">
        <v>238</v>
      </c>
      <c r="DK1473" s="5" t="s">
        <v>238</v>
      </c>
      <c r="DL1473" s="5" t="s">
        <v>238</v>
      </c>
      <c r="DM1473" s="8" t="s">
        <v>238</v>
      </c>
      <c r="DN1473" s="5" t="s">
        <v>238</v>
      </c>
      <c r="DO1473" s="5" t="s">
        <v>247</v>
      </c>
      <c r="DP1473" s="5" t="s">
        <v>3170</v>
      </c>
      <c r="DQ1473" s="5" t="s">
        <v>3170</v>
      </c>
      <c r="DR1473" s="5" t="s">
        <v>238</v>
      </c>
      <c r="DS1473" s="5" t="s">
        <v>238</v>
      </c>
      <c r="GL1473" s="5" t="s">
        <v>4134</v>
      </c>
      <c r="HP1473" s="5" t="s">
        <v>238</v>
      </c>
      <c r="HQ1473" s="5" t="s">
        <v>238</v>
      </c>
      <c r="HR1473" s="5" t="s">
        <v>238</v>
      </c>
      <c r="HS1473" s="5" t="s">
        <v>238</v>
      </c>
      <c r="HT1473" s="5" t="s">
        <v>238</v>
      </c>
      <c r="HU1473" s="5" t="s">
        <v>238</v>
      </c>
      <c r="HV1473" s="5" t="s">
        <v>238</v>
      </c>
      <c r="HW1473" s="5" t="s">
        <v>238</v>
      </c>
      <c r="HX1473" s="5" t="s">
        <v>238</v>
      </c>
      <c r="HY1473" s="5" t="s">
        <v>238</v>
      </c>
      <c r="HZ1473" s="5" t="s">
        <v>238</v>
      </c>
      <c r="IA1473" s="5" t="s">
        <v>238</v>
      </c>
      <c r="IB1473" s="5" t="s">
        <v>238</v>
      </c>
      <c r="IC1473" s="5" t="s">
        <v>238</v>
      </c>
      <c r="ID1473" s="5" t="s">
        <v>238</v>
      </c>
    </row>
    <row r="1474" spans="1:238" x14ac:dyDescent="0.4">
      <c r="A1474" s="5">
        <v>1866</v>
      </c>
      <c r="B1474" s="5">
        <v>1</v>
      </c>
      <c r="C1474" s="5">
        <v>3</v>
      </c>
      <c r="D1474" s="5" t="s">
        <v>480</v>
      </c>
      <c r="E1474" s="5" t="s">
        <v>347</v>
      </c>
      <c r="F1474" s="5" t="s">
        <v>282</v>
      </c>
      <c r="G1474" s="5" t="s">
        <v>3980</v>
      </c>
      <c r="H1474" s="6" t="s">
        <v>3267</v>
      </c>
      <c r="I1474" s="5" t="s">
        <v>363</v>
      </c>
      <c r="J1474" s="8">
        <f>1</f>
        <v>1</v>
      </c>
      <c r="K1474" s="5" t="s">
        <v>3176</v>
      </c>
      <c r="L1474" s="8">
        <f>1750308</f>
        <v>1750308</v>
      </c>
      <c r="M1474" s="8">
        <f>1876000</f>
        <v>1876000</v>
      </c>
      <c r="N1474" s="6" t="s">
        <v>3979</v>
      </c>
      <c r="O1474" s="5" t="s">
        <v>268</v>
      </c>
      <c r="P1474" s="5" t="s">
        <v>238</v>
      </c>
      <c r="Q1474" s="8">
        <f>0</f>
        <v>0</v>
      </c>
      <c r="R1474" s="8">
        <f>125692</f>
        <v>125692</v>
      </c>
      <c r="S1474" s="5" t="s">
        <v>240</v>
      </c>
      <c r="T1474" s="5" t="s">
        <v>238</v>
      </c>
      <c r="W1474" s="5" t="s">
        <v>238</v>
      </c>
      <c r="X1474" s="5" t="s">
        <v>238</v>
      </c>
      <c r="Y1474" s="5" t="s">
        <v>238</v>
      </c>
      <c r="AB1474" s="5" t="s">
        <v>347</v>
      </c>
      <c r="AC1474" s="6" t="s">
        <v>238</v>
      </c>
      <c r="AD1474" s="6" t="s">
        <v>238</v>
      </c>
      <c r="AE1474" s="5" t="s">
        <v>238</v>
      </c>
      <c r="AF1474" s="6" t="s">
        <v>238</v>
      </c>
      <c r="AG1474" s="6" t="s">
        <v>3979</v>
      </c>
      <c r="AH1474" s="5" t="s">
        <v>247</v>
      </c>
      <c r="AI1474" s="5" t="s">
        <v>238</v>
      </c>
      <c r="AO1474" s="5" t="s">
        <v>238</v>
      </c>
      <c r="AP1474" s="5" t="s">
        <v>238</v>
      </c>
      <c r="AQ1474" s="5" t="s">
        <v>238</v>
      </c>
      <c r="AR1474" s="6" t="s">
        <v>238</v>
      </c>
      <c r="AS1474" s="6" t="s">
        <v>238</v>
      </c>
      <c r="AT1474" s="6" t="s">
        <v>238</v>
      </c>
      <c r="AW1474" s="5" t="s">
        <v>304</v>
      </c>
      <c r="AX1474" s="5" t="s">
        <v>304</v>
      </c>
      <c r="AY1474" s="5" t="s">
        <v>250</v>
      </c>
      <c r="AZ1474" s="5" t="s">
        <v>281</v>
      </c>
      <c r="BA1474" s="5" t="s">
        <v>251</v>
      </c>
      <c r="BB1474" s="5" t="s">
        <v>238</v>
      </c>
      <c r="BC1474" s="5" t="s">
        <v>253</v>
      </c>
      <c r="BD1474" s="5" t="s">
        <v>3170</v>
      </c>
      <c r="BF1474" s="5" t="s">
        <v>238</v>
      </c>
      <c r="BH1474" s="5" t="s">
        <v>283</v>
      </c>
      <c r="BI1474" s="6" t="s">
        <v>293</v>
      </c>
      <c r="BJ1474" s="5" t="s">
        <v>294</v>
      </c>
      <c r="BK1474" s="5" t="s">
        <v>3171</v>
      </c>
      <c r="BL1474" s="5" t="s">
        <v>238</v>
      </c>
      <c r="BM1474" s="8">
        <f>0</f>
        <v>0</v>
      </c>
      <c r="BN1474" s="8">
        <f>-125692</f>
        <v>-125692</v>
      </c>
      <c r="BO1474" s="5" t="s">
        <v>257</v>
      </c>
      <c r="BP1474" s="5" t="s">
        <v>258</v>
      </c>
      <c r="BQ1474" s="5" t="s">
        <v>377</v>
      </c>
      <c r="BR1474" s="5" t="s">
        <v>3172</v>
      </c>
      <c r="BS1474" s="5" t="s">
        <v>258</v>
      </c>
      <c r="BT1474" s="5" t="s">
        <v>238</v>
      </c>
      <c r="BU1474" s="5" t="s">
        <v>3173</v>
      </c>
      <c r="BV1474" s="5" t="s">
        <v>3174</v>
      </c>
      <c r="BW1474" s="5" t="s">
        <v>3174</v>
      </c>
      <c r="BY1474" s="6" t="s">
        <v>3981</v>
      </c>
      <c r="BZ1474" s="5" t="s">
        <v>257</v>
      </c>
      <c r="CA1474" s="5" t="s">
        <v>238</v>
      </c>
      <c r="CB1474" s="5" t="s">
        <v>238</v>
      </c>
      <c r="CC1474" s="5" t="s">
        <v>258</v>
      </c>
      <c r="CD1474" s="5" t="s">
        <v>238</v>
      </c>
      <c r="CE1474" s="5" t="s">
        <v>238</v>
      </c>
      <c r="CI1474" s="5" t="s">
        <v>238</v>
      </c>
      <c r="CJ1474" s="5" t="s">
        <v>238</v>
      </c>
      <c r="CK1474" s="5" t="s">
        <v>272</v>
      </c>
      <c r="CM1474" s="5" t="s">
        <v>238</v>
      </c>
      <c r="CN1474" s="6" t="s">
        <v>262</v>
      </c>
      <c r="CO1474" s="5" t="s">
        <v>263</v>
      </c>
      <c r="CP1474" s="5" t="s">
        <v>264</v>
      </c>
      <c r="CQ1474" s="5" t="s">
        <v>285</v>
      </c>
      <c r="CR1474" s="5" t="s">
        <v>238</v>
      </c>
      <c r="CS1474" s="5">
        <v>0</v>
      </c>
      <c r="CT1474" s="5" t="s">
        <v>265</v>
      </c>
      <c r="CU1474" s="5" t="s">
        <v>351</v>
      </c>
      <c r="CV1474" s="5" t="s">
        <v>365</v>
      </c>
      <c r="CW1474" s="7">
        <f>1876000</f>
        <v>1876000</v>
      </c>
      <c r="CX1474" s="8">
        <f>1876000</f>
        <v>1876000</v>
      </c>
      <c r="CY1474" s="8">
        <f>1876000</f>
        <v>1876000</v>
      </c>
      <c r="CZ1474" s="8" t="s">
        <v>238</v>
      </c>
      <c r="DA1474" s="5" t="s">
        <v>238</v>
      </c>
      <c r="DB1474" s="5" t="s">
        <v>238</v>
      </c>
      <c r="DD1474" s="5" t="s">
        <v>238</v>
      </c>
      <c r="DE1474" s="8">
        <f>0</f>
        <v>0</v>
      </c>
      <c r="DF1474" s="6" t="s">
        <v>238</v>
      </c>
      <c r="DG1474" s="5" t="s">
        <v>238</v>
      </c>
      <c r="DH1474" s="5" t="s">
        <v>238</v>
      </c>
      <c r="DI1474" s="5" t="s">
        <v>238</v>
      </c>
      <c r="DJ1474" s="5" t="s">
        <v>238</v>
      </c>
      <c r="DK1474" s="5" t="s">
        <v>238</v>
      </c>
      <c r="DL1474" s="5" t="s">
        <v>238</v>
      </c>
      <c r="DM1474" s="8" t="s">
        <v>238</v>
      </c>
      <c r="DN1474" s="5" t="s">
        <v>238</v>
      </c>
      <c r="DO1474" s="5" t="s">
        <v>247</v>
      </c>
      <c r="DP1474" s="5" t="s">
        <v>3170</v>
      </c>
      <c r="DQ1474" s="5" t="s">
        <v>3170</v>
      </c>
      <c r="DR1474" s="5" t="s">
        <v>238</v>
      </c>
      <c r="DS1474" s="5" t="s">
        <v>238</v>
      </c>
      <c r="GL1474" s="5" t="s">
        <v>3982</v>
      </c>
      <c r="HP1474" s="5" t="s">
        <v>238</v>
      </c>
      <c r="HQ1474" s="5" t="s">
        <v>238</v>
      </c>
      <c r="HR1474" s="5" t="s">
        <v>238</v>
      </c>
      <c r="HS1474" s="5" t="s">
        <v>238</v>
      </c>
      <c r="HT1474" s="5" t="s">
        <v>238</v>
      </c>
      <c r="HU1474" s="5" t="s">
        <v>238</v>
      </c>
      <c r="HV1474" s="5" t="s">
        <v>238</v>
      </c>
      <c r="HW1474" s="5" t="s">
        <v>238</v>
      </c>
      <c r="HX1474" s="5" t="s">
        <v>238</v>
      </c>
      <c r="HY1474" s="5" t="s">
        <v>238</v>
      </c>
      <c r="HZ1474" s="5" t="s">
        <v>238</v>
      </c>
      <c r="IA1474" s="5" t="s">
        <v>238</v>
      </c>
      <c r="IB1474" s="5" t="s">
        <v>238</v>
      </c>
      <c r="IC1474" s="5" t="s">
        <v>238</v>
      </c>
      <c r="ID1474" s="5" t="s">
        <v>238</v>
      </c>
    </row>
    <row r="1475" spans="1:238" x14ac:dyDescent="0.4">
      <c r="A1475" s="5">
        <v>1867</v>
      </c>
      <c r="B1475" s="5">
        <v>1</v>
      </c>
      <c r="C1475" s="5">
        <v>3</v>
      </c>
      <c r="D1475" s="5" t="s">
        <v>766</v>
      </c>
      <c r="E1475" s="5" t="s">
        <v>347</v>
      </c>
      <c r="F1475" s="5" t="s">
        <v>282</v>
      </c>
      <c r="G1475" s="5" t="s">
        <v>4293</v>
      </c>
      <c r="H1475" s="6" t="s">
        <v>4294</v>
      </c>
      <c r="I1475" s="5" t="s">
        <v>4291</v>
      </c>
      <c r="J1475" s="8">
        <f>1</f>
        <v>1</v>
      </c>
      <c r="K1475" s="5" t="s">
        <v>3176</v>
      </c>
      <c r="L1475" s="8">
        <f>182754</f>
        <v>182754</v>
      </c>
      <c r="M1475" s="8">
        <f>198000</f>
        <v>198000</v>
      </c>
      <c r="N1475" s="6" t="s">
        <v>4292</v>
      </c>
      <c r="O1475" s="5" t="s">
        <v>319</v>
      </c>
      <c r="P1475" s="5" t="s">
        <v>238</v>
      </c>
      <c r="Q1475" s="8">
        <f>0</f>
        <v>0</v>
      </c>
      <c r="R1475" s="8">
        <f>15246</f>
        <v>15246</v>
      </c>
      <c r="S1475" s="5" t="s">
        <v>240</v>
      </c>
      <c r="T1475" s="5" t="s">
        <v>238</v>
      </c>
      <c r="W1475" s="5" t="s">
        <v>238</v>
      </c>
      <c r="X1475" s="5" t="s">
        <v>238</v>
      </c>
      <c r="Y1475" s="5" t="s">
        <v>238</v>
      </c>
      <c r="AB1475" s="5" t="s">
        <v>347</v>
      </c>
      <c r="AC1475" s="6" t="s">
        <v>238</v>
      </c>
      <c r="AD1475" s="6" t="s">
        <v>238</v>
      </c>
      <c r="AE1475" s="5" t="s">
        <v>238</v>
      </c>
      <c r="AF1475" s="6" t="s">
        <v>238</v>
      </c>
      <c r="AG1475" s="6" t="s">
        <v>4292</v>
      </c>
      <c r="AH1475" s="5" t="s">
        <v>247</v>
      </c>
      <c r="AI1475" s="5" t="s">
        <v>238</v>
      </c>
      <c r="AO1475" s="5" t="s">
        <v>238</v>
      </c>
      <c r="AP1475" s="5" t="s">
        <v>238</v>
      </c>
      <c r="AQ1475" s="5" t="s">
        <v>238</v>
      </c>
      <c r="AR1475" s="6" t="s">
        <v>238</v>
      </c>
      <c r="AS1475" s="6" t="s">
        <v>238</v>
      </c>
      <c r="AT1475" s="6" t="s">
        <v>238</v>
      </c>
      <c r="AW1475" s="5" t="s">
        <v>304</v>
      </c>
      <c r="AX1475" s="5" t="s">
        <v>304</v>
      </c>
      <c r="AY1475" s="5" t="s">
        <v>250</v>
      </c>
      <c r="AZ1475" s="5" t="s">
        <v>281</v>
      </c>
      <c r="BA1475" s="5" t="s">
        <v>251</v>
      </c>
      <c r="BB1475" s="5" t="s">
        <v>238</v>
      </c>
      <c r="BC1475" s="5" t="s">
        <v>253</v>
      </c>
      <c r="BD1475" s="5" t="s">
        <v>3170</v>
      </c>
      <c r="BF1475" s="5" t="s">
        <v>238</v>
      </c>
      <c r="BH1475" s="5" t="s">
        <v>283</v>
      </c>
      <c r="BI1475" s="6" t="s">
        <v>293</v>
      </c>
      <c r="BJ1475" s="5" t="s">
        <v>294</v>
      </c>
      <c r="BK1475" s="5" t="s">
        <v>3171</v>
      </c>
      <c r="BL1475" s="5" t="s">
        <v>238</v>
      </c>
      <c r="BM1475" s="8">
        <f>0</f>
        <v>0</v>
      </c>
      <c r="BN1475" s="8">
        <f>-15246</f>
        <v>-15246</v>
      </c>
      <c r="BO1475" s="5" t="s">
        <v>257</v>
      </c>
      <c r="BP1475" s="5" t="s">
        <v>258</v>
      </c>
      <c r="BQ1475" s="5" t="s">
        <v>377</v>
      </c>
      <c r="BR1475" s="5" t="s">
        <v>3183</v>
      </c>
      <c r="BS1475" s="5" t="s">
        <v>258</v>
      </c>
      <c r="BT1475" s="5" t="s">
        <v>238</v>
      </c>
      <c r="BU1475" s="5" t="s">
        <v>3173</v>
      </c>
      <c r="BV1475" s="5" t="s">
        <v>3174</v>
      </c>
      <c r="BW1475" s="5" t="s">
        <v>3174</v>
      </c>
      <c r="BY1475" s="6" t="s">
        <v>4295</v>
      </c>
      <c r="BZ1475" s="5" t="s">
        <v>257</v>
      </c>
      <c r="CA1475" s="5" t="s">
        <v>238</v>
      </c>
      <c r="CB1475" s="5" t="s">
        <v>238</v>
      </c>
      <c r="CC1475" s="5" t="s">
        <v>258</v>
      </c>
      <c r="CD1475" s="5" t="s">
        <v>238</v>
      </c>
      <c r="CE1475" s="5" t="s">
        <v>238</v>
      </c>
      <c r="CI1475" s="5" t="s">
        <v>238</v>
      </c>
      <c r="CJ1475" s="5" t="s">
        <v>238</v>
      </c>
      <c r="CK1475" s="5" t="s">
        <v>272</v>
      </c>
      <c r="CM1475" s="5" t="s">
        <v>238</v>
      </c>
      <c r="CN1475" s="6" t="s">
        <v>262</v>
      </c>
      <c r="CO1475" s="5" t="s">
        <v>263</v>
      </c>
      <c r="CP1475" s="5" t="s">
        <v>264</v>
      </c>
      <c r="CQ1475" s="5" t="s">
        <v>285</v>
      </c>
      <c r="CR1475" s="5" t="s">
        <v>238</v>
      </c>
      <c r="CS1475" s="5">
        <v>0</v>
      </c>
      <c r="CT1475" s="5" t="s">
        <v>265</v>
      </c>
      <c r="CU1475" s="5" t="s">
        <v>351</v>
      </c>
      <c r="CV1475" s="5" t="s">
        <v>352</v>
      </c>
      <c r="CW1475" s="7">
        <f>198000</f>
        <v>198000</v>
      </c>
      <c r="CX1475" s="8">
        <f>198000</f>
        <v>198000</v>
      </c>
      <c r="CY1475" s="8">
        <f>198000</f>
        <v>198000</v>
      </c>
      <c r="CZ1475" s="8" t="s">
        <v>238</v>
      </c>
      <c r="DA1475" s="5" t="s">
        <v>238</v>
      </c>
      <c r="DB1475" s="5" t="s">
        <v>238</v>
      </c>
      <c r="DD1475" s="5" t="s">
        <v>238</v>
      </c>
      <c r="DE1475" s="8">
        <f>0</f>
        <v>0</v>
      </c>
      <c r="DF1475" s="6" t="s">
        <v>238</v>
      </c>
      <c r="DG1475" s="5" t="s">
        <v>238</v>
      </c>
      <c r="DH1475" s="5" t="s">
        <v>238</v>
      </c>
      <c r="DI1475" s="5" t="s">
        <v>238</v>
      </c>
      <c r="DJ1475" s="5" t="s">
        <v>238</v>
      </c>
      <c r="DK1475" s="5" t="s">
        <v>238</v>
      </c>
      <c r="DL1475" s="5" t="s">
        <v>238</v>
      </c>
      <c r="DM1475" s="8" t="s">
        <v>238</v>
      </c>
      <c r="DN1475" s="5" t="s">
        <v>238</v>
      </c>
      <c r="DO1475" s="5" t="s">
        <v>247</v>
      </c>
      <c r="DP1475" s="5" t="s">
        <v>3170</v>
      </c>
      <c r="DQ1475" s="5" t="s">
        <v>3170</v>
      </c>
      <c r="DR1475" s="5" t="s">
        <v>238</v>
      </c>
      <c r="DS1475" s="5" t="s">
        <v>238</v>
      </c>
      <c r="GL1475" s="5" t="s">
        <v>4296</v>
      </c>
      <c r="HP1475" s="5" t="s">
        <v>238</v>
      </c>
      <c r="HQ1475" s="5" t="s">
        <v>238</v>
      </c>
      <c r="HR1475" s="5" t="s">
        <v>238</v>
      </c>
      <c r="HS1475" s="5" t="s">
        <v>238</v>
      </c>
      <c r="HT1475" s="5" t="s">
        <v>238</v>
      </c>
      <c r="HU1475" s="5" t="s">
        <v>238</v>
      </c>
      <c r="HV1475" s="5" t="s">
        <v>238</v>
      </c>
      <c r="HW1475" s="5" t="s">
        <v>238</v>
      </c>
      <c r="HX1475" s="5" t="s">
        <v>238</v>
      </c>
      <c r="HY1475" s="5" t="s">
        <v>238</v>
      </c>
      <c r="HZ1475" s="5" t="s">
        <v>238</v>
      </c>
      <c r="IA1475" s="5" t="s">
        <v>238</v>
      </c>
      <c r="IB1475" s="5" t="s">
        <v>238</v>
      </c>
      <c r="IC1475" s="5" t="s">
        <v>238</v>
      </c>
      <c r="ID1475" s="5" t="s">
        <v>238</v>
      </c>
    </row>
    <row r="1476" spans="1:238" x14ac:dyDescent="0.4">
      <c r="A1476" s="5">
        <v>1868</v>
      </c>
      <c r="B1476" s="5">
        <v>1</v>
      </c>
      <c r="C1476" s="5">
        <v>3</v>
      </c>
      <c r="D1476" s="5" t="s">
        <v>357</v>
      </c>
      <c r="E1476" s="5" t="s">
        <v>347</v>
      </c>
      <c r="F1476" s="5" t="s">
        <v>282</v>
      </c>
      <c r="G1476" s="5" t="s">
        <v>4123</v>
      </c>
      <c r="H1476" s="6" t="s">
        <v>3994</v>
      </c>
      <c r="I1476" s="5" t="s">
        <v>3129</v>
      </c>
      <c r="J1476" s="8">
        <f>1</f>
        <v>1</v>
      </c>
      <c r="K1476" s="5" t="s">
        <v>3176</v>
      </c>
      <c r="L1476" s="8">
        <f>119298</f>
        <v>119298</v>
      </c>
      <c r="M1476" s="8">
        <f>129250</f>
        <v>129250</v>
      </c>
      <c r="N1476" s="6" t="s">
        <v>3237</v>
      </c>
      <c r="O1476" s="5" t="s">
        <v>319</v>
      </c>
      <c r="P1476" s="5" t="s">
        <v>238</v>
      </c>
      <c r="Q1476" s="8">
        <f>0</f>
        <v>0</v>
      </c>
      <c r="R1476" s="8">
        <f>9952</f>
        <v>9952</v>
      </c>
      <c r="S1476" s="5" t="s">
        <v>240</v>
      </c>
      <c r="T1476" s="5" t="s">
        <v>238</v>
      </c>
      <c r="W1476" s="5" t="s">
        <v>238</v>
      </c>
      <c r="X1476" s="5" t="s">
        <v>238</v>
      </c>
      <c r="Y1476" s="5" t="s">
        <v>238</v>
      </c>
      <c r="AB1476" s="5" t="s">
        <v>347</v>
      </c>
      <c r="AC1476" s="6" t="s">
        <v>238</v>
      </c>
      <c r="AD1476" s="6" t="s">
        <v>238</v>
      </c>
      <c r="AE1476" s="5" t="s">
        <v>238</v>
      </c>
      <c r="AF1476" s="6" t="s">
        <v>238</v>
      </c>
      <c r="AG1476" s="6" t="s">
        <v>3237</v>
      </c>
      <c r="AH1476" s="5" t="s">
        <v>247</v>
      </c>
      <c r="AI1476" s="5" t="s">
        <v>238</v>
      </c>
      <c r="AO1476" s="5" t="s">
        <v>238</v>
      </c>
      <c r="AP1476" s="5" t="s">
        <v>238</v>
      </c>
      <c r="AQ1476" s="5" t="s">
        <v>238</v>
      </c>
      <c r="AR1476" s="6" t="s">
        <v>238</v>
      </c>
      <c r="AS1476" s="6" t="s">
        <v>238</v>
      </c>
      <c r="AT1476" s="6" t="s">
        <v>238</v>
      </c>
      <c r="AW1476" s="5" t="s">
        <v>304</v>
      </c>
      <c r="AX1476" s="5" t="s">
        <v>304</v>
      </c>
      <c r="AY1476" s="5" t="s">
        <v>250</v>
      </c>
      <c r="AZ1476" s="5" t="s">
        <v>281</v>
      </c>
      <c r="BA1476" s="5" t="s">
        <v>251</v>
      </c>
      <c r="BB1476" s="5" t="s">
        <v>238</v>
      </c>
      <c r="BC1476" s="5" t="s">
        <v>253</v>
      </c>
      <c r="BD1476" s="5" t="s">
        <v>3170</v>
      </c>
      <c r="BF1476" s="5" t="s">
        <v>238</v>
      </c>
      <c r="BH1476" s="5" t="s">
        <v>283</v>
      </c>
      <c r="BI1476" s="6" t="s">
        <v>293</v>
      </c>
      <c r="BJ1476" s="5" t="s">
        <v>294</v>
      </c>
      <c r="BK1476" s="5" t="s">
        <v>3171</v>
      </c>
      <c r="BL1476" s="5" t="s">
        <v>238</v>
      </c>
      <c r="BM1476" s="8">
        <f>0</f>
        <v>0</v>
      </c>
      <c r="BN1476" s="8">
        <f>-9952</f>
        <v>-9952</v>
      </c>
      <c r="BO1476" s="5" t="s">
        <v>257</v>
      </c>
      <c r="BP1476" s="5" t="s">
        <v>258</v>
      </c>
      <c r="BQ1476" s="5" t="s">
        <v>377</v>
      </c>
      <c r="BR1476" s="5" t="s">
        <v>3172</v>
      </c>
      <c r="BS1476" s="5" t="s">
        <v>258</v>
      </c>
      <c r="BT1476" s="5" t="s">
        <v>238</v>
      </c>
      <c r="BU1476" s="5" t="s">
        <v>3173</v>
      </c>
      <c r="BV1476" s="5" t="s">
        <v>3174</v>
      </c>
      <c r="BW1476" s="5" t="s">
        <v>3174</v>
      </c>
      <c r="BY1476" s="6" t="s">
        <v>4124</v>
      </c>
      <c r="BZ1476" s="5" t="s">
        <v>257</v>
      </c>
      <c r="CA1476" s="5" t="s">
        <v>238</v>
      </c>
      <c r="CB1476" s="5" t="s">
        <v>238</v>
      </c>
      <c r="CC1476" s="5" t="s">
        <v>258</v>
      </c>
      <c r="CD1476" s="5" t="s">
        <v>238</v>
      </c>
      <c r="CE1476" s="5" t="s">
        <v>238</v>
      </c>
      <c r="CI1476" s="5" t="s">
        <v>238</v>
      </c>
      <c r="CJ1476" s="5" t="s">
        <v>238</v>
      </c>
      <c r="CK1476" s="5" t="s">
        <v>272</v>
      </c>
      <c r="CM1476" s="5" t="s">
        <v>238</v>
      </c>
      <c r="CN1476" s="6" t="s">
        <v>262</v>
      </c>
      <c r="CO1476" s="5" t="s">
        <v>263</v>
      </c>
      <c r="CP1476" s="5" t="s">
        <v>264</v>
      </c>
      <c r="CQ1476" s="5" t="s">
        <v>285</v>
      </c>
      <c r="CR1476" s="5" t="s">
        <v>238</v>
      </c>
      <c r="CS1476" s="5">
        <v>0</v>
      </c>
      <c r="CT1476" s="5" t="s">
        <v>265</v>
      </c>
      <c r="CU1476" s="5" t="s">
        <v>351</v>
      </c>
      <c r="CV1476" s="5" t="s">
        <v>352</v>
      </c>
      <c r="CW1476" s="7">
        <f>129250</f>
        <v>129250</v>
      </c>
      <c r="CX1476" s="8">
        <f>129250</f>
        <v>129250</v>
      </c>
      <c r="CY1476" s="8">
        <f>129250</f>
        <v>129250</v>
      </c>
      <c r="CZ1476" s="8" t="s">
        <v>238</v>
      </c>
      <c r="DA1476" s="5" t="s">
        <v>238</v>
      </c>
      <c r="DB1476" s="5" t="s">
        <v>238</v>
      </c>
      <c r="DD1476" s="5" t="s">
        <v>238</v>
      </c>
      <c r="DE1476" s="8">
        <f>0</f>
        <v>0</v>
      </c>
      <c r="DF1476" s="6" t="s">
        <v>238</v>
      </c>
      <c r="DG1476" s="5" t="s">
        <v>238</v>
      </c>
      <c r="DH1476" s="5" t="s">
        <v>238</v>
      </c>
      <c r="DI1476" s="5" t="s">
        <v>238</v>
      </c>
      <c r="DJ1476" s="5" t="s">
        <v>238</v>
      </c>
      <c r="DK1476" s="5" t="s">
        <v>238</v>
      </c>
      <c r="DL1476" s="5" t="s">
        <v>238</v>
      </c>
      <c r="DM1476" s="8" t="s">
        <v>238</v>
      </c>
      <c r="DN1476" s="5" t="s">
        <v>238</v>
      </c>
      <c r="DO1476" s="5" t="s">
        <v>247</v>
      </c>
      <c r="DP1476" s="5" t="s">
        <v>3170</v>
      </c>
      <c r="DQ1476" s="5" t="s">
        <v>3170</v>
      </c>
      <c r="DR1476" s="5" t="s">
        <v>238</v>
      </c>
      <c r="DS1476" s="5" t="s">
        <v>238</v>
      </c>
      <c r="GL1476" s="5" t="s">
        <v>4125</v>
      </c>
      <c r="HP1476" s="5" t="s">
        <v>238</v>
      </c>
      <c r="HQ1476" s="5" t="s">
        <v>238</v>
      </c>
      <c r="HR1476" s="5" t="s">
        <v>238</v>
      </c>
      <c r="HS1476" s="5" t="s">
        <v>238</v>
      </c>
      <c r="HT1476" s="5" t="s">
        <v>238</v>
      </c>
      <c r="HU1476" s="5" t="s">
        <v>238</v>
      </c>
      <c r="HV1476" s="5" t="s">
        <v>238</v>
      </c>
      <c r="HW1476" s="5" t="s">
        <v>238</v>
      </c>
      <c r="HX1476" s="5" t="s">
        <v>238</v>
      </c>
      <c r="HY1476" s="5" t="s">
        <v>238</v>
      </c>
      <c r="HZ1476" s="5" t="s">
        <v>238</v>
      </c>
      <c r="IA1476" s="5" t="s">
        <v>238</v>
      </c>
      <c r="IB1476" s="5" t="s">
        <v>238</v>
      </c>
      <c r="IC1476" s="5" t="s">
        <v>238</v>
      </c>
      <c r="ID1476" s="5" t="s">
        <v>238</v>
      </c>
    </row>
    <row r="1477" spans="1:238" x14ac:dyDescent="0.4">
      <c r="A1477" s="5">
        <v>1869</v>
      </c>
      <c r="B1477" s="5">
        <v>1</v>
      </c>
      <c r="C1477" s="5">
        <v>3</v>
      </c>
      <c r="D1477" s="5" t="s">
        <v>424</v>
      </c>
      <c r="E1477" s="5" t="s">
        <v>347</v>
      </c>
      <c r="F1477" s="5" t="s">
        <v>282</v>
      </c>
      <c r="G1477" s="5" t="s">
        <v>3985</v>
      </c>
      <c r="H1477" s="6" t="s">
        <v>3986</v>
      </c>
      <c r="I1477" s="5" t="s">
        <v>3983</v>
      </c>
      <c r="J1477" s="8">
        <f>1</f>
        <v>1</v>
      </c>
      <c r="K1477" s="5" t="s">
        <v>3176</v>
      </c>
      <c r="L1477" s="8">
        <f>373574</f>
        <v>373574</v>
      </c>
      <c r="M1477" s="8">
        <f>400400</f>
        <v>400400</v>
      </c>
      <c r="N1477" s="6" t="s">
        <v>1077</v>
      </c>
      <c r="O1477" s="5" t="s">
        <v>268</v>
      </c>
      <c r="P1477" s="5" t="s">
        <v>238</v>
      </c>
      <c r="Q1477" s="8">
        <f>0</f>
        <v>0</v>
      </c>
      <c r="R1477" s="8">
        <f>26826</f>
        <v>26826</v>
      </c>
      <c r="S1477" s="5" t="s">
        <v>240</v>
      </c>
      <c r="T1477" s="5" t="s">
        <v>237</v>
      </c>
      <c r="W1477" s="5" t="s">
        <v>241</v>
      </c>
      <c r="X1477" s="5" t="s">
        <v>238</v>
      </c>
      <c r="Y1477" s="5" t="s">
        <v>238</v>
      </c>
      <c r="AB1477" s="5" t="s">
        <v>347</v>
      </c>
      <c r="AC1477" s="6" t="s">
        <v>238</v>
      </c>
      <c r="AD1477" s="6" t="s">
        <v>238</v>
      </c>
      <c r="AE1477" s="5" t="s">
        <v>238</v>
      </c>
      <c r="AF1477" s="6" t="s">
        <v>238</v>
      </c>
      <c r="AG1477" s="6" t="s">
        <v>3984</v>
      </c>
      <c r="AH1477" s="5" t="s">
        <v>247</v>
      </c>
      <c r="AI1477" s="5" t="s">
        <v>238</v>
      </c>
      <c r="AO1477" s="5" t="s">
        <v>238</v>
      </c>
      <c r="AP1477" s="5" t="s">
        <v>238</v>
      </c>
      <c r="AQ1477" s="5" t="s">
        <v>238</v>
      </c>
      <c r="AR1477" s="6" t="s">
        <v>238</v>
      </c>
      <c r="AS1477" s="6" t="s">
        <v>238</v>
      </c>
      <c r="AT1477" s="6" t="s">
        <v>238</v>
      </c>
      <c r="AW1477" s="5" t="s">
        <v>304</v>
      </c>
      <c r="AX1477" s="5" t="s">
        <v>304</v>
      </c>
      <c r="AY1477" s="5" t="s">
        <v>250</v>
      </c>
      <c r="AZ1477" s="5" t="s">
        <v>281</v>
      </c>
      <c r="BA1477" s="5" t="s">
        <v>251</v>
      </c>
      <c r="BB1477" s="5" t="s">
        <v>238</v>
      </c>
      <c r="BC1477" s="5" t="s">
        <v>253</v>
      </c>
      <c r="BD1477" s="5" t="s">
        <v>3170</v>
      </c>
      <c r="BF1477" s="5" t="s">
        <v>238</v>
      </c>
      <c r="BH1477" s="5" t="s">
        <v>283</v>
      </c>
      <c r="BI1477" s="6" t="s">
        <v>293</v>
      </c>
      <c r="BJ1477" s="5" t="s">
        <v>294</v>
      </c>
      <c r="BK1477" s="5" t="s">
        <v>3171</v>
      </c>
      <c r="BL1477" s="5" t="s">
        <v>238</v>
      </c>
      <c r="BM1477" s="8">
        <f>0</f>
        <v>0</v>
      </c>
      <c r="BN1477" s="8">
        <f>-26826</f>
        <v>-26826</v>
      </c>
      <c r="BO1477" s="5" t="s">
        <v>257</v>
      </c>
      <c r="BP1477" s="5" t="s">
        <v>258</v>
      </c>
      <c r="BQ1477" s="5" t="s">
        <v>377</v>
      </c>
      <c r="BR1477" s="5" t="s">
        <v>3172</v>
      </c>
      <c r="BS1477" s="5" t="s">
        <v>258</v>
      </c>
      <c r="BT1477" s="5" t="s">
        <v>238</v>
      </c>
      <c r="BU1477" s="5" t="s">
        <v>3173</v>
      </c>
      <c r="BV1477" s="5" t="s">
        <v>3174</v>
      </c>
      <c r="BW1477" s="5" t="s">
        <v>3174</v>
      </c>
      <c r="BY1477" s="6" t="s">
        <v>3987</v>
      </c>
      <c r="BZ1477" s="5" t="s">
        <v>257</v>
      </c>
      <c r="CA1477" s="5" t="s">
        <v>238</v>
      </c>
      <c r="CB1477" s="5" t="s">
        <v>238</v>
      </c>
      <c r="CC1477" s="5" t="s">
        <v>258</v>
      </c>
      <c r="CD1477" s="5" t="s">
        <v>238</v>
      </c>
      <c r="CE1477" s="5" t="s">
        <v>238</v>
      </c>
      <c r="CI1477" s="5" t="s">
        <v>238</v>
      </c>
      <c r="CJ1477" s="5" t="s">
        <v>238</v>
      </c>
      <c r="CK1477" s="5" t="s">
        <v>272</v>
      </c>
      <c r="CM1477" s="5" t="s">
        <v>238</v>
      </c>
      <c r="CN1477" s="6" t="s">
        <v>262</v>
      </c>
      <c r="CO1477" s="5" t="s">
        <v>263</v>
      </c>
      <c r="CP1477" s="5" t="s">
        <v>264</v>
      </c>
      <c r="CQ1477" s="5" t="s">
        <v>285</v>
      </c>
      <c r="CR1477" s="5" t="s">
        <v>238</v>
      </c>
      <c r="CS1477" s="5">
        <v>0</v>
      </c>
      <c r="CT1477" s="5" t="s">
        <v>265</v>
      </c>
      <c r="CU1477" s="5" t="s">
        <v>351</v>
      </c>
      <c r="CV1477" s="5" t="s">
        <v>365</v>
      </c>
      <c r="CW1477" s="7">
        <f>400400</f>
        <v>400400</v>
      </c>
      <c r="CX1477" s="8">
        <f>400400</f>
        <v>400400</v>
      </c>
      <c r="CY1477" s="8">
        <f>373574</f>
        <v>373574</v>
      </c>
      <c r="CZ1477" s="8" t="s">
        <v>238</v>
      </c>
      <c r="DA1477" s="5" t="s">
        <v>238</v>
      </c>
      <c r="DB1477" s="5" t="s">
        <v>238</v>
      </c>
      <c r="DD1477" s="5" t="s">
        <v>238</v>
      </c>
      <c r="DE1477" s="8">
        <f>0</f>
        <v>0</v>
      </c>
      <c r="DF1477" s="6" t="s">
        <v>238</v>
      </c>
      <c r="DG1477" s="5" t="s">
        <v>238</v>
      </c>
      <c r="DH1477" s="5" t="s">
        <v>238</v>
      </c>
      <c r="DI1477" s="5" t="s">
        <v>238</v>
      </c>
      <c r="DJ1477" s="5" t="s">
        <v>238</v>
      </c>
      <c r="DK1477" s="5" t="s">
        <v>238</v>
      </c>
      <c r="DL1477" s="5" t="s">
        <v>238</v>
      </c>
      <c r="DM1477" s="8" t="s">
        <v>238</v>
      </c>
      <c r="DN1477" s="5" t="s">
        <v>238</v>
      </c>
      <c r="DO1477" s="5" t="s">
        <v>247</v>
      </c>
      <c r="DP1477" s="5" t="s">
        <v>3170</v>
      </c>
      <c r="DQ1477" s="5" t="s">
        <v>3170</v>
      </c>
      <c r="DR1477" s="5" t="s">
        <v>238</v>
      </c>
      <c r="DS1477" s="5" t="s">
        <v>238</v>
      </c>
      <c r="HP1477" s="5" t="s">
        <v>238</v>
      </c>
      <c r="HQ1477" s="5" t="s">
        <v>238</v>
      </c>
      <c r="HR1477" s="5" t="s">
        <v>238</v>
      </c>
      <c r="HS1477" s="5" t="s">
        <v>238</v>
      </c>
      <c r="HT1477" s="5" t="s">
        <v>238</v>
      </c>
      <c r="HU1477" s="5" t="s">
        <v>238</v>
      </c>
      <c r="HV1477" s="5" t="s">
        <v>238</v>
      </c>
      <c r="HW1477" s="5" t="s">
        <v>238</v>
      </c>
      <c r="HX1477" s="5" t="s">
        <v>238</v>
      </c>
      <c r="HY1477" s="5" t="s">
        <v>238</v>
      </c>
      <c r="HZ1477" s="5" t="s">
        <v>238</v>
      </c>
      <c r="IA1477" s="5" t="s">
        <v>238</v>
      </c>
      <c r="IB1477" s="5" t="s">
        <v>238</v>
      </c>
      <c r="IC1477" s="5" t="s">
        <v>238</v>
      </c>
      <c r="ID1477" s="5" t="s">
        <v>238</v>
      </c>
    </row>
    <row r="1478" spans="1:238" x14ac:dyDescent="0.4">
      <c r="A1478" s="5">
        <v>1870</v>
      </c>
      <c r="B1478" s="5">
        <v>1</v>
      </c>
      <c r="C1478" s="5">
        <v>3</v>
      </c>
      <c r="D1478" s="5" t="s">
        <v>416</v>
      </c>
      <c r="E1478" s="5" t="s">
        <v>347</v>
      </c>
      <c r="F1478" s="5" t="s">
        <v>282</v>
      </c>
      <c r="G1478" s="5" t="s">
        <v>3988</v>
      </c>
      <c r="H1478" s="6" t="s">
        <v>3989</v>
      </c>
      <c r="I1478" s="5" t="s">
        <v>3983</v>
      </c>
      <c r="J1478" s="8">
        <f>1</f>
        <v>1</v>
      </c>
      <c r="K1478" s="5" t="s">
        <v>3176</v>
      </c>
      <c r="L1478" s="8">
        <f>373574</f>
        <v>373574</v>
      </c>
      <c r="M1478" s="8">
        <f>400400</f>
        <v>400400</v>
      </c>
      <c r="N1478" s="6" t="s">
        <v>1077</v>
      </c>
      <c r="O1478" s="5" t="s">
        <v>268</v>
      </c>
      <c r="P1478" s="5" t="s">
        <v>238</v>
      </c>
      <c r="Q1478" s="8">
        <f>0</f>
        <v>0</v>
      </c>
      <c r="R1478" s="8">
        <f>26826</f>
        <v>26826</v>
      </c>
      <c r="S1478" s="5" t="s">
        <v>240</v>
      </c>
      <c r="T1478" s="5" t="s">
        <v>237</v>
      </c>
      <c r="W1478" s="5" t="s">
        <v>241</v>
      </c>
      <c r="X1478" s="5" t="s">
        <v>238</v>
      </c>
      <c r="Y1478" s="5" t="s">
        <v>238</v>
      </c>
      <c r="AB1478" s="5" t="s">
        <v>347</v>
      </c>
      <c r="AC1478" s="6" t="s">
        <v>238</v>
      </c>
      <c r="AD1478" s="6" t="s">
        <v>238</v>
      </c>
      <c r="AE1478" s="5" t="s">
        <v>238</v>
      </c>
      <c r="AF1478" s="6" t="s">
        <v>238</v>
      </c>
      <c r="AG1478" s="6" t="s">
        <v>3984</v>
      </c>
      <c r="AH1478" s="5" t="s">
        <v>247</v>
      </c>
      <c r="AI1478" s="5" t="s">
        <v>238</v>
      </c>
      <c r="AO1478" s="5" t="s">
        <v>238</v>
      </c>
      <c r="AP1478" s="5" t="s">
        <v>238</v>
      </c>
      <c r="AQ1478" s="5" t="s">
        <v>238</v>
      </c>
      <c r="AR1478" s="6" t="s">
        <v>238</v>
      </c>
      <c r="AS1478" s="6" t="s">
        <v>238</v>
      </c>
      <c r="AT1478" s="6" t="s">
        <v>238</v>
      </c>
      <c r="AW1478" s="5" t="s">
        <v>304</v>
      </c>
      <c r="AX1478" s="5" t="s">
        <v>304</v>
      </c>
      <c r="AY1478" s="5" t="s">
        <v>250</v>
      </c>
      <c r="AZ1478" s="5" t="s">
        <v>281</v>
      </c>
      <c r="BA1478" s="5" t="s">
        <v>251</v>
      </c>
      <c r="BB1478" s="5" t="s">
        <v>238</v>
      </c>
      <c r="BC1478" s="5" t="s">
        <v>253</v>
      </c>
      <c r="BD1478" s="5" t="s">
        <v>3170</v>
      </c>
      <c r="BF1478" s="5" t="s">
        <v>238</v>
      </c>
      <c r="BH1478" s="5" t="s">
        <v>283</v>
      </c>
      <c r="BI1478" s="6" t="s">
        <v>293</v>
      </c>
      <c r="BJ1478" s="5" t="s">
        <v>294</v>
      </c>
      <c r="BK1478" s="5" t="s">
        <v>3171</v>
      </c>
      <c r="BL1478" s="5" t="s">
        <v>238</v>
      </c>
      <c r="BM1478" s="8">
        <f>0</f>
        <v>0</v>
      </c>
      <c r="BN1478" s="8">
        <f>-26826</f>
        <v>-26826</v>
      </c>
      <c r="BO1478" s="5" t="s">
        <v>257</v>
      </c>
      <c r="BP1478" s="5" t="s">
        <v>258</v>
      </c>
      <c r="BQ1478" s="5" t="s">
        <v>377</v>
      </c>
      <c r="BR1478" s="5" t="s">
        <v>3172</v>
      </c>
      <c r="BS1478" s="5" t="s">
        <v>258</v>
      </c>
      <c r="BT1478" s="5" t="s">
        <v>238</v>
      </c>
      <c r="BU1478" s="5" t="s">
        <v>3173</v>
      </c>
      <c r="BV1478" s="5" t="s">
        <v>3174</v>
      </c>
      <c r="BW1478" s="5" t="s">
        <v>3174</v>
      </c>
      <c r="BY1478" s="6" t="s">
        <v>3990</v>
      </c>
      <c r="BZ1478" s="5" t="s">
        <v>257</v>
      </c>
      <c r="CA1478" s="5" t="s">
        <v>238</v>
      </c>
      <c r="CB1478" s="5" t="s">
        <v>238</v>
      </c>
      <c r="CC1478" s="5" t="s">
        <v>258</v>
      </c>
      <c r="CD1478" s="5" t="s">
        <v>238</v>
      </c>
      <c r="CE1478" s="5" t="s">
        <v>238</v>
      </c>
      <c r="CI1478" s="5" t="s">
        <v>238</v>
      </c>
      <c r="CJ1478" s="5" t="s">
        <v>238</v>
      </c>
      <c r="CK1478" s="5" t="s">
        <v>272</v>
      </c>
      <c r="CM1478" s="5" t="s">
        <v>238</v>
      </c>
      <c r="CN1478" s="6" t="s">
        <v>262</v>
      </c>
      <c r="CO1478" s="5" t="s">
        <v>263</v>
      </c>
      <c r="CP1478" s="5" t="s">
        <v>264</v>
      </c>
      <c r="CQ1478" s="5" t="s">
        <v>285</v>
      </c>
      <c r="CR1478" s="5" t="s">
        <v>238</v>
      </c>
      <c r="CS1478" s="5">
        <v>0</v>
      </c>
      <c r="CT1478" s="5" t="s">
        <v>265</v>
      </c>
      <c r="CU1478" s="5" t="s">
        <v>351</v>
      </c>
      <c r="CV1478" s="5" t="s">
        <v>365</v>
      </c>
      <c r="CW1478" s="7">
        <f>400400</f>
        <v>400400</v>
      </c>
      <c r="CX1478" s="8">
        <f>400400</f>
        <v>400400</v>
      </c>
      <c r="CY1478" s="8">
        <f>373574</f>
        <v>373574</v>
      </c>
      <c r="CZ1478" s="8" t="s">
        <v>238</v>
      </c>
      <c r="DA1478" s="5" t="s">
        <v>238</v>
      </c>
      <c r="DB1478" s="5" t="s">
        <v>238</v>
      </c>
      <c r="DD1478" s="5" t="s">
        <v>238</v>
      </c>
      <c r="DE1478" s="8">
        <f>0</f>
        <v>0</v>
      </c>
      <c r="DF1478" s="6" t="s">
        <v>238</v>
      </c>
      <c r="DG1478" s="5" t="s">
        <v>238</v>
      </c>
      <c r="DH1478" s="5" t="s">
        <v>238</v>
      </c>
      <c r="DI1478" s="5" t="s">
        <v>238</v>
      </c>
      <c r="DJ1478" s="5" t="s">
        <v>238</v>
      </c>
      <c r="DK1478" s="5" t="s">
        <v>238</v>
      </c>
      <c r="DL1478" s="5" t="s">
        <v>238</v>
      </c>
      <c r="DM1478" s="8" t="s">
        <v>238</v>
      </c>
      <c r="DN1478" s="5" t="s">
        <v>238</v>
      </c>
      <c r="DO1478" s="5" t="s">
        <v>247</v>
      </c>
      <c r="DP1478" s="5" t="s">
        <v>3170</v>
      </c>
      <c r="DQ1478" s="5" t="s">
        <v>3170</v>
      </c>
      <c r="DR1478" s="5" t="s">
        <v>238</v>
      </c>
      <c r="DS1478" s="5" t="s">
        <v>238</v>
      </c>
      <c r="HP1478" s="5" t="s">
        <v>238</v>
      </c>
      <c r="HQ1478" s="5" t="s">
        <v>238</v>
      </c>
      <c r="HR1478" s="5" t="s">
        <v>238</v>
      </c>
      <c r="HS1478" s="5" t="s">
        <v>238</v>
      </c>
      <c r="HT1478" s="5" t="s">
        <v>238</v>
      </c>
      <c r="HU1478" s="5" t="s">
        <v>238</v>
      </c>
      <c r="HV1478" s="5" t="s">
        <v>238</v>
      </c>
      <c r="HW1478" s="5" t="s">
        <v>238</v>
      </c>
      <c r="HX1478" s="5" t="s">
        <v>238</v>
      </c>
      <c r="HY1478" s="5" t="s">
        <v>238</v>
      </c>
      <c r="HZ1478" s="5" t="s">
        <v>238</v>
      </c>
      <c r="IA1478" s="5" t="s">
        <v>238</v>
      </c>
      <c r="IB1478" s="5" t="s">
        <v>238</v>
      </c>
      <c r="IC1478" s="5" t="s">
        <v>238</v>
      </c>
      <c r="ID1478" s="5" t="s">
        <v>238</v>
      </c>
    </row>
    <row r="1479" spans="1:238" x14ac:dyDescent="0.4">
      <c r="A1479" s="5">
        <v>1872</v>
      </c>
      <c r="B1479" s="5">
        <v>1</v>
      </c>
      <c r="C1479" s="5">
        <v>3</v>
      </c>
      <c r="D1479" s="5" t="s">
        <v>405</v>
      </c>
      <c r="E1479" s="5" t="s">
        <v>347</v>
      </c>
      <c r="F1479" s="5" t="s">
        <v>282</v>
      </c>
      <c r="G1479" s="5" t="s">
        <v>3991</v>
      </c>
      <c r="H1479" s="6" t="s">
        <v>3194</v>
      </c>
      <c r="I1479" s="5" t="s">
        <v>3983</v>
      </c>
      <c r="J1479" s="8">
        <f>1</f>
        <v>1</v>
      </c>
      <c r="K1479" s="5" t="s">
        <v>3176</v>
      </c>
      <c r="L1479" s="8">
        <f>461835</f>
        <v>461835</v>
      </c>
      <c r="M1479" s="8">
        <f>495000</f>
        <v>495000</v>
      </c>
      <c r="N1479" s="6" t="s">
        <v>1077</v>
      </c>
      <c r="O1479" s="5" t="s">
        <v>268</v>
      </c>
      <c r="P1479" s="5" t="s">
        <v>238</v>
      </c>
      <c r="Q1479" s="8">
        <f>0</f>
        <v>0</v>
      </c>
      <c r="R1479" s="8">
        <f>33165</f>
        <v>33165</v>
      </c>
      <c r="S1479" s="5" t="s">
        <v>240</v>
      </c>
      <c r="T1479" s="5" t="s">
        <v>237</v>
      </c>
      <c r="W1479" s="5" t="s">
        <v>241</v>
      </c>
      <c r="X1479" s="5" t="s">
        <v>238</v>
      </c>
      <c r="Y1479" s="5" t="s">
        <v>238</v>
      </c>
      <c r="AB1479" s="5" t="s">
        <v>347</v>
      </c>
      <c r="AC1479" s="6" t="s">
        <v>238</v>
      </c>
      <c r="AD1479" s="6" t="s">
        <v>238</v>
      </c>
      <c r="AE1479" s="5" t="s">
        <v>238</v>
      </c>
      <c r="AF1479" s="6" t="s">
        <v>238</v>
      </c>
      <c r="AG1479" s="6" t="s">
        <v>3984</v>
      </c>
      <c r="AH1479" s="5" t="s">
        <v>247</v>
      </c>
      <c r="AI1479" s="5" t="s">
        <v>238</v>
      </c>
      <c r="AO1479" s="5" t="s">
        <v>238</v>
      </c>
      <c r="AP1479" s="5" t="s">
        <v>238</v>
      </c>
      <c r="AQ1479" s="5" t="s">
        <v>238</v>
      </c>
      <c r="AR1479" s="6" t="s">
        <v>238</v>
      </c>
      <c r="AS1479" s="6" t="s">
        <v>238</v>
      </c>
      <c r="AT1479" s="6" t="s">
        <v>238</v>
      </c>
      <c r="AW1479" s="5" t="s">
        <v>304</v>
      </c>
      <c r="AX1479" s="5" t="s">
        <v>304</v>
      </c>
      <c r="AY1479" s="5" t="s">
        <v>250</v>
      </c>
      <c r="AZ1479" s="5" t="s">
        <v>281</v>
      </c>
      <c r="BA1479" s="5" t="s">
        <v>251</v>
      </c>
      <c r="BB1479" s="5" t="s">
        <v>238</v>
      </c>
      <c r="BC1479" s="5" t="s">
        <v>253</v>
      </c>
      <c r="BD1479" s="5" t="s">
        <v>3170</v>
      </c>
      <c r="BF1479" s="5" t="s">
        <v>238</v>
      </c>
      <c r="BH1479" s="5" t="s">
        <v>283</v>
      </c>
      <c r="BI1479" s="6" t="s">
        <v>293</v>
      </c>
      <c r="BJ1479" s="5" t="s">
        <v>294</v>
      </c>
      <c r="BK1479" s="5" t="s">
        <v>3171</v>
      </c>
      <c r="BL1479" s="5" t="s">
        <v>238</v>
      </c>
      <c r="BM1479" s="8">
        <f>0</f>
        <v>0</v>
      </c>
      <c r="BN1479" s="8">
        <f>-33165</f>
        <v>-33165</v>
      </c>
      <c r="BO1479" s="5" t="s">
        <v>257</v>
      </c>
      <c r="BP1479" s="5" t="s">
        <v>258</v>
      </c>
      <c r="BQ1479" s="5" t="s">
        <v>377</v>
      </c>
      <c r="BR1479" s="5" t="s">
        <v>3172</v>
      </c>
      <c r="BS1479" s="5" t="s">
        <v>258</v>
      </c>
      <c r="BT1479" s="5" t="s">
        <v>238</v>
      </c>
      <c r="BU1479" s="5" t="s">
        <v>3173</v>
      </c>
      <c r="BV1479" s="5" t="s">
        <v>3174</v>
      </c>
      <c r="BW1479" s="5" t="s">
        <v>3174</v>
      </c>
      <c r="BY1479" s="6" t="s">
        <v>3992</v>
      </c>
      <c r="BZ1479" s="5" t="s">
        <v>257</v>
      </c>
      <c r="CA1479" s="5" t="s">
        <v>238</v>
      </c>
      <c r="CB1479" s="5" t="s">
        <v>238</v>
      </c>
      <c r="CC1479" s="5" t="s">
        <v>258</v>
      </c>
      <c r="CD1479" s="5" t="s">
        <v>238</v>
      </c>
      <c r="CE1479" s="5" t="s">
        <v>238</v>
      </c>
      <c r="CI1479" s="5" t="s">
        <v>238</v>
      </c>
      <c r="CJ1479" s="5" t="s">
        <v>238</v>
      </c>
      <c r="CK1479" s="5" t="s">
        <v>272</v>
      </c>
      <c r="CM1479" s="5" t="s">
        <v>238</v>
      </c>
      <c r="CN1479" s="6" t="s">
        <v>262</v>
      </c>
      <c r="CO1479" s="5" t="s">
        <v>263</v>
      </c>
      <c r="CP1479" s="5" t="s">
        <v>264</v>
      </c>
      <c r="CQ1479" s="5" t="s">
        <v>285</v>
      </c>
      <c r="CR1479" s="5" t="s">
        <v>238</v>
      </c>
      <c r="CS1479" s="5">
        <v>0</v>
      </c>
      <c r="CT1479" s="5" t="s">
        <v>265</v>
      </c>
      <c r="CU1479" s="5" t="s">
        <v>351</v>
      </c>
      <c r="CV1479" s="5" t="s">
        <v>365</v>
      </c>
      <c r="CW1479" s="7">
        <f>495000</f>
        <v>495000</v>
      </c>
      <c r="CX1479" s="8">
        <f>495000</f>
        <v>495000</v>
      </c>
      <c r="CY1479" s="8">
        <f>461835</f>
        <v>461835</v>
      </c>
      <c r="CZ1479" s="8" t="s">
        <v>238</v>
      </c>
      <c r="DA1479" s="5" t="s">
        <v>238</v>
      </c>
      <c r="DB1479" s="5" t="s">
        <v>238</v>
      </c>
      <c r="DD1479" s="5" t="s">
        <v>238</v>
      </c>
      <c r="DE1479" s="8">
        <f>0</f>
        <v>0</v>
      </c>
      <c r="DF1479" s="6" t="s">
        <v>238</v>
      </c>
      <c r="DG1479" s="5" t="s">
        <v>238</v>
      </c>
      <c r="DH1479" s="5" t="s">
        <v>238</v>
      </c>
      <c r="DI1479" s="5" t="s">
        <v>238</v>
      </c>
      <c r="DJ1479" s="5" t="s">
        <v>238</v>
      </c>
      <c r="DK1479" s="5" t="s">
        <v>238</v>
      </c>
      <c r="DL1479" s="5" t="s">
        <v>238</v>
      </c>
      <c r="DM1479" s="8" t="s">
        <v>238</v>
      </c>
      <c r="DN1479" s="5" t="s">
        <v>238</v>
      </c>
      <c r="DO1479" s="5" t="s">
        <v>247</v>
      </c>
      <c r="DP1479" s="5" t="s">
        <v>3170</v>
      </c>
      <c r="DQ1479" s="5" t="s">
        <v>3170</v>
      </c>
      <c r="DR1479" s="5" t="s">
        <v>238</v>
      </c>
      <c r="DS1479" s="5" t="s">
        <v>238</v>
      </c>
      <c r="HP1479" s="5" t="s">
        <v>238</v>
      </c>
      <c r="HQ1479" s="5" t="s">
        <v>238</v>
      </c>
      <c r="HR1479" s="5" t="s">
        <v>238</v>
      </c>
      <c r="HS1479" s="5" t="s">
        <v>238</v>
      </c>
      <c r="HT1479" s="5" t="s">
        <v>238</v>
      </c>
      <c r="HU1479" s="5" t="s">
        <v>238</v>
      </c>
      <c r="HV1479" s="5" t="s">
        <v>238</v>
      </c>
      <c r="HW1479" s="5" t="s">
        <v>238</v>
      </c>
      <c r="HX1479" s="5" t="s">
        <v>238</v>
      </c>
      <c r="HY1479" s="5" t="s">
        <v>238</v>
      </c>
      <c r="HZ1479" s="5" t="s">
        <v>238</v>
      </c>
      <c r="IA1479" s="5" t="s">
        <v>238</v>
      </c>
      <c r="IB1479" s="5" t="s">
        <v>238</v>
      </c>
      <c r="IC1479" s="5" t="s">
        <v>238</v>
      </c>
      <c r="ID1479" s="5" t="s">
        <v>238</v>
      </c>
    </row>
    <row r="1480" spans="1:238" x14ac:dyDescent="0.4">
      <c r="A1480" s="5">
        <v>1873</v>
      </c>
      <c r="B1480" s="5">
        <v>1</v>
      </c>
      <c r="C1480" s="5">
        <v>3</v>
      </c>
      <c r="D1480" s="5" t="s">
        <v>357</v>
      </c>
      <c r="E1480" s="5" t="s">
        <v>347</v>
      </c>
      <c r="F1480" s="5" t="s">
        <v>282</v>
      </c>
      <c r="G1480" s="5" t="s">
        <v>3993</v>
      </c>
      <c r="H1480" s="6" t="s">
        <v>3994</v>
      </c>
      <c r="I1480" s="5" t="s">
        <v>3983</v>
      </c>
      <c r="J1480" s="8">
        <f>1</f>
        <v>1</v>
      </c>
      <c r="K1480" s="5" t="s">
        <v>3176</v>
      </c>
      <c r="L1480" s="8">
        <f>373574</f>
        <v>373574</v>
      </c>
      <c r="M1480" s="8">
        <f>400400</f>
        <v>400400</v>
      </c>
      <c r="N1480" s="6" t="s">
        <v>1077</v>
      </c>
      <c r="O1480" s="5" t="s">
        <v>268</v>
      </c>
      <c r="P1480" s="5" t="s">
        <v>238</v>
      </c>
      <c r="Q1480" s="8">
        <f>0</f>
        <v>0</v>
      </c>
      <c r="R1480" s="8">
        <f>26826</f>
        <v>26826</v>
      </c>
      <c r="S1480" s="5" t="s">
        <v>240</v>
      </c>
      <c r="T1480" s="5" t="s">
        <v>237</v>
      </c>
      <c r="W1480" s="5" t="s">
        <v>241</v>
      </c>
      <c r="X1480" s="5" t="s">
        <v>238</v>
      </c>
      <c r="Y1480" s="5" t="s">
        <v>238</v>
      </c>
      <c r="AB1480" s="5" t="s">
        <v>347</v>
      </c>
      <c r="AC1480" s="6" t="s">
        <v>238</v>
      </c>
      <c r="AD1480" s="6" t="s">
        <v>238</v>
      </c>
      <c r="AE1480" s="5" t="s">
        <v>238</v>
      </c>
      <c r="AF1480" s="6" t="s">
        <v>238</v>
      </c>
      <c r="AG1480" s="6" t="s">
        <v>3984</v>
      </c>
      <c r="AH1480" s="5" t="s">
        <v>247</v>
      </c>
      <c r="AI1480" s="5" t="s">
        <v>238</v>
      </c>
      <c r="AO1480" s="5" t="s">
        <v>238</v>
      </c>
      <c r="AP1480" s="5" t="s">
        <v>238</v>
      </c>
      <c r="AQ1480" s="5" t="s">
        <v>238</v>
      </c>
      <c r="AR1480" s="6" t="s">
        <v>238</v>
      </c>
      <c r="AS1480" s="6" t="s">
        <v>238</v>
      </c>
      <c r="AT1480" s="6" t="s">
        <v>238</v>
      </c>
      <c r="AW1480" s="5" t="s">
        <v>304</v>
      </c>
      <c r="AX1480" s="5" t="s">
        <v>304</v>
      </c>
      <c r="AY1480" s="5" t="s">
        <v>250</v>
      </c>
      <c r="AZ1480" s="5" t="s">
        <v>281</v>
      </c>
      <c r="BA1480" s="5" t="s">
        <v>251</v>
      </c>
      <c r="BB1480" s="5" t="s">
        <v>238</v>
      </c>
      <c r="BC1480" s="5" t="s">
        <v>253</v>
      </c>
      <c r="BD1480" s="5" t="s">
        <v>3170</v>
      </c>
      <c r="BF1480" s="5" t="s">
        <v>238</v>
      </c>
      <c r="BH1480" s="5" t="s">
        <v>283</v>
      </c>
      <c r="BI1480" s="6" t="s">
        <v>293</v>
      </c>
      <c r="BJ1480" s="5" t="s">
        <v>294</v>
      </c>
      <c r="BK1480" s="5" t="s">
        <v>3171</v>
      </c>
      <c r="BL1480" s="5" t="s">
        <v>238</v>
      </c>
      <c r="BM1480" s="8">
        <f>0</f>
        <v>0</v>
      </c>
      <c r="BN1480" s="8">
        <f>-26826</f>
        <v>-26826</v>
      </c>
      <c r="BO1480" s="5" t="s">
        <v>257</v>
      </c>
      <c r="BP1480" s="5" t="s">
        <v>258</v>
      </c>
      <c r="BQ1480" s="5" t="s">
        <v>377</v>
      </c>
      <c r="BR1480" s="5" t="s">
        <v>3172</v>
      </c>
      <c r="BS1480" s="5" t="s">
        <v>258</v>
      </c>
      <c r="BT1480" s="5" t="s">
        <v>238</v>
      </c>
      <c r="BU1480" s="5" t="s">
        <v>3173</v>
      </c>
      <c r="BV1480" s="5" t="s">
        <v>3174</v>
      </c>
      <c r="BW1480" s="5" t="s">
        <v>3174</v>
      </c>
      <c r="BY1480" s="6" t="s">
        <v>3995</v>
      </c>
      <c r="BZ1480" s="5" t="s">
        <v>257</v>
      </c>
      <c r="CA1480" s="5" t="s">
        <v>238</v>
      </c>
      <c r="CB1480" s="5" t="s">
        <v>238</v>
      </c>
      <c r="CC1480" s="5" t="s">
        <v>258</v>
      </c>
      <c r="CD1480" s="5" t="s">
        <v>238</v>
      </c>
      <c r="CE1480" s="5" t="s">
        <v>238</v>
      </c>
      <c r="CI1480" s="5" t="s">
        <v>238</v>
      </c>
      <c r="CJ1480" s="5" t="s">
        <v>238</v>
      </c>
      <c r="CK1480" s="5" t="s">
        <v>272</v>
      </c>
      <c r="CM1480" s="5" t="s">
        <v>238</v>
      </c>
      <c r="CN1480" s="6" t="s">
        <v>262</v>
      </c>
      <c r="CO1480" s="5" t="s">
        <v>263</v>
      </c>
      <c r="CP1480" s="5" t="s">
        <v>264</v>
      </c>
      <c r="CQ1480" s="5" t="s">
        <v>285</v>
      </c>
      <c r="CR1480" s="5" t="s">
        <v>238</v>
      </c>
      <c r="CS1480" s="5">
        <v>0</v>
      </c>
      <c r="CT1480" s="5" t="s">
        <v>265</v>
      </c>
      <c r="CU1480" s="5" t="s">
        <v>351</v>
      </c>
      <c r="CV1480" s="5" t="s">
        <v>365</v>
      </c>
      <c r="CW1480" s="7">
        <f>400400</f>
        <v>400400</v>
      </c>
      <c r="CX1480" s="8">
        <f>400400</f>
        <v>400400</v>
      </c>
      <c r="CY1480" s="8">
        <f>373574</f>
        <v>373574</v>
      </c>
      <c r="CZ1480" s="8" t="s">
        <v>238</v>
      </c>
      <c r="DA1480" s="5" t="s">
        <v>238</v>
      </c>
      <c r="DB1480" s="5" t="s">
        <v>238</v>
      </c>
      <c r="DD1480" s="5" t="s">
        <v>238</v>
      </c>
      <c r="DE1480" s="8">
        <f>0</f>
        <v>0</v>
      </c>
      <c r="DF1480" s="6" t="s">
        <v>238</v>
      </c>
      <c r="DG1480" s="5" t="s">
        <v>238</v>
      </c>
      <c r="DH1480" s="5" t="s">
        <v>238</v>
      </c>
      <c r="DI1480" s="5" t="s">
        <v>238</v>
      </c>
      <c r="DJ1480" s="5" t="s">
        <v>238</v>
      </c>
      <c r="DK1480" s="5" t="s">
        <v>238</v>
      </c>
      <c r="DL1480" s="5" t="s">
        <v>238</v>
      </c>
      <c r="DM1480" s="8" t="s">
        <v>238</v>
      </c>
      <c r="DN1480" s="5" t="s">
        <v>238</v>
      </c>
      <c r="DO1480" s="5" t="s">
        <v>247</v>
      </c>
      <c r="DP1480" s="5" t="s">
        <v>3170</v>
      </c>
      <c r="DQ1480" s="5" t="s">
        <v>3170</v>
      </c>
      <c r="DR1480" s="5" t="s">
        <v>238</v>
      </c>
      <c r="DS1480" s="5" t="s">
        <v>238</v>
      </c>
      <c r="HP1480" s="5" t="s">
        <v>238</v>
      </c>
      <c r="HQ1480" s="5" t="s">
        <v>238</v>
      </c>
      <c r="HR1480" s="5" t="s">
        <v>238</v>
      </c>
      <c r="HS1480" s="5" t="s">
        <v>238</v>
      </c>
      <c r="HT1480" s="5" t="s">
        <v>238</v>
      </c>
      <c r="HU1480" s="5" t="s">
        <v>238</v>
      </c>
      <c r="HV1480" s="5" t="s">
        <v>238</v>
      </c>
      <c r="HW1480" s="5" t="s">
        <v>238</v>
      </c>
      <c r="HX1480" s="5" t="s">
        <v>238</v>
      </c>
      <c r="HY1480" s="5" t="s">
        <v>238</v>
      </c>
      <c r="HZ1480" s="5" t="s">
        <v>238</v>
      </c>
      <c r="IA1480" s="5" t="s">
        <v>238</v>
      </c>
      <c r="IB1480" s="5" t="s">
        <v>238</v>
      </c>
      <c r="IC1480" s="5" t="s">
        <v>238</v>
      </c>
      <c r="ID1480" s="5" t="s">
        <v>238</v>
      </c>
    </row>
    <row r="1481" spans="1:238" x14ac:dyDescent="0.4">
      <c r="A1481" s="5">
        <v>1874</v>
      </c>
      <c r="B1481" s="5">
        <v>1</v>
      </c>
      <c r="C1481" s="5">
        <v>3</v>
      </c>
      <c r="D1481" s="5" t="s">
        <v>434</v>
      </c>
      <c r="E1481" s="5" t="s">
        <v>347</v>
      </c>
      <c r="F1481" s="5" t="s">
        <v>282</v>
      </c>
      <c r="G1481" s="5" t="s">
        <v>3280</v>
      </c>
      <c r="H1481" s="6" t="s">
        <v>3208</v>
      </c>
      <c r="I1481" s="5" t="s">
        <v>3264</v>
      </c>
      <c r="J1481" s="8">
        <f>1</f>
        <v>1</v>
      </c>
      <c r="K1481" s="5" t="s">
        <v>3176</v>
      </c>
      <c r="L1481" s="8">
        <f>501323</f>
        <v>501323</v>
      </c>
      <c r="M1481" s="8">
        <f>512600</f>
        <v>512600</v>
      </c>
      <c r="N1481" s="6" t="s">
        <v>1077</v>
      </c>
      <c r="O1481" s="5" t="s">
        <v>898</v>
      </c>
      <c r="P1481" s="5" t="s">
        <v>238</v>
      </c>
      <c r="Q1481" s="8">
        <f>0</f>
        <v>0</v>
      </c>
      <c r="R1481" s="8">
        <f>11277</f>
        <v>11277</v>
      </c>
      <c r="S1481" s="5" t="s">
        <v>240</v>
      </c>
      <c r="T1481" s="5" t="s">
        <v>237</v>
      </c>
      <c r="W1481" s="5" t="s">
        <v>241</v>
      </c>
      <c r="X1481" s="5" t="s">
        <v>238</v>
      </c>
      <c r="Y1481" s="5" t="s">
        <v>238</v>
      </c>
      <c r="AB1481" s="5" t="s">
        <v>347</v>
      </c>
      <c r="AC1481" s="6" t="s">
        <v>238</v>
      </c>
      <c r="AD1481" s="6" t="s">
        <v>238</v>
      </c>
      <c r="AE1481" s="5" t="s">
        <v>238</v>
      </c>
      <c r="AF1481" s="6" t="s">
        <v>238</v>
      </c>
      <c r="AG1481" s="6" t="s">
        <v>3265</v>
      </c>
      <c r="AH1481" s="5" t="s">
        <v>247</v>
      </c>
      <c r="AI1481" s="5" t="s">
        <v>238</v>
      </c>
      <c r="AO1481" s="5" t="s">
        <v>238</v>
      </c>
      <c r="AP1481" s="5" t="s">
        <v>238</v>
      </c>
      <c r="AQ1481" s="5" t="s">
        <v>238</v>
      </c>
      <c r="AR1481" s="6" t="s">
        <v>238</v>
      </c>
      <c r="AS1481" s="6" t="s">
        <v>238</v>
      </c>
      <c r="AT1481" s="6" t="s">
        <v>238</v>
      </c>
      <c r="AW1481" s="5" t="s">
        <v>304</v>
      </c>
      <c r="AX1481" s="5" t="s">
        <v>304</v>
      </c>
      <c r="AY1481" s="5" t="s">
        <v>250</v>
      </c>
      <c r="AZ1481" s="5" t="s">
        <v>281</v>
      </c>
      <c r="BA1481" s="5" t="s">
        <v>251</v>
      </c>
      <c r="BB1481" s="5" t="s">
        <v>238</v>
      </c>
      <c r="BC1481" s="5" t="s">
        <v>253</v>
      </c>
      <c r="BD1481" s="5" t="s">
        <v>3170</v>
      </c>
      <c r="BF1481" s="5" t="s">
        <v>238</v>
      </c>
      <c r="BH1481" s="5" t="s">
        <v>283</v>
      </c>
      <c r="BI1481" s="6" t="s">
        <v>293</v>
      </c>
      <c r="BJ1481" s="5" t="s">
        <v>294</v>
      </c>
      <c r="BK1481" s="5" t="s">
        <v>3171</v>
      </c>
      <c r="BL1481" s="5" t="s">
        <v>238</v>
      </c>
      <c r="BM1481" s="8">
        <f>0</f>
        <v>0</v>
      </c>
      <c r="BN1481" s="8">
        <f>-11277</f>
        <v>-11277</v>
      </c>
      <c r="BO1481" s="5" t="s">
        <v>257</v>
      </c>
      <c r="BP1481" s="5" t="s">
        <v>258</v>
      </c>
      <c r="BQ1481" s="5" t="s">
        <v>377</v>
      </c>
      <c r="BR1481" s="5" t="s">
        <v>3172</v>
      </c>
      <c r="BS1481" s="5" t="s">
        <v>258</v>
      </c>
      <c r="BT1481" s="5" t="s">
        <v>238</v>
      </c>
      <c r="BU1481" s="5" t="s">
        <v>3173</v>
      </c>
      <c r="BV1481" s="5" t="s">
        <v>3174</v>
      </c>
      <c r="BW1481" s="5" t="s">
        <v>3174</v>
      </c>
      <c r="BY1481" s="6" t="s">
        <v>3281</v>
      </c>
      <c r="BZ1481" s="5" t="s">
        <v>257</v>
      </c>
      <c r="CA1481" s="5" t="s">
        <v>238</v>
      </c>
      <c r="CB1481" s="5" t="s">
        <v>238</v>
      </c>
      <c r="CC1481" s="5" t="s">
        <v>258</v>
      </c>
      <c r="CD1481" s="5" t="s">
        <v>238</v>
      </c>
      <c r="CE1481" s="5" t="s">
        <v>238</v>
      </c>
      <c r="CI1481" s="5" t="s">
        <v>238</v>
      </c>
      <c r="CJ1481" s="5" t="s">
        <v>238</v>
      </c>
      <c r="CK1481" s="5" t="s">
        <v>272</v>
      </c>
      <c r="CM1481" s="5" t="s">
        <v>238</v>
      </c>
      <c r="CN1481" s="6" t="s">
        <v>262</v>
      </c>
      <c r="CO1481" s="5" t="s">
        <v>263</v>
      </c>
      <c r="CP1481" s="5" t="s">
        <v>264</v>
      </c>
      <c r="CQ1481" s="5" t="s">
        <v>285</v>
      </c>
      <c r="CR1481" s="5" t="s">
        <v>238</v>
      </c>
      <c r="CS1481" s="5">
        <v>0</v>
      </c>
      <c r="CT1481" s="5" t="s">
        <v>265</v>
      </c>
      <c r="CU1481" s="5" t="s">
        <v>1493</v>
      </c>
      <c r="CV1481" s="5" t="s">
        <v>308</v>
      </c>
      <c r="CW1481" s="7">
        <f>512600</f>
        <v>512600</v>
      </c>
      <c r="CX1481" s="8">
        <f>512600</f>
        <v>512600</v>
      </c>
      <c r="CY1481" s="8">
        <f>501323</f>
        <v>501323</v>
      </c>
      <c r="CZ1481" s="8" t="s">
        <v>238</v>
      </c>
      <c r="DA1481" s="5" t="s">
        <v>238</v>
      </c>
      <c r="DB1481" s="5" t="s">
        <v>238</v>
      </c>
      <c r="DD1481" s="5" t="s">
        <v>238</v>
      </c>
      <c r="DE1481" s="8">
        <f>0</f>
        <v>0</v>
      </c>
      <c r="DF1481" s="6" t="s">
        <v>238</v>
      </c>
      <c r="DG1481" s="5" t="s">
        <v>238</v>
      </c>
      <c r="DH1481" s="5" t="s">
        <v>238</v>
      </c>
      <c r="DI1481" s="5" t="s">
        <v>238</v>
      </c>
      <c r="DJ1481" s="5" t="s">
        <v>238</v>
      </c>
      <c r="DK1481" s="5" t="s">
        <v>238</v>
      </c>
      <c r="DL1481" s="5" t="s">
        <v>238</v>
      </c>
      <c r="DM1481" s="8" t="s">
        <v>238</v>
      </c>
      <c r="DN1481" s="5" t="s">
        <v>238</v>
      </c>
      <c r="DO1481" s="5" t="s">
        <v>247</v>
      </c>
      <c r="DP1481" s="5" t="s">
        <v>3170</v>
      </c>
      <c r="DQ1481" s="5" t="s">
        <v>3170</v>
      </c>
      <c r="DR1481" s="5" t="s">
        <v>238</v>
      </c>
      <c r="DS1481" s="5" t="s">
        <v>238</v>
      </c>
      <c r="HP1481" s="5" t="s">
        <v>238</v>
      </c>
      <c r="HQ1481" s="5" t="s">
        <v>238</v>
      </c>
      <c r="HR1481" s="5" t="s">
        <v>238</v>
      </c>
      <c r="HS1481" s="5" t="s">
        <v>238</v>
      </c>
      <c r="HT1481" s="5" t="s">
        <v>238</v>
      </c>
      <c r="HU1481" s="5" t="s">
        <v>238</v>
      </c>
      <c r="HV1481" s="5" t="s">
        <v>238</v>
      </c>
      <c r="HW1481" s="5" t="s">
        <v>238</v>
      </c>
      <c r="HX1481" s="5" t="s">
        <v>238</v>
      </c>
      <c r="HY1481" s="5" t="s">
        <v>238</v>
      </c>
      <c r="HZ1481" s="5" t="s">
        <v>238</v>
      </c>
      <c r="IA1481" s="5" t="s">
        <v>238</v>
      </c>
      <c r="IB1481" s="5" t="s">
        <v>238</v>
      </c>
      <c r="IC1481" s="5" t="s">
        <v>238</v>
      </c>
      <c r="ID1481" s="5" t="s">
        <v>238</v>
      </c>
    </row>
    <row r="1482" spans="1:238" x14ac:dyDescent="0.4">
      <c r="A1482" s="5">
        <v>1875</v>
      </c>
      <c r="B1482" s="5">
        <v>1</v>
      </c>
      <c r="C1482" s="5">
        <v>3</v>
      </c>
      <c r="D1482" s="5" t="s">
        <v>238</v>
      </c>
      <c r="E1482" s="5" t="s">
        <v>1218</v>
      </c>
      <c r="F1482" s="5" t="s">
        <v>282</v>
      </c>
      <c r="G1482" s="5" t="s">
        <v>4020</v>
      </c>
      <c r="I1482" s="5" t="s">
        <v>4017</v>
      </c>
      <c r="J1482" s="8">
        <f>1</f>
        <v>1</v>
      </c>
      <c r="K1482" s="5" t="s">
        <v>3176</v>
      </c>
      <c r="L1482" s="8">
        <f>7832456</f>
        <v>7832456</v>
      </c>
      <c r="M1482" s="8">
        <f>8049800</f>
        <v>8049800</v>
      </c>
      <c r="N1482" s="6" t="s">
        <v>4018</v>
      </c>
      <c r="O1482" s="5" t="s">
        <v>639</v>
      </c>
      <c r="P1482" s="5" t="s">
        <v>238</v>
      </c>
      <c r="Q1482" s="8">
        <f>0</f>
        <v>0</v>
      </c>
      <c r="R1482" s="8">
        <f>217344</f>
        <v>217344</v>
      </c>
      <c r="S1482" s="5" t="s">
        <v>240</v>
      </c>
      <c r="T1482" s="5" t="s">
        <v>238</v>
      </c>
      <c r="W1482" s="5" t="s">
        <v>238</v>
      </c>
      <c r="X1482" s="5" t="s">
        <v>238</v>
      </c>
      <c r="Y1482" s="5" t="s">
        <v>238</v>
      </c>
      <c r="AB1482" s="5" t="s">
        <v>686</v>
      </c>
      <c r="AC1482" s="6" t="s">
        <v>238</v>
      </c>
      <c r="AD1482" s="6" t="s">
        <v>238</v>
      </c>
      <c r="AE1482" s="5" t="s">
        <v>238</v>
      </c>
      <c r="AF1482" s="6" t="s">
        <v>238</v>
      </c>
      <c r="AG1482" s="6" t="s">
        <v>4019</v>
      </c>
      <c r="AH1482" s="5" t="s">
        <v>247</v>
      </c>
      <c r="AI1482" s="5" t="s">
        <v>238</v>
      </c>
      <c r="AO1482" s="5" t="s">
        <v>238</v>
      </c>
      <c r="AP1482" s="5" t="s">
        <v>238</v>
      </c>
      <c r="AQ1482" s="5" t="s">
        <v>238</v>
      </c>
      <c r="AR1482" s="6" t="s">
        <v>238</v>
      </c>
      <c r="AS1482" s="6" t="s">
        <v>238</v>
      </c>
      <c r="AT1482" s="6" t="s">
        <v>238</v>
      </c>
      <c r="AW1482" s="5" t="s">
        <v>304</v>
      </c>
      <c r="AX1482" s="5" t="s">
        <v>304</v>
      </c>
      <c r="AY1482" s="5" t="s">
        <v>250</v>
      </c>
      <c r="AZ1482" s="5" t="s">
        <v>281</v>
      </c>
      <c r="BA1482" s="5" t="s">
        <v>251</v>
      </c>
      <c r="BB1482" s="5" t="s">
        <v>238</v>
      </c>
      <c r="BC1482" s="5" t="s">
        <v>253</v>
      </c>
      <c r="BD1482" s="5" t="s">
        <v>3170</v>
      </c>
      <c r="BF1482" s="5" t="s">
        <v>238</v>
      </c>
      <c r="BH1482" s="5" t="s">
        <v>283</v>
      </c>
      <c r="BI1482" s="6" t="s">
        <v>293</v>
      </c>
      <c r="BJ1482" s="5" t="s">
        <v>294</v>
      </c>
      <c r="BK1482" s="5" t="s">
        <v>3171</v>
      </c>
      <c r="BL1482" s="5" t="s">
        <v>238</v>
      </c>
      <c r="BM1482" s="8">
        <f>0</f>
        <v>0</v>
      </c>
      <c r="BN1482" s="8">
        <f>-217344</f>
        <v>-217344</v>
      </c>
      <c r="BO1482" s="5" t="s">
        <v>257</v>
      </c>
      <c r="BP1482" s="5" t="s">
        <v>258</v>
      </c>
      <c r="BQ1482" s="5" t="s">
        <v>3172</v>
      </c>
      <c r="BR1482" s="5" t="s">
        <v>258</v>
      </c>
      <c r="BS1482" s="5" t="s">
        <v>3238</v>
      </c>
      <c r="BT1482" s="5" t="s">
        <v>238</v>
      </c>
      <c r="BU1482" s="5" t="s">
        <v>3173</v>
      </c>
      <c r="BV1482" s="5" t="s">
        <v>3174</v>
      </c>
      <c r="BW1482" s="5" t="s">
        <v>3174</v>
      </c>
      <c r="BY1482" s="6" t="s">
        <v>4021</v>
      </c>
      <c r="BZ1482" s="5" t="s">
        <v>257</v>
      </c>
      <c r="CA1482" s="5" t="s">
        <v>238</v>
      </c>
      <c r="CB1482" s="5" t="s">
        <v>238</v>
      </c>
      <c r="CC1482" s="5" t="s">
        <v>258</v>
      </c>
      <c r="CD1482" s="5" t="s">
        <v>238</v>
      </c>
      <c r="CE1482" s="5" t="s">
        <v>238</v>
      </c>
      <c r="CI1482" s="5" t="s">
        <v>238</v>
      </c>
      <c r="CJ1482" s="5" t="s">
        <v>238</v>
      </c>
      <c r="CK1482" s="5" t="s">
        <v>272</v>
      </c>
      <c r="CM1482" s="5" t="s">
        <v>238</v>
      </c>
      <c r="CN1482" s="6" t="s">
        <v>262</v>
      </c>
      <c r="CO1482" s="5" t="s">
        <v>263</v>
      </c>
      <c r="CP1482" s="5" t="s">
        <v>264</v>
      </c>
      <c r="CQ1482" s="5" t="s">
        <v>285</v>
      </c>
      <c r="CR1482" s="5" t="s">
        <v>238</v>
      </c>
      <c r="CS1482" s="5">
        <v>0</v>
      </c>
      <c r="CT1482" s="5" t="s">
        <v>238</v>
      </c>
      <c r="CU1482" s="5" t="s">
        <v>238</v>
      </c>
      <c r="CV1482" s="5" t="s">
        <v>238</v>
      </c>
      <c r="CW1482" s="7">
        <f>0</f>
        <v>0</v>
      </c>
      <c r="CX1482" s="8">
        <f>8049800</f>
        <v>8049800</v>
      </c>
      <c r="CY1482" s="8">
        <f>8049800</f>
        <v>8049800</v>
      </c>
      <c r="CZ1482" s="8" t="s">
        <v>238</v>
      </c>
      <c r="DA1482" s="5" t="s">
        <v>238</v>
      </c>
      <c r="DB1482" s="5" t="s">
        <v>238</v>
      </c>
      <c r="DD1482" s="5" t="s">
        <v>238</v>
      </c>
      <c r="DE1482" s="8">
        <f>0</f>
        <v>0</v>
      </c>
      <c r="DF1482" s="6" t="s">
        <v>238</v>
      </c>
      <c r="DG1482" s="5" t="s">
        <v>238</v>
      </c>
      <c r="DH1482" s="5" t="s">
        <v>238</v>
      </c>
      <c r="DI1482" s="5" t="s">
        <v>238</v>
      </c>
      <c r="DJ1482" s="5" t="s">
        <v>238</v>
      </c>
      <c r="DK1482" s="5" t="s">
        <v>238</v>
      </c>
      <c r="DL1482" s="5" t="s">
        <v>238</v>
      </c>
      <c r="DM1482" s="8" t="s">
        <v>238</v>
      </c>
      <c r="DN1482" s="5" t="s">
        <v>238</v>
      </c>
      <c r="DO1482" s="5" t="s">
        <v>247</v>
      </c>
      <c r="DP1482" s="5" t="s">
        <v>3170</v>
      </c>
      <c r="DQ1482" s="5" t="s">
        <v>3170</v>
      </c>
      <c r="DR1482" s="5" t="s">
        <v>238</v>
      </c>
      <c r="DS1482" s="5" t="s">
        <v>238</v>
      </c>
      <c r="GL1482" s="5" t="s">
        <v>4022</v>
      </c>
      <c r="HP1482" s="5" t="s">
        <v>238</v>
      </c>
      <c r="HQ1482" s="5" t="s">
        <v>238</v>
      </c>
      <c r="HR1482" s="5" t="s">
        <v>238</v>
      </c>
      <c r="HS1482" s="5" t="s">
        <v>238</v>
      </c>
      <c r="HT1482" s="5" t="s">
        <v>238</v>
      </c>
      <c r="HU1482" s="5" t="s">
        <v>238</v>
      </c>
      <c r="HV1482" s="5" t="s">
        <v>238</v>
      </c>
      <c r="HW1482" s="5" t="s">
        <v>238</v>
      </c>
      <c r="HX1482" s="5" t="s">
        <v>238</v>
      </c>
      <c r="HY1482" s="5" t="s">
        <v>238</v>
      </c>
      <c r="HZ1482" s="5" t="s">
        <v>238</v>
      </c>
      <c r="IA1482" s="5" t="s">
        <v>238</v>
      </c>
      <c r="IB1482" s="5" t="s">
        <v>238</v>
      </c>
      <c r="IC1482" s="5" t="s">
        <v>238</v>
      </c>
      <c r="ID1482" s="5" t="s">
        <v>238</v>
      </c>
    </row>
    <row r="1483" spans="1:238" x14ac:dyDescent="0.4">
      <c r="A1483" s="5">
        <v>1876</v>
      </c>
      <c r="B1483" s="5">
        <v>1</v>
      </c>
      <c r="C1483" s="5">
        <v>3</v>
      </c>
      <c r="D1483" s="5" t="s">
        <v>480</v>
      </c>
      <c r="E1483" s="5" t="s">
        <v>347</v>
      </c>
      <c r="F1483" s="5" t="s">
        <v>282</v>
      </c>
      <c r="G1483" s="5" t="s">
        <v>3266</v>
      </c>
      <c r="H1483" s="6" t="s">
        <v>3267</v>
      </c>
      <c r="I1483" s="5" t="s">
        <v>3264</v>
      </c>
      <c r="J1483" s="8">
        <f>1</f>
        <v>1</v>
      </c>
      <c r="K1483" s="5" t="s">
        <v>3176</v>
      </c>
      <c r="L1483" s="8">
        <f>650628</f>
        <v>650628</v>
      </c>
      <c r="M1483" s="8">
        <f>682000</f>
        <v>682000</v>
      </c>
      <c r="N1483" s="6" t="s">
        <v>1077</v>
      </c>
      <c r="O1483" s="5" t="s">
        <v>286</v>
      </c>
      <c r="P1483" s="5" t="s">
        <v>238</v>
      </c>
      <c r="Q1483" s="8">
        <f>0</f>
        <v>0</v>
      </c>
      <c r="R1483" s="8">
        <f>31372</f>
        <v>31372</v>
      </c>
      <c r="S1483" s="5" t="s">
        <v>240</v>
      </c>
      <c r="T1483" s="5" t="s">
        <v>237</v>
      </c>
      <c r="W1483" s="5" t="s">
        <v>241</v>
      </c>
      <c r="X1483" s="5" t="s">
        <v>238</v>
      </c>
      <c r="Y1483" s="5" t="s">
        <v>238</v>
      </c>
      <c r="AB1483" s="5" t="s">
        <v>347</v>
      </c>
      <c r="AC1483" s="6" t="s">
        <v>238</v>
      </c>
      <c r="AD1483" s="6" t="s">
        <v>238</v>
      </c>
      <c r="AE1483" s="5" t="s">
        <v>238</v>
      </c>
      <c r="AF1483" s="6" t="s">
        <v>238</v>
      </c>
      <c r="AG1483" s="6" t="s">
        <v>3265</v>
      </c>
      <c r="AH1483" s="5" t="s">
        <v>247</v>
      </c>
      <c r="AI1483" s="5" t="s">
        <v>238</v>
      </c>
      <c r="AO1483" s="5" t="s">
        <v>238</v>
      </c>
      <c r="AP1483" s="5" t="s">
        <v>238</v>
      </c>
      <c r="AQ1483" s="5" t="s">
        <v>238</v>
      </c>
      <c r="AR1483" s="6" t="s">
        <v>238</v>
      </c>
      <c r="AS1483" s="6" t="s">
        <v>238</v>
      </c>
      <c r="AT1483" s="6" t="s">
        <v>238</v>
      </c>
      <c r="AW1483" s="5" t="s">
        <v>304</v>
      </c>
      <c r="AX1483" s="5" t="s">
        <v>304</v>
      </c>
      <c r="AY1483" s="5" t="s">
        <v>250</v>
      </c>
      <c r="AZ1483" s="5" t="s">
        <v>281</v>
      </c>
      <c r="BA1483" s="5" t="s">
        <v>251</v>
      </c>
      <c r="BB1483" s="5" t="s">
        <v>238</v>
      </c>
      <c r="BC1483" s="5" t="s">
        <v>253</v>
      </c>
      <c r="BD1483" s="5" t="s">
        <v>3170</v>
      </c>
      <c r="BF1483" s="5" t="s">
        <v>238</v>
      </c>
      <c r="BH1483" s="5" t="s">
        <v>283</v>
      </c>
      <c r="BI1483" s="6" t="s">
        <v>293</v>
      </c>
      <c r="BJ1483" s="5" t="s">
        <v>294</v>
      </c>
      <c r="BK1483" s="5" t="s">
        <v>3171</v>
      </c>
      <c r="BL1483" s="5" t="s">
        <v>238</v>
      </c>
      <c r="BM1483" s="8">
        <f>0</f>
        <v>0</v>
      </c>
      <c r="BN1483" s="8">
        <f>-31372</f>
        <v>-31372</v>
      </c>
      <c r="BO1483" s="5" t="s">
        <v>257</v>
      </c>
      <c r="BP1483" s="5" t="s">
        <v>258</v>
      </c>
      <c r="BQ1483" s="5" t="s">
        <v>377</v>
      </c>
      <c r="BR1483" s="5" t="s">
        <v>3172</v>
      </c>
      <c r="BS1483" s="5" t="s">
        <v>258</v>
      </c>
      <c r="BT1483" s="5" t="s">
        <v>238</v>
      </c>
      <c r="BU1483" s="5" t="s">
        <v>3173</v>
      </c>
      <c r="BV1483" s="5" t="s">
        <v>3174</v>
      </c>
      <c r="BW1483" s="5" t="s">
        <v>3174</v>
      </c>
      <c r="BY1483" s="6" t="s">
        <v>3268</v>
      </c>
      <c r="BZ1483" s="5" t="s">
        <v>257</v>
      </c>
      <c r="CA1483" s="5" t="s">
        <v>238</v>
      </c>
      <c r="CB1483" s="5" t="s">
        <v>238</v>
      </c>
      <c r="CC1483" s="5" t="s">
        <v>258</v>
      </c>
      <c r="CD1483" s="5" t="s">
        <v>238</v>
      </c>
      <c r="CE1483" s="5" t="s">
        <v>238</v>
      </c>
      <c r="CI1483" s="5" t="s">
        <v>238</v>
      </c>
      <c r="CJ1483" s="5" t="s">
        <v>238</v>
      </c>
      <c r="CK1483" s="5" t="s">
        <v>272</v>
      </c>
      <c r="CM1483" s="5" t="s">
        <v>238</v>
      </c>
      <c r="CN1483" s="6" t="s">
        <v>262</v>
      </c>
      <c r="CO1483" s="5" t="s">
        <v>263</v>
      </c>
      <c r="CP1483" s="5" t="s">
        <v>264</v>
      </c>
      <c r="CQ1483" s="5" t="s">
        <v>285</v>
      </c>
      <c r="CR1483" s="5" t="s">
        <v>238</v>
      </c>
      <c r="CS1483" s="5">
        <v>0</v>
      </c>
      <c r="CT1483" s="5" t="s">
        <v>265</v>
      </c>
      <c r="CU1483" s="5" t="s">
        <v>1493</v>
      </c>
      <c r="CV1483" s="5" t="s">
        <v>267</v>
      </c>
      <c r="CW1483" s="7">
        <f>682000</f>
        <v>682000</v>
      </c>
      <c r="CX1483" s="8">
        <f>682000</f>
        <v>682000</v>
      </c>
      <c r="CY1483" s="8">
        <f>650628</f>
        <v>650628</v>
      </c>
      <c r="CZ1483" s="8" t="s">
        <v>238</v>
      </c>
      <c r="DA1483" s="5" t="s">
        <v>238</v>
      </c>
      <c r="DB1483" s="5" t="s">
        <v>238</v>
      </c>
      <c r="DD1483" s="5" t="s">
        <v>238</v>
      </c>
      <c r="DE1483" s="8">
        <f>0</f>
        <v>0</v>
      </c>
      <c r="DF1483" s="6" t="s">
        <v>238</v>
      </c>
      <c r="DG1483" s="5" t="s">
        <v>238</v>
      </c>
      <c r="DH1483" s="5" t="s">
        <v>238</v>
      </c>
      <c r="DI1483" s="5" t="s">
        <v>238</v>
      </c>
      <c r="DJ1483" s="5" t="s">
        <v>238</v>
      </c>
      <c r="DK1483" s="5" t="s">
        <v>238</v>
      </c>
      <c r="DL1483" s="5" t="s">
        <v>238</v>
      </c>
      <c r="DM1483" s="8" t="s">
        <v>238</v>
      </c>
      <c r="DN1483" s="5" t="s">
        <v>238</v>
      </c>
      <c r="DO1483" s="5" t="s">
        <v>247</v>
      </c>
      <c r="DP1483" s="5" t="s">
        <v>3170</v>
      </c>
      <c r="DQ1483" s="5" t="s">
        <v>3170</v>
      </c>
      <c r="DR1483" s="5" t="s">
        <v>238</v>
      </c>
      <c r="DS1483" s="5" t="s">
        <v>238</v>
      </c>
      <c r="HP1483" s="5" t="s">
        <v>238</v>
      </c>
      <c r="HQ1483" s="5" t="s">
        <v>238</v>
      </c>
      <c r="HR1483" s="5" t="s">
        <v>238</v>
      </c>
      <c r="HS1483" s="5" t="s">
        <v>238</v>
      </c>
      <c r="HT1483" s="5" t="s">
        <v>238</v>
      </c>
      <c r="HU1483" s="5" t="s">
        <v>238</v>
      </c>
      <c r="HV1483" s="5" t="s">
        <v>238</v>
      </c>
      <c r="HW1483" s="5" t="s">
        <v>238</v>
      </c>
      <c r="HX1483" s="5" t="s">
        <v>238</v>
      </c>
      <c r="HY1483" s="5" t="s">
        <v>238</v>
      </c>
      <c r="HZ1483" s="5" t="s">
        <v>238</v>
      </c>
      <c r="IA1483" s="5" t="s">
        <v>238</v>
      </c>
      <c r="IB1483" s="5" t="s">
        <v>238</v>
      </c>
      <c r="IC1483" s="5" t="s">
        <v>238</v>
      </c>
      <c r="ID1483" s="5" t="s">
        <v>238</v>
      </c>
    </row>
    <row r="1484" spans="1:238" x14ac:dyDescent="0.4">
      <c r="A1484" s="5">
        <v>1878</v>
      </c>
      <c r="B1484" s="5">
        <v>1</v>
      </c>
      <c r="C1484" s="5">
        <v>3</v>
      </c>
      <c r="D1484" s="5" t="s">
        <v>461</v>
      </c>
      <c r="E1484" s="5" t="s">
        <v>347</v>
      </c>
      <c r="F1484" s="5" t="s">
        <v>282</v>
      </c>
      <c r="G1484" s="5" t="s">
        <v>4352</v>
      </c>
      <c r="H1484" s="6" t="s">
        <v>3205</v>
      </c>
      <c r="I1484" s="5" t="s">
        <v>4351</v>
      </c>
      <c r="J1484" s="8">
        <f>1</f>
        <v>1</v>
      </c>
      <c r="K1484" s="5" t="s">
        <v>3176</v>
      </c>
      <c r="L1484" s="8">
        <f>683082</f>
        <v>683082</v>
      </c>
      <c r="M1484" s="8">
        <f>702036</f>
        <v>702036</v>
      </c>
      <c r="N1484" s="6" t="s">
        <v>3167</v>
      </c>
      <c r="O1484" s="5" t="s">
        <v>639</v>
      </c>
      <c r="P1484" s="5" t="s">
        <v>238</v>
      </c>
      <c r="Q1484" s="8">
        <f>0</f>
        <v>0</v>
      </c>
      <c r="R1484" s="8">
        <f>18954</f>
        <v>18954</v>
      </c>
      <c r="S1484" s="5" t="s">
        <v>240</v>
      </c>
      <c r="T1484" s="5" t="s">
        <v>238</v>
      </c>
      <c r="W1484" s="5" t="s">
        <v>238</v>
      </c>
      <c r="X1484" s="5" t="s">
        <v>238</v>
      </c>
      <c r="Y1484" s="5" t="s">
        <v>238</v>
      </c>
      <c r="AB1484" s="5" t="s">
        <v>347</v>
      </c>
      <c r="AC1484" s="6" t="s">
        <v>238</v>
      </c>
      <c r="AD1484" s="6" t="s">
        <v>238</v>
      </c>
      <c r="AE1484" s="5" t="s">
        <v>238</v>
      </c>
      <c r="AF1484" s="6" t="s">
        <v>238</v>
      </c>
      <c r="AG1484" s="6" t="s">
        <v>3167</v>
      </c>
      <c r="AH1484" s="5" t="s">
        <v>247</v>
      </c>
      <c r="AI1484" s="5" t="s">
        <v>238</v>
      </c>
      <c r="AO1484" s="5" t="s">
        <v>238</v>
      </c>
      <c r="AP1484" s="5" t="s">
        <v>238</v>
      </c>
      <c r="AQ1484" s="5" t="s">
        <v>238</v>
      </c>
      <c r="AR1484" s="6" t="s">
        <v>238</v>
      </c>
      <c r="AS1484" s="6" t="s">
        <v>238</v>
      </c>
      <c r="AT1484" s="6" t="s">
        <v>238</v>
      </c>
      <c r="AW1484" s="5" t="s">
        <v>304</v>
      </c>
      <c r="AX1484" s="5" t="s">
        <v>304</v>
      </c>
      <c r="AY1484" s="5" t="s">
        <v>250</v>
      </c>
      <c r="AZ1484" s="5" t="s">
        <v>281</v>
      </c>
      <c r="BA1484" s="5" t="s">
        <v>251</v>
      </c>
      <c r="BB1484" s="5" t="s">
        <v>238</v>
      </c>
      <c r="BC1484" s="5" t="s">
        <v>253</v>
      </c>
      <c r="BD1484" s="5" t="s">
        <v>3170</v>
      </c>
      <c r="BF1484" s="5" t="s">
        <v>238</v>
      </c>
      <c r="BH1484" s="5" t="s">
        <v>283</v>
      </c>
      <c r="BI1484" s="6" t="s">
        <v>293</v>
      </c>
      <c r="BJ1484" s="5" t="s">
        <v>294</v>
      </c>
      <c r="BK1484" s="5" t="s">
        <v>3171</v>
      </c>
      <c r="BL1484" s="5" t="s">
        <v>238</v>
      </c>
      <c r="BM1484" s="8">
        <f>0</f>
        <v>0</v>
      </c>
      <c r="BN1484" s="8">
        <f>-18954</f>
        <v>-18954</v>
      </c>
      <c r="BO1484" s="5" t="s">
        <v>257</v>
      </c>
      <c r="BP1484" s="5" t="s">
        <v>258</v>
      </c>
      <c r="BQ1484" s="5" t="s">
        <v>377</v>
      </c>
      <c r="BR1484" s="5" t="s">
        <v>3172</v>
      </c>
      <c r="BS1484" s="5" t="s">
        <v>258</v>
      </c>
      <c r="BT1484" s="5" t="s">
        <v>238</v>
      </c>
      <c r="BU1484" s="5" t="s">
        <v>3173</v>
      </c>
      <c r="BV1484" s="5" t="s">
        <v>3174</v>
      </c>
      <c r="BW1484" s="5" t="s">
        <v>3174</v>
      </c>
      <c r="BY1484" s="6" t="s">
        <v>4353</v>
      </c>
      <c r="BZ1484" s="5" t="s">
        <v>257</v>
      </c>
      <c r="CA1484" s="5" t="s">
        <v>238</v>
      </c>
      <c r="CB1484" s="5" t="s">
        <v>238</v>
      </c>
      <c r="CC1484" s="5" t="s">
        <v>258</v>
      </c>
      <c r="CD1484" s="5" t="s">
        <v>238</v>
      </c>
      <c r="CE1484" s="5" t="s">
        <v>238</v>
      </c>
      <c r="CI1484" s="5" t="s">
        <v>238</v>
      </c>
      <c r="CJ1484" s="5" t="s">
        <v>238</v>
      </c>
      <c r="CK1484" s="5" t="s">
        <v>272</v>
      </c>
      <c r="CM1484" s="5" t="s">
        <v>238</v>
      </c>
      <c r="CN1484" s="6" t="s">
        <v>262</v>
      </c>
      <c r="CO1484" s="5" t="s">
        <v>263</v>
      </c>
      <c r="CP1484" s="5" t="s">
        <v>264</v>
      </c>
      <c r="CQ1484" s="5" t="s">
        <v>285</v>
      </c>
      <c r="CR1484" s="5" t="s">
        <v>238</v>
      </c>
      <c r="CS1484" s="5">
        <v>0</v>
      </c>
      <c r="CT1484" s="5" t="s">
        <v>265</v>
      </c>
      <c r="CU1484" s="5" t="s">
        <v>1342</v>
      </c>
      <c r="CV1484" s="5" t="s">
        <v>308</v>
      </c>
      <c r="CW1484" s="7">
        <f>1415472</f>
        <v>1415472</v>
      </c>
      <c r="CX1484" s="8">
        <f>1415472</f>
        <v>1415472</v>
      </c>
      <c r="CY1484" s="8">
        <f>702036</f>
        <v>702036</v>
      </c>
      <c r="CZ1484" s="8" t="s">
        <v>238</v>
      </c>
      <c r="DA1484" s="5" t="s">
        <v>238</v>
      </c>
      <c r="DB1484" s="5" t="s">
        <v>238</v>
      </c>
      <c r="DD1484" s="5" t="s">
        <v>238</v>
      </c>
      <c r="DE1484" s="8">
        <f>0</f>
        <v>0</v>
      </c>
      <c r="DF1484" s="6" t="s">
        <v>238</v>
      </c>
      <c r="DG1484" s="5" t="s">
        <v>238</v>
      </c>
      <c r="DH1484" s="5" t="s">
        <v>238</v>
      </c>
      <c r="DI1484" s="5" t="s">
        <v>238</v>
      </c>
      <c r="DJ1484" s="5" t="s">
        <v>238</v>
      </c>
      <c r="DK1484" s="5" t="s">
        <v>238</v>
      </c>
      <c r="DL1484" s="5" t="s">
        <v>238</v>
      </c>
      <c r="DM1484" s="8" t="s">
        <v>238</v>
      </c>
      <c r="DN1484" s="5" t="s">
        <v>238</v>
      </c>
      <c r="DO1484" s="5" t="s">
        <v>247</v>
      </c>
      <c r="DP1484" s="5" t="s">
        <v>3170</v>
      </c>
      <c r="DQ1484" s="5" t="s">
        <v>3170</v>
      </c>
      <c r="DR1484" s="5" t="s">
        <v>238</v>
      </c>
      <c r="DS1484" s="5" t="s">
        <v>238</v>
      </c>
      <c r="GL1484" s="5" t="s">
        <v>4358</v>
      </c>
      <c r="HP1484" s="5" t="s">
        <v>238</v>
      </c>
      <c r="HQ1484" s="5" t="s">
        <v>238</v>
      </c>
      <c r="HR1484" s="5" t="s">
        <v>238</v>
      </c>
      <c r="HS1484" s="5" t="s">
        <v>238</v>
      </c>
      <c r="HT1484" s="5" t="s">
        <v>238</v>
      </c>
      <c r="HU1484" s="5" t="s">
        <v>238</v>
      </c>
      <c r="HV1484" s="5" t="s">
        <v>238</v>
      </c>
      <c r="HW1484" s="5" t="s">
        <v>238</v>
      </c>
      <c r="HX1484" s="5" t="s">
        <v>238</v>
      </c>
      <c r="HY1484" s="5" t="s">
        <v>238</v>
      </c>
      <c r="HZ1484" s="5" t="s">
        <v>238</v>
      </c>
      <c r="IA1484" s="5" t="s">
        <v>238</v>
      </c>
      <c r="IB1484" s="5" t="s">
        <v>238</v>
      </c>
      <c r="IC1484" s="5" t="s">
        <v>238</v>
      </c>
      <c r="ID1484" s="5" t="s">
        <v>238</v>
      </c>
    </row>
    <row r="1485" spans="1:238" x14ac:dyDescent="0.4">
      <c r="A1485" s="5">
        <v>1879</v>
      </c>
      <c r="B1485" s="5">
        <v>1</v>
      </c>
      <c r="C1485" s="5">
        <v>3</v>
      </c>
      <c r="D1485" s="5" t="s">
        <v>434</v>
      </c>
      <c r="E1485" s="5" t="s">
        <v>347</v>
      </c>
      <c r="F1485" s="5" t="s">
        <v>282</v>
      </c>
      <c r="G1485" s="5" t="s">
        <v>4352</v>
      </c>
      <c r="H1485" s="6" t="s">
        <v>3208</v>
      </c>
      <c r="I1485" s="5" t="s">
        <v>4351</v>
      </c>
      <c r="J1485" s="8">
        <f>1</f>
        <v>1</v>
      </c>
      <c r="K1485" s="5" t="s">
        <v>3176</v>
      </c>
      <c r="L1485" s="8">
        <f>67309</f>
        <v>67309</v>
      </c>
      <c r="M1485" s="8">
        <f>69176</f>
        <v>69176</v>
      </c>
      <c r="N1485" s="6" t="s">
        <v>3167</v>
      </c>
      <c r="O1485" s="5" t="s">
        <v>639</v>
      </c>
      <c r="P1485" s="5" t="s">
        <v>238</v>
      </c>
      <c r="Q1485" s="8">
        <f>0</f>
        <v>0</v>
      </c>
      <c r="R1485" s="8">
        <f>1867</f>
        <v>1867</v>
      </c>
      <c r="S1485" s="5" t="s">
        <v>240</v>
      </c>
      <c r="T1485" s="5" t="s">
        <v>238</v>
      </c>
      <c r="W1485" s="5" t="s">
        <v>238</v>
      </c>
      <c r="X1485" s="5" t="s">
        <v>238</v>
      </c>
      <c r="Y1485" s="5" t="s">
        <v>238</v>
      </c>
      <c r="AB1485" s="5" t="s">
        <v>347</v>
      </c>
      <c r="AC1485" s="6" t="s">
        <v>238</v>
      </c>
      <c r="AD1485" s="6" t="s">
        <v>238</v>
      </c>
      <c r="AE1485" s="5" t="s">
        <v>238</v>
      </c>
      <c r="AF1485" s="6" t="s">
        <v>238</v>
      </c>
      <c r="AG1485" s="6" t="s">
        <v>3167</v>
      </c>
      <c r="AH1485" s="5" t="s">
        <v>247</v>
      </c>
      <c r="AI1485" s="5" t="s">
        <v>238</v>
      </c>
      <c r="AO1485" s="5" t="s">
        <v>238</v>
      </c>
      <c r="AP1485" s="5" t="s">
        <v>238</v>
      </c>
      <c r="AQ1485" s="5" t="s">
        <v>238</v>
      </c>
      <c r="AR1485" s="6" t="s">
        <v>238</v>
      </c>
      <c r="AS1485" s="6" t="s">
        <v>238</v>
      </c>
      <c r="AT1485" s="6" t="s">
        <v>238</v>
      </c>
      <c r="AW1485" s="5" t="s">
        <v>304</v>
      </c>
      <c r="AX1485" s="5" t="s">
        <v>304</v>
      </c>
      <c r="AY1485" s="5" t="s">
        <v>250</v>
      </c>
      <c r="AZ1485" s="5" t="s">
        <v>281</v>
      </c>
      <c r="BA1485" s="5" t="s">
        <v>251</v>
      </c>
      <c r="BB1485" s="5" t="s">
        <v>238</v>
      </c>
      <c r="BC1485" s="5" t="s">
        <v>253</v>
      </c>
      <c r="BD1485" s="5" t="s">
        <v>3170</v>
      </c>
      <c r="BF1485" s="5" t="s">
        <v>238</v>
      </c>
      <c r="BH1485" s="5" t="s">
        <v>283</v>
      </c>
      <c r="BI1485" s="6" t="s">
        <v>293</v>
      </c>
      <c r="BJ1485" s="5" t="s">
        <v>294</v>
      </c>
      <c r="BK1485" s="5" t="s">
        <v>3171</v>
      </c>
      <c r="BL1485" s="5" t="s">
        <v>238</v>
      </c>
      <c r="BM1485" s="8">
        <f>0</f>
        <v>0</v>
      </c>
      <c r="BN1485" s="8">
        <f>-1867</f>
        <v>-1867</v>
      </c>
      <c r="BO1485" s="5" t="s">
        <v>257</v>
      </c>
      <c r="BP1485" s="5" t="s">
        <v>258</v>
      </c>
      <c r="BQ1485" s="5" t="s">
        <v>377</v>
      </c>
      <c r="BR1485" s="5" t="s">
        <v>3172</v>
      </c>
      <c r="BS1485" s="5" t="s">
        <v>258</v>
      </c>
      <c r="BT1485" s="5" t="s">
        <v>238</v>
      </c>
      <c r="BU1485" s="5" t="s">
        <v>3173</v>
      </c>
      <c r="BV1485" s="5" t="s">
        <v>3174</v>
      </c>
      <c r="BW1485" s="5" t="s">
        <v>3174</v>
      </c>
      <c r="BY1485" s="6" t="s">
        <v>4353</v>
      </c>
      <c r="BZ1485" s="5" t="s">
        <v>257</v>
      </c>
      <c r="CA1485" s="5" t="s">
        <v>238</v>
      </c>
      <c r="CB1485" s="5" t="s">
        <v>238</v>
      </c>
      <c r="CC1485" s="5" t="s">
        <v>258</v>
      </c>
      <c r="CD1485" s="5" t="s">
        <v>238</v>
      </c>
      <c r="CE1485" s="5" t="s">
        <v>238</v>
      </c>
      <c r="CI1485" s="5" t="s">
        <v>238</v>
      </c>
      <c r="CJ1485" s="5" t="s">
        <v>238</v>
      </c>
      <c r="CK1485" s="5" t="s">
        <v>272</v>
      </c>
      <c r="CM1485" s="5" t="s">
        <v>238</v>
      </c>
      <c r="CN1485" s="6" t="s">
        <v>262</v>
      </c>
      <c r="CO1485" s="5" t="s">
        <v>263</v>
      </c>
      <c r="CP1485" s="5" t="s">
        <v>264</v>
      </c>
      <c r="CQ1485" s="5" t="s">
        <v>285</v>
      </c>
      <c r="CR1485" s="5" t="s">
        <v>238</v>
      </c>
      <c r="CS1485" s="5">
        <v>0</v>
      </c>
      <c r="CT1485" s="5" t="s">
        <v>265</v>
      </c>
      <c r="CU1485" s="5" t="s">
        <v>1342</v>
      </c>
      <c r="CV1485" s="5" t="s">
        <v>308</v>
      </c>
      <c r="CW1485" s="7">
        <f>334052</f>
        <v>334052</v>
      </c>
      <c r="CX1485" s="8">
        <f>334052</f>
        <v>334052</v>
      </c>
      <c r="CY1485" s="8">
        <f>69176</f>
        <v>69176</v>
      </c>
      <c r="CZ1485" s="8" t="s">
        <v>238</v>
      </c>
      <c r="DA1485" s="5" t="s">
        <v>238</v>
      </c>
      <c r="DB1485" s="5" t="s">
        <v>238</v>
      </c>
      <c r="DD1485" s="5" t="s">
        <v>238</v>
      </c>
      <c r="DE1485" s="8">
        <f>0</f>
        <v>0</v>
      </c>
      <c r="DF1485" s="6" t="s">
        <v>238</v>
      </c>
      <c r="DG1485" s="5" t="s">
        <v>238</v>
      </c>
      <c r="DH1485" s="5" t="s">
        <v>238</v>
      </c>
      <c r="DI1485" s="5" t="s">
        <v>238</v>
      </c>
      <c r="DJ1485" s="5" t="s">
        <v>238</v>
      </c>
      <c r="DK1485" s="5" t="s">
        <v>238</v>
      </c>
      <c r="DL1485" s="5" t="s">
        <v>238</v>
      </c>
      <c r="DM1485" s="8" t="s">
        <v>238</v>
      </c>
      <c r="DN1485" s="5" t="s">
        <v>238</v>
      </c>
      <c r="DO1485" s="5" t="s">
        <v>247</v>
      </c>
      <c r="DP1485" s="5" t="s">
        <v>3170</v>
      </c>
      <c r="DQ1485" s="5" t="s">
        <v>3170</v>
      </c>
      <c r="DR1485" s="5" t="s">
        <v>238</v>
      </c>
      <c r="DS1485" s="5" t="s">
        <v>238</v>
      </c>
      <c r="GL1485" s="5" t="s">
        <v>4355</v>
      </c>
      <c r="HP1485" s="5" t="s">
        <v>238</v>
      </c>
      <c r="HQ1485" s="5" t="s">
        <v>238</v>
      </c>
      <c r="HR1485" s="5" t="s">
        <v>238</v>
      </c>
      <c r="HS1485" s="5" t="s">
        <v>238</v>
      </c>
      <c r="HT1485" s="5" t="s">
        <v>238</v>
      </c>
      <c r="HU1485" s="5" t="s">
        <v>238</v>
      </c>
      <c r="HV1485" s="5" t="s">
        <v>238</v>
      </c>
      <c r="HW1485" s="5" t="s">
        <v>238</v>
      </c>
      <c r="HX1485" s="5" t="s">
        <v>238</v>
      </c>
      <c r="HY1485" s="5" t="s">
        <v>238</v>
      </c>
      <c r="HZ1485" s="5" t="s">
        <v>238</v>
      </c>
      <c r="IA1485" s="5" t="s">
        <v>238</v>
      </c>
      <c r="IB1485" s="5" t="s">
        <v>238</v>
      </c>
      <c r="IC1485" s="5" t="s">
        <v>238</v>
      </c>
      <c r="ID1485" s="5" t="s">
        <v>238</v>
      </c>
    </row>
    <row r="1486" spans="1:238" x14ac:dyDescent="0.4">
      <c r="A1486" s="5">
        <v>1880</v>
      </c>
      <c r="B1486" s="5">
        <v>1</v>
      </c>
      <c r="C1486" s="5">
        <v>3</v>
      </c>
      <c r="D1486" s="5" t="s">
        <v>424</v>
      </c>
      <c r="E1486" s="5" t="s">
        <v>347</v>
      </c>
      <c r="F1486" s="5" t="s">
        <v>282</v>
      </c>
      <c r="G1486" s="5" t="s">
        <v>4352</v>
      </c>
      <c r="H1486" s="6" t="s">
        <v>3986</v>
      </c>
      <c r="I1486" s="5" t="s">
        <v>4351</v>
      </c>
      <c r="J1486" s="8">
        <f>1</f>
        <v>1</v>
      </c>
      <c r="K1486" s="5" t="s">
        <v>3176</v>
      </c>
      <c r="L1486" s="8">
        <f>982523</f>
        <v>982523</v>
      </c>
      <c r="M1486" s="8">
        <f>1009787</f>
        <v>1009787</v>
      </c>
      <c r="N1486" s="6" t="s">
        <v>3167</v>
      </c>
      <c r="O1486" s="5" t="s">
        <v>639</v>
      </c>
      <c r="P1486" s="5" t="s">
        <v>238</v>
      </c>
      <c r="Q1486" s="8">
        <f>0</f>
        <v>0</v>
      </c>
      <c r="R1486" s="8">
        <f>27264</f>
        <v>27264</v>
      </c>
      <c r="S1486" s="5" t="s">
        <v>240</v>
      </c>
      <c r="T1486" s="5" t="s">
        <v>238</v>
      </c>
      <c r="W1486" s="5" t="s">
        <v>238</v>
      </c>
      <c r="X1486" s="5" t="s">
        <v>238</v>
      </c>
      <c r="Y1486" s="5" t="s">
        <v>238</v>
      </c>
      <c r="AB1486" s="5" t="s">
        <v>347</v>
      </c>
      <c r="AC1486" s="6" t="s">
        <v>238</v>
      </c>
      <c r="AD1486" s="6" t="s">
        <v>238</v>
      </c>
      <c r="AE1486" s="5" t="s">
        <v>238</v>
      </c>
      <c r="AF1486" s="6" t="s">
        <v>238</v>
      </c>
      <c r="AG1486" s="6" t="s">
        <v>3167</v>
      </c>
      <c r="AH1486" s="5" t="s">
        <v>247</v>
      </c>
      <c r="AI1486" s="5" t="s">
        <v>238</v>
      </c>
      <c r="AO1486" s="5" t="s">
        <v>238</v>
      </c>
      <c r="AP1486" s="5" t="s">
        <v>238</v>
      </c>
      <c r="AQ1486" s="5" t="s">
        <v>238</v>
      </c>
      <c r="AR1486" s="6" t="s">
        <v>238</v>
      </c>
      <c r="AS1486" s="6" t="s">
        <v>238</v>
      </c>
      <c r="AT1486" s="6" t="s">
        <v>238</v>
      </c>
      <c r="AW1486" s="5" t="s">
        <v>304</v>
      </c>
      <c r="AX1486" s="5" t="s">
        <v>304</v>
      </c>
      <c r="AY1486" s="5" t="s">
        <v>250</v>
      </c>
      <c r="AZ1486" s="5" t="s">
        <v>281</v>
      </c>
      <c r="BA1486" s="5" t="s">
        <v>251</v>
      </c>
      <c r="BB1486" s="5" t="s">
        <v>238</v>
      </c>
      <c r="BC1486" s="5" t="s">
        <v>253</v>
      </c>
      <c r="BD1486" s="5" t="s">
        <v>3170</v>
      </c>
      <c r="BF1486" s="5" t="s">
        <v>238</v>
      </c>
      <c r="BH1486" s="5" t="s">
        <v>283</v>
      </c>
      <c r="BI1486" s="6" t="s">
        <v>293</v>
      </c>
      <c r="BJ1486" s="5" t="s">
        <v>294</v>
      </c>
      <c r="BK1486" s="5" t="s">
        <v>3171</v>
      </c>
      <c r="BL1486" s="5" t="s">
        <v>238</v>
      </c>
      <c r="BM1486" s="8">
        <f>0</f>
        <v>0</v>
      </c>
      <c r="BN1486" s="8">
        <f>-27264</f>
        <v>-27264</v>
      </c>
      <c r="BO1486" s="5" t="s">
        <v>257</v>
      </c>
      <c r="BP1486" s="5" t="s">
        <v>258</v>
      </c>
      <c r="BQ1486" s="5" t="s">
        <v>377</v>
      </c>
      <c r="BR1486" s="5" t="s">
        <v>3172</v>
      </c>
      <c r="BS1486" s="5" t="s">
        <v>258</v>
      </c>
      <c r="BT1486" s="5" t="s">
        <v>238</v>
      </c>
      <c r="BU1486" s="5" t="s">
        <v>3173</v>
      </c>
      <c r="BV1486" s="5" t="s">
        <v>3174</v>
      </c>
      <c r="BW1486" s="5" t="s">
        <v>3174</v>
      </c>
      <c r="BY1486" s="6" t="s">
        <v>4353</v>
      </c>
      <c r="BZ1486" s="5" t="s">
        <v>257</v>
      </c>
      <c r="CA1486" s="5" t="s">
        <v>238</v>
      </c>
      <c r="CB1486" s="5" t="s">
        <v>238</v>
      </c>
      <c r="CC1486" s="5" t="s">
        <v>258</v>
      </c>
      <c r="CD1486" s="5" t="s">
        <v>238</v>
      </c>
      <c r="CE1486" s="5" t="s">
        <v>238</v>
      </c>
      <c r="CI1486" s="5" t="s">
        <v>238</v>
      </c>
      <c r="CJ1486" s="5" t="s">
        <v>238</v>
      </c>
      <c r="CK1486" s="5" t="s">
        <v>272</v>
      </c>
      <c r="CM1486" s="5" t="s">
        <v>238</v>
      </c>
      <c r="CN1486" s="6" t="s">
        <v>262</v>
      </c>
      <c r="CO1486" s="5" t="s">
        <v>263</v>
      </c>
      <c r="CP1486" s="5" t="s">
        <v>264</v>
      </c>
      <c r="CQ1486" s="5" t="s">
        <v>285</v>
      </c>
      <c r="CR1486" s="5" t="s">
        <v>238</v>
      </c>
      <c r="CS1486" s="5">
        <v>0</v>
      </c>
      <c r="CT1486" s="5" t="s">
        <v>265</v>
      </c>
      <c r="CU1486" s="5" t="s">
        <v>1342</v>
      </c>
      <c r="CV1486" s="5" t="s">
        <v>308</v>
      </c>
      <c r="CW1486" s="7">
        <f>1568771</f>
        <v>1568771</v>
      </c>
      <c r="CX1486" s="8">
        <f>1568771</f>
        <v>1568771</v>
      </c>
      <c r="CY1486" s="8">
        <f>1009787</f>
        <v>1009787</v>
      </c>
      <c r="CZ1486" s="8" t="s">
        <v>238</v>
      </c>
      <c r="DA1486" s="5" t="s">
        <v>238</v>
      </c>
      <c r="DB1486" s="5" t="s">
        <v>238</v>
      </c>
      <c r="DD1486" s="5" t="s">
        <v>238</v>
      </c>
      <c r="DE1486" s="8">
        <f>0</f>
        <v>0</v>
      </c>
      <c r="DF1486" s="6" t="s">
        <v>238</v>
      </c>
      <c r="DG1486" s="5" t="s">
        <v>238</v>
      </c>
      <c r="DH1486" s="5" t="s">
        <v>238</v>
      </c>
      <c r="DI1486" s="5" t="s">
        <v>238</v>
      </c>
      <c r="DJ1486" s="5" t="s">
        <v>238</v>
      </c>
      <c r="DK1486" s="5" t="s">
        <v>238</v>
      </c>
      <c r="DL1486" s="5" t="s">
        <v>238</v>
      </c>
      <c r="DM1486" s="8" t="s">
        <v>238</v>
      </c>
      <c r="DN1486" s="5" t="s">
        <v>238</v>
      </c>
      <c r="DO1486" s="5" t="s">
        <v>247</v>
      </c>
      <c r="DP1486" s="5" t="s">
        <v>3170</v>
      </c>
      <c r="DQ1486" s="5" t="s">
        <v>3170</v>
      </c>
      <c r="DR1486" s="5" t="s">
        <v>238</v>
      </c>
      <c r="DS1486" s="5" t="s">
        <v>238</v>
      </c>
      <c r="GL1486" s="5" t="s">
        <v>4354</v>
      </c>
      <c r="HP1486" s="5" t="s">
        <v>238</v>
      </c>
      <c r="HQ1486" s="5" t="s">
        <v>238</v>
      </c>
      <c r="HR1486" s="5" t="s">
        <v>238</v>
      </c>
      <c r="HS1486" s="5" t="s">
        <v>238</v>
      </c>
      <c r="HT1486" s="5" t="s">
        <v>238</v>
      </c>
      <c r="HU1486" s="5" t="s">
        <v>238</v>
      </c>
      <c r="HV1486" s="5" t="s">
        <v>238</v>
      </c>
      <c r="HW1486" s="5" t="s">
        <v>238</v>
      </c>
      <c r="HX1486" s="5" t="s">
        <v>238</v>
      </c>
      <c r="HY1486" s="5" t="s">
        <v>238</v>
      </c>
      <c r="HZ1486" s="5" t="s">
        <v>238</v>
      </c>
      <c r="IA1486" s="5" t="s">
        <v>238</v>
      </c>
      <c r="IB1486" s="5" t="s">
        <v>238</v>
      </c>
      <c r="IC1486" s="5" t="s">
        <v>238</v>
      </c>
      <c r="ID1486" s="5" t="s">
        <v>238</v>
      </c>
    </row>
    <row r="1487" spans="1:238" x14ac:dyDescent="0.4">
      <c r="A1487" s="5">
        <v>1881</v>
      </c>
      <c r="B1487" s="5">
        <v>1</v>
      </c>
      <c r="C1487" s="5">
        <v>3</v>
      </c>
      <c r="D1487" s="5" t="s">
        <v>420</v>
      </c>
      <c r="E1487" s="5" t="s">
        <v>347</v>
      </c>
      <c r="F1487" s="5" t="s">
        <v>282</v>
      </c>
      <c r="G1487" s="5" t="s">
        <v>4352</v>
      </c>
      <c r="H1487" s="6" t="s">
        <v>3210</v>
      </c>
      <c r="I1487" s="5" t="s">
        <v>4351</v>
      </c>
      <c r="J1487" s="8">
        <f>1</f>
        <v>1</v>
      </c>
      <c r="K1487" s="5" t="s">
        <v>3176</v>
      </c>
      <c r="L1487" s="8">
        <f>15310</f>
        <v>15310</v>
      </c>
      <c r="M1487" s="8">
        <f>15734</f>
        <v>15734</v>
      </c>
      <c r="N1487" s="6" t="s">
        <v>3167</v>
      </c>
      <c r="O1487" s="5" t="s">
        <v>639</v>
      </c>
      <c r="P1487" s="5" t="s">
        <v>238</v>
      </c>
      <c r="Q1487" s="8">
        <f>0</f>
        <v>0</v>
      </c>
      <c r="R1487" s="8">
        <f>424</f>
        <v>424</v>
      </c>
      <c r="S1487" s="5" t="s">
        <v>240</v>
      </c>
      <c r="T1487" s="5" t="s">
        <v>238</v>
      </c>
      <c r="W1487" s="5" t="s">
        <v>238</v>
      </c>
      <c r="X1487" s="5" t="s">
        <v>238</v>
      </c>
      <c r="Y1487" s="5" t="s">
        <v>238</v>
      </c>
      <c r="AB1487" s="5" t="s">
        <v>347</v>
      </c>
      <c r="AC1487" s="6" t="s">
        <v>238</v>
      </c>
      <c r="AD1487" s="6" t="s">
        <v>238</v>
      </c>
      <c r="AE1487" s="5" t="s">
        <v>238</v>
      </c>
      <c r="AF1487" s="6" t="s">
        <v>238</v>
      </c>
      <c r="AG1487" s="6" t="s">
        <v>3167</v>
      </c>
      <c r="AH1487" s="5" t="s">
        <v>247</v>
      </c>
      <c r="AI1487" s="5" t="s">
        <v>238</v>
      </c>
      <c r="AO1487" s="5" t="s">
        <v>238</v>
      </c>
      <c r="AP1487" s="5" t="s">
        <v>238</v>
      </c>
      <c r="AQ1487" s="5" t="s">
        <v>238</v>
      </c>
      <c r="AR1487" s="6" t="s">
        <v>238</v>
      </c>
      <c r="AS1487" s="6" t="s">
        <v>238</v>
      </c>
      <c r="AT1487" s="6" t="s">
        <v>238</v>
      </c>
      <c r="AW1487" s="5" t="s">
        <v>304</v>
      </c>
      <c r="AX1487" s="5" t="s">
        <v>304</v>
      </c>
      <c r="AY1487" s="5" t="s">
        <v>250</v>
      </c>
      <c r="AZ1487" s="5" t="s">
        <v>281</v>
      </c>
      <c r="BA1487" s="5" t="s">
        <v>251</v>
      </c>
      <c r="BB1487" s="5" t="s">
        <v>238</v>
      </c>
      <c r="BC1487" s="5" t="s">
        <v>253</v>
      </c>
      <c r="BD1487" s="5" t="s">
        <v>3170</v>
      </c>
      <c r="BF1487" s="5" t="s">
        <v>238</v>
      </c>
      <c r="BH1487" s="5" t="s">
        <v>283</v>
      </c>
      <c r="BI1487" s="6" t="s">
        <v>293</v>
      </c>
      <c r="BJ1487" s="5" t="s">
        <v>294</v>
      </c>
      <c r="BK1487" s="5" t="s">
        <v>3171</v>
      </c>
      <c r="BL1487" s="5" t="s">
        <v>238</v>
      </c>
      <c r="BM1487" s="8">
        <f>0</f>
        <v>0</v>
      </c>
      <c r="BN1487" s="8">
        <f>-424</f>
        <v>-424</v>
      </c>
      <c r="BO1487" s="5" t="s">
        <v>257</v>
      </c>
      <c r="BP1487" s="5" t="s">
        <v>258</v>
      </c>
      <c r="BQ1487" s="5" t="s">
        <v>377</v>
      </c>
      <c r="BR1487" s="5" t="s">
        <v>3172</v>
      </c>
      <c r="BS1487" s="5" t="s">
        <v>258</v>
      </c>
      <c r="BT1487" s="5" t="s">
        <v>238</v>
      </c>
      <c r="BU1487" s="5" t="s">
        <v>3173</v>
      </c>
      <c r="BV1487" s="5" t="s">
        <v>3174</v>
      </c>
      <c r="BW1487" s="5" t="s">
        <v>3174</v>
      </c>
      <c r="BY1487" s="6" t="s">
        <v>4353</v>
      </c>
      <c r="BZ1487" s="5" t="s">
        <v>257</v>
      </c>
      <c r="CA1487" s="5" t="s">
        <v>238</v>
      </c>
      <c r="CB1487" s="5" t="s">
        <v>238</v>
      </c>
      <c r="CC1487" s="5" t="s">
        <v>258</v>
      </c>
      <c r="CD1487" s="5" t="s">
        <v>238</v>
      </c>
      <c r="CE1487" s="5" t="s">
        <v>238</v>
      </c>
      <c r="CI1487" s="5" t="s">
        <v>238</v>
      </c>
      <c r="CJ1487" s="5" t="s">
        <v>238</v>
      </c>
      <c r="CK1487" s="5" t="s">
        <v>272</v>
      </c>
      <c r="CM1487" s="5" t="s">
        <v>238</v>
      </c>
      <c r="CN1487" s="6" t="s">
        <v>262</v>
      </c>
      <c r="CO1487" s="5" t="s">
        <v>263</v>
      </c>
      <c r="CP1487" s="5" t="s">
        <v>264</v>
      </c>
      <c r="CQ1487" s="5" t="s">
        <v>285</v>
      </c>
      <c r="CR1487" s="5" t="s">
        <v>238</v>
      </c>
      <c r="CS1487" s="5">
        <v>0</v>
      </c>
      <c r="CT1487" s="5" t="s">
        <v>265</v>
      </c>
      <c r="CU1487" s="5" t="s">
        <v>1342</v>
      </c>
      <c r="CV1487" s="5" t="s">
        <v>308</v>
      </c>
      <c r="CW1487" s="7">
        <f>92767</f>
        <v>92767</v>
      </c>
      <c r="CX1487" s="8">
        <f>92767</f>
        <v>92767</v>
      </c>
      <c r="CY1487" s="8">
        <f>15734</f>
        <v>15734</v>
      </c>
      <c r="CZ1487" s="8" t="s">
        <v>238</v>
      </c>
      <c r="DA1487" s="5" t="s">
        <v>238</v>
      </c>
      <c r="DB1487" s="5" t="s">
        <v>238</v>
      </c>
      <c r="DD1487" s="5" t="s">
        <v>238</v>
      </c>
      <c r="DE1487" s="8">
        <f>0</f>
        <v>0</v>
      </c>
      <c r="DF1487" s="6" t="s">
        <v>238</v>
      </c>
      <c r="DG1487" s="5" t="s">
        <v>238</v>
      </c>
      <c r="DH1487" s="5" t="s">
        <v>238</v>
      </c>
      <c r="DI1487" s="5" t="s">
        <v>238</v>
      </c>
      <c r="DJ1487" s="5" t="s">
        <v>238</v>
      </c>
      <c r="DK1487" s="5" t="s">
        <v>238</v>
      </c>
      <c r="DL1487" s="5" t="s">
        <v>238</v>
      </c>
      <c r="DM1487" s="8" t="s">
        <v>238</v>
      </c>
      <c r="DN1487" s="5" t="s">
        <v>238</v>
      </c>
      <c r="DO1487" s="5" t="s">
        <v>247</v>
      </c>
      <c r="DP1487" s="5" t="s">
        <v>3170</v>
      </c>
      <c r="DQ1487" s="5" t="s">
        <v>3170</v>
      </c>
      <c r="DR1487" s="5" t="s">
        <v>238</v>
      </c>
      <c r="DS1487" s="5" t="s">
        <v>238</v>
      </c>
      <c r="GL1487" s="5" t="s">
        <v>4357</v>
      </c>
      <c r="HP1487" s="5" t="s">
        <v>238</v>
      </c>
      <c r="HQ1487" s="5" t="s">
        <v>238</v>
      </c>
      <c r="HR1487" s="5" t="s">
        <v>238</v>
      </c>
      <c r="HS1487" s="5" t="s">
        <v>238</v>
      </c>
      <c r="HT1487" s="5" t="s">
        <v>238</v>
      </c>
      <c r="HU1487" s="5" t="s">
        <v>238</v>
      </c>
      <c r="HV1487" s="5" t="s">
        <v>238</v>
      </c>
      <c r="HW1487" s="5" t="s">
        <v>238</v>
      </c>
      <c r="HX1487" s="5" t="s">
        <v>238</v>
      </c>
      <c r="HY1487" s="5" t="s">
        <v>238</v>
      </c>
      <c r="HZ1487" s="5" t="s">
        <v>238</v>
      </c>
      <c r="IA1487" s="5" t="s">
        <v>238</v>
      </c>
      <c r="IB1487" s="5" t="s">
        <v>238</v>
      </c>
      <c r="IC1487" s="5" t="s">
        <v>238</v>
      </c>
      <c r="ID1487" s="5" t="s">
        <v>238</v>
      </c>
    </row>
    <row r="1488" spans="1:238" x14ac:dyDescent="0.4">
      <c r="A1488" s="5">
        <v>1882</v>
      </c>
      <c r="B1488" s="5">
        <v>1</v>
      </c>
      <c r="C1488" s="5">
        <v>3</v>
      </c>
      <c r="D1488" s="5" t="s">
        <v>416</v>
      </c>
      <c r="E1488" s="5" t="s">
        <v>347</v>
      </c>
      <c r="F1488" s="5" t="s">
        <v>282</v>
      </c>
      <c r="G1488" s="5" t="s">
        <v>4352</v>
      </c>
      <c r="I1488" s="5" t="s">
        <v>4351</v>
      </c>
      <c r="J1488" s="8">
        <f>1</f>
        <v>1</v>
      </c>
      <c r="K1488" s="5" t="s">
        <v>3176</v>
      </c>
      <c r="L1488" s="8">
        <f>929520</f>
        <v>929520</v>
      </c>
      <c r="M1488" s="8">
        <f>955313</f>
        <v>955313</v>
      </c>
      <c r="N1488" s="6" t="s">
        <v>3167</v>
      </c>
      <c r="O1488" s="5" t="s">
        <v>639</v>
      </c>
      <c r="P1488" s="5" t="s">
        <v>238</v>
      </c>
      <c r="Q1488" s="8">
        <f>0</f>
        <v>0</v>
      </c>
      <c r="R1488" s="8">
        <f>25793</f>
        <v>25793</v>
      </c>
      <c r="S1488" s="5" t="s">
        <v>240</v>
      </c>
      <c r="T1488" s="5" t="s">
        <v>238</v>
      </c>
      <c r="W1488" s="5" t="s">
        <v>238</v>
      </c>
      <c r="X1488" s="5" t="s">
        <v>238</v>
      </c>
      <c r="Y1488" s="5" t="s">
        <v>238</v>
      </c>
      <c r="AB1488" s="5" t="s">
        <v>347</v>
      </c>
      <c r="AC1488" s="6" t="s">
        <v>238</v>
      </c>
      <c r="AD1488" s="6" t="s">
        <v>238</v>
      </c>
      <c r="AE1488" s="5" t="s">
        <v>238</v>
      </c>
      <c r="AF1488" s="6" t="s">
        <v>238</v>
      </c>
      <c r="AG1488" s="6" t="s">
        <v>3167</v>
      </c>
      <c r="AH1488" s="5" t="s">
        <v>247</v>
      </c>
      <c r="AI1488" s="5" t="s">
        <v>238</v>
      </c>
      <c r="AO1488" s="5" t="s">
        <v>238</v>
      </c>
      <c r="AP1488" s="5" t="s">
        <v>238</v>
      </c>
      <c r="AQ1488" s="5" t="s">
        <v>238</v>
      </c>
      <c r="AR1488" s="6" t="s">
        <v>238</v>
      </c>
      <c r="AS1488" s="6" t="s">
        <v>238</v>
      </c>
      <c r="AT1488" s="6" t="s">
        <v>238</v>
      </c>
      <c r="AW1488" s="5" t="s">
        <v>304</v>
      </c>
      <c r="AX1488" s="5" t="s">
        <v>304</v>
      </c>
      <c r="AY1488" s="5" t="s">
        <v>250</v>
      </c>
      <c r="AZ1488" s="5" t="s">
        <v>281</v>
      </c>
      <c r="BA1488" s="5" t="s">
        <v>251</v>
      </c>
      <c r="BB1488" s="5" t="s">
        <v>238</v>
      </c>
      <c r="BC1488" s="5" t="s">
        <v>253</v>
      </c>
      <c r="BD1488" s="5" t="s">
        <v>3170</v>
      </c>
      <c r="BF1488" s="5" t="s">
        <v>238</v>
      </c>
      <c r="BH1488" s="5" t="s">
        <v>283</v>
      </c>
      <c r="BI1488" s="6" t="s">
        <v>293</v>
      </c>
      <c r="BJ1488" s="5" t="s">
        <v>294</v>
      </c>
      <c r="BK1488" s="5" t="s">
        <v>3171</v>
      </c>
      <c r="BL1488" s="5" t="s">
        <v>238</v>
      </c>
      <c r="BM1488" s="8">
        <f>0</f>
        <v>0</v>
      </c>
      <c r="BN1488" s="8">
        <f>-25793</f>
        <v>-25793</v>
      </c>
      <c r="BO1488" s="5" t="s">
        <v>257</v>
      </c>
      <c r="BP1488" s="5" t="s">
        <v>258</v>
      </c>
      <c r="BQ1488" s="5" t="s">
        <v>377</v>
      </c>
      <c r="BR1488" s="5" t="s">
        <v>3172</v>
      </c>
      <c r="BS1488" s="5" t="s">
        <v>258</v>
      </c>
      <c r="BT1488" s="5" t="s">
        <v>238</v>
      </c>
      <c r="BU1488" s="5" t="s">
        <v>3173</v>
      </c>
      <c r="BV1488" s="5" t="s">
        <v>3174</v>
      </c>
      <c r="BW1488" s="5" t="s">
        <v>3174</v>
      </c>
      <c r="BY1488" s="6" t="s">
        <v>4353</v>
      </c>
      <c r="BZ1488" s="5" t="s">
        <v>257</v>
      </c>
      <c r="CA1488" s="5" t="s">
        <v>238</v>
      </c>
      <c r="CB1488" s="5" t="s">
        <v>238</v>
      </c>
      <c r="CC1488" s="5" t="s">
        <v>258</v>
      </c>
      <c r="CD1488" s="5" t="s">
        <v>238</v>
      </c>
      <c r="CE1488" s="5" t="s">
        <v>238</v>
      </c>
      <c r="CI1488" s="5" t="s">
        <v>238</v>
      </c>
      <c r="CJ1488" s="5" t="s">
        <v>238</v>
      </c>
      <c r="CK1488" s="5" t="s">
        <v>272</v>
      </c>
      <c r="CM1488" s="5" t="s">
        <v>238</v>
      </c>
      <c r="CN1488" s="6" t="s">
        <v>262</v>
      </c>
      <c r="CO1488" s="5" t="s">
        <v>263</v>
      </c>
      <c r="CP1488" s="5" t="s">
        <v>264</v>
      </c>
      <c r="CQ1488" s="5" t="s">
        <v>285</v>
      </c>
      <c r="CR1488" s="5" t="s">
        <v>238</v>
      </c>
      <c r="CS1488" s="5">
        <v>0</v>
      </c>
      <c r="CT1488" s="5" t="s">
        <v>265</v>
      </c>
      <c r="CU1488" s="5" t="s">
        <v>1342</v>
      </c>
      <c r="CV1488" s="5" t="s">
        <v>308</v>
      </c>
      <c r="CW1488" s="7">
        <f>1552425</f>
        <v>1552425</v>
      </c>
      <c r="CX1488" s="8">
        <f>1552425</f>
        <v>1552425</v>
      </c>
      <c r="CY1488" s="8">
        <f>955313</f>
        <v>955313</v>
      </c>
      <c r="CZ1488" s="8" t="s">
        <v>238</v>
      </c>
      <c r="DA1488" s="5" t="s">
        <v>238</v>
      </c>
      <c r="DB1488" s="5" t="s">
        <v>238</v>
      </c>
      <c r="DD1488" s="5" t="s">
        <v>238</v>
      </c>
      <c r="DE1488" s="8">
        <f>0</f>
        <v>0</v>
      </c>
      <c r="DF1488" s="6" t="s">
        <v>238</v>
      </c>
      <c r="DG1488" s="5" t="s">
        <v>238</v>
      </c>
      <c r="DH1488" s="5" t="s">
        <v>238</v>
      </c>
      <c r="DI1488" s="5" t="s">
        <v>238</v>
      </c>
      <c r="DJ1488" s="5" t="s">
        <v>238</v>
      </c>
      <c r="DK1488" s="5" t="s">
        <v>238</v>
      </c>
      <c r="DL1488" s="5" t="s">
        <v>238</v>
      </c>
      <c r="DM1488" s="8" t="s">
        <v>238</v>
      </c>
      <c r="DN1488" s="5" t="s">
        <v>238</v>
      </c>
      <c r="DO1488" s="5" t="s">
        <v>247</v>
      </c>
      <c r="DP1488" s="5" t="s">
        <v>3170</v>
      </c>
      <c r="DQ1488" s="5" t="s">
        <v>3170</v>
      </c>
      <c r="DR1488" s="5" t="s">
        <v>238</v>
      </c>
      <c r="DS1488" s="5" t="s">
        <v>238</v>
      </c>
      <c r="GL1488" s="5" t="s">
        <v>4356</v>
      </c>
      <c r="HP1488" s="5" t="s">
        <v>238</v>
      </c>
      <c r="HQ1488" s="5" t="s">
        <v>238</v>
      </c>
      <c r="HR1488" s="5" t="s">
        <v>238</v>
      </c>
      <c r="HS1488" s="5" t="s">
        <v>238</v>
      </c>
      <c r="HT1488" s="5" t="s">
        <v>238</v>
      </c>
      <c r="HU1488" s="5" t="s">
        <v>238</v>
      </c>
      <c r="HV1488" s="5" t="s">
        <v>238</v>
      </c>
      <c r="HW1488" s="5" t="s">
        <v>238</v>
      </c>
      <c r="HX1488" s="5" t="s">
        <v>238</v>
      </c>
      <c r="HY1488" s="5" t="s">
        <v>238</v>
      </c>
      <c r="HZ1488" s="5" t="s">
        <v>238</v>
      </c>
      <c r="IA1488" s="5" t="s">
        <v>238</v>
      </c>
      <c r="IB1488" s="5" t="s">
        <v>238</v>
      </c>
      <c r="IC1488" s="5" t="s">
        <v>238</v>
      </c>
      <c r="ID1488" s="5" t="s">
        <v>238</v>
      </c>
    </row>
    <row r="1489" spans="1:238" x14ac:dyDescent="0.4">
      <c r="A1489" s="5">
        <v>1883</v>
      </c>
      <c r="B1489" s="5">
        <v>1</v>
      </c>
      <c r="C1489" s="5">
        <v>3</v>
      </c>
      <c r="D1489" s="5" t="s">
        <v>856</v>
      </c>
      <c r="E1489" s="5" t="s">
        <v>347</v>
      </c>
      <c r="F1489" s="5" t="s">
        <v>282</v>
      </c>
      <c r="G1489" s="5" t="s">
        <v>4375</v>
      </c>
      <c r="H1489" s="6" t="s">
        <v>3201</v>
      </c>
      <c r="I1489" s="5" t="s">
        <v>4351</v>
      </c>
      <c r="J1489" s="8">
        <f>1</f>
        <v>1</v>
      </c>
      <c r="K1489" s="5" t="s">
        <v>3176</v>
      </c>
      <c r="L1489" s="8">
        <f>1101901</f>
        <v>1101901</v>
      </c>
      <c r="M1489" s="8">
        <f>1132477</f>
        <v>1132477</v>
      </c>
      <c r="N1489" s="6" t="s">
        <v>3167</v>
      </c>
      <c r="O1489" s="5" t="s">
        <v>639</v>
      </c>
      <c r="P1489" s="5" t="s">
        <v>238</v>
      </c>
      <c r="Q1489" s="8">
        <f>0</f>
        <v>0</v>
      </c>
      <c r="R1489" s="8">
        <f>30576</f>
        <v>30576</v>
      </c>
      <c r="S1489" s="5" t="s">
        <v>240</v>
      </c>
      <c r="T1489" s="5" t="s">
        <v>238</v>
      </c>
      <c r="W1489" s="5" t="s">
        <v>238</v>
      </c>
      <c r="X1489" s="5" t="s">
        <v>238</v>
      </c>
      <c r="Y1489" s="5" t="s">
        <v>238</v>
      </c>
      <c r="AB1489" s="5" t="s">
        <v>347</v>
      </c>
      <c r="AC1489" s="6" t="s">
        <v>238</v>
      </c>
      <c r="AD1489" s="6" t="s">
        <v>238</v>
      </c>
      <c r="AE1489" s="5" t="s">
        <v>238</v>
      </c>
      <c r="AF1489" s="6" t="s">
        <v>238</v>
      </c>
      <c r="AG1489" s="6" t="s">
        <v>3167</v>
      </c>
      <c r="AH1489" s="5" t="s">
        <v>247</v>
      </c>
      <c r="AI1489" s="5" t="s">
        <v>238</v>
      </c>
      <c r="AO1489" s="5" t="s">
        <v>238</v>
      </c>
      <c r="AP1489" s="5" t="s">
        <v>238</v>
      </c>
      <c r="AQ1489" s="5" t="s">
        <v>238</v>
      </c>
      <c r="AR1489" s="6" t="s">
        <v>238</v>
      </c>
      <c r="AS1489" s="6" t="s">
        <v>238</v>
      </c>
      <c r="AT1489" s="6" t="s">
        <v>238</v>
      </c>
      <c r="AW1489" s="5" t="s">
        <v>304</v>
      </c>
      <c r="AX1489" s="5" t="s">
        <v>304</v>
      </c>
      <c r="AY1489" s="5" t="s">
        <v>250</v>
      </c>
      <c r="AZ1489" s="5" t="s">
        <v>281</v>
      </c>
      <c r="BA1489" s="5" t="s">
        <v>251</v>
      </c>
      <c r="BB1489" s="5" t="s">
        <v>238</v>
      </c>
      <c r="BC1489" s="5" t="s">
        <v>253</v>
      </c>
      <c r="BD1489" s="5" t="s">
        <v>3170</v>
      </c>
      <c r="BF1489" s="5" t="s">
        <v>238</v>
      </c>
      <c r="BH1489" s="5" t="s">
        <v>283</v>
      </c>
      <c r="BI1489" s="6" t="s">
        <v>293</v>
      </c>
      <c r="BJ1489" s="5" t="s">
        <v>294</v>
      </c>
      <c r="BK1489" s="5" t="s">
        <v>3171</v>
      </c>
      <c r="BL1489" s="5" t="s">
        <v>238</v>
      </c>
      <c r="BM1489" s="8">
        <f>0</f>
        <v>0</v>
      </c>
      <c r="BN1489" s="8">
        <f>-30576</f>
        <v>-30576</v>
      </c>
      <c r="BO1489" s="5" t="s">
        <v>257</v>
      </c>
      <c r="BP1489" s="5" t="s">
        <v>258</v>
      </c>
      <c r="BQ1489" s="5" t="s">
        <v>377</v>
      </c>
      <c r="BR1489" s="5" t="s">
        <v>3183</v>
      </c>
      <c r="BS1489" s="5" t="s">
        <v>258</v>
      </c>
      <c r="BT1489" s="5" t="s">
        <v>238</v>
      </c>
      <c r="BU1489" s="5" t="s">
        <v>3173</v>
      </c>
      <c r="BV1489" s="5" t="s">
        <v>3174</v>
      </c>
      <c r="BW1489" s="5" t="s">
        <v>3174</v>
      </c>
      <c r="BY1489" s="6" t="s">
        <v>4376</v>
      </c>
      <c r="BZ1489" s="5" t="s">
        <v>257</v>
      </c>
      <c r="CA1489" s="5" t="s">
        <v>238</v>
      </c>
      <c r="CB1489" s="5" t="s">
        <v>238</v>
      </c>
      <c r="CC1489" s="5" t="s">
        <v>258</v>
      </c>
      <c r="CD1489" s="5" t="s">
        <v>238</v>
      </c>
      <c r="CE1489" s="5" t="s">
        <v>238</v>
      </c>
      <c r="CI1489" s="5" t="s">
        <v>238</v>
      </c>
      <c r="CJ1489" s="5" t="s">
        <v>238</v>
      </c>
      <c r="CK1489" s="5" t="s">
        <v>272</v>
      </c>
      <c r="CM1489" s="5" t="s">
        <v>238</v>
      </c>
      <c r="CN1489" s="6" t="s">
        <v>262</v>
      </c>
      <c r="CO1489" s="5" t="s">
        <v>263</v>
      </c>
      <c r="CP1489" s="5" t="s">
        <v>264</v>
      </c>
      <c r="CQ1489" s="5" t="s">
        <v>285</v>
      </c>
      <c r="CR1489" s="5" t="s">
        <v>238</v>
      </c>
      <c r="CS1489" s="5">
        <v>0</v>
      </c>
      <c r="CT1489" s="5" t="s">
        <v>265</v>
      </c>
      <c r="CU1489" s="5" t="s">
        <v>1342</v>
      </c>
      <c r="CV1489" s="5" t="s">
        <v>308</v>
      </c>
      <c r="CW1489" s="7">
        <f>1132477</f>
        <v>1132477</v>
      </c>
      <c r="CX1489" s="8">
        <f>1132477</f>
        <v>1132477</v>
      </c>
      <c r="CY1489" s="8">
        <f>1132477</f>
        <v>1132477</v>
      </c>
      <c r="CZ1489" s="8" t="s">
        <v>238</v>
      </c>
      <c r="DA1489" s="5" t="s">
        <v>238</v>
      </c>
      <c r="DB1489" s="5" t="s">
        <v>238</v>
      </c>
      <c r="DD1489" s="5" t="s">
        <v>238</v>
      </c>
      <c r="DE1489" s="8">
        <f>0</f>
        <v>0</v>
      </c>
      <c r="DF1489" s="6" t="s">
        <v>238</v>
      </c>
      <c r="DG1489" s="5" t="s">
        <v>238</v>
      </c>
      <c r="DH1489" s="5" t="s">
        <v>238</v>
      </c>
      <c r="DI1489" s="5" t="s">
        <v>238</v>
      </c>
      <c r="DJ1489" s="5" t="s">
        <v>238</v>
      </c>
      <c r="DK1489" s="5" t="s">
        <v>238</v>
      </c>
      <c r="DL1489" s="5" t="s">
        <v>238</v>
      </c>
      <c r="DM1489" s="8" t="s">
        <v>238</v>
      </c>
      <c r="DN1489" s="5" t="s">
        <v>238</v>
      </c>
      <c r="DO1489" s="5" t="s">
        <v>247</v>
      </c>
      <c r="DP1489" s="5" t="s">
        <v>3170</v>
      </c>
      <c r="DQ1489" s="5" t="s">
        <v>3170</v>
      </c>
      <c r="DR1489" s="5" t="s">
        <v>238</v>
      </c>
      <c r="DS1489" s="5" t="s">
        <v>238</v>
      </c>
      <c r="GL1489" s="5" t="s">
        <v>4377</v>
      </c>
      <c r="HP1489" s="5" t="s">
        <v>238</v>
      </c>
      <c r="HQ1489" s="5" t="s">
        <v>238</v>
      </c>
      <c r="HR1489" s="5" t="s">
        <v>238</v>
      </c>
      <c r="HS1489" s="5" t="s">
        <v>238</v>
      </c>
      <c r="HT1489" s="5" t="s">
        <v>238</v>
      </c>
      <c r="HU1489" s="5" t="s">
        <v>238</v>
      </c>
      <c r="HV1489" s="5" t="s">
        <v>238</v>
      </c>
      <c r="HW1489" s="5" t="s">
        <v>238</v>
      </c>
      <c r="HX1489" s="5" t="s">
        <v>238</v>
      </c>
      <c r="HY1489" s="5" t="s">
        <v>238</v>
      </c>
      <c r="HZ1489" s="5" t="s">
        <v>238</v>
      </c>
      <c r="IA1489" s="5" t="s">
        <v>238</v>
      </c>
      <c r="IB1489" s="5" t="s">
        <v>238</v>
      </c>
      <c r="IC1489" s="5" t="s">
        <v>238</v>
      </c>
      <c r="ID1489" s="5" t="s">
        <v>238</v>
      </c>
    </row>
    <row r="1490" spans="1:238" x14ac:dyDescent="0.4">
      <c r="A1490" s="5">
        <v>1884</v>
      </c>
      <c r="B1490" s="5">
        <v>1</v>
      </c>
      <c r="C1490" s="5">
        <v>3</v>
      </c>
      <c r="D1490" s="5" t="s">
        <v>561</v>
      </c>
      <c r="E1490" s="5" t="s">
        <v>347</v>
      </c>
      <c r="F1490" s="5" t="s">
        <v>282</v>
      </c>
      <c r="G1490" s="5" t="s">
        <v>4366</v>
      </c>
      <c r="H1490" s="6" t="s">
        <v>4335</v>
      </c>
      <c r="I1490" s="5" t="s">
        <v>4359</v>
      </c>
      <c r="J1490" s="8">
        <f>1</f>
        <v>1</v>
      </c>
      <c r="K1490" s="5" t="s">
        <v>3176</v>
      </c>
      <c r="L1490" s="8">
        <f>2936512</f>
        <v>2936512</v>
      </c>
      <c r="M1490" s="8">
        <f>3017997</f>
        <v>3017997</v>
      </c>
      <c r="N1490" s="6" t="s">
        <v>3167</v>
      </c>
      <c r="O1490" s="5" t="s">
        <v>639</v>
      </c>
      <c r="P1490" s="5" t="s">
        <v>238</v>
      </c>
      <c r="Q1490" s="8">
        <f>0</f>
        <v>0</v>
      </c>
      <c r="R1490" s="8">
        <f>81485</f>
        <v>81485</v>
      </c>
      <c r="S1490" s="5" t="s">
        <v>240</v>
      </c>
      <c r="T1490" s="5" t="s">
        <v>238</v>
      </c>
      <c r="W1490" s="5" t="s">
        <v>238</v>
      </c>
      <c r="X1490" s="5" t="s">
        <v>238</v>
      </c>
      <c r="Y1490" s="5" t="s">
        <v>238</v>
      </c>
      <c r="AB1490" s="5" t="s">
        <v>347</v>
      </c>
      <c r="AC1490" s="6" t="s">
        <v>238</v>
      </c>
      <c r="AD1490" s="6" t="s">
        <v>238</v>
      </c>
      <c r="AE1490" s="5" t="s">
        <v>238</v>
      </c>
      <c r="AF1490" s="6" t="s">
        <v>238</v>
      </c>
      <c r="AG1490" s="6" t="s">
        <v>3167</v>
      </c>
      <c r="AH1490" s="5" t="s">
        <v>247</v>
      </c>
      <c r="AI1490" s="5" t="s">
        <v>238</v>
      </c>
      <c r="AO1490" s="5" t="s">
        <v>238</v>
      </c>
      <c r="AP1490" s="5" t="s">
        <v>238</v>
      </c>
      <c r="AQ1490" s="5" t="s">
        <v>238</v>
      </c>
      <c r="AR1490" s="6" t="s">
        <v>238</v>
      </c>
      <c r="AS1490" s="6" t="s">
        <v>238</v>
      </c>
      <c r="AT1490" s="6" t="s">
        <v>238</v>
      </c>
      <c r="AW1490" s="5" t="s">
        <v>304</v>
      </c>
      <c r="AX1490" s="5" t="s">
        <v>304</v>
      </c>
      <c r="AY1490" s="5" t="s">
        <v>250</v>
      </c>
      <c r="AZ1490" s="5" t="s">
        <v>281</v>
      </c>
      <c r="BA1490" s="5" t="s">
        <v>251</v>
      </c>
      <c r="BB1490" s="5" t="s">
        <v>238</v>
      </c>
      <c r="BC1490" s="5" t="s">
        <v>253</v>
      </c>
      <c r="BD1490" s="5" t="s">
        <v>3170</v>
      </c>
      <c r="BF1490" s="5" t="s">
        <v>238</v>
      </c>
      <c r="BH1490" s="5" t="s">
        <v>283</v>
      </c>
      <c r="BI1490" s="6" t="s">
        <v>293</v>
      </c>
      <c r="BJ1490" s="5" t="s">
        <v>294</v>
      </c>
      <c r="BK1490" s="5" t="s">
        <v>3171</v>
      </c>
      <c r="BL1490" s="5" t="s">
        <v>238</v>
      </c>
      <c r="BM1490" s="8">
        <f>0</f>
        <v>0</v>
      </c>
      <c r="BN1490" s="8">
        <f>-81485</f>
        <v>-81485</v>
      </c>
      <c r="BO1490" s="5" t="s">
        <v>257</v>
      </c>
      <c r="BP1490" s="5" t="s">
        <v>258</v>
      </c>
      <c r="BQ1490" s="5" t="s">
        <v>377</v>
      </c>
      <c r="BR1490" s="5" t="s">
        <v>3172</v>
      </c>
      <c r="BS1490" s="5" t="s">
        <v>258</v>
      </c>
      <c r="BT1490" s="5" t="s">
        <v>238</v>
      </c>
      <c r="BU1490" s="5" t="s">
        <v>3173</v>
      </c>
      <c r="BV1490" s="5" t="s">
        <v>3174</v>
      </c>
      <c r="BW1490" s="5" t="s">
        <v>3174</v>
      </c>
      <c r="BY1490" s="6" t="s">
        <v>4367</v>
      </c>
      <c r="BZ1490" s="5" t="s">
        <v>257</v>
      </c>
      <c r="CA1490" s="5" t="s">
        <v>238</v>
      </c>
      <c r="CB1490" s="5" t="s">
        <v>238</v>
      </c>
      <c r="CC1490" s="5" t="s">
        <v>258</v>
      </c>
      <c r="CD1490" s="5" t="s">
        <v>238</v>
      </c>
      <c r="CE1490" s="5" t="s">
        <v>238</v>
      </c>
      <c r="CI1490" s="5" t="s">
        <v>238</v>
      </c>
      <c r="CJ1490" s="5" t="s">
        <v>238</v>
      </c>
      <c r="CK1490" s="5" t="s">
        <v>272</v>
      </c>
      <c r="CM1490" s="5" t="s">
        <v>238</v>
      </c>
      <c r="CN1490" s="6" t="s">
        <v>262</v>
      </c>
      <c r="CO1490" s="5" t="s">
        <v>263</v>
      </c>
      <c r="CP1490" s="5" t="s">
        <v>264</v>
      </c>
      <c r="CQ1490" s="5" t="s">
        <v>285</v>
      </c>
      <c r="CR1490" s="5" t="s">
        <v>238</v>
      </c>
      <c r="CS1490" s="5">
        <v>0</v>
      </c>
      <c r="CT1490" s="5" t="s">
        <v>265</v>
      </c>
      <c r="CU1490" s="5" t="s">
        <v>1342</v>
      </c>
      <c r="CV1490" s="5" t="s">
        <v>308</v>
      </c>
      <c r="CW1490" s="7">
        <f>6035993</f>
        <v>6035993</v>
      </c>
      <c r="CX1490" s="8">
        <f>6035993</f>
        <v>6035993</v>
      </c>
      <c r="CY1490" s="8">
        <f>3017997</f>
        <v>3017997</v>
      </c>
      <c r="CZ1490" s="8" t="s">
        <v>238</v>
      </c>
      <c r="DA1490" s="5" t="s">
        <v>238</v>
      </c>
      <c r="DB1490" s="5" t="s">
        <v>238</v>
      </c>
      <c r="DD1490" s="5" t="s">
        <v>238</v>
      </c>
      <c r="DE1490" s="8">
        <f>0</f>
        <v>0</v>
      </c>
      <c r="DF1490" s="6" t="s">
        <v>238</v>
      </c>
      <c r="DG1490" s="5" t="s">
        <v>238</v>
      </c>
      <c r="DH1490" s="5" t="s">
        <v>238</v>
      </c>
      <c r="DI1490" s="5" t="s">
        <v>238</v>
      </c>
      <c r="DJ1490" s="5" t="s">
        <v>238</v>
      </c>
      <c r="DK1490" s="5" t="s">
        <v>238</v>
      </c>
      <c r="DL1490" s="5" t="s">
        <v>238</v>
      </c>
      <c r="DM1490" s="8" t="s">
        <v>238</v>
      </c>
      <c r="DN1490" s="5" t="s">
        <v>238</v>
      </c>
      <c r="DO1490" s="5" t="s">
        <v>247</v>
      </c>
      <c r="DP1490" s="5" t="s">
        <v>3170</v>
      </c>
      <c r="DQ1490" s="5" t="s">
        <v>3170</v>
      </c>
      <c r="DR1490" s="5" t="s">
        <v>238</v>
      </c>
      <c r="DS1490" s="5" t="s">
        <v>238</v>
      </c>
      <c r="GL1490" s="5" t="s">
        <v>4368</v>
      </c>
      <c r="HP1490" s="5" t="s">
        <v>238</v>
      </c>
      <c r="HQ1490" s="5" t="s">
        <v>238</v>
      </c>
      <c r="HR1490" s="5" t="s">
        <v>238</v>
      </c>
      <c r="HS1490" s="5" t="s">
        <v>238</v>
      </c>
      <c r="HT1490" s="5" t="s">
        <v>238</v>
      </c>
      <c r="HU1490" s="5" t="s">
        <v>238</v>
      </c>
      <c r="HV1490" s="5" t="s">
        <v>238</v>
      </c>
      <c r="HW1490" s="5" t="s">
        <v>238</v>
      </c>
      <c r="HX1490" s="5" t="s">
        <v>238</v>
      </c>
      <c r="HY1490" s="5" t="s">
        <v>238</v>
      </c>
      <c r="HZ1490" s="5" t="s">
        <v>238</v>
      </c>
      <c r="IA1490" s="5" t="s">
        <v>238</v>
      </c>
      <c r="IB1490" s="5" t="s">
        <v>238</v>
      </c>
      <c r="IC1490" s="5" t="s">
        <v>238</v>
      </c>
      <c r="ID1490" s="5" t="s">
        <v>238</v>
      </c>
    </row>
    <row r="1491" spans="1:238" x14ac:dyDescent="0.4">
      <c r="A1491" s="5">
        <v>1885</v>
      </c>
      <c r="B1491" s="5">
        <v>1</v>
      </c>
      <c r="C1491" s="5">
        <v>3</v>
      </c>
      <c r="D1491" s="5" t="s">
        <v>548</v>
      </c>
      <c r="E1491" s="5" t="s">
        <v>347</v>
      </c>
      <c r="F1491" s="5" t="s">
        <v>282</v>
      </c>
      <c r="G1491" s="5" t="s">
        <v>4366</v>
      </c>
      <c r="H1491" s="6" t="s">
        <v>4330</v>
      </c>
      <c r="I1491" s="5" t="s">
        <v>4359</v>
      </c>
      <c r="J1491" s="8">
        <f>1</f>
        <v>1</v>
      </c>
      <c r="K1491" s="5" t="s">
        <v>3176</v>
      </c>
      <c r="L1491" s="8">
        <f>547394</f>
        <v>547394</v>
      </c>
      <c r="M1491" s="8">
        <f>562583</f>
        <v>562583</v>
      </c>
      <c r="N1491" s="6" t="s">
        <v>3167</v>
      </c>
      <c r="O1491" s="5" t="s">
        <v>639</v>
      </c>
      <c r="P1491" s="5" t="s">
        <v>238</v>
      </c>
      <c r="Q1491" s="8">
        <f>0</f>
        <v>0</v>
      </c>
      <c r="R1491" s="8">
        <f>15189</f>
        <v>15189</v>
      </c>
      <c r="S1491" s="5" t="s">
        <v>240</v>
      </c>
      <c r="T1491" s="5" t="s">
        <v>238</v>
      </c>
      <c r="W1491" s="5" t="s">
        <v>238</v>
      </c>
      <c r="X1491" s="5" t="s">
        <v>238</v>
      </c>
      <c r="Y1491" s="5" t="s">
        <v>238</v>
      </c>
      <c r="AB1491" s="5" t="s">
        <v>347</v>
      </c>
      <c r="AC1491" s="6" t="s">
        <v>238</v>
      </c>
      <c r="AD1491" s="6" t="s">
        <v>238</v>
      </c>
      <c r="AE1491" s="5" t="s">
        <v>238</v>
      </c>
      <c r="AF1491" s="6" t="s">
        <v>238</v>
      </c>
      <c r="AG1491" s="6" t="s">
        <v>3167</v>
      </c>
      <c r="AH1491" s="5" t="s">
        <v>247</v>
      </c>
      <c r="AI1491" s="5" t="s">
        <v>238</v>
      </c>
      <c r="AO1491" s="5" t="s">
        <v>238</v>
      </c>
      <c r="AP1491" s="5" t="s">
        <v>238</v>
      </c>
      <c r="AQ1491" s="5" t="s">
        <v>238</v>
      </c>
      <c r="AR1491" s="6" t="s">
        <v>238</v>
      </c>
      <c r="AS1491" s="6" t="s">
        <v>238</v>
      </c>
      <c r="AT1491" s="6" t="s">
        <v>238</v>
      </c>
      <c r="AW1491" s="5" t="s">
        <v>304</v>
      </c>
      <c r="AX1491" s="5" t="s">
        <v>304</v>
      </c>
      <c r="AY1491" s="5" t="s">
        <v>250</v>
      </c>
      <c r="AZ1491" s="5" t="s">
        <v>281</v>
      </c>
      <c r="BA1491" s="5" t="s">
        <v>251</v>
      </c>
      <c r="BB1491" s="5" t="s">
        <v>238</v>
      </c>
      <c r="BC1491" s="5" t="s">
        <v>253</v>
      </c>
      <c r="BD1491" s="5" t="s">
        <v>3170</v>
      </c>
      <c r="BF1491" s="5" t="s">
        <v>238</v>
      </c>
      <c r="BH1491" s="5" t="s">
        <v>283</v>
      </c>
      <c r="BI1491" s="6" t="s">
        <v>293</v>
      </c>
      <c r="BJ1491" s="5" t="s">
        <v>294</v>
      </c>
      <c r="BK1491" s="5" t="s">
        <v>3171</v>
      </c>
      <c r="BL1491" s="5" t="s">
        <v>238</v>
      </c>
      <c r="BM1491" s="8">
        <f>0</f>
        <v>0</v>
      </c>
      <c r="BN1491" s="8">
        <f>-15189</f>
        <v>-15189</v>
      </c>
      <c r="BO1491" s="5" t="s">
        <v>257</v>
      </c>
      <c r="BP1491" s="5" t="s">
        <v>258</v>
      </c>
      <c r="BQ1491" s="5" t="s">
        <v>377</v>
      </c>
      <c r="BR1491" s="5" t="s">
        <v>3172</v>
      </c>
      <c r="BS1491" s="5" t="s">
        <v>258</v>
      </c>
      <c r="BT1491" s="5" t="s">
        <v>238</v>
      </c>
      <c r="BU1491" s="5" t="s">
        <v>3173</v>
      </c>
      <c r="BV1491" s="5" t="s">
        <v>3174</v>
      </c>
      <c r="BW1491" s="5" t="s">
        <v>3174</v>
      </c>
      <c r="BY1491" s="6" t="s">
        <v>4367</v>
      </c>
      <c r="BZ1491" s="5" t="s">
        <v>257</v>
      </c>
      <c r="CA1491" s="5" t="s">
        <v>238</v>
      </c>
      <c r="CB1491" s="5" t="s">
        <v>238</v>
      </c>
      <c r="CC1491" s="5" t="s">
        <v>258</v>
      </c>
      <c r="CD1491" s="5" t="s">
        <v>238</v>
      </c>
      <c r="CE1491" s="5" t="s">
        <v>238</v>
      </c>
      <c r="CI1491" s="5" t="s">
        <v>238</v>
      </c>
      <c r="CJ1491" s="5" t="s">
        <v>238</v>
      </c>
      <c r="CK1491" s="5" t="s">
        <v>272</v>
      </c>
      <c r="CM1491" s="5" t="s">
        <v>238</v>
      </c>
      <c r="CN1491" s="6" t="s">
        <v>262</v>
      </c>
      <c r="CO1491" s="5" t="s">
        <v>263</v>
      </c>
      <c r="CP1491" s="5" t="s">
        <v>264</v>
      </c>
      <c r="CQ1491" s="5" t="s">
        <v>285</v>
      </c>
      <c r="CR1491" s="5" t="s">
        <v>238</v>
      </c>
      <c r="CS1491" s="5">
        <v>0</v>
      </c>
      <c r="CT1491" s="5" t="s">
        <v>265</v>
      </c>
      <c r="CU1491" s="5" t="s">
        <v>1342</v>
      </c>
      <c r="CV1491" s="5" t="s">
        <v>308</v>
      </c>
      <c r="CW1491" s="7">
        <f>1125167</f>
        <v>1125167</v>
      </c>
      <c r="CX1491" s="8">
        <f>1125167</f>
        <v>1125167</v>
      </c>
      <c r="CY1491" s="8">
        <f>562583</f>
        <v>562583</v>
      </c>
      <c r="CZ1491" s="8" t="s">
        <v>238</v>
      </c>
      <c r="DA1491" s="5" t="s">
        <v>238</v>
      </c>
      <c r="DB1491" s="5" t="s">
        <v>238</v>
      </c>
      <c r="DD1491" s="5" t="s">
        <v>238</v>
      </c>
      <c r="DE1491" s="8">
        <f>0</f>
        <v>0</v>
      </c>
      <c r="DF1491" s="6" t="s">
        <v>238</v>
      </c>
      <c r="DG1491" s="5" t="s">
        <v>238</v>
      </c>
      <c r="DH1491" s="5" t="s">
        <v>238</v>
      </c>
      <c r="DI1491" s="5" t="s">
        <v>238</v>
      </c>
      <c r="DJ1491" s="5" t="s">
        <v>238</v>
      </c>
      <c r="DK1491" s="5" t="s">
        <v>238</v>
      </c>
      <c r="DL1491" s="5" t="s">
        <v>238</v>
      </c>
      <c r="DM1491" s="8" t="s">
        <v>238</v>
      </c>
      <c r="DN1491" s="5" t="s">
        <v>238</v>
      </c>
      <c r="DO1491" s="5" t="s">
        <v>247</v>
      </c>
      <c r="DP1491" s="5" t="s">
        <v>3170</v>
      </c>
      <c r="DQ1491" s="5" t="s">
        <v>3170</v>
      </c>
      <c r="DR1491" s="5" t="s">
        <v>238</v>
      </c>
      <c r="DS1491" s="5" t="s">
        <v>238</v>
      </c>
      <c r="GL1491" s="5" t="s">
        <v>4373</v>
      </c>
      <c r="HP1491" s="5" t="s">
        <v>238</v>
      </c>
      <c r="HQ1491" s="5" t="s">
        <v>238</v>
      </c>
      <c r="HR1491" s="5" t="s">
        <v>238</v>
      </c>
      <c r="HS1491" s="5" t="s">
        <v>238</v>
      </c>
      <c r="HT1491" s="5" t="s">
        <v>238</v>
      </c>
      <c r="HU1491" s="5" t="s">
        <v>238</v>
      </c>
      <c r="HV1491" s="5" t="s">
        <v>238</v>
      </c>
      <c r="HW1491" s="5" t="s">
        <v>238</v>
      </c>
      <c r="HX1491" s="5" t="s">
        <v>238</v>
      </c>
      <c r="HY1491" s="5" t="s">
        <v>238</v>
      </c>
      <c r="HZ1491" s="5" t="s">
        <v>238</v>
      </c>
      <c r="IA1491" s="5" t="s">
        <v>238</v>
      </c>
      <c r="IB1491" s="5" t="s">
        <v>238</v>
      </c>
      <c r="IC1491" s="5" t="s">
        <v>238</v>
      </c>
      <c r="ID1491" s="5" t="s">
        <v>238</v>
      </c>
    </row>
    <row r="1492" spans="1:238" x14ac:dyDescent="0.4">
      <c r="A1492" s="5">
        <v>1886</v>
      </c>
      <c r="B1492" s="5">
        <v>1</v>
      </c>
      <c r="C1492" s="5">
        <v>3</v>
      </c>
      <c r="D1492" s="5" t="s">
        <v>534</v>
      </c>
      <c r="E1492" s="5" t="s">
        <v>347</v>
      </c>
      <c r="F1492" s="5" t="s">
        <v>282</v>
      </c>
      <c r="G1492" s="5" t="s">
        <v>4366</v>
      </c>
      <c r="H1492" s="6" t="s">
        <v>4333</v>
      </c>
      <c r="I1492" s="5" t="s">
        <v>4359</v>
      </c>
      <c r="J1492" s="8">
        <f>1</f>
        <v>1</v>
      </c>
      <c r="K1492" s="5" t="s">
        <v>3176</v>
      </c>
      <c r="L1492" s="8">
        <f>728284</f>
        <v>728284</v>
      </c>
      <c r="M1492" s="8">
        <f>748493</f>
        <v>748493</v>
      </c>
      <c r="N1492" s="6" t="s">
        <v>3167</v>
      </c>
      <c r="O1492" s="5" t="s">
        <v>639</v>
      </c>
      <c r="P1492" s="5" t="s">
        <v>238</v>
      </c>
      <c r="Q1492" s="8">
        <f>0</f>
        <v>0</v>
      </c>
      <c r="R1492" s="8">
        <f>20209</f>
        <v>20209</v>
      </c>
      <c r="S1492" s="5" t="s">
        <v>240</v>
      </c>
      <c r="T1492" s="5" t="s">
        <v>238</v>
      </c>
      <c r="W1492" s="5" t="s">
        <v>238</v>
      </c>
      <c r="X1492" s="5" t="s">
        <v>238</v>
      </c>
      <c r="Y1492" s="5" t="s">
        <v>238</v>
      </c>
      <c r="AB1492" s="5" t="s">
        <v>347</v>
      </c>
      <c r="AC1492" s="6" t="s">
        <v>238</v>
      </c>
      <c r="AD1492" s="6" t="s">
        <v>238</v>
      </c>
      <c r="AE1492" s="5" t="s">
        <v>238</v>
      </c>
      <c r="AF1492" s="6" t="s">
        <v>238</v>
      </c>
      <c r="AG1492" s="6" t="s">
        <v>3167</v>
      </c>
      <c r="AH1492" s="5" t="s">
        <v>247</v>
      </c>
      <c r="AI1492" s="5" t="s">
        <v>238</v>
      </c>
      <c r="AO1492" s="5" t="s">
        <v>238</v>
      </c>
      <c r="AP1492" s="5" t="s">
        <v>238</v>
      </c>
      <c r="AQ1492" s="5" t="s">
        <v>238</v>
      </c>
      <c r="AR1492" s="6" t="s">
        <v>238</v>
      </c>
      <c r="AS1492" s="6" t="s">
        <v>238</v>
      </c>
      <c r="AT1492" s="6" t="s">
        <v>238</v>
      </c>
      <c r="AW1492" s="5" t="s">
        <v>304</v>
      </c>
      <c r="AX1492" s="5" t="s">
        <v>304</v>
      </c>
      <c r="AY1492" s="5" t="s">
        <v>250</v>
      </c>
      <c r="AZ1492" s="5" t="s">
        <v>281</v>
      </c>
      <c r="BA1492" s="5" t="s">
        <v>251</v>
      </c>
      <c r="BB1492" s="5" t="s">
        <v>238</v>
      </c>
      <c r="BC1492" s="5" t="s">
        <v>253</v>
      </c>
      <c r="BD1492" s="5" t="s">
        <v>3170</v>
      </c>
      <c r="BF1492" s="5" t="s">
        <v>238</v>
      </c>
      <c r="BH1492" s="5" t="s">
        <v>283</v>
      </c>
      <c r="BI1492" s="6" t="s">
        <v>293</v>
      </c>
      <c r="BJ1492" s="5" t="s">
        <v>294</v>
      </c>
      <c r="BK1492" s="5" t="s">
        <v>3171</v>
      </c>
      <c r="BL1492" s="5" t="s">
        <v>238</v>
      </c>
      <c r="BM1492" s="8">
        <f>0</f>
        <v>0</v>
      </c>
      <c r="BN1492" s="8">
        <f>-20209</f>
        <v>-20209</v>
      </c>
      <c r="BO1492" s="5" t="s">
        <v>257</v>
      </c>
      <c r="BP1492" s="5" t="s">
        <v>258</v>
      </c>
      <c r="BQ1492" s="5" t="s">
        <v>377</v>
      </c>
      <c r="BR1492" s="5" t="s">
        <v>3172</v>
      </c>
      <c r="BS1492" s="5" t="s">
        <v>258</v>
      </c>
      <c r="BT1492" s="5" t="s">
        <v>238</v>
      </c>
      <c r="BU1492" s="5" t="s">
        <v>3173</v>
      </c>
      <c r="BV1492" s="5" t="s">
        <v>3174</v>
      </c>
      <c r="BW1492" s="5" t="s">
        <v>3174</v>
      </c>
      <c r="BY1492" s="6" t="s">
        <v>4367</v>
      </c>
      <c r="BZ1492" s="5" t="s">
        <v>257</v>
      </c>
      <c r="CA1492" s="5" t="s">
        <v>238</v>
      </c>
      <c r="CB1492" s="5" t="s">
        <v>238</v>
      </c>
      <c r="CC1492" s="5" t="s">
        <v>258</v>
      </c>
      <c r="CD1492" s="5" t="s">
        <v>238</v>
      </c>
      <c r="CE1492" s="5" t="s">
        <v>238</v>
      </c>
      <c r="CI1492" s="5" t="s">
        <v>238</v>
      </c>
      <c r="CJ1492" s="5" t="s">
        <v>238</v>
      </c>
      <c r="CK1492" s="5" t="s">
        <v>272</v>
      </c>
      <c r="CM1492" s="5" t="s">
        <v>238</v>
      </c>
      <c r="CN1492" s="6" t="s">
        <v>262</v>
      </c>
      <c r="CO1492" s="5" t="s">
        <v>263</v>
      </c>
      <c r="CP1492" s="5" t="s">
        <v>264</v>
      </c>
      <c r="CQ1492" s="5" t="s">
        <v>285</v>
      </c>
      <c r="CR1492" s="5" t="s">
        <v>238</v>
      </c>
      <c r="CS1492" s="5">
        <v>0</v>
      </c>
      <c r="CT1492" s="5" t="s">
        <v>265</v>
      </c>
      <c r="CU1492" s="5" t="s">
        <v>1342</v>
      </c>
      <c r="CV1492" s="5" t="s">
        <v>308</v>
      </c>
      <c r="CW1492" s="7">
        <f>1496987</f>
        <v>1496987</v>
      </c>
      <c r="CX1492" s="8">
        <f>1496987</f>
        <v>1496987</v>
      </c>
      <c r="CY1492" s="8">
        <f>748493</f>
        <v>748493</v>
      </c>
      <c r="CZ1492" s="8" t="s">
        <v>238</v>
      </c>
      <c r="DA1492" s="5" t="s">
        <v>238</v>
      </c>
      <c r="DB1492" s="5" t="s">
        <v>238</v>
      </c>
      <c r="DD1492" s="5" t="s">
        <v>238</v>
      </c>
      <c r="DE1492" s="8">
        <f>0</f>
        <v>0</v>
      </c>
      <c r="DF1492" s="6" t="s">
        <v>238</v>
      </c>
      <c r="DG1492" s="5" t="s">
        <v>238</v>
      </c>
      <c r="DH1492" s="5" t="s">
        <v>238</v>
      </c>
      <c r="DI1492" s="5" t="s">
        <v>238</v>
      </c>
      <c r="DJ1492" s="5" t="s">
        <v>238</v>
      </c>
      <c r="DK1492" s="5" t="s">
        <v>238</v>
      </c>
      <c r="DL1492" s="5" t="s">
        <v>238</v>
      </c>
      <c r="DM1492" s="8" t="s">
        <v>238</v>
      </c>
      <c r="DN1492" s="5" t="s">
        <v>238</v>
      </c>
      <c r="DO1492" s="5" t="s">
        <v>247</v>
      </c>
      <c r="DP1492" s="5" t="s">
        <v>3170</v>
      </c>
      <c r="DQ1492" s="5" t="s">
        <v>3170</v>
      </c>
      <c r="DR1492" s="5" t="s">
        <v>238</v>
      </c>
      <c r="DS1492" s="5" t="s">
        <v>238</v>
      </c>
      <c r="GL1492" s="5" t="s">
        <v>4374</v>
      </c>
      <c r="HP1492" s="5" t="s">
        <v>238</v>
      </c>
      <c r="HQ1492" s="5" t="s">
        <v>238</v>
      </c>
      <c r="HR1492" s="5" t="s">
        <v>238</v>
      </c>
      <c r="HS1492" s="5" t="s">
        <v>238</v>
      </c>
      <c r="HT1492" s="5" t="s">
        <v>238</v>
      </c>
      <c r="HU1492" s="5" t="s">
        <v>238</v>
      </c>
      <c r="HV1492" s="5" t="s">
        <v>238</v>
      </c>
      <c r="HW1492" s="5" t="s">
        <v>238</v>
      </c>
      <c r="HX1492" s="5" t="s">
        <v>238</v>
      </c>
      <c r="HY1492" s="5" t="s">
        <v>238</v>
      </c>
      <c r="HZ1492" s="5" t="s">
        <v>238</v>
      </c>
      <c r="IA1492" s="5" t="s">
        <v>238</v>
      </c>
      <c r="IB1492" s="5" t="s">
        <v>238</v>
      </c>
      <c r="IC1492" s="5" t="s">
        <v>238</v>
      </c>
      <c r="ID1492" s="5" t="s">
        <v>238</v>
      </c>
    </row>
    <row r="1493" spans="1:238" x14ac:dyDescent="0.4">
      <c r="A1493" s="5">
        <v>1887</v>
      </c>
      <c r="B1493" s="5">
        <v>1</v>
      </c>
      <c r="C1493" s="5">
        <v>3</v>
      </c>
      <c r="D1493" s="5" t="s">
        <v>1282</v>
      </c>
      <c r="E1493" s="5" t="s">
        <v>347</v>
      </c>
      <c r="F1493" s="5" t="s">
        <v>282</v>
      </c>
      <c r="G1493" s="5" t="s">
        <v>4360</v>
      </c>
      <c r="H1493" s="6" t="s">
        <v>4324</v>
      </c>
      <c r="I1493" s="5" t="s">
        <v>4359</v>
      </c>
      <c r="J1493" s="8">
        <f>1</f>
        <v>1</v>
      </c>
      <c r="K1493" s="5" t="s">
        <v>3176</v>
      </c>
      <c r="L1493" s="8">
        <f>706926</f>
        <v>706926</v>
      </c>
      <c r="M1493" s="8">
        <f>726542</f>
        <v>726542</v>
      </c>
      <c r="N1493" s="6" t="s">
        <v>3167</v>
      </c>
      <c r="O1493" s="5" t="s">
        <v>639</v>
      </c>
      <c r="P1493" s="5" t="s">
        <v>238</v>
      </c>
      <c r="Q1493" s="8">
        <f>0</f>
        <v>0</v>
      </c>
      <c r="R1493" s="8">
        <f>19616</f>
        <v>19616</v>
      </c>
      <c r="S1493" s="5" t="s">
        <v>240</v>
      </c>
      <c r="T1493" s="5" t="s">
        <v>238</v>
      </c>
      <c r="W1493" s="5" t="s">
        <v>238</v>
      </c>
      <c r="X1493" s="5" t="s">
        <v>238</v>
      </c>
      <c r="Y1493" s="5" t="s">
        <v>238</v>
      </c>
      <c r="AB1493" s="5" t="s">
        <v>347</v>
      </c>
      <c r="AC1493" s="6" t="s">
        <v>238</v>
      </c>
      <c r="AD1493" s="6" t="s">
        <v>238</v>
      </c>
      <c r="AE1493" s="5" t="s">
        <v>238</v>
      </c>
      <c r="AF1493" s="6" t="s">
        <v>238</v>
      </c>
      <c r="AG1493" s="6" t="s">
        <v>3167</v>
      </c>
      <c r="AH1493" s="5" t="s">
        <v>247</v>
      </c>
      <c r="AI1493" s="5" t="s">
        <v>238</v>
      </c>
      <c r="AO1493" s="5" t="s">
        <v>238</v>
      </c>
      <c r="AP1493" s="5" t="s">
        <v>238</v>
      </c>
      <c r="AQ1493" s="5" t="s">
        <v>238</v>
      </c>
      <c r="AR1493" s="6" t="s">
        <v>238</v>
      </c>
      <c r="AS1493" s="6" t="s">
        <v>238</v>
      </c>
      <c r="AT1493" s="6" t="s">
        <v>238</v>
      </c>
      <c r="AW1493" s="5" t="s">
        <v>304</v>
      </c>
      <c r="AX1493" s="5" t="s">
        <v>304</v>
      </c>
      <c r="AY1493" s="5" t="s">
        <v>250</v>
      </c>
      <c r="AZ1493" s="5" t="s">
        <v>281</v>
      </c>
      <c r="BA1493" s="5" t="s">
        <v>251</v>
      </c>
      <c r="BB1493" s="5" t="s">
        <v>238</v>
      </c>
      <c r="BC1493" s="5" t="s">
        <v>253</v>
      </c>
      <c r="BD1493" s="5" t="s">
        <v>3170</v>
      </c>
      <c r="BF1493" s="5" t="s">
        <v>238</v>
      </c>
      <c r="BH1493" s="5" t="s">
        <v>283</v>
      </c>
      <c r="BI1493" s="6" t="s">
        <v>293</v>
      </c>
      <c r="BJ1493" s="5" t="s">
        <v>294</v>
      </c>
      <c r="BK1493" s="5" t="s">
        <v>3171</v>
      </c>
      <c r="BL1493" s="5" t="s">
        <v>238</v>
      </c>
      <c r="BM1493" s="8">
        <f>0</f>
        <v>0</v>
      </c>
      <c r="BN1493" s="8">
        <f>-19616</f>
        <v>-19616</v>
      </c>
      <c r="BO1493" s="5" t="s">
        <v>257</v>
      </c>
      <c r="BP1493" s="5" t="s">
        <v>258</v>
      </c>
      <c r="BQ1493" s="5" t="s">
        <v>377</v>
      </c>
      <c r="BR1493" s="5" t="s">
        <v>3183</v>
      </c>
      <c r="BS1493" s="5" t="s">
        <v>258</v>
      </c>
      <c r="BT1493" s="5" t="s">
        <v>238</v>
      </c>
      <c r="BU1493" s="5" t="s">
        <v>3173</v>
      </c>
      <c r="BV1493" s="5" t="s">
        <v>3174</v>
      </c>
      <c r="BW1493" s="5" t="s">
        <v>3174</v>
      </c>
      <c r="BY1493" s="6" t="s">
        <v>4361</v>
      </c>
      <c r="BZ1493" s="5" t="s">
        <v>257</v>
      </c>
      <c r="CA1493" s="5" t="s">
        <v>238</v>
      </c>
      <c r="CB1493" s="5" t="s">
        <v>238</v>
      </c>
      <c r="CC1493" s="5" t="s">
        <v>258</v>
      </c>
      <c r="CD1493" s="5" t="s">
        <v>238</v>
      </c>
      <c r="CE1493" s="5" t="s">
        <v>238</v>
      </c>
      <c r="CI1493" s="5" t="s">
        <v>238</v>
      </c>
      <c r="CJ1493" s="5" t="s">
        <v>238</v>
      </c>
      <c r="CK1493" s="5" t="s">
        <v>272</v>
      </c>
      <c r="CM1493" s="5" t="s">
        <v>238</v>
      </c>
      <c r="CN1493" s="6" t="s">
        <v>262</v>
      </c>
      <c r="CO1493" s="5" t="s">
        <v>263</v>
      </c>
      <c r="CP1493" s="5" t="s">
        <v>264</v>
      </c>
      <c r="CQ1493" s="5" t="s">
        <v>285</v>
      </c>
      <c r="CR1493" s="5" t="s">
        <v>238</v>
      </c>
      <c r="CS1493" s="5">
        <v>0</v>
      </c>
      <c r="CT1493" s="5" t="s">
        <v>265</v>
      </c>
      <c r="CU1493" s="5" t="s">
        <v>1342</v>
      </c>
      <c r="CV1493" s="5" t="s">
        <v>308</v>
      </c>
      <c r="CW1493" s="7">
        <f>1453082</f>
        <v>1453082</v>
      </c>
      <c r="CX1493" s="8">
        <f>1453082</f>
        <v>1453082</v>
      </c>
      <c r="CY1493" s="8">
        <f>726542</f>
        <v>726542</v>
      </c>
      <c r="CZ1493" s="8" t="s">
        <v>238</v>
      </c>
      <c r="DA1493" s="5" t="s">
        <v>238</v>
      </c>
      <c r="DB1493" s="5" t="s">
        <v>238</v>
      </c>
      <c r="DD1493" s="5" t="s">
        <v>238</v>
      </c>
      <c r="DE1493" s="8">
        <f>0</f>
        <v>0</v>
      </c>
      <c r="DF1493" s="6" t="s">
        <v>238</v>
      </c>
      <c r="DG1493" s="5" t="s">
        <v>238</v>
      </c>
      <c r="DH1493" s="5" t="s">
        <v>238</v>
      </c>
      <c r="DI1493" s="5" t="s">
        <v>238</v>
      </c>
      <c r="DJ1493" s="5" t="s">
        <v>238</v>
      </c>
      <c r="DK1493" s="5" t="s">
        <v>238</v>
      </c>
      <c r="DL1493" s="5" t="s">
        <v>238</v>
      </c>
      <c r="DM1493" s="8" t="s">
        <v>238</v>
      </c>
      <c r="DN1493" s="5" t="s">
        <v>238</v>
      </c>
      <c r="DO1493" s="5" t="s">
        <v>247</v>
      </c>
      <c r="DP1493" s="5" t="s">
        <v>3170</v>
      </c>
      <c r="DQ1493" s="5" t="s">
        <v>3170</v>
      </c>
      <c r="DR1493" s="5" t="s">
        <v>238</v>
      </c>
      <c r="DS1493" s="5" t="s">
        <v>238</v>
      </c>
      <c r="GL1493" s="5" t="s">
        <v>4362</v>
      </c>
      <c r="HP1493" s="5" t="s">
        <v>238</v>
      </c>
      <c r="HQ1493" s="5" t="s">
        <v>238</v>
      </c>
      <c r="HR1493" s="5" t="s">
        <v>238</v>
      </c>
      <c r="HS1493" s="5" t="s">
        <v>238</v>
      </c>
      <c r="HT1493" s="5" t="s">
        <v>238</v>
      </c>
      <c r="HU1493" s="5" t="s">
        <v>238</v>
      </c>
      <c r="HV1493" s="5" t="s">
        <v>238</v>
      </c>
      <c r="HW1493" s="5" t="s">
        <v>238</v>
      </c>
      <c r="HX1493" s="5" t="s">
        <v>238</v>
      </c>
      <c r="HY1493" s="5" t="s">
        <v>238</v>
      </c>
      <c r="HZ1493" s="5" t="s">
        <v>238</v>
      </c>
      <c r="IA1493" s="5" t="s">
        <v>238</v>
      </c>
      <c r="IB1493" s="5" t="s">
        <v>238</v>
      </c>
      <c r="IC1493" s="5" t="s">
        <v>238</v>
      </c>
      <c r="ID1493" s="5" t="s">
        <v>238</v>
      </c>
    </row>
    <row r="1494" spans="1:238" x14ac:dyDescent="0.4">
      <c r="A1494" s="5">
        <v>1888</v>
      </c>
      <c r="B1494" s="5">
        <v>1</v>
      </c>
      <c r="C1494" s="5">
        <v>3</v>
      </c>
      <c r="D1494" s="5" t="s">
        <v>823</v>
      </c>
      <c r="E1494" s="5" t="s">
        <v>347</v>
      </c>
      <c r="F1494" s="5" t="s">
        <v>282</v>
      </c>
      <c r="G1494" s="5" t="s">
        <v>4360</v>
      </c>
      <c r="H1494" s="6" t="s">
        <v>4327</v>
      </c>
      <c r="I1494" s="5" t="s">
        <v>4359</v>
      </c>
      <c r="J1494" s="8">
        <f>1</f>
        <v>1</v>
      </c>
      <c r="K1494" s="5" t="s">
        <v>3176</v>
      </c>
      <c r="L1494" s="8">
        <f>1005508</f>
        <v>1005508</v>
      </c>
      <c r="M1494" s="8">
        <f>1033410</f>
        <v>1033410</v>
      </c>
      <c r="N1494" s="6" t="s">
        <v>3167</v>
      </c>
      <c r="O1494" s="5" t="s">
        <v>639</v>
      </c>
      <c r="P1494" s="5" t="s">
        <v>238</v>
      </c>
      <c r="Q1494" s="8">
        <f>0</f>
        <v>0</v>
      </c>
      <c r="R1494" s="8">
        <f>27902</f>
        <v>27902</v>
      </c>
      <c r="S1494" s="5" t="s">
        <v>240</v>
      </c>
      <c r="T1494" s="5" t="s">
        <v>238</v>
      </c>
      <c r="W1494" s="5" t="s">
        <v>238</v>
      </c>
      <c r="X1494" s="5" t="s">
        <v>238</v>
      </c>
      <c r="Y1494" s="5" t="s">
        <v>238</v>
      </c>
      <c r="AB1494" s="5" t="s">
        <v>347</v>
      </c>
      <c r="AC1494" s="6" t="s">
        <v>238</v>
      </c>
      <c r="AD1494" s="6" t="s">
        <v>238</v>
      </c>
      <c r="AE1494" s="5" t="s">
        <v>238</v>
      </c>
      <c r="AF1494" s="6" t="s">
        <v>238</v>
      </c>
      <c r="AG1494" s="6" t="s">
        <v>3167</v>
      </c>
      <c r="AH1494" s="5" t="s">
        <v>247</v>
      </c>
      <c r="AI1494" s="5" t="s">
        <v>238</v>
      </c>
      <c r="AO1494" s="5" t="s">
        <v>238</v>
      </c>
      <c r="AP1494" s="5" t="s">
        <v>238</v>
      </c>
      <c r="AQ1494" s="5" t="s">
        <v>238</v>
      </c>
      <c r="AR1494" s="6" t="s">
        <v>238</v>
      </c>
      <c r="AS1494" s="6" t="s">
        <v>238</v>
      </c>
      <c r="AT1494" s="6" t="s">
        <v>238</v>
      </c>
      <c r="AW1494" s="5" t="s">
        <v>304</v>
      </c>
      <c r="AX1494" s="5" t="s">
        <v>304</v>
      </c>
      <c r="AY1494" s="5" t="s">
        <v>250</v>
      </c>
      <c r="AZ1494" s="5" t="s">
        <v>281</v>
      </c>
      <c r="BA1494" s="5" t="s">
        <v>251</v>
      </c>
      <c r="BB1494" s="5" t="s">
        <v>238</v>
      </c>
      <c r="BC1494" s="5" t="s">
        <v>253</v>
      </c>
      <c r="BD1494" s="5" t="s">
        <v>3170</v>
      </c>
      <c r="BF1494" s="5" t="s">
        <v>238</v>
      </c>
      <c r="BH1494" s="5" t="s">
        <v>283</v>
      </c>
      <c r="BI1494" s="6" t="s">
        <v>293</v>
      </c>
      <c r="BJ1494" s="5" t="s">
        <v>294</v>
      </c>
      <c r="BK1494" s="5" t="s">
        <v>3171</v>
      </c>
      <c r="BL1494" s="5" t="s">
        <v>238</v>
      </c>
      <c r="BM1494" s="8">
        <f>0</f>
        <v>0</v>
      </c>
      <c r="BN1494" s="8">
        <f>-27902</f>
        <v>-27902</v>
      </c>
      <c r="BO1494" s="5" t="s">
        <v>257</v>
      </c>
      <c r="BP1494" s="5" t="s">
        <v>258</v>
      </c>
      <c r="BQ1494" s="5" t="s">
        <v>377</v>
      </c>
      <c r="BR1494" s="5" t="s">
        <v>3183</v>
      </c>
      <c r="BS1494" s="5" t="s">
        <v>258</v>
      </c>
      <c r="BT1494" s="5" t="s">
        <v>238</v>
      </c>
      <c r="BU1494" s="5" t="s">
        <v>3173</v>
      </c>
      <c r="BV1494" s="5" t="s">
        <v>3174</v>
      </c>
      <c r="BW1494" s="5" t="s">
        <v>3174</v>
      </c>
      <c r="BY1494" s="6" t="s">
        <v>4361</v>
      </c>
      <c r="BZ1494" s="5" t="s">
        <v>257</v>
      </c>
      <c r="CA1494" s="5" t="s">
        <v>238</v>
      </c>
      <c r="CB1494" s="5" t="s">
        <v>238</v>
      </c>
      <c r="CC1494" s="5" t="s">
        <v>258</v>
      </c>
      <c r="CD1494" s="5" t="s">
        <v>238</v>
      </c>
      <c r="CE1494" s="5" t="s">
        <v>238</v>
      </c>
      <c r="CI1494" s="5" t="s">
        <v>238</v>
      </c>
      <c r="CJ1494" s="5" t="s">
        <v>238</v>
      </c>
      <c r="CK1494" s="5" t="s">
        <v>272</v>
      </c>
      <c r="CM1494" s="5" t="s">
        <v>238</v>
      </c>
      <c r="CN1494" s="6" t="s">
        <v>262</v>
      </c>
      <c r="CO1494" s="5" t="s">
        <v>263</v>
      </c>
      <c r="CP1494" s="5" t="s">
        <v>264</v>
      </c>
      <c r="CQ1494" s="5" t="s">
        <v>285</v>
      </c>
      <c r="CR1494" s="5" t="s">
        <v>238</v>
      </c>
      <c r="CS1494" s="5">
        <v>0</v>
      </c>
      <c r="CT1494" s="5" t="s">
        <v>265</v>
      </c>
      <c r="CU1494" s="5" t="s">
        <v>1342</v>
      </c>
      <c r="CV1494" s="5" t="s">
        <v>308</v>
      </c>
      <c r="CW1494" s="7">
        <f>1718120</f>
        <v>1718120</v>
      </c>
      <c r="CX1494" s="8">
        <f>1718120</f>
        <v>1718120</v>
      </c>
      <c r="CY1494" s="8">
        <f>1033410</f>
        <v>1033410</v>
      </c>
      <c r="CZ1494" s="8" t="s">
        <v>238</v>
      </c>
      <c r="DA1494" s="5" t="s">
        <v>238</v>
      </c>
      <c r="DB1494" s="5" t="s">
        <v>238</v>
      </c>
      <c r="DD1494" s="5" t="s">
        <v>238</v>
      </c>
      <c r="DE1494" s="8">
        <f>0</f>
        <v>0</v>
      </c>
      <c r="DF1494" s="6" t="s">
        <v>238</v>
      </c>
      <c r="DG1494" s="5" t="s">
        <v>238</v>
      </c>
      <c r="DH1494" s="5" t="s">
        <v>238</v>
      </c>
      <c r="DI1494" s="5" t="s">
        <v>238</v>
      </c>
      <c r="DJ1494" s="5" t="s">
        <v>238</v>
      </c>
      <c r="DK1494" s="5" t="s">
        <v>238</v>
      </c>
      <c r="DL1494" s="5" t="s">
        <v>238</v>
      </c>
      <c r="DM1494" s="8" t="s">
        <v>238</v>
      </c>
      <c r="DN1494" s="5" t="s">
        <v>238</v>
      </c>
      <c r="DO1494" s="5" t="s">
        <v>247</v>
      </c>
      <c r="DP1494" s="5" t="s">
        <v>3170</v>
      </c>
      <c r="DQ1494" s="5" t="s">
        <v>3170</v>
      </c>
      <c r="DR1494" s="5" t="s">
        <v>238</v>
      </c>
      <c r="DS1494" s="5" t="s">
        <v>238</v>
      </c>
      <c r="GL1494" s="5" t="s">
        <v>4363</v>
      </c>
      <c r="HP1494" s="5" t="s">
        <v>238</v>
      </c>
      <c r="HQ1494" s="5" t="s">
        <v>238</v>
      </c>
      <c r="HR1494" s="5" t="s">
        <v>238</v>
      </c>
      <c r="HS1494" s="5" t="s">
        <v>238</v>
      </c>
      <c r="HT1494" s="5" t="s">
        <v>238</v>
      </c>
      <c r="HU1494" s="5" t="s">
        <v>238</v>
      </c>
      <c r="HV1494" s="5" t="s">
        <v>238</v>
      </c>
      <c r="HW1494" s="5" t="s">
        <v>238</v>
      </c>
      <c r="HX1494" s="5" t="s">
        <v>238</v>
      </c>
      <c r="HY1494" s="5" t="s">
        <v>238</v>
      </c>
      <c r="HZ1494" s="5" t="s">
        <v>238</v>
      </c>
      <c r="IA1494" s="5" t="s">
        <v>238</v>
      </c>
      <c r="IB1494" s="5" t="s">
        <v>238</v>
      </c>
      <c r="IC1494" s="5" t="s">
        <v>238</v>
      </c>
      <c r="ID1494" s="5" t="s">
        <v>238</v>
      </c>
    </row>
    <row r="1495" spans="1:238" x14ac:dyDescent="0.4">
      <c r="A1495" s="5">
        <v>1889</v>
      </c>
      <c r="B1495" s="5">
        <v>1</v>
      </c>
      <c r="C1495" s="5">
        <v>3</v>
      </c>
      <c r="D1495" s="5" t="s">
        <v>561</v>
      </c>
      <c r="E1495" s="5" t="s">
        <v>347</v>
      </c>
      <c r="F1495" s="5" t="s">
        <v>282</v>
      </c>
      <c r="G1495" s="5" t="s">
        <v>4329</v>
      </c>
      <c r="H1495" s="6" t="s">
        <v>4335</v>
      </c>
      <c r="I1495" s="5" t="s">
        <v>3166</v>
      </c>
      <c r="J1495" s="8">
        <f>1</f>
        <v>1</v>
      </c>
      <c r="K1495" s="5" t="s">
        <v>3176</v>
      </c>
      <c r="L1495" s="8">
        <f>139139</f>
        <v>139139</v>
      </c>
      <c r="M1495" s="8">
        <f>143000</f>
        <v>143000</v>
      </c>
      <c r="N1495" s="6" t="s">
        <v>4322</v>
      </c>
      <c r="O1495" s="5" t="s">
        <v>639</v>
      </c>
      <c r="P1495" s="5" t="s">
        <v>238</v>
      </c>
      <c r="Q1495" s="8">
        <f>0</f>
        <v>0</v>
      </c>
      <c r="R1495" s="8">
        <f>3861</f>
        <v>3861</v>
      </c>
      <c r="S1495" s="5" t="s">
        <v>240</v>
      </c>
      <c r="T1495" s="5" t="s">
        <v>238</v>
      </c>
      <c r="W1495" s="5" t="s">
        <v>238</v>
      </c>
      <c r="X1495" s="5" t="s">
        <v>238</v>
      </c>
      <c r="Y1495" s="5" t="s">
        <v>238</v>
      </c>
      <c r="AB1495" s="5" t="s">
        <v>347</v>
      </c>
      <c r="AC1495" s="6" t="s">
        <v>238</v>
      </c>
      <c r="AD1495" s="6" t="s">
        <v>238</v>
      </c>
      <c r="AE1495" s="5" t="s">
        <v>238</v>
      </c>
      <c r="AF1495" s="6" t="s">
        <v>238</v>
      </c>
      <c r="AG1495" s="6" t="s">
        <v>4322</v>
      </c>
      <c r="AH1495" s="5" t="s">
        <v>247</v>
      </c>
      <c r="AI1495" s="5" t="s">
        <v>238</v>
      </c>
      <c r="AO1495" s="5" t="s">
        <v>238</v>
      </c>
      <c r="AP1495" s="5" t="s">
        <v>238</v>
      </c>
      <c r="AQ1495" s="5" t="s">
        <v>238</v>
      </c>
      <c r="AR1495" s="6" t="s">
        <v>238</v>
      </c>
      <c r="AS1495" s="6" t="s">
        <v>238</v>
      </c>
      <c r="AT1495" s="6" t="s">
        <v>238</v>
      </c>
      <c r="AW1495" s="5" t="s">
        <v>304</v>
      </c>
      <c r="AX1495" s="5" t="s">
        <v>304</v>
      </c>
      <c r="AY1495" s="5" t="s">
        <v>250</v>
      </c>
      <c r="AZ1495" s="5" t="s">
        <v>281</v>
      </c>
      <c r="BA1495" s="5" t="s">
        <v>251</v>
      </c>
      <c r="BB1495" s="5" t="s">
        <v>238</v>
      </c>
      <c r="BC1495" s="5" t="s">
        <v>253</v>
      </c>
      <c r="BD1495" s="5" t="s">
        <v>3170</v>
      </c>
      <c r="BF1495" s="5" t="s">
        <v>238</v>
      </c>
      <c r="BH1495" s="5" t="s">
        <v>283</v>
      </c>
      <c r="BI1495" s="6" t="s">
        <v>293</v>
      </c>
      <c r="BJ1495" s="5" t="s">
        <v>294</v>
      </c>
      <c r="BK1495" s="5" t="s">
        <v>3171</v>
      </c>
      <c r="BL1495" s="5" t="s">
        <v>238</v>
      </c>
      <c r="BM1495" s="8">
        <f>0</f>
        <v>0</v>
      </c>
      <c r="BN1495" s="8">
        <f>-3861</f>
        <v>-3861</v>
      </c>
      <c r="BO1495" s="5" t="s">
        <v>257</v>
      </c>
      <c r="BP1495" s="5" t="s">
        <v>258</v>
      </c>
      <c r="BQ1495" s="5" t="s">
        <v>377</v>
      </c>
      <c r="BR1495" s="5" t="s">
        <v>3172</v>
      </c>
      <c r="BS1495" s="5" t="s">
        <v>258</v>
      </c>
      <c r="BT1495" s="5" t="s">
        <v>238</v>
      </c>
      <c r="BU1495" s="5" t="s">
        <v>3173</v>
      </c>
      <c r="BV1495" s="5" t="s">
        <v>3174</v>
      </c>
      <c r="BW1495" s="5" t="s">
        <v>3174</v>
      </c>
      <c r="BY1495" s="6" t="s">
        <v>4331</v>
      </c>
      <c r="BZ1495" s="5" t="s">
        <v>257</v>
      </c>
      <c r="CA1495" s="5" t="s">
        <v>238</v>
      </c>
      <c r="CB1495" s="5" t="s">
        <v>238</v>
      </c>
      <c r="CC1495" s="5" t="s">
        <v>258</v>
      </c>
      <c r="CD1495" s="5" t="s">
        <v>238</v>
      </c>
      <c r="CE1495" s="5" t="s">
        <v>238</v>
      </c>
      <c r="CI1495" s="5" t="s">
        <v>238</v>
      </c>
      <c r="CJ1495" s="5" t="s">
        <v>238</v>
      </c>
      <c r="CK1495" s="5" t="s">
        <v>272</v>
      </c>
      <c r="CM1495" s="5" t="s">
        <v>238</v>
      </c>
      <c r="CN1495" s="6" t="s">
        <v>262</v>
      </c>
      <c r="CO1495" s="5" t="s">
        <v>263</v>
      </c>
      <c r="CP1495" s="5" t="s">
        <v>264</v>
      </c>
      <c r="CQ1495" s="5" t="s">
        <v>285</v>
      </c>
      <c r="CR1495" s="5" t="s">
        <v>238</v>
      </c>
      <c r="CS1495" s="5">
        <v>0</v>
      </c>
      <c r="CT1495" s="5" t="s">
        <v>265</v>
      </c>
      <c r="CU1495" s="5" t="s">
        <v>1342</v>
      </c>
      <c r="CV1495" s="5" t="s">
        <v>308</v>
      </c>
      <c r="CW1495" s="7">
        <f>143000</f>
        <v>143000</v>
      </c>
      <c r="CX1495" s="8">
        <f>143000</f>
        <v>143000</v>
      </c>
      <c r="CY1495" s="8">
        <f>143000</f>
        <v>143000</v>
      </c>
      <c r="CZ1495" s="8" t="s">
        <v>238</v>
      </c>
      <c r="DA1495" s="5" t="s">
        <v>238</v>
      </c>
      <c r="DB1495" s="5" t="s">
        <v>238</v>
      </c>
      <c r="DD1495" s="5" t="s">
        <v>238</v>
      </c>
      <c r="DE1495" s="8">
        <f>0</f>
        <v>0</v>
      </c>
      <c r="DF1495" s="6" t="s">
        <v>238</v>
      </c>
      <c r="DG1495" s="5" t="s">
        <v>238</v>
      </c>
      <c r="DH1495" s="5" t="s">
        <v>238</v>
      </c>
      <c r="DI1495" s="5" t="s">
        <v>238</v>
      </c>
      <c r="DJ1495" s="5" t="s">
        <v>238</v>
      </c>
      <c r="DK1495" s="5" t="s">
        <v>238</v>
      </c>
      <c r="DL1495" s="5" t="s">
        <v>238</v>
      </c>
      <c r="DM1495" s="8" t="s">
        <v>238</v>
      </c>
      <c r="DN1495" s="5" t="s">
        <v>238</v>
      </c>
      <c r="DO1495" s="5" t="s">
        <v>247</v>
      </c>
      <c r="DP1495" s="5" t="s">
        <v>3170</v>
      </c>
      <c r="DQ1495" s="5" t="s">
        <v>3170</v>
      </c>
      <c r="DR1495" s="5" t="s">
        <v>238</v>
      </c>
      <c r="DS1495" s="5" t="s">
        <v>238</v>
      </c>
      <c r="GL1495" s="5" t="s">
        <v>4336</v>
      </c>
      <c r="HP1495" s="5" t="s">
        <v>238</v>
      </c>
      <c r="HQ1495" s="5" t="s">
        <v>238</v>
      </c>
      <c r="HR1495" s="5" t="s">
        <v>238</v>
      </c>
      <c r="HS1495" s="5" t="s">
        <v>238</v>
      </c>
      <c r="HT1495" s="5" t="s">
        <v>238</v>
      </c>
      <c r="HU1495" s="5" t="s">
        <v>238</v>
      </c>
      <c r="HV1495" s="5" t="s">
        <v>238</v>
      </c>
      <c r="HW1495" s="5" t="s">
        <v>238</v>
      </c>
      <c r="HX1495" s="5" t="s">
        <v>238</v>
      </c>
      <c r="HY1495" s="5" t="s">
        <v>238</v>
      </c>
      <c r="HZ1495" s="5" t="s">
        <v>238</v>
      </c>
      <c r="IA1495" s="5" t="s">
        <v>238</v>
      </c>
      <c r="IB1495" s="5" t="s">
        <v>238</v>
      </c>
      <c r="IC1495" s="5" t="s">
        <v>238</v>
      </c>
      <c r="ID1495" s="5" t="s">
        <v>238</v>
      </c>
    </row>
    <row r="1496" spans="1:238" x14ac:dyDescent="0.4">
      <c r="A1496" s="5">
        <v>1890</v>
      </c>
      <c r="B1496" s="5">
        <v>1</v>
      </c>
      <c r="C1496" s="5">
        <v>3</v>
      </c>
      <c r="D1496" s="5" t="s">
        <v>548</v>
      </c>
      <c r="E1496" s="5" t="s">
        <v>347</v>
      </c>
      <c r="F1496" s="5" t="s">
        <v>282</v>
      </c>
      <c r="G1496" s="5" t="s">
        <v>4329</v>
      </c>
      <c r="H1496" s="6" t="s">
        <v>4330</v>
      </c>
      <c r="I1496" s="5" t="s">
        <v>3166</v>
      </c>
      <c r="J1496" s="8">
        <f>1</f>
        <v>1</v>
      </c>
      <c r="K1496" s="5" t="s">
        <v>3176</v>
      </c>
      <c r="L1496" s="8">
        <f>417417</f>
        <v>417417</v>
      </c>
      <c r="M1496" s="8">
        <f>429000</f>
        <v>429000</v>
      </c>
      <c r="N1496" s="6" t="s">
        <v>4322</v>
      </c>
      <c r="O1496" s="5" t="s">
        <v>639</v>
      </c>
      <c r="P1496" s="5" t="s">
        <v>238</v>
      </c>
      <c r="Q1496" s="8">
        <f>0</f>
        <v>0</v>
      </c>
      <c r="R1496" s="8">
        <f>11583</f>
        <v>11583</v>
      </c>
      <c r="S1496" s="5" t="s">
        <v>240</v>
      </c>
      <c r="T1496" s="5" t="s">
        <v>238</v>
      </c>
      <c r="W1496" s="5" t="s">
        <v>238</v>
      </c>
      <c r="X1496" s="5" t="s">
        <v>238</v>
      </c>
      <c r="Y1496" s="5" t="s">
        <v>238</v>
      </c>
      <c r="AB1496" s="5" t="s">
        <v>347</v>
      </c>
      <c r="AC1496" s="6" t="s">
        <v>238</v>
      </c>
      <c r="AD1496" s="6" t="s">
        <v>238</v>
      </c>
      <c r="AE1496" s="5" t="s">
        <v>238</v>
      </c>
      <c r="AF1496" s="6" t="s">
        <v>238</v>
      </c>
      <c r="AG1496" s="6" t="s">
        <v>4322</v>
      </c>
      <c r="AH1496" s="5" t="s">
        <v>247</v>
      </c>
      <c r="AI1496" s="5" t="s">
        <v>238</v>
      </c>
      <c r="AO1496" s="5" t="s">
        <v>238</v>
      </c>
      <c r="AP1496" s="5" t="s">
        <v>238</v>
      </c>
      <c r="AQ1496" s="5" t="s">
        <v>238</v>
      </c>
      <c r="AR1496" s="6" t="s">
        <v>238</v>
      </c>
      <c r="AS1496" s="6" t="s">
        <v>238</v>
      </c>
      <c r="AT1496" s="6" t="s">
        <v>238</v>
      </c>
      <c r="AW1496" s="5" t="s">
        <v>304</v>
      </c>
      <c r="AX1496" s="5" t="s">
        <v>304</v>
      </c>
      <c r="AY1496" s="5" t="s">
        <v>250</v>
      </c>
      <c r="AZ1496" s="5" t="s">
        <v>281</v>
      </c>
      <c r="BA1496" s="5" t="s">
        <v>251</v>
      </c>
      <c r="BB1496" s="5" t="s">
        <v>238</v>
      </c>
      <c r="BC1496" s="5" t="s">
        <v>253</v>
      </c>
      <c r="BD1496" s="5" t="s">
        <v>3170</v>
      </c>
      <c r="BF1496" s="5" t="s">
        <v>238</v>
      </c>
      <c r="BH1496" s="5" t="s">
        <v>283</v>
      </c>
      <c r="BI1496" s="6" t="s">
        <v>293</v>
      </c>
      <c r="BJ1496" s="5" t="s">
        <v>294</v>
      </c>
      <c r="BK1496" s="5" t="s">
        <v>3171</v>
      </c>
      <c r="BL1496" s="5" t="s">
        <v>238</v>
      </c>
      <c r="BM1496" s="8">
        <f>0</f>
        <v>0</v>
      </c>
      <c r="BN1496" s="8">
        <f>-11583</f>
        <v>-11583</v>
      </c>
      <c r="BO1496" s="5" t="s">
        <v>257</v>
      </c>
      <c r="BP1496" s="5" t="s">
        <v>258</v>
      </c>
      <c r="BQ1496" s="5" t="s">
        <v>377</v>
      </c>
      <c r="BR1496" s="5" t="s">
        <v>3172</v>
      </c>
      <c r="BS1496" s="5" t="s">
        <v>258</v>
      </c>
      <c r="BT1496" s="5" t="s">
        <v>238</v>
      </c>
      <c r="BU1496" s="5" t="s">
        <v>3173</v>
      </c>
      <c r="BV1496" s="5" t="s">
        <v>3174</v>
      </c>
      <c r="BW1496" s="5" t="s">
        <v>3174</v>
      </c>
      <c r="BY1496" s="6" t="s">
        <v>4331</v>
      </c>
      <c r="BZ1496" s="5" t="s">
        <v>257</v>
      </c>
      <c r="CA1496" s="5" t="s">
        <v>238</v>
      </c>
      <c r="CB1496" s="5" t="s">
        <v>238</v>
      </c>
      <c r="CC1496" s="5" t="s">
        <v>258</v>
      </c>
      <c r="CD1496" s="5" t="s">
        <v>238</v>
      </c>
      <c r="CE1496" s="5" t="s">
        <v>238</v>
      </c>
      <c r="CI1496" s="5" t="s">
        <v>238</v>
      </c>
      <c r="CJ1496" s="5" t="s">
        <v>238</v>
      </c>
      <c r="CK1496" s="5" t="s">
        <v>272</v>
      </c>
      <c r="CM1496" s="5" t="s">
        <v>238</v>
      </c>
      <c r="CN1496" s="6" t="s">
        <v>262</v>
      </c>
      <c r="CO1496" s="5" t="s">
        <v>263</v>
      </c>
      <c r="CP1496" s="5" t="s">
        <v>264</v>
      </c>
      <c r="CQ1496" s="5" t="s">
        <v>285</v>
      </c>
      <c r="CR1496" s="5" t="s">
        <v>238</v>
      </c>
      <c r="CS1496" s="5">
        <v>0</v>
      </c>
      <c r="CT1496" s="5" t="s">
        <v>265</v>
      </c>
      <c r="CU1496" s="5" t="s">
        <v>1342</v>
      </c>
      <c r="CV1496" s="5" t="s">
        <v>308</v>
      </c>
      <c r="CW1496" s="7">
        <f>429000</f>
        <v>429000</v>
      </c>
      <c r="CX1496" s="8">
        <f>429000</f>
        <v>429000</v>
      </c>
      <c r="CY1496" s="8">
        <f>429000</f>
        <v>429000</v>
      </c>
      <c r="CZ1496" s="8" t="s">
        <v>238</v>
      </c>
      <c r="DA1496" s="5" t="s">
        <v>238</v>
      </c>
      <c r="DB1496" s="5" t="s">
        <v>238</v>
      </c>
      <c r="DD1496" s="5" t="s">
        <v>238</v>
      </c>
      <c r="DE1496" s="8">
        <f>0</f>
        <v>0</v>
      </c>
      <c r="DF1496" s="6" t="s">
        <v>238</v>
      </c>
      <c r="DG1496" s="5" t="s">
        <v>238</v>
      </c>
      <c r="DH1496" s="5" t="s">
        <v>238</v>
      </c>
      <c r="DI1496" s="5" t="s">
        <v>238</v>
      </c>
      <c r="DJ1496" s="5" t="s">
        <v>238</v>
      </c>
      <c r="DK1496" s="5" t="s">
        <v>238</v>
      </c>
      <c r="DL1496" s="5" t="s">
        <v>238</v>
      </c>
      <c r="DM1496" s="8" t="s">
        <v>238</v>
      </c>
      <c r="DN1496" s="5" t="s">
        <v>238</v>
      </c>
      <c r="DO1496" s="5" t="s">
        <v>247</v>
      </c>
      <c r="DP1496" s="5" t="s">
        <v>3170</v>
      </c>
      <c r="DQ1496" s="5" t="s">
        <v>3170</v>
      </c>
      <c r="DR1496" s="5" t="s">
        <v>238</v>
      </c>
      <c r="DS1496" s="5" t="s">
        <v>238</v>
      </c>
      <c r="GL1496" s="5" t="s">
        <v>4332</v>
      </c>
      <c r="HP1496" s="5" t="s">
        <v>238</v>
      </c>
      <c r="HQ1496" s="5" t="s">
        <v>238</v>
      </c>
      <c r="HR1496" s="5" t="s">
        <v>238</v>
      </c>
      <c r="HS1496" s="5" t="s">
        <v>238</v>
      </c>
      <c r="HT1496" s="5" t="s">
        <v>238</v>
      </c>
      <c r="HU1496" s="5" t="s">
        <v>238</v>
      </c>
      <c r="HV1496" s="5" t="s">
        <v>238</v>
      </c>
      <c r="HW1496" s="5" t="s">
        <v>238</v>
      </c>
      <c r="HX1496" s="5" t="s">
        <v>238</v>
      </c>
      <c r="HY1496" s="5" t="s">
        <v>238</v>
      </c>
      <c r="HZ1496" s="5" t="s">
        <v>238</v>
      </c>
      <c r="IA1496" s="5" t="s">
        <v>238</v>
      </c>
      <c r="IB1496" s="5" t="s">
        <v>238</v>
      </c>
      <c r="IC1496" s="5" t="s">
        <v>238</v>
      </c>
      <c r="ID1496" s="5" t="s">
        <v>238</v>
      </c>
    </row>
    <row r="1497" spans="1:238" x14ac:dyDescent="0.4">
      <c r="A1497" s="5">
        <v>1891</v>
      </c>
      <c r="B1497" s="5">
        <v>1</v>
      </c>
      <c r="C1497" s="5">
        <v>3</v>
      </c>
      <c r="D1497" s="5" t="s">
        <v>534</v>
      </c>
      <c r="E1497" s="5" t="s">
        <v>347</v>
      </c>
      <c r="F1497" s="5" t="s">
        <v>282</v>
      </c>
      <c r="G1497" s="5" t="s">
        <v>4329</v>
      </c>
      <c r="H1497" s="6" t="s">
        <v>4333</v>
      </c>
      <c r="I1497" s="5" t="s">
        <v>3166</v>
      </c>
      <c r="J1497" s="8">
        <f>1</f>
        <v>1</v>
      </c>
      <c r="K1497" s="5" t="s">
        <v>3176</v>
      </c>
      <c r="L1497" s="8">
        <f>139139</f>
        <v>139139</v>
      </c>
      <c r="M1497" s="8">
        <f>143000</f>
        <v>143000</v>
      </c>
      <c r="N1497" s="6" t="s">
        <v>4322</v>
      </c>
      <c r="O1497" s="5" t="s">
        <v>639</v>
      </c>
      <c r="P1497" s="5" t="s">
        <v>238</v>
      </c>
      <c r="Q1497" s="8">
        <f>0</f>
        <v>0</v>
      </c>
      <c r="R1497" s="8">
        <f>3861</f>
        <v>3861</v>
      </c>
      <c r="S1497" s="5" t="s">
        <v>240</v>
      </c>
      <c r="T1497" s="5" t="s">
        <v>238</v>
      </c>
      <c r="W1497" s="5" t="s">
        <v>238</v>
      </c>
      <c r="X1497" s="5" t="s">
        <v>238</v>
      </c>
      <c r="Y1497" s="5" t="s">
        <v>238</v>
      </c>
      <c r="AB1497" s="5" t="s">
        <v>347</v>
      </c>
      <c r="AC1497" s="6" t="s">
        <v>238</v>
      </c>
      <c r="AD1497" s="6" t="s">
        <v>238</v>
      </c>
      <c r="AE1497" s="5" t="s">
        <v>238</v>
      </c>
      <c r="AF1497" s="6" t="s">
        <v>238</v>
      </c>
      <c r="AG1497" s="6" t="s">
        <v>4322</v>
      </c>
      <c r="AH1497" s="5" t="s">
        <v>247</v>
      </c>
      <c r="AI1497" s="5" t="s">
        <v>238</v>
      </c>
      <c r="AO1497" s="5" t="s">
        <v>238</v>
      </c>
      <c r="AP1497" s="5" t="s">
        <v>238</v>
      </c>
      <c r="AQ1497" s="5" t="s">
        <v>238</v>
      </c>
      <c r="AR1497" s="6" t="s">
        <v>238</v>
      </c>
      <c r="AS1497" s="6" t="s">
        <v>238</v>
      </c>
      <c r="AT1497" s="6" t="s">
        <v>238</v>
      </c>
      <c r="AW1497" s="5" t="s">
        <v>304</v>
      </c>
      <c r="AX1497" s="5" t="s">
        <v>304</v>
      </c>
      <c r="AY1497" s="5" t="s">
        <v>250</v>
      </c>
      <c r="AZ1497" s="5" t="s">
        <v>281</v>
      </c>
      <c r="BA1497" s="5" t="s">
        <v>251</v>
      </c>
      <c r="BB1497" s="5" t="s">
        <v>238</v>
      </c>
      <c r="BC1497" s="5" t="s">
        <v>253</v>
      </c>
      <c r="BD1497" s="5" t="s">
        <v>3170</v>
      </c>
      <c r="BF1497" s="5" t="s">
        <v>238</v>
      </c>
      <c r="BH1497" s="5" t="s">
        <v>283</v>
      </c>
      <c r="BI1497" s="6" t="s">
        <v>293</v>
      </c>
      <c r="BJ1497" s="5" t="s">
        <v>294</v>
      </c>
      <c r="BK1497" s="5" t="s">
        <v>3171</v>
      </c>
      <c r="BL1497" s="5" t="s">
        <v>238</v>
      </c>
      <c r="BM1497" s="8">
        <f>0</f>
        <v>0</v>
      </c>
      <c r="BN1497" s="8">
        <f>-3861</f>
        <v>-3861</v>
      </c>
      <c r="BO1497" s="5" t="s">
        <v>257</v>
      </c>
      <c r="BP1497" s="5" t="s">
        <v>258</v>
      </c>
      <c r="BQ1497" s="5" t="s">
        <v>377</v>
      </c>
      <c r="BR1497" s="5" t="s">
        <v>3172</v>
      </c>
      <c r="BS1497" s="5" t="s">
        <v>258</v>
      </c>
      <c r="BT1497" s="5" t="s">
        <v>238</v>
      </c>
      <c r="BU1497" s="5" t="s">
        <v>3173</v>
      </c>
      <c r="BV1497" s="5" t="s">
        <v>3174</v>
      </c>
      <c r="BW1497" s="5" t="s">
        <v>3174</v>
      </c>
      <c r="BY1497" s="6" t="s">
        <v>4331</v>
      </c>
      <c r="BZ1497" s="5" t="s">
        <v>257</v>
      </c>
      <c r="CA1497" s="5" t="s">
        <v>238</v>
      </c>
      <c r="CB1497" s="5" t="s">
        <v>238</v>
      </c>
      <c r="CC1497" s="5" t="s">
        <v>258</v>
      </c>
      <c r="CD1497" s="5" t="s">
        <v>238</v>
      </c>
      <c r="CE1497" s="5" t="s">
        <v>238</v>
      </c>
      <c r="CI1497" s="5" t="s">
        <v>238</v>
      </c>
      <c r="CJ1497" s="5" t="s">
        <v>238</v>
      </c>
      <c r="CK1497" s="5" t="s">
        <v>272</v>
      </c>
      <c r="CM1497" s="5" t="s">
        <v>238</v>
      </c>
      <c r="CN1497" s="6" t="s">
        <v>262</v>
      </c>
      <c r="CO1497" s="5" t="s">
        <v>263</v>
      </c>
      <c r="CP1497" s="5" t="s">
        <v>264</v>
      </c>
      <c r="CQ1497" s="5" t="s">
        <v>285</v>
      </c>
      <c r="CR1497" s="5" t="s">
        <v>238</v>
      </c>
      <c r="CS1497" s="5">
        <v>0</v>
      </c>
      <c r="CT1497" s="5" t="s">
        <v>265</v>
      </c>
      <c r="CU1497" s="5" t="s">
        <v>1342</v>
      </c>
      <c r="CV1497" s="5" t="s">
        <v>308</v>
      </c>
      <c r="CW1497" s="7">
        <f>143000</f>
        <v>143000</v>
      </c>
      <c r="CX1497" s="8">
        <f>143000</f>
        <v>143000</v>
      </c>
      <c r="CY1497" s="8">
        <f>143000</f>
        <v>143000</v>
      </c>
      <c r="CZ1497" s="8" t="s">
        <v>238</v>
      </c>
      <c r="DA1497" s="5" t="s">
        <v>238</v>
      </c>
      <c r="DB1497" s="5" t="s">
        <v>238</v>
      </c>
      <c r="DD1497" s="5" t="s">
        <v>238</v>
      </c>
      <c r="DE1497" s="8">
        <f>0</f>
        <v>0</v>
      </c>
      <c r="DF1497" s="6" t="s">
        <v>238</v>
      </c>
      <c r="DG1497" s="5" t="s">
        <v>238</v>
      </c>
      <c r="DH1497" s="5" t="s">
        <v>238</v>
      </c>
      <c r="DI1497" s="5" t="s">
        <v>238</v>
      </c>
      <c r="DJ1497" s="5" t="s">
        <v>238</v>
      </c>
      <c r="DK1497" s="5" t="s">
        <v>238</v>
      </c>
      <c r="DL1497" s="5" t="s">
        <v>238</v>
      </c>
      <c r="DM1497" s="8" t="s">
        <v>238</v>
      </c>
      <c r="DN1497" s="5" t="s">
        <v>238</v>
      </c>
      <c r="DO1497" s="5" t="s">
        <v>247</v>
      </c>
      <c r="DP1497" s="5" t="s">
        <v>3170</v>
      </c>
      <c r="DQ1497" s="5" t="s">
        <v>3170</v>
      </c>
      <c r="DR1497" s="5" t="s">
        <v>238</v>
      </c>
      <c r="DS1497" s="5" t="s">
        <v>238</v>
      </c>
      <c r="GL1497" s="5" t="s">
        <v>4334</v>
      </c>
      <c r="HP1497" s="5" t="s">
        <v>238</v>
      </c>
      <c r="HQ1497" s="5" t="s">
        <v>238</v>
      </c>
      <c r="HR1497" s="5" t="s">
        <v>238</v>
      </c>
      <c r="HS1497" s="5" t="s">
        <v>238</v>
      </c>
      <c r="HT1497" s="5" t="s">
        <v>238</v>
      </c>
      <c r="HU1497" s="5" t="s">
        <v>238</v>
      </c>
      <c r="HV1497" s="5" t="s">
        <v>238</v>
      </c>
      <c r="HW1497" s="5" t="s">
        <v>238</v>
      </c>
      <c r="HX1497" s="5" t="s">
        <v>238</v>
      </c>
      <c r="HY1497" s="5" t="s">
        <v>238</v>
      </c>
      <c r="HZ1497" s="5" t="s">
        <v>238</v>
      </c>
      <c r="IA1497" s="5" t="s">
        <v>238</v>
      </c>
      <c r="IB1497" s="5" t="s">
        <v>238</v>
      </c>
      <c r="IC1497" s="5" t="s">
        <v>238</v>
      </c>
      <c r="ID1497" s="5" t="s">
        <v>238</v>
      </c>
    </row>
    <row r="1498" spans="1:238" x14ac:dyDescent="0.4">
      <c r="A1498" s="5">
        <v>1892</v>
      </c>
      <c r="B1498" s="5">
        <v>1</v>
      </c>
      <c r="C1498" s="5">
        <v>3</v>
      </c>
      <c r="D1498" s="5" t="s">
        <v>1282</v>
      </c>
      <c r="E1498" s="5" t="s">
        <v>347</v>
      </c>
      <c r="F1498" s="5" t="s">
        <v>282</v>
      </c>
      <c r="G1498" s="5" t="s">
        <v>4323</v>
      </c>
      <c r="H1498" s="6" t="s">
        <v>4324</v>
      </c>
      <c r="I1498" s="5" t="s">
        <v>3166</v>
      </c>
      <c r="J1498" s="8">
        <f>1</f>
        <v>1</v>
      </c>
      <c r="K1498" s="5" t="s">
        <v>3176</v>
      </c>
      <c r="L1498" s="8">
        <f>417417</f>
        <v>417417</v>
      </c>
      <c r="M1498" s="8">
        <f>429000</f>
        <v>429000</v>
      </c>
      <c r="N1498" s="6" t="s">
        <v>4322</v>
      </c>
      <c r="O1498" s="5" t="s">
        <v>639</v>
      </c>
      <c r="P1498" s="5" t="s">
        <v>238</v>
      </c>
      <c r="Q1498" s="8">
        <f>0</f>
        <v>0</v>
      </c>
      <c r="R1498" s="8">
        <f>11583</f>
        <v>11583</v>
      </c>
      <c r="S1498" s="5" t="s">
        <v>240</v>
      </c>
      <c r="T1498" s="5" t="s">
        <v>238</v>
      </c>
      <c r="W1498" s="5" t="s">
        <v>238</v>
      </c>
      <c r="X1498" s="5" t="s">
        <v>238</v>
      </c>
      <c r="Y1498" s="5" t="s">
        <v>238</v>
      </c>
      <c r="AB1498" s="5" t="s">
        <v>347</v>
      </c>
      <c r="AC1498" s="6" t="s">
        <v>238</v>
      </c>
      <c r="AD1498" s="6" t="s">
        <v>238</v>
      </c>
      <c r="AE1498" s="5" t="s">
        <v>238</v>
      </c>
      <c r="AF1498" s="6" t="s">
        <v>238</v>
      </c>
      <c r="AG1498" s="6" t="s">
        <v>4322</v>
      </c>
      <c r="AH1498" s="5" t="s">
        <v>247</v>
      </c>
      <c r="AI1498" s="5" t="s">
        <v>238</v>
      </c>
      <c r="AO1498" s="5" t="s">
        <v>238</v>
      </c>
      <c r="AP1498" s="5" t="s">
        <v>238</v>
      </c>
      <c r="AQ1498" s="5" t="s">
        <v>238</v>
      </c>
      <c r="AR1498" s="6" t="s">
        <v>238</v>
      </c>
      <c r="AS1498" s="6" t="s">
        <v>238</v>
      </c>
      <c r="AT1498" s="6" t="s">
        <v>238</v>
      </c>
      <c r="AW1498" s="5" t="s">
        <v>304</v>
      </c>
      <c r="AX1498" s="5" t="s">
        <v>304</v>
      </c>
      <c r="AY1498" s="5" t="s">
        <v>250</v>
      </c>
      <c r="AZ1498" s="5" t="s">
        <v>281</v>
      </c>
      <c r="BA1498" s="5" t="s">
        <v>251</v>
      </c>
      <c r="BB1498" s="5" t="s">
        <v>238</v>
      </c>
      <c r="BC1498" s="5" t="s">
        <v>253</v>
      </c>
      <c r="BD1498" s="5" t="s">
        <v>3170</v>
      </c>
      <c r="BF1498" s="5" t="s">
        <v>238</v>
      </c>
      <c r="BH1498" s="5" t="s">
        <v>283</v>
      </c>
      <c r="BI1498" s="6" t="s">
        <v>293</v>
      </c>
      <c r="BJ1498" s="5" t="s">
        <v>294</v>
      </c>
      <c r="BK1498" s="5" t="s">
        <v>3171</v>
      </c>
      <c r="BL1498" s="5" t="s">
        <v>238</v>
      </c>
      <c r="BM1498" s="8">
        <f>0</f>
        <v>0</v>
      </c>
      <c r="BN1498" s="8">
        <f>-11583</f>
        <v>-11583</v>
      </c>
      <c r="BO1498" s="5" t="s">
        <v>257</v>
      </c>
      <c r="BP1498" s="5" t="s">
        <v>258</v>
      </c>
      <c r="BQ1498" s="5" t="s">
        <v>377</v>
      </c>
      <c r="BR1498" s="5" t="s">
        <v>3183</v>
      </c>
      <c r="BS1498" s="5" t="s">
        <v>258</v>
      </c>
      <c r="BT1498" s="5" t="s">
        <v>238</v>
      </c>
      <c r="BU1498" s="5" t="s">
        <v>3173</v>
      </c>
      <c r="BV1498" s="5" t="s">
        <v>3174</v>
      </c>
      <c r="BW1498" s="5" t="s">
        <v>3174</v>
      </c>
      <c r="BY1498" s="6" t="s">
        <v>4325</v>
      </c>
      <c r="BZ1498" s="5" t="s">
        <v>257</v>
      </c>
      <c r="CA1498" s="5" t="s">
        <v>238</v>
      </c>
      <c r="CB1498" s="5" t="s">
        <v>238</v>
      </c>
      <c r="CC1498" s="5" t="s">
        <v>258</v>
      </c>
      <c r="CD1498" s="5" t="s">
        <v>238</v>
      </c>
      <c r="CE1498" s="5" t="s">
        <v>238</v>
      </c>
      <c r="CI1498" s="5" t="s">
        <v>238</v>
      </c>
      <c r="CJ1498" s="5" t="s">
        <v>238</v>
      </c>
      <c r="CK1498" s="5" t="s">
        <v>272</v>
      </c>
      <c r="CM1498" s="5" t="s">
        <v>238</v>
      </c>
      <c r="CN1498" s="6" t="s">
        <v>262</v>
      </c>
      <c r="CO1498" s="5" t="s">
        <v>263</v>
      </c>
      <c r="CP1498" s="5" t="s">
        <v>264</v>
      </c>
      <c r="CQ1498" s="5" t="s">
        <v>285</v>
      </c>
      <c r="CR1498" s="5" t="s">
        <v>238</v>
      </c>
      <c r="CS1498" s="5">
        <v>0</v>
      </c>
      <c r="CT1498" s="5" t="s">
        <v>265</v>
      </c>
      <c r="CU1498" s="5" t="s">
        <v>1342</v>
      </c>
      <c r="CV1498" s="5" t="s">
        <v>308</v>
      </c>
      <c r="CW1498" s="7">
        <f>429000</f>
        <v>429000</v>
      </c>
      <c r="CX1498" s="8">
        <f>429000</f>
        <v>429000</v>
      </c>
      <c r="CY1498" s="8">
        <f>429000</f>
        <v>429000</v>
      </c>
      <c r="CZ1498" s="8" t="s">
        <v>238</v>
      </c>
      <c r="DA1498" s="5" t="s">
        <v>238</v>
      </c>
      <c r="DB1498" s="5" t="s">
        <v>238</v>
      </c>
      <c r="DD1498" s="5" t="s">
        <v>238</v>
      </c>
      <c r="DE1498" s="8">
        <f>0</f>
        <v>0</v>
      </c>
      <c r="DF1498" s="6" t="s">
        <v>238</v>
      </c>
      <c r="DG1498" s="5" t="s">
        <v>238</v>
      </c>
      <c r="DH1498" s="5" t="s">
        <v>238</v>
      </c>
      <c r="DI1498" s="5" t="s">
        <v>238</v>
      </c>
      <c r="DJ1498" s="5" t="s">
        <v>238</v>
      </c>
      <c r="DK1498" s="5" t="s">
        <v>238</v>
      </c>
      <c r="DL1498" s="5" t="s">
        <v>238</v>
      </c>
      <c r="DM1498" s="8" t="s">
        <v>238</v>
      </c>
      <c r="DN1498" s="5" t="s">
        <v>238</v>
      </c>
      <c r="DO1498" s="5" t="s">
        <v>247</v>
      </c>
      <c r="DP1498" s="5" t="s">
        <v>3170</v>
      </c>
      <c r="DQ1498" s="5" t="s">
        <v>3170</v>
      </c>
      <c r="DR1498" s="5" t="s">
        <v>238</v>
      </c>
      <c r="DS1498" s="5" t="s">
        <v>238</v>
      </c>
      <c r="GL1498" s="5" t="s">
        <v>4326</v>
      </c>
      <c r="HP1498" s="5" t="s">
        <v>238</v>
      </c>
      <c r="HQ1498" s="5" t="s">
        <v>238</v>
      </c>
      <c r="HR1498" s="5" t="s">
        <v>238</v>
      </c>
      <c r="HS1498" s="5" t="s">
        <v>238</v>
      </c>
      <c r="HT1498" s="5" t="s">
        <v>238</v>
      </c>
      <c r="HU1498" s="5" t="s">
        <v>238</v>
      </c>
      <c r="HV1498" s="5" t="s">
        <v>238</v>
      </c>
      <c r="HW1498" s="5" t="s">
        <v>238</v>
      </c>
      <c r="HX1498" s="5" t="s">
        <v>238</v>
      </c>
      <c r="HY1498" s="5" t="s">
        <v>238</v>
      </c>
      <c r="HZ1498" s="5" t="s">
        <v>238</v>
      </c>
      <c r="IA1498" s="5" t="s">
        <v>238</v>
      </c>
      <c r="IB1498" s="5" t="s">
        <v>238</v>
      </c>
      <c r="IC1498" s="5" t="s">
        <v>238</v>
      </c>
      <c r="ID1498" s="5" t="s">
        <v>238</v>
      </c>
    </row>
    <row r="1499" spans="1:238" x14ac:dyDescent="0.4">
      <c r="A1499" s="5">
        <v>1893</v>
      </c>
      <c r="B1499" s="5">
        <v>1</v>
      </c>
      <c r="C1499" s="5">
        <v>3</v>
      </c>
      <c r="D1499" s="5" t="s">
        <v>823</v>
      </c>
      <c r="E1499" s="5" t="s">
        <v>347</v>
      </c>
      <c r="F1499" s="5" t="s">
        <v>282</v>
      </c>
      <c r="G1499" s="5" t="s">
        <v>4323</v>
      </c>
      <c r="H1499" s="6" t="s">
        <v>4327</v>
      </c>
      <c r="I1499" s="5" t="s">
        <v>3166</v>
      </c>
      <c r="J1499" s="8">
        <f>1</f>
        <v>1</v>
      </c>
      <c r="K1499" s="5" t="s">
        <v>3176</v>
      </c>
      <c r="L1499" s="8">
        <f>278278</f>
        <v>278278</v>
      </c>
      <c r="M1499" s="8">
        <f>286000</f>
        <v>286000</v>
      </c>
      <c r="N1499" s="6" t="s">
        <v>4322</v>
      </c>
      <c r="O1499" s="5" t="s">
        <v>639</v>
      </c>
      <c r="P1499" s="5" t="s">
        <v>238</v>
      </c>
      <c r="Q1499" s="8">
        <f>0</f>
        <v>0</v>
      </c>
      <c r="R1499" s="8">
        <f>7722</f>
        <v>7722</v>
      </c>
      <c r="S1499" s="5" t="s">
        <v>240</v>
      </c>
      <c r="T1499" s="5" t="s">
        <v>238</v>
      </c>
      <c r="W1499" s="5" t="s">
        <v>238</v>
      </c>
      <c r="X1499" s="5" t="s">
        <v>238</v>
      </c>
      <c r="Y1499" s="5" t="s">
        <v>238</v>
      </c>
      <c r="AB1499" s="5" t="s">
        <v>347</v>
      </c>
      <c r="AC1499" s="6" t="s">
        <v>238</v>
      </c>
      <c r="AD1499" s="6" t="s">
        <v>238</v>
      </c>
      <c r="AE1499" s="5" t="s">
        <v>238</v>
      </c>
      <c r="AF1499" s="6" t="s">
        <v>238</v>
      </c>
      <c r="AG1499" s="6" t="s">
        <v>4322</v>
      </c>
      <c r="AH1499" s="5" t="s">
        <v>247</v>
      </c>
      <c r="AI1499" s="5" t="s">
        <v>238</v>
      </c>
      <c r="AO1499" s="5" t="s">
        <v>238</v>
      </c>
      <c r="AP1499" s="5" t="s">
        <v>238</v>
      </c>
      <c r="AQ1499" s="5" t="s">
        <v>238</v>
      </c>
      <c r="AR1499" s="6" t="s">
        <v>238</v>
      </c>
      <c r="AS1499" s="6" t="s">
        <v>238</v>
      </c>
      <c r="AT1499" s="6" t="s">
        <v>238</v>
      </c>
      <c r="AW1499" s="5" t="s">
        <v>304</v>
      </c>
      <c r="AX1499" s="5" t="s">
        <v>304</v>
      </c>
      <c r="AY1499" s="5" t="s">
        <v>250</v>
      </c>
      <c r="AZ1499" s="5" t="s">
        <v>281</v>
      </c>
      <c r="BA1499" s="5" t="s">
        <v>251</v>
      </c>
      <c r="BB1499" s="5" t="s">
        <v>238</v>
      </c>
      <c r="BC1499" s="5" t="s">
        <v>253</v>
      </c>
      <c r="BD1499" s="5" t="s">
        <v>3170</v>
      </c>
      <c r="BF1499" s="5" t="s">
        <v>238</v>
      </c>
      <c r="BH1499" s="5" t="s">
        <v>283</v>
      </c>
      <c r="BI1499" s="6" t="s">
        <v>293</v>
      </c>
      <c r="BJ1499" s="5" t="s">
        <v>294</v>
      </c>
      <c r="BK1499" s="5" t="s">
        <v>3171</v>
      </c>
      <c r="BL1499" s="5" t="s">
        <v>238</v>
      </c>
      <c r="BM1499" s="8">
        <f>0</f>
        <v>0</v>
      </c>
      <c r="BN1499" s="8">
        <f>-7722</f>
        <v>-7722</v>
      </c>
      <c r="BO1499" s="5" t="s">
        <v>257</v>
      </c>
      <c r="BP1499" s="5" t="s">
        <v>258</v>
      </c>
      <c r="BQ1499" s="5" t="s">
        <v>377</v>
      </c>
      <c r="BR1499" s="5" t="s">
        <v>3183</v>
      </c>
      <c r="BS1499" s="5" t="s">
        <v>258</v>
      </c>
      <c r="BT1499" s="5" t="s">
        <v>238</v>
      </c>
      <c r="BU1499" s="5" t="s">
        <v>3173</v>
      </c>
      <c r="BV1499" s="5" t="s">
        <v>3174</v>
      </c>
      <c r="BW1499" s="5" t="s">
        <v>3174</v>
      </c>
      <c r="BY1499" s="6" t="s">
        <v>4325</v>
      </c>
      <c r="BZ1499" s="5" t="s">
        <v>257</v>
      </c>
      <c r="CA1499" s="5" t="s">
        <v>238</v>
      </c>
      <c r="CB1499" s="5" t="s">
        <v>238</v>
      </c>
      <c r="CC1499" s="5" t="s">
        <v>258</v>
      </c>
      <c r="CD1499" s="5" t="s">
        <v>238</v>
      </c>
      <c r="CE1499" s="5" t="s">
        <v>238</v>
      </c>
      <c r="CI1499" s="5" t="s">
        <v>238</v>
      </c>
      <c r="CJ1499" s="5" t="s">
        <v>238</v>
      </c>
      <c r="CK1499" s="5" t="s">
        <v>272</v>
      </c>
      <c r="CM1499" s="5" t="s">
        <v>238</v>
      </c>
      <c r="CN1499" s="6" t="s">
        <v>262</v>
      </c>
      <c r="CO1499" s="5" t="s">
        <v>263</v>
      </c>
      <c r="CP1499" s="5" t="s">
        <v>264</v>
      </c>
      <c r="CQ1499" s="5" t="s">
        <v>285</v>
      </c>
      <c r="CR1499" s="5" t="s">
        <v>238</v>
      </c>
      <c r="CS1499" s="5">
        <v>0</v>
      </c>
      <c r="CT1499" s="5" t="s">
        <v>265</v>
      </c>
      <c r="CU1499" s="5" t="s">
        <v>1342</v>
      </c>
      <c r="CV1499" s="5" t="s">
        <v>308</v>
      </c>
      <c r="CW1499" s="7">
        <f>286000</f>
        <v>286000</v>
      </c>
      <c r="CX1499" s="8">
        <f>286000</f>
        <v>286000</v>
      </c>
      <c r="CY1499" s="8">
        <f>286000</f>
        <v>286000</v>
      </c>
      <c r="CZ1499" s="8" t="s">
        <v>238</v>
      </c>
      <c r="DA1499" s="5" t="s">
        <v>238</v>
      </c>
      <c r="DB1499" s="5" t="s">
        <v>238</v>
      </c>
      <c r="DD1499" s="5" t="s">
        <v>238</v>
      </c>
      <c r="DE1499" s="8">
        <f>0</f>
        <v>0</v>
      </c>
      <c r="DF1499" s="6" t="s">
        <v>238</v>
      </c>
      <c r="DG1499" s="5" t="s">
        <v>238</v>
      </c>
      <c r="DH1499" s="5" t="s">
        <v>238</v>
      </c>
      <c r="DI1499" s="5" t="s">
        <v>238</v>
      </c>
      <c r="DJ1499" s="5" t="s">
        <v>238</v>
      </c>
      <c r="DK1499" s="5" t="s">
        <v>238</v>
      </c>
      <c r="DL1499" s="5" t="s">
        <v>238</v>
      </c>
      <c r="DM1499" s="8" t="s">
        <v>238</v>
      </c>
      <c r="DN1499" s="5" t="s">
        <v>238</v>
      </c>
      <c r="DO1499" s="5" t="s">
        <v>247</v>
      </c>
      <c r="DP1499" s="5" t="s">
        <v>3170</v>
      </c>
      <c r="DQ1499" s="5" t="s">
        <v>3170</v>
      </c>
      <c r="DR1499" s="5" t="s">
        <v>238</v>
      </c>
      <c r="DS1499" s="5" t="s">
        <v>238</v>
      </c>
      <c r="GL1499" s="5" t="s">
        <v>4328</v>
      </c>
      <c r="HP1499" s="5" t="s">
        <v>238</v>
      </c>
      <c r="HQ1499" s="5" t="s">
        <v>238</v>
      </c>
      <c r="HR1499" s="5" t="s">
        <v>238</v>
      </c>
      <c r="HS1499" s="5" t="s">
        <v>238</v>
      </c>
      <c r="HT1499" s="5" t="s">
        <v>238</v>
      </c>
      <c r="HU1499" s="5" t="s">
        <v>238</v>
      </c>
      <c r="HV1499" s="5" t="s">
        <v>238</v>
      </c>
      <c r="HW1499" s="5" t="s">
        <v>238</v>
      </c>
      <c r="HX1499" s="5" t="s">
        <v>238</v>
      </c>
      <c r="HY1499" s="5" t="s">
        <v>238</v>
      </c>
      <c r="HZ1499" s="5" t="s">
        <v>238</v>
      </c>
      <c r="IA1499" s="5" t="s">
        <v>238</v>
      </c>
      <c r="IB1499" s="5" t="s">
        <v>238</v>
      </c>
      <c r="IC1499" s="5" t="s">
        <v>238</v>
      </c>
      <c r="ID1499" s="5" t="s">
        <v>238</v>
      </c>
    </row>
    <row r="1500" spans="1:238" x14ac:dyDescent="0.4">
      <c r="A1500" s="5">
        <v>1894</v>
      </c>
      <c r="B1500" s="5">
        <v>1</v>
      </c>
      <c r="C1500" s="5">
        <v>3</v>
      </c>
      <c r="D1500" s="5" t="s">
        <v>515</v>
      </c>
      <c r="E1500" s="5" t="s">
        <v>347</v>
      </c>
      <c r="F1500" s="5" t="s">
        <v>282</v>
      </c>
      <c r="G1500" s="5" t="s">
        <v>4347</v>
      </c>
      <c r="H1500" s="6" t="s">
        <v>4348</v>
      </c>
      <c r="I1500" s="5" t="s">
        <v>3166</v>
      </c>
      <c r="J1500" s="8">
        <f>1</f>
        <v>1</v>
      </c>
      <c r="K1500" s="5" t="s">
        <v>3176</v>
      </c>
      <c r="L1500" s="8">
        <f>113987</f>
        <v>113987</v>
      </c>
      <c r="M1500" s="8">
        <f>117150</f>
        <v>117150</v>
      </c>
      <c r="N1500" s="6" t="s">
        <v>4337</v>
      </c>
      <c r="O1500" s="5" t="s">
        <v>639</v>
      </c>
      <c r="P1500" s="5" t="s">
        <v>238</v>
      </c>
      <c r="Q1500" s="8">
        <f>0</f>
        <v>0</v>
      </c>
      <c r="R1500" s="8">
        <f>3163</f>
        <v>3163</v>
      </c>
      <c r="S1500" s="5" t="s">
        <v>240</v>
      </c>
      <c r="T1500" s="5" t="s">
        <v>238</v>
      </c>
      <c r="W1500" s="5" t="s">
        <v>238</v>
      </c>
      <c r="X1500" s="5" t="s">
        <v>238</v>
      </c>
      <c r="Y1500" s="5" t="s">
        <v>238</v>
      </c>
      <c r="AB1500" s="5" t="s">
        <v>347</v>
      </c>
      <c r="AC1500" s="6" t="s">
        <v>238</v>
      </c>
      <c r="AD1500" s="6" t="s">
        <v>238</v>
      </c>
      <c r="AE1500" s="5" t="s">
        <v>238</v>
      </c>
      <c r="AF1500" s="6" t="s">
        <v>238</v>
      </c>
      <c r="AG1500" s="6" t="s">
        <v>4337</v>
      </c>
      <c r="AH1500" s="5" t="s">
        <v>247</v>
      </c>
      <c r="AI1500" s="5" t="s">
        <v>238</v>
      </c>
      <c r="AO1500" s="5" t="s">
        <v>238</v>
      </c>
      <c r="AP1500" s="5" t="s">
        <v>238</v>
      </c>
      <c r="AQ1500" s="5" t="s">
        <v>238</v>
      </c>
      <c r="AR1500" s="6" t="s">
        <v>238</v>
      </c>
      <c r="AS1500" s="6" t="s">
        <v>238</v>
      </c>
      <c r="AT1500" s="6" t="s">
        <v>238</v>
      </c>
      <c r="AW1500" s="5" t="s">
        <v>304</v>
      </c>
      <c r="AX1500" s="5" t="s">
        <v>304</v>
      </c>
      <c r="AY1500" s="5" t="s">
        <v>250</v>
      </c>
      <c r="AZ1500" s="5" t="s">
        <v>281</v>
      </c>
      <c r="BA1500" s="5" t="s">
        <v>251</v>
      </c>
      <c r="BB1500" s="5" t="s">
        <v>238</v>
      </c>
      <c r="BC1500" s="5" t="s">
        <v>253</v>
      </c>
      <c r="BD1500" s="5" t="s">
        <v>3170</v>
      </c>
      <c r="BF1500" s="5" t="s">
        <v>238</v>
      </c>
      <c r="BH1500" s="5" t="s">
        <v>283</v>
      </c>
      <c r="BI1500" s="6" t="s">
        <v>293</v>
      </c>
      <c r="BJ1500" s="5" t="s">
        <v>294</v>
      </c>
      <c r="BK1500" s="5" t="s">
        <v>3171</v>
      </c>
      <c r="BL1500" s="5" t="s">
        <v>238</v>
      </c>
      <c r="BM1500" s="8">
        <f>0</f>
        <v>0</v>
      </c>
      <c r="BN1500" s="8">
        <f>-3163</f>
        <v>-3163</v>
      </c>
      <c r="BO1500" s="5" t="s">
        <v>257</v>
      </c>
      <c r="BP1500" s="5" t="s">
        <v>258</v>
      </c>
      <c r="BQ1500" s="5" t="s">
        <v>377</v>
      </c>
      <c r="BR1500" s="5" t="s">
        <v>3172</v>
      </c>
      <c r="BS1500" s="5" t="s">
        <v>258</v>
      </c>
      <c r="BT1500" s="5" t="s">
        <v>238</v>
      </c>
      <c r="BU1500" s="5" t="s">
        <v>3173</v>
      </c>
      <c r="BV1500" s="5" t="s">
        <v>3174</v>
      </c>
      <c r="BW1500" s="5" t="s">
        <v>3174</v>
      </c>
      <c r="BY1500" s="6" t="s">
        <v>4349</v>
      </c>
      <c r="BZ1500" s="5" t="s">
        <v>257</v>
      </c>
      <c r="CA1500" s="5" t="s">
        <v>238</v>
      </c>
      <c r="CB1500" s="5" t="s">
        <v>238</v>
      </c>
      <c r="CC1500" s="5" t="s">
        <v>258</v>
      </c>
      <c r="CD1500" s="5" t="s">
        <v>238</v>
      </c>
      <c r="CE1500" s="5" t="s">
        <v>238</v>
      </c>
      <c r="CI1500" s="5" t="s">
        <v>238</v>
      </c>
      <c r="CJ1500" s="5" t="s">
        <v>238</v>
      </c>
      <c r="CK1500" s="5" t="s">
        <v>272</v>
      </c>
      <c r="CM1500" s="5" t="s">
        <v>238</v>
      </c>
      <c r="CN1500" s="6" t="s">
        <v>262</v>
      </c>
      <c r="CO1500" s="5" t="s">
        <v>263</v>
      </c>
      <c r="CP1500" s="5" t="s">
        <v>264</v>
      </c>
      <c r="CQ1500" s="5" t="s">
        <v>285</v>
      </c>
      <c r="CR1500" s="5" t="s">
        <v>238</v>
      </c>
      <c r="CS1500" s="5">
        <v>0</v>
      </c>
      <c r="CT1500" s="5" t="s">
        <v>265</v>
      </c>
      <c r="CU1500" s="5" t="s">
        <v>1342</v>
      </c>
      <c r="CV1500" s="5" t="s">
        <v>308</v>
      </c>
      <c r="CW1500" s="7">
        <f>117150</f>
        <v>117150</v>
      </c>
      <c r="CX1500" s="8">
        <f>117150</f>
        <v>117150</v>
      </c>
      <c r="CY1500" s="8">
        <f>117150</f>
        <v>117150</v>
      </c>
      <c r="CZ1500" s="8" t="s">
        <v>238</v>
      </c>
      <c r="DA1500" s="5" t="s">
        <v>238</v>
      </c>
      <c r="DB1500" s="5" t="s">
        <v>238</v>
      </c>
      <c r="DD1500" s="5" t="s">
        <v>238</v>
      </c>
      <c r="DE1500" s="8">
        <f>0</f>
        <v>0</v>
      </c>
      <c r="DF1500" s="6" t="s">
        <v>238</v>
      </c>
      <c r="DG1500" s="5" t="s">
        <v>238</v>
      </c>
      <c r="DH1500" s="5" t="s">
        <v>238</v>
      </c>
      <c r="DI1500" s="5" t="s">
        <v>238</v>
      </c>
      <c r="DJ1500" s="5" t="s">
        <v>238</v>
      </c>
      <c r="DK1500" s="5" t="s">
        <v>238</v>
      </c>
      <c r="DL1500" s="5" t="s">
        <v>238</v>
      </c>
      <c r="DM1500" s="8" t="s">
        <v>238</v>
      </c>
      <c r="DN1500" s="5" t="s">
        <v>238</v>
      </c>
      <c r="DO1500" s="5" t="s">
        <v>247</v>
      </c>
      <c r="DP1500" s="5" t="s">
        <v>3170</v>
      </c>
      <c r="DQ1500" s="5" t="s">
        <v>3170</v>
      </c>
      <c r="DR1500" s="5" t="s">
        <v>238</v>
      </c>
      <c r="DS1500" s="5" t="s">
        <v>238</v>
      </c>
      <c r="GL1500" s="5" t="s">
        <v>4350</v>
      </c>
      <c r="HP1500" s="5" t="s">
        <v>238</v>
      </c>
      <c r="HQ1500" s="5" t="s">
        <v>238</v>
      </c>
      <c r="HR1500" s="5" t="s">
        <v>238</v>
      </c>
      <c r="HS1500" s="5" t="s">
        <v>238</v>
      </c>
      <c r="HT1500" s="5" t="s">
        <v>238</v>
      </c>
      <c r="HU1500" s="5" t="s">
        <v>238</v>
      </c>
      <c r="HV1500" s="5" t="s">
        <v>238</v>
      </c>
      <c r="HW1500" s="5" t="s">
        <v>238</v>
      </c>
      <c r="HX1500" s="5" t="s">
        <v>238</v>
      </c>
      <c r="HY1500" s="5" t="s">
        <v>238</v>
      </c>
      <c r="HZ1500" s="5" t="s">
        <v>238</v>
      </c>
      <c r="IA1500" s="5" t="s">
        <v>238</v>
      </c>
      <c r="IB1500" s="5" t="s">
        <v>238</v>
      </c>
      <c r="IC1500" s="5" t="s">
        <v>238</v>
      </c>
      <c r="ID1500" s="5" t="s">
        <v>238</v>
      </c>
    </row>
    <row r="1501" spans="1:238" x14ac:dyDescent="0.4">
      <c r="A1501" s="5">
        <v>1895</v>
      </c>
      <c r="B1501" s="5">
        <v>1</v>
      </c>
      <c r="C1501" s="5">
        <v>3</v>
      </c>
      <c r="D1501" s="5" t="s">
        <v>879</v>
      </c>
      <c r="E1501" s="5" t="s">
        <v>347</v>
      </c>
      <c r="F1501" s="5" t="s">
        <v>282</v>
      </c>
      <c r="G1501" s="5" t="s">
        <v>4343</v>
      </c>
      <c r="H1501" s="6" t="s">
        <v>4344</v>
      </c>
      <c r="I1501" s="5" t="s">
        <v>3166</v>
      </c>
      <c r="J1501" s="8">
        <f>1</f>
        <v>1</v>
      </c>
      <c r="K1501" s="5" t="s">
        <v>3176</v>
      </c>
      <c r="L1501" s="8">
        <f>171784</f>
        <v>171784</v>
      </c>
      <c r="M1501" s="8">
        <f>176550</f>
        <v>176550</v>
      </c>
      <c r="N1501" s="6" t="s">
        <v>4337</v>
      </c>
      <c r="O1501" s="5" t="s">
        <v>639</v>
      </c>
      <c r="P1501" s="5" t="s">
        <v>238</v>
      </c>
      <c r="Q1501" s="8">
        <f>0</f>
        <v>0</v>
      </c>
      <c r="R1501" s="8">
        <f>4766</f>
        <v>4766</v>
      </c>
      <c r="S1501" s="5" t="s">
        <v>240</v>
      </c>
      <c r="T1501" s="5" t="s">
        <v>238</v>
      </c>
      <c r="W1501" s="5" t="s">
        <v>238</v>
      </c>
      <c r="X1501" s="5" t="s">
        <v>238</v>
      </c>
      <c r="Y1501" s="5" t="s">
        <v>238</v>
      </c>
      <c r="AB1501" s="5" t="s">
        <v>347</v>
      </c>
      <c r="AC1501" s="6" t="s">
        <v>238</v>
      </c>
      <c r="AD1501" s="6" t="s">
        <v>238</v>
      </c>
      <c r="AE1501" s="5" t="s">
        <v>238</v>
      </c>
      <c r="AF1501" s="6" t="s">
        <v>238</v>
      </c>
      <c r="AG1501" s="6" t="s">
        <v>4337</v>
      </c>
      <c r="AH1501" s="5" t="s">
        <v>247</v>
      </c>
      <c r="AI1501" s="5" t="s">
        <v>238</v>
      </c>
      <c r="AO1501" s="5" t="s">
        <v>238</v>
      </c>
      <c r="AP1501" s="5" t="s">
        <v>238</v>
      </c>
      <c r="AQ1501" s="5" t="s">
        <v>238</v>
      </c>
      <c r="AR1501" s="6" t="s">
        <v>238</v>
      </c>
      <c r="AS1501" s="6" t="s">
        <v>238</v>
      </c>
      <c r="AT1501" s="6" t="s">
        <v>238</v>
      </c>
      <c r="AW1501" s="5" t="s">
        <v>304</v>
      </c>
      <c r="AX1501" s="5" t="s">
        <v>304</v>
      </c>
      <c r="AY1501" s="5" t="s">
        <v>250</v>
      </c>
      <c r="AZ1501" s="5" t="s">
        <v>281</v>
      </c>
      <c r="BA1501" s="5" t="s">
        <v>251</v>
      </c>
      <c r="BB1501" s="5" t="s">
        <v>238</v>
      </c>
      <c r="BC1501" s="5" t="s">
        <v>253</v>
      </c>
      <c r="BD1501" s="5" t="s">
        <v>3170</v>
      </c>
      <c r="BF1501" s="5" t="s">
        <v>238</v>
      </c>
      <c r="BH1501" s="5" t="s">
        <v>283</v>
      </c>
      <c r="BI1501" s="6" t="s">
        <v>293</v>
      </c>
      <c r="BJ1501" s="5" t="s">
        <v>294</v>
      </c>
      <c r="BK1501" s="5" t="s">
        <v>3171</v>
      </c>
      <c r="BL1501" s="5" t="s">
        <v>238</v>
      </c>
      <c r="BM1501" s="8">
        <f>0</f>
        <v>0</v>
      </c>
      <c r="BN1501" s="8">
        <f>-4766</f>
        <v>-4766</v>
      </c>
      <c r="BO1501" s="5" t="s">
        <v>257</v>
      </c>
      <c r="BP1501" s="5" t="s">
        <v>258</v>
      </c>
      <c r="BQ1501" s="5" t="s">
        <v>377</v>
      </c>
      <c r="BR1501" s="5" t="s">
        <v>3183</v>
      </c>
      <c r="BS1501" s="5" t="s">
        <v>258</v>
      </c>
      <c r="BT1501" s="5" t="s">
        <v>238</v>
      </c>
      <c r="BU1501" s="5" t="s">
        <v>3173</v>
      </c>
      <c r="BV1501" s="5" t="s">
        <v>3174</v>
      </c>
      <c r="BW1501" s="5" t="s">
        <v>3174</v>
      </c>
      <c r="BY1501" s="6" t="s">
        <v>4345</v>
      </c>
      <c r="BZ1501" s="5" t="s">
        <v>257</v>
      </c>
      <c r="CA1501" s="5" t="s">
        <v>238</v>
      </c>
      <c r="CB1501" s="5" t="s">
        <v>238</v>
      </c>
      <c r="CC1501" s="5" t="s">
        <v>258</v>
      </c>
      <c r="CD1501" s="5" t="s">
        <v>238</v>
      </c>
      <c r="CE1501" s="5" t="s">
        <v>238</v>
      </c>
      <c r="CI1501" s="5" t="s">
        <v>238</v>
      </c>
      <c r="CJ1501" s="5" t="s">
        <v>238</v>
      </c>
      <c r="CK1501" s="5" t="s">
        <v>272</v>
      </c>
      <c r="CM1501" s="5" t="s">
        <v>238</v>
      </c>
      <c r="CN1501" s="6" t="s">
        <v>262</v>
      </c>
      <c r="CO1501" s="5" t="s">
        <v>263</v>
      </c>
      <c r="CP1501" s="5" t="s">
        <v>264</v>
      </c>
      <c r="CQ1501" s="5" t="s">
        <v>285</v>
      </c>
      <c r="CR1501" s="5" t="s">
        <v>238</v>
      </c>
      <c r="CS1501" s="5">
        <v>0</v>
      </c>
      <c r="CT1501" s="5" t="s">
        <v>265</v>
      </c>
      <c r="CU1501" s="5" t="s">
        <v>1342</v>
      </c>
      <c r="CV1501" s="5" t="s">
        <v>308</v>
      </c>
      <c r="CW1501" s="7">
        <f>176550</f>
        <v>176550</v>
      </c>
      <c r="CX1501" s="8">
        <f>176550</f>
        <v>176550</v>
      </c>
      <c r="CY1501" s="8">
        <f>176550</f>
        <v>176550</v>
      </c>
      <c r="CZ1501" s="8" t="s">
        <v>238</v>
      </c>
      <c r="DA1501" s="5" t="s">
        <v>238</v>
      </c>
      <c r="DB1501" s="5" t="s">
        <v>238</v>
      </c>
      <c r="DD1501" s="5" t="s">
        <v>238</v>
      </c>
      <c r="DE1501" s="8">
        <f>0</f>
        <v>0</v>
      </c>
      <c r="DF1501" s="6" t="s">
        <v>238</v>
      </c>
      <c r="DG1501" s="5" t="s">
        <v>238</v>
      </c>
      <c r="DH1501" s="5" t="s">
        <v>238</v>
      </c>
      <c r="DI1501" s="5" t="s">
        <v>238</v>
      </c>
      <c r="DJ1501" s="5" t="s">
        <v>238</v>
      </c>
      <c r="DK1501" s="5" t="s">
        <v>238</v>
      </c>
      <c r="DL1501" s="5" t="s">
        <v>238</v>
      </c>
      <c r="DM1501" s="8" t="s">
        <v>238</v>
      </c>
      <c r="DN1501" s="5" t="s">
        <v>238</v>
      </c>
      <c r="DO1501" s="5" t="s">
        <v>247</v>
      </c>
      <c r="DP1501" s="5" t="s">
        <v>3170</v>
      </c>
      <c r="DQ1501" s="5" t="s">
        <v>3170</v>
      </c>
      <c r="DR1501" s="5" t="s">
        <v>238</v>
      </c>
      <c r="DS1501" s="5" t="s">
        <v>238</v>
      </c>
      <c r="GL1501" s="5" t="s">
        <v>4346</v>
      </c>
      <c r="HP1501" s="5" t="s">
        <v>238</v>
      </c>
      <c r="HQ1501" s="5" t="s">
        <v>238</v>
      </c>
      <c r="HR1501" s="5" t="s">
        <v>238</v>
      </c>
      <c r="HS1501" s="5" t="s">
        <v>238</v>
      </c>
      <c r="HT1501" s="5" t="s">
        <v>238</v>
      </c>
      <c r="HU1501" s="5" t="s">
        <v>238</v>
      </c>
      <c r="HV1501" s="5" t="s">
        <v>238</v>
      </c>
      <c r="HW1501" s="5" t="s">
        <v>238</v>
      </c>
      <c r="HX1501" s="5" t="s">
        <v>238</v>
      </c>
      <c r="HY1501" s="5" t="s">
        <v>238</v>
      </c>
      <c r="HZ1501" s="5" t="s">
        <v>238</v>
      </c>
      <c r="IA1501" s="5" t="s">
        <v>238</v>
      </c>
      <c r="IB1501" s="5" t="s">
        <v>238</v>
      </c>
      <c r="IC1501" s="5" t="s">
        <v>238</v>
      </c>
      <c r="ID1501" s="5" t="s">
        <v>238</v>
      </c>
    </row>
    <row r="1502" spans="1:238" x14ac:dyDescent="0.4">
      <c r="A1502" s="5">
        <v>1896</v>
      </c>
      <c r="B1502" s="5">
        <v>1</v>
      </c>
      <c r="C1502" s="5">
        <v>3</v>
      </c>
      <c r="D1502" s="5" t="s">
        <v>497</v>
      </c>
      <c r="E1502" s="5" t="s">
        <v>347</v>
      </c>
      <c r="F1502" s="5" t="s">
        <v>282</v>
      </c>
      <c r="G1502" s="5" t="s">
        <v>4338</v>
      </c>
      <c r="H1502" s="6" t="s">
        <v>4341</v>
      </c>
      <c r="I1502" s="5" t="s">
        <v>3166</v>
      </c>
      <c r="J1502" s="8">
        <f>1</f>
        <v>1</v>
      </c>
      <c r="K1502" s="5" t="s">
        <v>3176</v>
      </c>
      <c r="L1502" s="8">
        <f>161616</f>
        <v>161616</v>
      </c>
      <c r="M1502" s="8">
        <f>166100</f>
        <v>166100</v>
      </c>
      <c r="N1502" s="6" t="s">
        <v>4337</v>
      </c>
      <c r="O1502" s="5" t="s">
        <v>639</v>
      </c>
      <c r="P1502" s="5" t="s">
        <v>238</v>
      </c>
      <c r="Q1502" s="8">
        <f>0</f>
        <v>0</v>
      </c>
      <c r="R1502" s="8">
        <f>4484</f>
        <v>4484</v>
      </c>
      <c r="S1502" s="5" t="s">
        <v>240</v>
      </c>
      <c r="T1502" s="5" t="s">
        <v>238</v>
      </c>
      <c r="W1502" s="5" t="s">
        <v>238</v>
      </c>
      <c r="X1502" s="5" t="s">
        <v>238</v>
      </c>
      <c r="Y1502" s="5" t="s">
        <v>238</v>
      </c>
      <c r="AB1502" s="5" t="s">
        <v>347</v>
      </c>
      <c r="AC1502" s="6" t="s">
        <v>238</v>
      </c>
      <c r="AD1502" s="6" t="s">
        <v>238</v>
      </c>
      <c r="AE1502" s="5" t="s">
        <v>238</v>
      </c>
      <c r="AF1502" s="6" t="s">
        <v>238</v>
      </c>
      <c r="AG1502" s="6" t="s">
        <v>4337</v>
      </c>
      <c r="AH1502" s="5" t="s">
        <v>247</v>
      </c>
      <c r="AI1502" s="5" t="s">
        <v>238</v>
      </c>
      <c r="AO1502" s="5" t="s">
        <v>238</v>
      </c>
      <c r="AP1502" s="5" t="s">
        <v>238</v>
      </c>
      <c r="AQ1502" s="5" t="s">
        <v>238</v>
      </c>
      <c r="AR1502" s="6" t="s">
        <v>238</v>
      </c>
      <c r="AS1502" s="6" t="s">
        <v>238</v>
      </c>
      <c r="AT1502" s="6" t="s">
        <v>238</v>
      </c>
      <c r="AW1502" s="5" t="s">
        <v>304</v>
      </c>
      <c r="AX1502" s="5" t="s">
        <v>304</v>
      </c>
      <c r="AY1502" s="5" t="s">
        <v>250</v>
      </c>
      <c r="AZ1502" s="5" t="s">
        <v>281</v>
      </c>
      <c r="BA1502" s="5" t="s">
        <v>251</v>
      </c>
      <c r="BB1502" s="5" t="s">
        <v>238</v>
      </c>
      <c r="BC1502" s="5" t="s">
        <v>253</v>
      </c>
      <c r="BD1502" s="5" t="s">
        <v>3170</v>
      </c>
      <c r="BF1502" s="5" t="s">
        <v>238</v>
      </c>
      <c r="BH1502" s="5" t="s">
        <v>283</v>
      </c>
      <c r="BI1502" s="6" t="s">
        <v>293</v>
      </c>
      <c r="BJ1502" s="5" t="s">
        <v>294</v>
      </c>
      <c r="BK1502" s="5" t="s">
        <v>3171</v>
      </c>
      <c r="BL1502" s="5" t="s">
        <v>238</v>
      </c>
      <c r="BM1502" s="8">
        <f>0</f>
        <v>0</v>
      </c>
      <c r="BN1502" s="8">
        <f>-4484</f>
        <v>-4484</v>
      </c>
      <c r="BO1502" s="5" t="s">
        <v>257</v>
      </c>
      <c r="BP1502" s="5" t="s">
        <v>258</v>
      </c>
      <c r="BQ1502" s="5" t="s">
        <v>377</v>
      </c>
      <c r="BR1502" s="5" t="s">
        <v>3172</v>
      </c>
      <c r="BS1502" s="5" t="s">
        <v>258</v>
      </c>
      <c r="BT1502" s="5" t="s">
        <v>238</v>
      </c>
      <c r="BU1502" s="5" t="s">
        <v>3173</v>
      </c>
      <c r="BV1502" s="5" t="s">
        <v>3174</v>
      </c>
      <c r="BW1502" s="5" t="s">
        <v>3174</v>
      </c>
      <c r="BY1502" s="6" t="s">
        <v>4339</v>
      </c>
      <c r="BZ1502" s="5" t="s">
        <v>257</v>
      </c>
      <c r="CA1502" s="5" t="s">
        <v>238</v>
      </c>
      <c r="CB1502" s="5" t="s">
        <v>238</v>
      </c>
      <c r="CC1502" s="5" t="s">
        <v>258</v>
      </c>
      <c r="CD1502" s="5" t="s">
        <v>238</v>
      </c>
      <c r="CE1502" s="5" t="s">
        <v>238</v>
      </c>
      <c r="CI1502" s="5" t="s">
        <v>238</v>
      </c>
      <c r="CJ1502" s="5" t="s">
        <v>238</v>
      </c>
      <c r="CK1502" s="5" t="s">
        <v>272</v>
      </c>
      <c r="CM1502" s="5" t="s">
        <v>238</v>
      </c>
      <c r="CN1502" s="6" t="s">
        <v>262</v>
      </c>
      <c r="CO1502" s="5" t="s">
        <v>263</v>
      </c>
      <c r="CP1502" s="5" t="s">
        <v>264</v>
      </c>
      <c r="CQ1502" s="5" t="s">
        <v>285</v>
      </c>
      <c r="CR1502" s="5" t="s">
        <v>238</v>
      </c>
      <c r="CS1502" s="5">
        <v>0</v>
      </c>
      <c r="CT1502" s="5" t="s">
        <v>265</v>
      </c>
      <c r="CU1502" s="5" t="s">
        <v>1342</v>
      </c>
      <c r="CV1502" s="5" t="s">
        <v>308</v>
      </c>
      <c r="CW1502" s="7">
        <f>166100</f>
        <v>166100</v>
      </c>
      <c r="CX1502" s="8">
        <f>166100</f>
        <v>166100</v>
      </c>
      <c r="CY1502" s="8">
        <f>166100</f>
        <v>166100</v>
      </c>
      <c r="CZ1502" s="8" t="s">
        <v>238</v>
      </c>
      <c r="DA1502" s="5" t="s">
        <v>238</v>
      </c>
      <c r="DB1502" s="5" t="s">
        <v>238</v>
      </c>
      <c r="DD1502" s="5" t="s">
        <v>238</v>
      </c>
      <c r="DE1502" s="8">
        <f>0</f>
        <v>0</v>
      </c>
      <c r="DF1502" s="6" t="s">
        <v>238</v>
      </c>
      <c r="DG1502" s="5" t="s">
        <v>238</v>
      </c>
      <c r="DH1502" s="5" t="s">
        <v>238</v>
      </c>
      <c r="DI1502" s="5" t="s">
        <v>238</v>
      </c>
      <c r="DJ1502" s="5" t="s">
        <v>238</v>
      </c>
      <c r="DK1502" s="5" t="s">
        <v>238</v>
      </c>
      <c r="DL1502" s="5" t="s">
        <v>238</v>
      </c>
      <c r="DM1502" s="8" t="s">
        <v>238</v>
      </c>
      <c r="DN1502" s="5" t="s">
        <v>238</v>
      </c>
      <c r="DO1502" s="5" t="s">
        <v>247</v>
      </c>
      <c r="DP1502" s="5" t="s">
        <v>3170</v>
      </c>
      <c r="DQ1502" s="5" t="s">
        <v>3170</v>
      </c>
      <c r="DR1502" s="5" t="s">
        <v>238</v>
      </c>
      <c r="DS1502" s="5" t="s">
        <v>238</v>
      </c>
      <c r="GL1502" s="5" t="s">
        <v>4342</v>
      </c>
      <c r="HP1502" s="5" t="s">
        <v>238</v>
      </c>
      <c r="HQ1502" s="5" t="s">
        <v>238</v>
      </c>
      <c r="HR1502" s="5" t="s">
        <v>238</v>
      </c>
      <c r="HS1502" s="5" t="s">
        <v>238</v>
      </c>
      <c r="HT1502" s="5" t="s">
        <v>238</v>
      </c>
      <c r="HU1502" s="5" t="s">
        <v>238</v>
      </c>
      <c r="HV1502" s="5" t="s">
        <v>238</v>
      </c>
      <c r="HW1502" s="5" t="s">
        <v>238</v>
      </c>
      <c r="HX1502" s="5" t="s">
        <v>238</v>
      </c>
      <c r="HY1502" s="5" t="s">
        <v>238</v>
      </c>
      <c r="HZ1502" s="5" t="s">
        <v>238</v>
      </c>
      <c r="IA1502" s="5" t="s">
        <v>238</v>
      </c>
      <c r="IB1502" s="5" t="s">
        <v>238</v>
      </c>
      <c r="IC1502" s="5" t="s">
        <v>238</v>
      </c>
      <c r="ID1502" s="5" t="s">
        <v>238</v>
      </c>
    </row>
    <row r="1503" spans="1:238" x14ac:dyDescent="0.4">
      <c r="A1503" s="5">
        <v>1897</v>
      </c>
      <c r="B1503" s="5">
        <v>1</v>
      </c>
      <c r="C1503" s="5">
        <v>3</v>
      </c>
      <c r="D1503" s="5" t="s">
        <v>480</v>
      </c>
      <c r="E1503" s="5" t="s">
        <v>347</v>
      </c>
      <c r="F1503" s="5" t="s">
        <v>282</v>
      </c>
      <c r="G1503" s="5" t="s">
        <v>4338</v>
      </c>
      <c r="H1503" s="6" t="s">
        <v>3267</v>
      </c>
      <c r="I1503" s="5" t="s">
        <v>3166</v>
      </c>
      <c r="J1503" s="8">
        <f>1</f>
        <v>1</v>
      </c>
      <c r="K1503" s="5" t="s">
        <v>3176</v>
      </c>
      <c r="L1503" s="8">
        <f>191919</f>
        <v>191919</v>
      </c>
      <c r="M1503" s="8">
        <f>205700</f>
        <v>205700</v>
      </c>
      <c r="N1503" s="6" t="s">
        <v>4337</v>
      </c>
      <c r="O1503" s="5" t="s">
        <v>268</v>
      </c>
      <c r="P1503" s="5" t="s">
        <v>238</v>
      </c>
      <c r="Q1503" s="8">
        <f>0</f>
        <v>0</v>
      </c>
      <c r="R1503" s="8">
        <f>13781</f>
        <v>13781</v>
      </c>
      <c r="S1503" s="5" t="s">
        <v>240</v>
      </c>
      <c r="T1503" s="5" t="s">
        <v>238</v>
      </c>
      <c r="W1503" s="5" t="s">
        <v>238</v>
      </c>
      <c r="X1503" s="5" t="s">
        <v>238</v>
      </c>
      <c r="Y1503" s="5" t="s">
        <v>238</v>
      </c>
      <c r="AB1503" s="5" t="s">
        <v>347</v>
      </c>
      <c r="AC1503" s="6" t="s">
        <v>238</v>
      </c>
      <c r="AD1503" s="6" t="s">
        <v>238</v>
      </c>
      <c r="AE1503" s="5" t="s">
        <v>238</v>
      </c>
      <c r="AF1503" s="6" t="s">
        <v>238</v>
      </c>
      <c r="AG1503" s="6" t="s">
        <v>4337</v>
      </c>
      <c r="AH1503" s="5" t="s">
        <v>247</v>
      </c>
      <c r="AI1503" s="5" t="s">
        <v>238</v>
      </c>
      <c r="AO1503" s="5" t="s">
        <v>238</v>
      </c>
      <c r="AP1503" s="5" t="s">
        <v>238</v>
      </c>
      <c r="AQ1503" s="5" t="s">
        <v>238</v>
      </c>
      <c r="AR1503" s="6" t="s">
        <v>238</v>
      </c>
      <c r="AS1503" s="6" t="s">
        <v>238</v>
      </c>
      <c r="AT1503" s="6" t="s">
        <v>238</v>
      </c>
      <c r="AW1503" s="5" t="s">
        <v>304</v>
      </c>
      <c r="AX1503" s="5" t="s">
        <v>304</v>
      </c>
      <c r="AY1503" s="5" t="s">
        <v>250</v>
      </c>
      <c r="AZ1503" s="5" t="s">
        <v>281</v>
      </c>
      <c r="BA1503" s="5" t="s">
        <v>251</v>
      </c>
      <c r="BB1503" s="5" t="s">
        <v>238</v>
      </c>
      <c r="BC1503" s="5" t="s">
        <v>253</v>
      </c>
      <c r="BD1503" s="5" t="s">
        <v>3170</v>
      </c>
      <c r="BF1503" s="5" t="s">
        <v>238</v>
      </c>
      <c r="BH1503" s="5" t="s">
        <v>283</v>
      </c>
      <c r="BI1503" s="6" t="s">
        <v>293</v>
      </c>
      <c r="BJ1503" s="5" t="s">
        <v>294</v>
      </c>
      <c r="BK1503" s="5" t="s">
        <v>3171</v>
      </c>
      <c r="BL1503" s="5" t="s">
        <v>238</v>
      </c>
      <c r="BM1503" s="8">
        <f>0</f>
        <v>0</v>
      </c>
      <c r="BN1503" s="8">
        <f>-13781</f>
        <v>-13781</v>
      </c>
      <c r="BO1503" s="5" t="s">
        <v>257</v>
      </c>
      <c r="BP1503" s="5" t="s">
        <v>258</v>
      </c>
      <c r="BQ1503" s="5" t="s">
        <v>377</v>
      </c>
      <c r="BR1503" s="5" t="s">
        <v>3172</v>
      </c>
      <c r="BS1503" s="5" t="s">
        <v>258</v>
      </c>
      <c r="BT1503" s="5" t="s">
        <v>238</v>
      </c>
      <c r="BU1503" s="5" t="s">
        <v>3173</v>
      </c>
      <c r="BV1503" s="5" t="s">
        <v>3174</v>
      </c>
      <c r="BW1503" s="5" t="s">
        <v>3174</v>
      </c>
      <c r="BY1503" s="6" t="s">
        <v>4339</v>
      </c>
      <c r="BZ1503" s="5" t="s">
        <v>257</v>
      </c>
      <c r="CA1503" s="5" t="s">
        <v>238</v>
      </c>
      <c r="CB1503" s="5" t="s">
        <v>238</v>
      </c>
      <c r="CC1503" s="5" t="s">
        <v>258</v>
      </c>
      <c r="CD1503" s="5" t="s">
        <v>238</v>
      </c>
      <c r="CE1503" s="5" t="s">
        <v>238</v>
      </c>
      <c r="CI1503" s="5" t="s">
        <v>238</v>
      </c>
      <c r="CJ1503" s="5" t="s">
        <v>238</v>
      </c>
      <c r="CK1503" s="5" t="s">
        <v>272</v>
      </c>
      <c r="CM1503" s="5" t="s">
        <v>238</v>
      </c>
      <c r="CN1503" s="6" t="s">
        <v>262</v>
      </c>
      <c r="CO1503" s="5" t="s">
        <v>263</v>
      </c>
      <c r="CP1503" s="5" t="s">
        <v>264</v>
      </c>
      <c r="CQ1503" s="5" t="s">
        <v>285</v>
      </c>
      <c r="CR1503" s="5" t="s">
        <v>238</v>
      </c>
      <c r="CS1503" s="5">
        <v>0</v>
      </c>
      <c r="CT1503" s="5" t="s">
        <v>265</v>
      </c>
      <c r="CU1503" s="5" t="s">
        <v>1342</v>
      </c>
      <c r="CV1503" s="5" t="s">
        <v>267</v>
      </c>
      <c r="CW1503" s="7">
        <f>205700</f>
        <v>205700</v>
      </c>
      <c r="CX1503" s="8">
        <f>205700</f>
        <v>205700</v>
      </c>
      <c r="CY1503" s="8">
        <f>205700</f>
        <v>205700</v>
      </c>
      <c r="CZ1503" s="8" t="s">
        <v>238</v>
      </c>
      <c r="DA1503" s="5" t="s">
        <v>238</v>
      </c>
      <c r="DB1503" s="5" t="s">
        <v>238</v>
      </c>
      <c r="DD1503" s="5" t="s">
        <v>238</v>
      </c>
      <c r="DE1503" s="8">
        <f>0</f>
        <v>0</v>
      </c>
      <c r="DF1503" s="6" t="s">
        <v>238</v>
      </c>
      <c r="DG1503" s="5" t="s">
        <v>238</v>
      </c>
      <c r="DH1503" s="5" t="s">
        <v>238</v>
      </c>
      <c r="DI1503" s="5" t="s">
        <v>238</v>
      </c>
      <c r="DJ1503" s="5" t="s">
        <v>238</v>
      </c>
      <c r="DK1503" s="5" t="s">
        <v>238</v>
      </c>
      <c r="DL1503" s="5" t="s">
        <v>238</v>
      </c>
      <c r="DM1503" s="8" t="s">
        <v>238</v>
      </c>
      <c r="DN1503" s="5" t="s">
        <v>238</v>
      </c>
      <c r="DO1503" s="5" t="s">
        <v>247</v>
      </c>
      <c r="DP1503" s="5" t="s">
        <v>3170</v>
      </c>
      <c r="DQ1503" s="5" t="s">
        <v>3170</v>
      </c>
      <c r="DR1503" s="5" t="s">
        <v>238</v>
      </c>
      <c r="DS1503" s="5" t="s">
        <v>238</v>
      </c>
      <c r="GL1503" s="5" t="s">
        <v>4340</v>
      </c>
      <c r="HP1503" s="5" t="s">
        <v>238</v>
      </c>
      <c r="HQ1503" s="5" t="s">
        <v>238</v>
      </c>
      <c r="HR1503" s="5" t="s">
        <v>238</v>
      </c>
      <c r="HS1503" s="5" t="s">
        <v>238</v>
      </c>
      <c r="HT1503" s="5" t="s">
        <v>238</v>
      </c>
      <c r="HU1503" s="5" t="s">
        <v>238</v>
      </c>
      <c r="HV1503" s="5" t="s">
        <v>238</v>
      </c>
      <c r="HW1503" s="5" t="s">
        <v>238</v>
      </c>
      <c r="HX1503" s="5" t="s">
        <v>238</v>
      </c>
      <c r="HY1503" s="5" t="s">
        <v>238</v>
      </c>
      <c r="HZ1503" s="5" t="s">
        <v>238</v>
      </c>
      <c r="IA1503" s="5" t="s">
        <v>238</v>
      </c>
      <c r="IB1503" s="5" t="s">
        <v>238</v>
      </c>
      <c r="IC1503" s="5" t="s">
        <v>238</v>
      </c>
      <c r="ID1503" s="5" t="s">
        <v>238</v>
      </c>
    </row>
    <row r="1504" spans="1:238" x14ac:dyDescent="0.4">
      <c r="A1504" s="5">
        <v>1898</v>
      </c>
      <c r="B1504" s="5">
        <v>1</v>
      </c>
      <c r="C1504" s="5">
        <v>3</v>
      </c>
      <c r="D1504" s="5" t="s">
        <v>461</v>
      </c>
      <c r="E1504" s="5" t="s">
        <v>347</v>
      </c>
      <c r="F1504" s="5" t="s">
        <v>282</v>
      </c>
      <c r="G1504" s="5" t="s">
        <v>3204</v>
      </c>
      <c r="H1504" s="6" t="s">
        <v>3205</v>
      </c>
      <c r="I1504" s="5" t="s">
        <v>3166</v>
      </c>
      <c r="J1504" s="8">
        <f>1</f>
        <v>1</v>
      </c>
      <c r="K1504" s="5" t="s">
        <v>3176</v>
      </c>
      <c r="L1504" s="8">
        <f>180068</f>
        <v>180068</v>
      </c>
      <c r="M1504" s="8">
        <f>185064</f>
        <v>185064</v>
      </c>
      <c r="N1504" s="6" t="s">
        <v>3180</v>
      </c>
      <c r="O1504" s="5" t="s">
        <v>639</v>
      </c>
      <c r="P1504" s="5" t="s">
        <v>238</v>
      </c>
      <c r="Q1504" s="8">
        <f>0</f>
        <v>0</v>
      </c>
      <c r="R1504" s="8">
        <f>4996</f>
        <v>4996</v>
      </c>
      <c r="S1504" s="5" t="s">
        <v>240</v>
      </c>
      <c r="T1504" s="5" t="s">
        <v>238</v>
      </c>
      <c r="W1504" s="5" t="s">
        <v>238</v>
      </c>
      <c r="X1504" s="5" t="s">
        <v>238</v>
      </c>
      <c r="Y1504" s="5" t="s">
        <v>238</v>
      </c>
      <c r="AB1504" s="5" t="s">
        <v>347</v>
      </c>
      <c r="AC1504" s="6" t="s">
        <v>238</v>
      </c>
      <c r="AD1504" s="6" t="s">
        <v>238</v>
      </c>
      <c r="AE1504" s="5" t="s">
        <v>238</v>
      </c>
      <c r="AF1504" s="6" t="s">
        <v>238</v>
      </c>
      <c r="AG1504" s="6" t="s">
        <v>3180</v>
      </c>
      <c r="AH1504" s="5" t="s">
        <v>247</v>
      </c>
      <c r="AI1504" s="5" t="s">
        <v>238</v>
      </c>
      <c r="AO1504" s="5" t="s">
        <v>238</v>
      </c>
      <c r="AP1504" s="5" t="s">
        <v>238</v>
      </c>
      <c r="AQ1504" s="5" t="s">
        <v>238</v>
      </c>
      <c r="AR1504" s="6" t="s">
        <v>238</v>
      </c>
      <c r="AS1504" s="6" t="s">
        <v>238</v>
      </c>
      <c r="AT1504" s="6" t="s">
        <v>238</v>
      </c>
      <c r="AW1504" s="5" t="s">
        <v>304</v>
      </c>
      <c r="AX1504" s="5" t="s">
        <v>304</v>
      </c>
      <c r="AY1504" s="5" t="s">
        <v>250</v>
      </c>
      <c r="AZ1504" s="5" t="s">
        <v>281</v>
      </c>
      <c r="BA1504" s="5" t="s">
        <v>251</v>
      </c>
      <c r="BB1504" s="5" t="s">
        <v>238</v>
      </c>
      <c r="BC1504" s="5" t="s">
        <v>253</v>
      </c>
      <c r="BD1504" s="5" t="s">
        <v>3170</v>
      </c>
      <c r="BF1504" s="5" t="s">
        <v>238</v>
      </c>
      <c r="BH1504" s="5" t="s">
        <v>283</v>
      </c>
      <c r="BI1504" s="6" t="s">
        <v>293</v>
      </c>
      <c r="BJ1504" s="5" t="s">
        <v>294</v>
      </c>
      <c r="BK1504" s="5" t="s">
        <v>3171</v>
      </c>
      <c r="BL1504" s="5" t="s">
        <v>238</v>
      </c>
      <c r="BM1504" s="8">
        <f>0</f>
        <v>0</v>
      </c>
      <c r="BN1504" s="8">
        <f>-4996</f>
        <v>-4996</v>
      </c>
      <c r="BO1504" s="5" t="s">
        <v>257</v>
      </c>
      <c r="BP1504" s="5" t="s">
        <v>258</v>
      </c>
      <c r="BQ1504" s="5" t="s">
        <v>377</v>
      </c>
      <c r="BR1504" s="5" t="s">
        <v>3172</v>
      </c>
      <c r="BS1504" s="5" t="s">
        <v>258</v>
      </c>
      <c r="BT1504" s="5" t="s">
        <v>238</v>
      </c>
      <c r="BU1504" s="5" t="s">
        <v>3173</v>
      </c>
      <c r="BV1504" s="5" t="s">
        <v>3174</v>
      </c>
      <c r="BW1504" s="5" t="s">
        <v>3174</v>
      </c>
      <c r="BY1504" s="6" t="s">
        <v>3206</v>
      </c>
      <c r="BZ1504" s="5" t="s">
        <v>257</v>
      </c>
      <c r="CA1504" s="5" t="s">
        <v>238</v>
      </c>
      <c r="CB1504" s="5" t="s">
        <v>238</v>
      </c>
      <c r="CC1504" s="5" t="s">
        <v>258</v>
      </c>
      <c r="CD1504" s="5" t="s">
        <v>238</v>
      </c>
      <c r="CE1504" s="5" t="s">
        <v>238</v>
      </c>
      <c r="CI1504" s="5" t="s">
        <v>238</v>
      </c>
      <c r="CJ1504" s="5" t="s">
        <v>238</v>
      </c>
      <c r="CK1504" s="5" t="s">
        <v>272</v>
      </c>
      <c r="CM1504" s="5" t="s">
        <v>238</v>
      </c>
      <c r="CN1504" s="6" t="s">
        <v>262</v>
      </c>
      <c r="CO1504" s="5" t="s">
        <v>263</v>
      </c>
      <c r="CP1504" s="5" t="s">
        <v>264</v>
      </c>
      <c r="CQ1504" s="5" t="s">
        <v>285</v>
      </c>
      <c r="CR1504" s="5" t="s">
        <v>238</v>
      </c>
      <c r="CS1504" s="5">
        <v>0</v>
      </c>
      <c r="CT1504" s="5" t="s">
        <v>265</v>
      </c>
      <c r="CU1504" s="5" t="s">
        <v>1342</v>
      </c>
      <c r="CV1504" s="5" t="s">
        <v>308</v>
      </c>
      <c r="CW1504" s="7">
        <f>185064</f>
        <v>185064</v>
      </c>
      <c r="CX1504" s="8">
        <f>185064</f>
        <v>185064</v>
      </c>
      <c r="CY1504" s="8">
        <f>185064</f>
        <v>185064</v>
      </c>
      <c r="CZ1504" s="8" t="s">
        <v>238</v>
      </c>
      <c r="DA1504" s="5" t="s">
        <v>238</v>
      </c>
      <c r="DB1504" s="5" t="s">
        <v>238</v>
      </c>
      <c r="DD1504" s="5" t="s">
        <v>238</v>
      </c>
      <c r="DE1504" s="8">
        <f>0</f>
        <v>0</v>
      </c>
      <c r="DF1504" s="6" t="s">
        <v>238</v>
      </c>
      <c r="DG1504" s="5" t="s">
        <v>238</v>
      </c>
      <c r="DH1504" s="5" t="s">
        <v>238</v>
      </c>
      <c r="DI1504" s="5" t="s">
        <v>238</v>
      </c>
      <c r="DJ1504" s="5" t="s">
        <v>238</v>
      </c>
      <c r="DK1504" s="5" t="s">
        <v>238</v>
      </c>
      <c r="DL1504" s="5" t="s">
        <v>238</v>
      </c>
      <c r="DM1504" s="8" t="s">
        <v>238</v>
      </c>
      <c r="DN1504" s="5" t="s">
        <v>238</v>
      </c>
      <c r="DO1504" s="5" t="s">
        <v>247</v>
      </c>
      <c r="DP1504" s="5" t="s">
        <v>3170</v>
      </c>
      <c r="DQ1504" s="5" t="s">
        <v>3170</v>
      </c>
      <c r="DR1504" s="5" t="s">
        <v>238</v>
      </c>
      <c r="DS1504" s="5" t="s">
        <v>238</v>
      </c>
      <c r="GL1504" s="5" t="s">
        <v>3207</v>
      </c>
      <c r="HP1504" s="5" t="s">
        <v>238</v>
      </c>
      <c r="HQ1504" s="5" t="s">
        <v>238</v>
      </c>
      <c r="HR1504" s="5" t="s">
        <v>238</v>
      </c>
      <c r="HS1504" s="5" t="s">
        <v>238</v>
      </c>
      <c r="HT1504" s="5" t="s">
        <v>238</v>
      </c>
      <c r="HU1504" s="5" t="s">
        <v>238</v>
      </c>
      <c r="HV1504" s="5" t="s">
        <v>238</v>
      </c>
      <c r="HW1504" s="5" t="s">
        <v>238</v>
      </c>
      <c r="HX1504" s="5" t="s">
        <v>238</v>
      </c>
      <c r="HY1504" s="5" t="s">
        <v>238</v>
      </c>
      <c r="HZ1504" s="5" t="s">
        <v>238</v>
      </c>
      <c r="IA1504" s="5" t="s">
        <v>238</v>
      </c>
      <c r="IB1504" s="5" t="s">
        <v>238</v>
      </c>
      <c r="IC1504" s="5" t="s">
        <v>238</v>
      </c>
      <c r="ID1504" s="5" t="s">
        <v>238</v>
      </c>
    </row>
    <row r="1505" spans="1:238" x14ac:dyDescent="0.4">
      <c r="A1505" s="5">
        <v>1899</v>
      </c>
      <c r="B1505" s="5">
        <v>1</v>
      </c>
      <c r="C1505" s="5">
        <v>3</v>
      </c>
      <c r="D1505" s="5" t="s">
        <v>434</v>
      </c>
      <c r="E1505" s="5" t="s">
        <v>347</v>
      </c>
      <c r="F1505" s="5" t="s">
        <v>282</v>
      </c>
      <c r="G1505" s="5" t="s">
        <v>3204</v>
      </c>
      <c r="H1505" s="6" t="s">
        <v>3208</v>
      </c>
      <c r="I1505" s="5" t="s">
        <v>3166</v>
      </c>
      <c r="J1505" s="8">
        <f>1</f>
        <v>1</v>
      </c>
      <c r="K1505" s="5" t="s">
        <v>3176</v>
      </c>
      <c r="L1505" s="8">
        <f>551419</f>
        <v>551419</v>
      </c>
      <c r="M1505" s="8">
        <f>566720</f>
        <v>566720</v>
      </c>
      <c r="N1505" s="6" t="s">
        <v>3180</v>
      </c>
      <c r="O1505" s="5" t="s">
        <v>639</v>
      </c>
      <c r="P1505" s="5" t="s">
        <v>238</v>
      </c>
      <c r="Q1505" s="8">
        <f>0</f>
        <v>0</v>
      </c>
      <c r="R1505" s="8">
        <f>15301</f>
        <v>15301</v>
      </c>
      <c r="S1505" s="5" t="s">
        <v>240</v>
      </c>
      <c r="T1505" s="5" t="s">
        <v>238</v>
      </c>
      <c r="W1505" s="5" t="s">
        <v>238</v>
      </c>
      <c r="X1505" s="5" t="s">
        <v>238</v>
      </c>
      <c r="Y1505" s="5" t="s">
        <v>238</v>
      </c>
      <c r="AB1505" s="5" t="s">
        <v>347</v>
      </c>
      <c r="AC1505" s="6" t="s">
        <v>238</v>
      </c>
      <c r="AD1505" s="6" t="s">
        <v>238</v>
      </c>
      <c r="AE1505" s="5" t="s">
        <v>238</v>
      </c>
      <c r="AF1505" s="6" t="s">
        <v>238</v>
      </c>
      <c r="AG1505" s="6" t="s">
        <v>3180</v>
      </c>
      <c r="AH1505" s="5" t="s">
        <v>247</v>
      </c>
      <c r="AI1505" s="5" t="s">
        <v>238</v>
      </c>
      <c r="AO1505" s="5" t="s">
        <v>238</v>
      </c>
      <c r="AP1505" s="5" t="s">
        <v>238</v>
      </c>
      <c r="AQ1505" s="5" t="s">
        <v>238</v>
      </c>
      <c r="AR1505" s="6" t="s">
        <v>238</v>
      </c>
      <c r="AS1505" s="6" t="s">
        <v>238</v>
      </c>
      <c r="AT1505" s="6" t="s">
        <v>238</v>
      </c>
      <c r="AW1505" s="5" t="s">
        <v>304</v>
      </c>
      <c r="AX1505" s="5" t="s">
        <v>304</v>
      </c>
      <c r="AY1505" s="5" t="s">
        <v>250</v>
      </c>
      <c r="AZ1505" s="5" t="s">
        <v>281</v>
      </c>
      <c r="BA1505" s="5" t="s">
        <v>251</v>
      </c>
      <c r="BB1505" s="5" t="s">
        <v>238</v>
      </c>
      <c r="BC1505" s="5" t="s">
        <v>253</v>
      </c>
      <c r="BD1505" s="5" t="s">
        <v>3170</v>
      </c>
      <c r="BF1505" s="5" t="s">
        <v>238</v>
      </c>
      <c r="BH1505" s="5" t="s">
        <v>283</v>
      </c>
      <c r="BI1505" s="6" t="s">
        <v>293</v>
      </c>
      <c r="BJ1505" s="5" t="s">
        <v>294</v>
      </c>
      <c r="BK1505" s="5" t="s">
        <v>3171</v>
      </c>
      <c r="BL1505" s="5" t="s">
        <v>238</v>
      </c>
      <c r="BM1505" s="8">
        <f>0</f>
        <v>0</v>
      </c>
      <c r="BN1505" s="8">
        <f>-15301</f>
        <v>-15301</v>
      </c>
      <c r="BO1505" s="5" t="s">
        <v>257</v>
      </c>
      <c r="BP1505" s="5" t="s">
        <v>258</v>
      </c>
      <c r="BQ1505" s="5" t="s">
        <v>377</v>
      </c>
      <c r="BR1505" s="5" t="s">
        <v>3172</v>
      </c>
      <c r="BS1505" s="5" t="s">
        <v>258</v>
      </c>
      <c r="BT1505" s="5" t="s">
        <v>238</v>
      </c>
      <c r="BU1505" s="5" t="s">
        <v>3173</v>
      </c>
      <c r="BV1505" s="5" t="s">
        <v>3174</v>
      </c>
      <c r="BW1505" s="5" t="s">
        <v>3174</v>
      </c>
      <c r="BY1505" s="6" t="s">
        <v>3206</v>
      </c>
      <c r="BZ1505" s="5" t="s">
        <v>257</v>
      </c>
      <c r="CA1505" s="5" t="s">
        <v>238</v>
      </c>
      <c r="CB1505" s="5" t="s">
        <v>238</v>
      </c>
      <c r="CC1505" s="5" t="s">
        <v>258</v>
      </c>
      <c r="CD1505" s="5" t="s">
        <v>238</v>
      </c>
      <c r="CE1505" s="5" t="s">
        <v>238</v>
      </c>
      <c r="CI1505" s="5" t="s">
        <v>238</v>
      </c>
      <c r="CJ1505" s="5" t="s">
        <v>238</v>
      </c>
      <c r="CK1505" s="5" t="s">
        <v>272</v>
      </c>
      <c r="CM1505" s="5" t="s">
        <v>238</v>
      </c>
      <c r="CN1505" s="6" t="s">
        <v>262</v>
      </c>
      <c r="CO1505" s="5" t="s">
        <v>263</v>
      </c>
      <c r="CP1505" s="5" t="s">
        <v>264</v>
      </c>
      <c r="CQ1505" s="5" t="s">
        <v>285</v>
      </c>
      <c r="CR1505" s="5" t="s">
        <v>238</v>
      </c>
      <c r="CS1505" s="5">
        <v>0</v>
      </c>
      <c r="CT1505" s="5" t="s">
        <v>265</v>
      </c>
      <c r="CU1505" s="5" t="s">
        <v>1342</v>
      </c>
      <c r="CV1505" s="5" t="s">
        <v>308</v>
      </c>
      <c r="CW1505" s="7">
        <f>566720</f>
        <v>566720</v>
      </c>
      <c r="CX1505" s="8">
        <f>566720</f>
        <v>566720</v>
      </c>
      <c r="CY1505" s="8">
        <f>566720</f>
        <v>566720</v>
      </c>
      <c r="CZ1505" s="8" t="s">
        <v>238</v>
      </c>
      <c r="DA1505" s="5" t="s">
        <v>238</v>
      </c>
      <c r="DB1505" s="5" t="s">
        <v>238</v>
      </c>
      <c r="DD1505" s="5" t="s">
        <v>238</v>
      </c>
      <c r="DE1505" s="8">
        <f>0</f>
        <v>0</v>
      </c>
      <c r="DF1505" s="6" t="s">
        <v>238</v>
      </c>
      <c r="DG1505" s="5" t="s">
        <v>238</v>
      </c>
      <c r="DH1505" s="5" t="s">
        <v>238</v>
      </c>
      <c r="DI1505" s="5" t="s">
        <v>238</v>
      </c>
      <c r="DJ1505" s="5" t="s">
        <v>238</v>
      </c>
      <c r="DK1505" s="5" t="s">
        <v>238</v>
      </c>
      <c r="DL1505" s="5" t="s">
        <v>238</v>
      </c>
      <c r="DM1505" s="8" t="s">
        <v>238</v>
      </c>
      <c r="DN1505" s="5" t="s">
        <v>238</v>
      </c>
      <c r="DO1505" s="5" t="s">
        <v>247</v>
      </c>
      <c r="DP1505" s="5" t="s">
        <v>3170</v>
      </c>
      <c r="DQ1505" s="5" t="s">
        <v>3170</v>
      </c>
      <c r="DR1505" s="5" t="s">
        <v>238</v>
      </c>
      <c r="DS1505" s="5" t="s">
        <v>238</v>
      </c>
      <c r="GL1505" s="5" t="s">
        <v>3209</v>
      </c>
      <c r="HP1505" s="5" t="s">
        <v>238</v>
      </c>
      <c r="HQ1505" s="5" t="s">
        <v>238</v>
      </c>
      <c r="HR1505" s="5" t="s">
        <v>238</v>
      </c>
      <c r="HS1505" s="5" t="s">
        <v>238</v>
      </c>
      <c r="HT1505" s="5" t="s">
        <v>238</v>
      </c>
      <c r="HU1505" s="5" t="s">
        <v>238</v>
      </c>
      <c r="HV1505" s="5" t="s">
        <v>238</v>
      </c>
      <c r="HW1505" s="5" t="s">
        <v>238</v>
      </c>
      <c r="HX1505" s="5" t="s">
        <v>238</v>
      </c>
      <c r="HY1505" s="5" t="s">
        <v>238</v>
      </c>
      <c r="HZ1505" s="5" t="s">
        <v>238</v>
      </c>
      <c r="IA1505" s="5" t="s">
        <v>238</v>
      </c>
      <c r="IB1505" s="5" t="s">
        <v>238</v>
      </c>
      <c r="IC1505" s="5" t="s">
        <v>238</v>
      </c>
      <c r="ID1505" s="5" t="s">
        <v>238</v>
      </c>
    </row>
    <row r="1506" spans="1:238" x14ac:dyDescent="0.4">
      <c r="A1506" s="5">
        <v>1900</v>
      </c>
      <c r="B1506" s="5">
        <v>1</v>
      </c>
      <c r="C1506" s="5">
        <v>3</v>
      </c>
      <c r="D1506" s="5" t="s">
        <v>420</v>
      </c>
      <c r="E1506" s="5" t="s">
        <v>347</v>
      </c>
      <c r="F1506" s="5" t="s">
        <v>282</v>
      </c>
      <c r="G1506" s="5" t="s">
        <v>3204</v>
      </c>
      <c r="H1506" s="6" t="s">
        <v>3210</v>
      </c>
      <c r="I1506" s="5" t="s">
        <v>3166</v>
      </c>
      <c r="J1506" s="8">
        <f>1</f>
        <v>1</v>
      </c>
      <c r="K1506" s="5" t="s">
        <v>3176</v>
      </c>
      <c r="L1506" s="8">
        <f>180068</f>
        <v>180068</v>
      </c>
      <c r="M1506" s="8">
        <f>185064</f>
        <v>185064</v>
      </c>
      <c r="N1506" s="6" t="s">
        <v>3180</v>
      </c>
      <c r="O1506" s="5" t="s">
        <v>639</v>
      </c>
      <c r="P1506" s="5" t="s">
        <v>238</v>
      </c>
      <c r="Q1506" s="8">
        <f>0</f>
        <v>0</v>
      </c>
      <c r="R1506" s="8">
        <f>4996</f>
        <v>4996</v>
      </c>
      <c r="S1506" s="5" t="s">
        <v>240</v>
      </c>
      <c r="T1506" s="5" t="s">
        <v>238</v>
      </c>
      <c r="W1506" s="5" t="s">
        <v>238</v>
      </c>
      <c r="X1506" s="5" t="s">
        <v>238</v>
      </c>
      <c r="Y1506" s="5" t="s">
        <v>238</v>
      </c>
      <c r="AB1506" s="5" t="s">
        <v>347</v>
      </c>
      <c r="AC1506" s="6" t="s">
        <v>238</v>
      </c>
      <c r="AD1506" s="6" t="s">
        <v>238</v>
      </c>
      <c r="AE1506" s="5" t="s">
        <v>238</v>
      </c>
      <c r="AF1506" s="6" t="s">
        <v>238</v>
      </c>
      <c r="AG1506" s="6" t="s">
        <v>3180</v>
      </c>
      <c r="AH1506" s="5" t="s">
        <v>247</v>
      </c>
      <c r="AI1506" s="5" t="s">
        <v>238</v>
      </c>
      <c r="AO1506" s="5" t="s">
        <v>238</v>
      </c>
      <c r="AP1506" s="5" t="s">
        <v>238</v>
      </c>
      <c r="AQ1506" s="5" t="s">
        <v>238</v>
      </c>
      <c r="AR1506" s="6" t="s">
        <v>238</v>
      </c>
      <c r="AS1506" s="6" t="s">
        <v>238</v>
      </c>
      <c r="AT1506" s="6" t="s">
        <v>238</v>
      </c>
      <c r="AW1506" s="5" t="s">
        <v>304</v>
      </c>
      <c r="AX1506" s="5" t="s">
        <v>304</v>
      </c>
      <c r="AY1506" s="5" t="s">
        <v>250</v>
      </c>
      <c r="AZ1506" s="5" t="s">
        <v>281</v>
      </c>
      <c r="BA1506" s="5" t="s">
        <v>251</v>
      </c>
      <c r="BB1506" s="5" t="s">
        <v>238</v>
      </c>
      <c r="BC1506" s="5" t="s">
        <v>253</v>
      </c>
      <c r="BD1506" s="5" t="s">
        <v>3170</v>
      </c>
      <c r="BF1506" s="5" t="s">
        <v>238</v>
      </c>
      <c r="BH1506" s="5" t="s">
        <v>283</v>
      </c>
      <c r="BI1506" s="6" t="s">
        <v>293</v>
      </c>
      <c r="BJ1506" s="5" t="s">
        <v>294</v>
      </c>
      <c r="BK1506" s="5" t="s">
        <v>3171</v>
      </c>
      <c r="BL1506" s="5" t="s">
        <v>238</v>
      </c>
      <c r="BM1506" s="8">
        <f>0</f>
        <v>0</v>
      </c>
      <c r="BN1506" s="8">
        <f>-4996</f>
        <v>-4996</v>
      </c>
      <c r="BO1506" s="5" t="s">
        <v>257</v>
      </c>
      <c r="BP1506" s="5" t="s">
        <v>258</v>
      </c>
      <c r="BQ1506" s="5" t="s">
        <v>377</v>
      </c>
      <c r="BR1506" s="5" t="s">
        <v>3172</v>
      </c>
      <c r="BS1506" s="5" t="s">
        <v>258</v>
      </c>
      <c r="BT1506" s="5" t="s">
        <v>238</v>
      </c>
      <c r="BU1506" s="5" t="s">
        <v>3173</v>
      </c>
      <c r="BV1506" s="5" t="s">
        <v>3174</v>
      </c>
      <c r="BW1506" s="5" t="s">
        <v>3174</v>
      </c>
      <c r="BY1506" s="6" t="s">
        <v>3206</v>
      </c>
      <c r="BZ1506" s="5" t="s">
        <v>257</v>
      </c>
      <c r="CA1506" s="5" t="s">
        <v>238</v>
      </c>
      <c r="CB1506" s="5" t="s">
        <v>238</v>
      </c>
      <c r="CC1506" s="5" t="s">
        <v>258</v>
      </c>
      <c r="CD1506" s="5" t="s">
        <v>238</v>
      </c>
      <c r="CE1506" s="5" t="s">
        <v>238</v>
      </c>
      <c r="CI1506" s="5" t="s">
        <v>238</v>
      </c>
      <c r="CJ1506" s="5" t="s">
        <v>238</v>
      </c>
      <c r="CK1506" s="5" t="s">
        <v>272</v>
      </c>
      <c r="CM1506" s="5" t="s">
        <v>238</v>
      </c>
      <c r="CN1506" s="6" t="s">
        <v>262</v>
      </c>
      <c r="CO1506" s="5" t="s">
        <v>263</v>
      </c>
      <c r="CP1506" s="5" t="s">
        <v>264</v>
      </c>
      <c r="CQ1506" s="5" t="s">
        <v>285</v>
      </c>
      <c r="CR1506" s="5" t="s">
        <v>238</v>
      </c>
      <c r="CS1506" s="5">
        <v>0</v>
      </c>
      <c r="CT1506" s="5" t="s">
        <v>265</v>
      </c>
      <c r="CU1506" s="5" t="s">
        <v>1342</v>
      </c>
      <c r="CV1506" s="5" t="s">
        <v>308</v>
      </c>
      <c r="CW1506" s="7">
        <f>185064</f>
        <v>185064</v>
      </c>
      <c r="CX1506" s="8">
        <f>185064</f>
        <v>185064</v>
      </c>
      <c r="CY1506" s="8">
        <f>185064</f>
        <v>185064</v>
      </c>
      <c r="CZ1506" s="8" t="s">
        <v>238</v>
      </c>
      <c r="DA1506" s="5" t="s">
        <v>238</v>
      </c>
      <c r="DB1506" s="5" t="s">
        <v>238</v>
      </c>
      <c r="DD1506" s="5" t="s">
        <v>238</v>
      </c>
      <c r="DE1506" s="8">
        <f>0</f>
        <v>0</v>
      </c>
      <c r="DF1506" s="6" t="s">
        <v>238</v>
      </c>
      <c r="DG1506" s="5" t="s">
        <v>238</v>
      </c>
      <c r="DH1506" s="5" t="s">
        <v>238</v>
      </c>
      <c r="DI1506" s="5" t="s">
        <v>238</v>
      </c>
      <c r="DJ1506" s="5" t="s">
        <v>238</v>
      </c>
      <c r="DK1506" s="5" t="s">
        <v>238</v>
      </c>
      <c r="DL1506" s="5" t="s">
        <v>238</v>
      </c>
      <c r="DM1506" s="8" t="s">
        <v>238</v>
      </c>
      <c r="DN1506" s="5" t="s">
        <v>238</v>
      </c>
      <c r="DO1506" s="5" t="s">
        <v>247</v>
      </c>
      <c r="DP1506" s="5" t="s">
        <v>3170</v>
      </c>
      <c r="DQ1506" s="5" t="s">
        <v>3170</v>
      </c>
      <c r="DR1506" s="5" t="s">
        <v>238</v>
      </c>
      <c r="DS1506" s="5" t="s">
        <v>238</v>
      </c>
      <c r="GL1506" s="5" t="s">
        <v>3211</v>
      </c>
      <c r="HP1506" s="5" t="s">
        <v>238</v>
      </c>
      <c r="HQ1506" s="5" t="s">
        <v>238</v>
      </c>
      <c r="HR1506" s="5" t="s">
        <v>238</v>
      </c>
      <c r="HS1506" s="5" t="s">
        <v>238</v>
      </c>
      <c r="HT1506" s="5" t="s">
        <v>238</v>
      </c>
      <c r="HU1506" s="5" t="s">
        <v>238</v>
      </c>
      <c r="HV1506" s="5" t="s">
        <v>238</v>
      </c>
      <c r="HW1506" s="5" t="s">
        <v>238</v>
      </c>
      <c r="HX1506" s="5" t="s">
        <v>238</v>
      </c>
      <c r="HY1506" s="5" t="s">
        <v>238</v>
      </c>
      <c r="HZ1506" s="5" t="s">
        <v>238</v>
      </c>
      <c r="IA1506" s="5" t="s">
        <v>238</v>
      </c>
      <c r="IB1506" s="5" t="s">
        <v>238</v>
      </c>
      <c r="IC1506" s="5" t="s">
        <v>238</v>
      </c>
      <c r="ID1506" s="5" t="s">
        <v>238</v>
      </c>
    </row>
    <row r="1507" spans="1:238" x14ac:dyDescent="0.4">
      <c r="A1507" s="5">
        <v>1901</v>
      </c>
      <c r="B1507" s="5">
        <v>1</v>
      </c>
      <c r="C1507" s="5">
        <v>3</v>
      </c>
      <c r="D1507" s="5" t="s">
        <v>856</v>
      </c>
      <c r="E1507" s="5" t="s">
        <v>347</v>
      </c>
      <c r="F1507" s="5" t="s">
        <v>282</v>
      </c>
      <c r="G1507" s="5" t="s">
        <v>3200</v>
      </c>
      <c r="H1507" s="6" t="s">
        <v>3201</v>
      </c>
      <c r="I1507" s="5" t="s">
        <v>3166</v>
      </c>
      <c r="J1507" s="8">
        <f>1</f>
        <v>1</v>
      </c>
      <c r="K1507" s="5" t="s">
        <v>3176</v>
      </c>
      <c r="L1507" s="8">
        <f>466994</f>
        <v>466994</v>
      </c>
      <c r="M1507" s="8">
        <f>479952</f>
        <v>479952</v>
      </c>
      <c r="N1507" s="6" t="s">
        <v>3180</v>
      </c>
      <c r="O1507" s="5" t="s">
        <v>639</v>
      </c>
      <c r="P1507" s="5" t="s">
        <v>238</v>
      </c>
      <c r="Q1507" s="8">
        <f>0</f>
        <v>0</v>
      </c>
      <c r="R1507" s="8">
        <f>12958</f>
        <v>12958</v>
      </c>
      <c r="S1507" s="5" t="s">
        <v>240</v>
      </c>
      <c r="T1507" s="5" t="s">
        <v>238</v>
      </c>
      <c r="W1507" s="5" t="s">
        <v>238</v>
      </c>
      <c r="X1507" s="5" t="s">
        <v>238</v>
      </c>
      <c r="Y1507" s="5" t="s">
        <v>238</v>
      </c>
      <c r="AB1507" s="5" t="s">
        <v>347</v>
      </c>
      <c r="AC1507" s="6" t="s">
        <v>238</v>
      </c>
      <c r="AD1507" s="6" t="s">
        <v>238</v>
      </c>
      <c r="AE1507" s="5" t="s">
        <v>238</v>
      </c>
      <c r="AF1507" s="6" t="s">
        <v>238</v>
      </c>
      <c r="AG1507" s="6" t="s">
        <v>3180</v>
      </c>
      <c r="AH1507" s="5" t="s">
        <v>247</v>
      </c>
      <c r="AI1507" s="5" t="s">
        <v>238</v>
      </c>
      <c r="AO1507" s="5" t="s">
        <v>238</v>
      </c>
      <c r="AP1507" s="5" t="s">
        <v>238</v>
      </c>
      <c r="AQ1507" s="5" t="s">
        <v>238</v>
      </c>
      <c r="AR1507" s="6" t="s">
        <v>238</v>
      </c>
      <c r="AS1507" s="6" t="s">
        <v>238</v>
      </c>
      <c r="AT1507" s="6" t="s">
        <v>238</v>
      </c>
      <c r="AW1507" s="5" t="s">
        <v>304</v>
      </c>
      <c r="AX1507" s="5" t="s">
        <v>304</v>
      </c>
      <c r="AY1507" s="5" t="s">
        <v>250</v>
      </c>
      <c r="AZ1507" s="5" t="s">
        <v>281</v>
      </c>
      <c r="BA1507" s="5" t="s">
        <v>251</v>
      </c>
      <c r="BB1507" s="5" t="s">
        <v>238</v>
      </c>
      <c r="BC1507" s="5" t="s">
        <v>253</v>
      </c>
      <c r="BD1507" s="5" t="s">
        <v>3170</v>
      </c>
      <c r="BF1507" s="5" t="s">
        <v>238</v>
      </c>
      <c r="BH1507" s="5" t="s">
        <v>283</v>
      </c>
      <c r="BI1507" s="6" t="s">
        <v>293</v>
      </c>
      <c r="BJ1507" s="5" t="s">
        <v>294</v>
      </c>
      <c r="BK1507" s="5" t="s">
        <v>3171</v>
      </c>
      <c r="BL1507" s="5" t="s">
        <v>238</v>
      </c>
      <c r="BM1507" s="8">
        <f>0</f>
        <v>0</v>
      </c>
      <c r="BN1507" s="8">
        <f>-12958</f>
        <v>-12958</v>
      </c>
      <c r="BO1507" s="5" t="s">
        <v>257</v>
      </c>
      <c r="BP1507" s="5" t="s">
        <v>258</v>
      </c>
      <c r="BQ1507" s="5" t="s">
        <v>377</v>
      </c>
      <c r="BR1507" s="5" t="s">
        <v>3183</v>
      </c>
      <c r="BS1507" s="5" t="s">
        <v>258</v>
      </c>
      <c r="BT1507" s="5" t="s">
        <v>238</v>
      </c>
      <c r="BU1507" s="5" t="s">
        <v>3173</v>
      </c>
      <c r="BV1507" s="5" t="s">
        <v>3174</v>
      </c>
      <c r="BW1507" s="5" t="s">
        <v>3174</v>
      </c>
      <c r="BY1507" s="6" t="s">
        <v>3202</v>
      </c>
      <c r="BZ1507" s="5" t="s">
        <v>257</v>
      </c>
      <c r="CA1507" s="5" t="s">
        <v>238</v>
      </c>
      <c r="CB1507" s="5" t="s">
        <v>238</v>
      </c>
      <c r="CC1507" s="5" t="s">
        <v>258</v>
      </c>
      <c r="CD1507" s="5" t="s">
        <v>238</v>
      </c>
      <c r="CE1507" s="5" t="s">
        <v>238</v>
      </c>
      <c r="CI1507" s="5" t="s">
        <v>238</v>
      </c>
      <c r="CJ1507" s="5" t="s">
        <v>238</v>
      </c>
      <c r="CK1507" s="5" t="s">
        <v>272</v>
      </c>
      <c r="CM1507" s="5" t="s">
        <v>238</v>
      </c>
      <c r="CN1507" s="6" t="s">
        <v>262</v>
      </c>
      <c r="CO1507" s="5" t="s">
        <v>263</v>
      </c>
      <c r="CP1507" s="5" t="s">
        <v>264</v>
      </c>
      <c r="CQ1507" s="5" t="s">
        <v>285</v>
      </c>
      <c r="CR1507" s="5" t="s">
        <v>238</v>
      </c>
      <c r="CS1507" s="5">
        <v>0</v>
      </c>
      <c r="CT1507" s="5" t="s">
        <v>265</v>
      </c>
      <c r="CU1507" s="5" t="s">
        <v>1342</v>
      </c>
      <c r="CV1507" s="5" t="s">
        <v>308</v>
      </c>
      <c r="CW1507" s="7">
        <f>479952</f>
        <v>479952</v>
      </c>
      <c r="CX1507" s="8">
        <f>479952</f>
        <v>479952</v>
      </c>
      <c r="CY1507" s="8">
        <f>479952</f>
        <v>479952</v>
      </c>
      <c r="CZ1507" s="8" t="s">
        <v>238</v>
      </c>
      <c r="DA1507" s="5" t="s">
        <v>238</v>
      </c>
      <c r="DB1507" s="5" t="s">
        <v>238</v>
      </c>
      <c r="DD1507" s="5" t="s">
        <v>238</v>
      </c>
      <c r="DE1507" s="8">
        <f>0</f>
        <v>0</v>
      </c>
      <c r="DF1507" s="6" t="s">
        <v>238</v>
      </c>
      <c r="DG1507" s="5" t="s">
        <v>238</v>
      </c>
      <c r="DH1507" s="5" t="s">
        <v>238</v>
      </c>
      <c r="DI1507" s="5" t="s">
        <v>238</v>
      </c>
      <c r="DJ1507" s="5" t="s">
        <v>238</v>
      </c>
      <c r="DK1507" s="5" t="s">
        <v>238</v>
      </c>
      <c r="DL1507" s="5" t="s">
        <v>238</v>
      </c>
      <c r="DM1507" s="8" t="s">
        <v>238</v>
      </c>
      <c r="DN1507" s="5" t="s">
        <v>238</v>
      </c>
      <c r="DO1507" s="5" t="s">
        <v>247</v>
      </c>
      <c r="DP1507" s="5" t="s">
        <v>3170</v>
      </c>
      <c r="DQ1507" s="5" t="s">
        <v>3170</v>
      </c>
      <c r="DR1507" s="5" t="s">
        <v>238</v>
      </c>
      <c r="DS1507" s="5" t="s">
        <v>238</v>
      </c>
      <c r="GL1507" s="5" t="s">
        <v>3203</v>
      </c>
      <c r="HP1507" s="5" t="s">
        <v>238</v>
      </c>
      <c r="HQ1507" s="5" t="s">
        <v>238</v>
      </c>
      <c r="HR1507" s="5" t="s">
        <v>238</v>
      </c>
      <c r="HS1507" s="5" t="s">
        <v>238</v>
      </c>
      <c r="HT1507" s="5" t="s">
        <v>238</v>
      </c>
      <c r="HU1507" s="5" t="s">
        <v>238</v>
      </c>
      <c r="HV1507" s="5" t="s">
        <v>238</v>
      </c>
      <c r="HW1507" s="5" t="s">
        <v>238</v>
      </c>
      <c r="HX1507" s="5" t="s">
        <v>238</v>
      </c>
      <c r="HY1507" s="5" t="s">
        <v>238</v>
      </c>
      <c r="HZ1507" s="5" t="s">
        <v>238</v>
      </c>
      <c r="IA1507" s="5" t="s">
        <v>238</v>
      </c>
      <c r="IB1507" s="5" t="s">
        <v>238</v>
      </c>
      <c r="IC1507" s="5" t="s">
        <v>238</v>
      </c>
      <c r="ID1507" s="5" t="s">
        <v>238</v>
      </c>
    </row>
    <row r="1508" spans="1:238" x14ac:dyDescent="0.4">
      <c r="A1508" s="5">
        <v>1902</v>
      </c>
      <c r="B1508" s="5">
        <v>1</v>
      </c>
      <c r="C1508" s="5">
        <v>3</v>
      </c>
      <c r="D1508" s="5" t="s">
        <v>405</v>
      </c>
      <c r="E1508" s="5" t="s">
        <v>347</v>
      </c>
      <c r="F1508" s="5" t="s">
        <v>282</v>
      </c>
      <c r="G1508" s="5" t="s">
        <v>3186</v>
      </c>
      <c r="H1508" s="6" t="s">
        <v>3194</v>
      </c>
      <c r="I1508" s="5" t="s">
        <v>3166</v>
      </c>
      <c r="J1508" s="8">
        <f>1</f>
        <v>1</v>
      </c>
      <c r="K1508" s="5" t="s">
        <v>3176</v>
      </c>
      <c r="L1508" s="8">
        <f>1071906</f>
        <v>1071906</v>
      </c>
      <c r="M1508" s="8">
        <f>1101650</f>
        <v>1101650</v>
      </c>
      <c r="N1508" s="6" t="s">
        <v>3180</v>
      </c>
      <c r="O1508" s="5" t="s">
        <v>639</v>
      </c>
      <c r="P1508" s="5" t="s">
        <v>238</v>
      </c>
      <c r="Q1508" s="8">
        <f>0</f>
        <v>0</v>
      </c>
      <c r="R1508" s="8">
        <f>29744</f>
        <v>29744</v>
      </c>
      <c r="S1508" s="5" t="s">
        <v>240</v>
      </c>
      <c r="T1508" s="5" t="s">
        <v>238</v>
      </c>
      <c r="W1508" s="5" t="s">
        <v>238</v>
      </c>
      <c r="X1508" s="5" t="s">
        <v>238</v>
      </c>
      <c r="Y1508" s="5" t="s">
        <v>238</v>
      </c>
      <c r="AB1508" s="5" t="s">
        <v>347</v>
      </c>
      <c r="AC1508" s="6" t="s">
        <v>238</v>
      </c>
      <c r="AD1508" s="6" t="s">
        <v>238</v>
      </c>
      <c r="AE1508" s="5" t="s">
        <v>238</v>
      </c>
      <c r="AF1508" s="6" t="s">
        <v>238</v>
      </c>
      <c r="AG1508" s="6" t="s">
        <v>3180</v>
      </c>
      <c r="AH1508" s="5" t="s">
        <v>247</v>
      </c>
      <c r="AI1508" s="5" t="s">
        <v>238</v>
      </c>
      <c r="AO1508" s="5" t="s">
        <v>238</v>
      </c>
      <c r="AP1508" s="5" t="s">
        <v>238</v>
      </c>
      <c r="AQ1508" s="5" t="s">
        <v>238</v>
      </c>
      <c r="AR1508" s="6" t="s">
        <v>238</v>
      </c>
      <c r="AS1508" s="6" t="s">
        <v>238</v>
      </c>
      <c r="AT1508" s="6" t="s">
        <v>238</v>
      </c>
      <c r="AW1508" s="5" t="s">
        <v>304</v>
      </c>
      <c r="AX1508" s="5" t="s">
        <v>304</v>
      </c>
      <c r="AY1508" s="5" t="s">
        <v>250</v>
      </c>
      <c r="AZ1508" s="5" t="s">
        <v>281</v>
      </c>
      <c r="BA1508" s="5" t="s">
        <v>251</v>
      </c>
      <c r="BB1508" s="5" t="s">
        <v>238</v>
      </c>
      <c r="BC1508" s="5" t="s">
        <v>253</v>
      </c>
      <c r="BD1508" s="5" t="s">
        <v>3170</v>
      </c>
      <c r="BF1508" s="5" t="s">
        <v>238</v>
      </c>
      <c r="BH1508" s="5" t="s">
        <v>283</v>
      </c>
      <c r="BI1508" s="6" t="s">
        <v>293</v>
      </c>
      <c r="BJ1508" s="5" t="s">
        <v>294</v>
      </c>
      <c r="BK1508" s="5" t="s">
        <v>3171</v>
      </c>
      <c r="BL1508" s="5" t="s">
        <v>238</v>
      </c>
      <c r="BM1508" s="8">
        <f>0</f>
        <v>0</v>
      </c>
      <c r="BN1508" s="8">
        <f>-29744</f>
        <v>-29744</v>
      </c>
      <c r="BO1508" s="5" t="s">
        <v>257</v>
      </c>
      <c r="BP1508" s="5" t="s">
        <v>258</v>
      </c>
      <c r="BQ1508" s="5" t="s">
        <v>377</v>
      </c>
      <c r="BR1508" s="5" t="s">
        <v>3172</v>
      </c>
      <c r="BS1508" s="5" t="s">
        <v>258</v>
      </c>
      <c r="BT1508" s="5" t="s">
        <v>238</v>
      </c>
      <c r="BU1508" s="5" t="s">
        <v>3173</v>
      </c>
      <c r="BV1508" s="5" t="s">
        <v>3174</v>
      </c>
      <c r="BW1508" s="5" t="s">
        <v>3174</v>
      </c>
      <c r="BY1508" s="6" t="s">
        <v>3188</v>
      </c>
      <c r="BZ1508" s="5" t="s">
        <v>257</v>
      </c>
      <c r="CA1508" s="5" t="s">
        <v>238</v>
      </c>
      <c r="CB1508" s="5" t="s">
        <v>238</v>
      </c>
      <c r="CC1508" s="5" t="s">
        <v>258</v>
      </c>
      <c r="CD1508" s="5" t="s">
        <v>238</v>
      </c>
      <c r="CE1508" s="5" t="s">
        <v>238</v>
      </c>
      <c r="CI1508" s="5" t="s">
        <v>238</v>
      </c>
      <c r="CJ1508" s="5" t="s">
        <v>238</v>
      </c>
      <c r="CK1508" s="5" t="s">
        <v>272</v>
      </c>
      <c r="CM1508" s="5" t="s">
        <v>238</v>
      </c>
      <c r="CN1508" s="6" t="s">
        <v>262</v>
      </c>
      <c r="CO1508" s="5" t="s">
        <v>263</v>
      </c>
      <c r="CP1508" s="5" t="s">
        <v>264</v>
      </c>
      <c r="CQ1508" s="5" t="s">
        <v>285</v>
      </c>
      <c r="CR1508" s="5" t="s">
        <v>238</v>
      </c>
      <c r="CS1508" s="5">
        <v>0</v>
      </c>
      <c r="CT1508" s="5" t="s">
        <v>265</v>
      </c>
      <c r="CU1508" s="5" t="s">
        <v>1342</v>
      </c>
      <c r="CV1508" s="5" t="s">
        <v>308</v>
      </c>
      <c r="CW1508" s="7">
        <f>1101650</f>
        <v>1101650</v>
      </c>
      <c r="CX1508" s="8">
        <f>1101650</f>
        <v>1101650</v>
      </c>
      <c r="CY1508" s="8">
        <f>1101650</f>
        <v>1101650</v>
      </c>
      <c r="CZ1508" s="8" t="s">
        <v>238</v>
      </c>
      <c r="DA1508" s="5" t="s">
        <v>238</v>
      </c>
      <c r="DB1508" s="5" t="s">
        <v>238</v>
      </c>
      <c r="DD1508" s="5" t="s">
        <v>238</v>
      </c>
      <c r="DE1508" s="8">
        <f>0</f>
        <v>0</v>
      </c>
      <c r="DF1508" s="6" t="s">
        <v>238</v>
      </c>
      <c r="DG1508" s="5" t="s">
        <v>238</v>
      </c>
      <c r="DH1508" s="5" t="s">
        <v>238</v>
      </c>
      <c r="DI1508" s="5" t="s">
        <v>238</v>
      </c>
      <c r="DJ1508" s="5" t="s">
        <v>238</v>
      </c>
      <c r="DK1508" s="5" t="s">
        <v>238</v>
      </c>
      <c r="DL1508" s="5" t="s">
        <v>238</v>
      </c>
      <c r="DM1508" s="8" t="s">
        <v>238</v>
      </c>
      <c r="DN1508" s="5" t="s">
        <v>238</v>
      </c>
      <c r="DO1508" s="5" t="s">
        <v>247</v>
      </c>
      <c r="DP1508" s="5" t="s">
        <v>3170</v>
      </c>
      <c r="DQ1508" s="5" t="s">
        <v>3170</v>
      </c>
      <c r="DR1508" s="5" t="s">
        <v>238</v>
      </c>
      <c r="DS1508" s="5" t="s">
        <v>238</v>
      </c>
      <c r="GL1508" s="5" t="s">
        <v>3195</v>
      </c>
      <c r="HP1508" s="5" t="s">
        <v>238</v>
      </c>
      <c r="HQ1508" s="5" t="s">
        <v>238</v>
      </c>
      <c r="HR1508" s="5" t="s">
        <v>238</v>
      </c>
      <c r="HS1508" s="5" t="s">
        <v>238</v>
      </c>
      <c r="HT1508" s="5" t="s">
        <v>238</v>
      </c>
      <c r="HU1508" s="5" t="s">
        <v>238</v>
      </c>
      <c r="HV1508" s="5" t="s">
        <v>238</v>
      </c>
      <c r="HW1508" s="5" t="s">
        <v>238</v>
      </c>
      <c r="HX1508" s="5" t="s">
        <v>238</v>
      </c>
      <c r="HY1508" s="5" t="s">
        <v>238</v>
      </c>
      <c r="HZ1508" s="5" t="s">
        <v>238</v>
      </c>
      <c r="IA1508" s="5" t="s">
        <v>238</v>
      </c>
      <c r="IB1508" s="5" t="s">
        <v>238</v>
      </c>
      <c r="IC1508" s="5" t="s">
        <v>238</v>
      </c>
      <c r="ID1508" s="5" t="s">
        <v>238</v>
      </c>
    </row>
    <row r="1509" spans="1:238" x14ac:dyDescent="0.4">
      <c r="A1509" s="5">
        <v>1903</v>
      </c>
      <c r="B1509" s="5">
        <v>1</v>
      </c>
      <c r="C1509" s="5">
        <v>3</v>
      </c>
      <c r="D1509" s="5" t="s">
        <v>397</v>
      </c>
      <c r="E1509" s="5" t="s">
        <v>347</v>
      </c>
      <c r="F1509" s="5" t="s">
        <v>282</v>
      </c>
      <c r="G1509" s="5" t="s">
        <v>3186</v>
      </c>
      <c r="H1509" s="6" t="s">
        <v>3192</v>
      </c>
      <c r="I1509" s="5" t="s">
        <v>3166</v>
      </c>
      <c r="J1509" s="8">
        <f>1</f>
        <v>1</v>
      </c>
      <c r="K1509" s="5" t="s">
        <v>3176</v>
      </c>
      <c r="L1509" s="8">
        <f>213793</f>
        <v>213793</v>
      </c>
      <c r="M1509" s="8">
        <f>219725</f>
        <v>219725</v>
      </c>
      <c r="N1509" s="6" t="s">
        <v>3180</v>
      </c>
      <c r="O1509" s="5" t="s">
        <v>639</v>
      </c>
      <c r="P1509" s="5" t="s">
        <v>238</v>
      </c>
      <c r="Q1509" s="8">
        <f>0</f>
        <v>0</v>
      </c>
      <c r="R1509" s="8">
        <f>5932</f>
        <v>5932</v>
      </c>
      <c r="S1509" s="5" t="s">
        <v>240</v>
      </c>
      <c r="T1509" s="5" t="s">
        <v>238</v>
      </c>
      <c r="W1509" s="5" t="s">
        <v>238</v>
      </c>
      <c r="X1509" s="5" t="s">
        <v>238</v>
      </c>
      <c r="Y1509" s="5" t="s">
        <v>238</v>
      </c>
      <c r="AB1509" s="5" t="s">
        <v>347</v>
      </c>
      <c r="AC1509" s="6" t="s">
        <v>238</v>
      </c>
      <c r="AD1509" s="6" t="s">
        <v>238</v>
      </c>
      <c r="AE1509" s="5" t="s">
        <v>238</v>
      </c>
      <c r="AF1509" s="6" t="s">
        <v>238</v>
      </c>
      <c r="AG1509" s="6" t="s">
        <v>3180</v>
      </c>
      <c r="AH1509" s="5" t="s">
        <v>247</v>
      </c>
      <c r="AI1509" s="5" t="s">
        <v>238</v>
      </c>
      <c r="AO1509" s="5" t="s">
        <v>238</v>
      </c>
      <c r="AP1509" s="5" t="s">
        <v>238</v>
      </c>
      <c r="AQ1509" s="5" t="s">
        <v>238</v>
      </c>
      <c r="AR1509" s="6" t="s">
        <v>238</v>
      </c>
      <c r="AS1509" s="6" t="s">
        <v>238</v>
      </c>
      <c r="AT1509" s="6" t="s">
        <v>238</v>
      </c>
      <c r="AW1509" s="5" t="s">
        <v>304</v>
      </c>
      <c r="AX1509" s="5" t="s">
        <v>304</v>
      </c>
      <c r="AY1509" s="5" t="s">
        <v>250</v>
      </c>
      <c r="AZ1509" s="5" t="s">
        <v>281</v>
      </c>
      <c r="BA1509" s="5" t="s">
        <v>251</v>
      </c>
      <c r="BB1509" s="5" t="s">
        <v>238</v>
      </c>
      <c r="BC1509" s="5" t="s">
        <v>253</v>
      </c>
      <c r="BD1509" s="5" t="s">
        <v>3170</v>
      </c>
      <c r="BF1509" s="5" t="s">
        <v>238</v>
      </c>
      <c r="BH1509" s="5" t="s">
        <v>283</v>
      </c>
      <c r="BI1509" s="6" t="s">
        <v>293</v>
      </c>
      <c r="BJ1509" s="5" t="s">
        <v>294</v>
      </c>
      <c r="BK1509" s="5" t="s">
        <v>3171</v>
      </c>
      <c r="BL1509" s="5" t="s">
        <v>238</v>
      </c>
      <c r="BM1509" s="8">
        <f>0</f>
        <v>0</v>
      </c>
      <c r="BN1509" s="8">
        <f>-5932</f>
        <v>-5932</v>
      </c>
      <c r="BO1509" s="5" t="s">
        <v>257</v>
      </c>
      <c r="BP1509" s="5" t="s">
        <v>258</v>
      </c>
      <c r="BQ1509" s="5" t="s">
        <v>377</v>
      </c>
      <c r="BR1509" s="5" t="s">
        <v>3172</v>
      </c>
      <c r="BS1509" s="5" t="s">
        <v>258</v>
      </c>
      <c r="BT1509" s="5" t="s">
        <v>238</v>
      </c>
      <c r="BU1509" s="5" t="s">
        <v>3173</v>
      </c>
      <c r="BV1509" s="5" t="s">
        <v>3174</v>
      </c>
      <c r="BW1509" s="5" t="s">
        <v>3174</v>
      </c>
      <c r="BY1509" s="6" t="s">
        <v>3188</v>
      </c>
      <c r="BZ1509" s="5" t="s">
        <v>257</v>
      </c>
      <c r="CA1509" s="5" t="s">
        <v>238</v>
      </c>
      <c r="CB1509" s="5" t="s">
        <v>238</v>
      </c>
      <c r="CC1509" s="5" t="s">
        <v>258</v>
      </c>
      <c r="CD1509" s="5" t="s">
        <v>238</v>
      </c>
      <c r="CE1509" s="5" t="s">
        <v>238</v>
      </c>
      <c r="CI1509" s="5" t="s">
        <v>238</v>
      </c>
      <c r="CJ1509" s="5" t="s">
        <v>238</v>
      </c>
      <c r="CK1509" s="5" t="s">
        <v>272</v>
      </c>
      <c r="CM1509" s="5" t="s">
        <v>238</v>
      </c>
      <c r="CN1509" s="6" t="s">
        <v>262</v>
      </c>
      <c r="CO1509" s="5" t="s">
        <v>263</v>
      </c>
      <c r="CP1509" s="5" t="s">
        <v>264</v>
      </c>
      <c r="CQ1509" s="5" t="s">
        <v>285</v>
      </c>
      <c r="CR1509" s="5" t="s">
        <v>238</v>
      </c>
      <c r="CS1509" s="5">
        <v>0</v>
      </c>
      <c r="CT1509" s="5" t="s">
        <v>265</v>
      </c>
      <c r="CU1509" s="5" t="s">
        <v>1342</v>
      </c>
      <c r="CV1509" s="5" t="s">
        <v>308</v>
      </c>
      <c r="CW1509" s="7">
        <f>219725</f>
        <v>219725</v>
      </c>
      <c r="CX1509" s="8">
        <f>219725</f>
        <v>219725</v>
      </c>
      <c r="CY1509" s="8">
        <f>219725</f>
        <v>219725</v>
      </c>
      <c r="CZ1509" s="8" t="s">
        <v>238</v>
      </c>
      <c r="DA1509" s="5" t="s">
        <v>238</v>
      </c>
      <c r="DB1509" s="5" t="s">
        <v>238</v>
      </c>
      <c r="DD1509" s="5" t="s">
        <v>238</v>
      </c>
      <c r="DE1509" s="8">
        <f>0</f>
        <v>0</v>
      </c>
      <c r="DF1509" s="6" t="s">
        <v>238</v>
      </c>
      <c r="DG1509" s="5" t="s">
        <v>238</v>
      </c>
      <c r="DH1509" s="5" t="s">
        <v>238</v>
      </c>
      <c r="DI1509" s="5" t="s">
        <v>238</v>
      </c>
      <c r="DJ1509" s="5" t="s">
        <v>238</v>
      </c>
      <c r="DK1509" s="5" t="s">
        <v>238</v>
      </c>
      <c r="DL1509" s="5" t="s">
        <v>238</v>
      </c>
      <c r="DM1509" s="8" t="s">
        <v>238</v>
      </c>
      <c r="DN1509" s="5" t="s">
        <v>238</v>
      </c>
      <c r="DO1509" s="5" t="s">
        <v>247</v>
      </c>
      <c r="DP1509" s="5" t="s">
        <v>3170</v>
      </c>
      <c r="DQ1509" s="5" t="s">
        <v>3170</v>
      </c>
      <c r="DR1509" s="5" t="s">
        <v>238</v>
      </c>
      <c r="DS1509" s="5" t="s">
        <v>238</v>
      </c>
      <c r="GL1509" s="5" t="s">
        <v>3193</v>
      </c>
      <c r="HP1509" s="5" t="s">
        <v>238</v>
      </c>
      <c r="HQ1509" s="5" t="s">
        <v>238</v>
      </c>
      <c r="HR1509" s="5" t="s">
        <v>238</v>
      </c>
      <c r="HS1509" s="5" t="s">
        <v>238</v>
      </c>
      <c r="HT1509" s="5" t="s">
        <v>238</v>
      </c>
      <c r="HU1509" s="5" t="s">
        <v>238</v>
      </c>
      <c r="HV1509" s="5" t="s">
        <v>238</v>
      </c>
      <c r="HW1509" s="5" t="s">
        <v>238</v>
      </c>
      <c r="HX1509" s="5" t="s">
        <v>238</v>
      </c>
      <c r="HY1509" s="5" t="s">
        <v>238</v>
      </c>
      <c r="HZ1509" s="5" t="s">
        <v>238</v>
      </c>
      <c r="IA1509" s="5" t="s">
        <v>238</v>
      </c>
      <c r="IB1509" s="5" t="s">
        <v>238</v>
      </c>
      <c r="IC1509" s="5" t="s">
        <v>238</v>
      </c>
      <c r="ID1509" s="5" t="s">
        <v>238</v>
      </c>
    </row>
    <row r="1510" spans="1:238" x14ac:dyDescent="0.4">
      <c r="A1510" s="5">
        <v>1904</v>
      </c>
      <c r="B1510" s="5">
        <v>1</v>
      </c>
      <c r="C1510" s="5">
        <v>3</v>
      </c>
      <c r="D1510" s="5" t="s">
        <v>385</v>
      </c>
      <c r="E1510" s="5" t="s">
        <v>347</v>
      </c>
      <c r="F1510" s="5" t="s">
        <v>282</v>
      </c>
      <c r="G1510" s="5" t="s">
        <v>3186</v>
      </c>
      <c r="H1510" s="6" t="s">
        <v>3187</v>
      </c>
      <c r="I1510" s="5" t="s">
        <v>3166</v>
      </c>
      <c r="J1510" s="8">
        <f>1</f>
        <v>1</v>
      </c>
      <c r="K1510" s="5" t="s">
        <v>3176</v>
      </c>
      <c r="L1510" s="8">
        <f>855170</f>
        <v>855170</v>
      </c>
      <c r="M1510" s="8">
        <f>878900</f>
        <v>878900</v>
      </c>
      <c r="N1510" s="6" t="s">
        <v>3180</v>
      </c>
      <c r="O1510" s="5" t="s">
        <v>639</v>
      </c>
      <c r="P1510" s="5" t="s">
        <v>238</v>
      </c>
      <c r="Q1510" s="8">
        <f>0</f>
        <v>0</v>
      </c>
      <c r="R1510" s="8">
        <f>23730</f>
        <v>23730</v>
      </c>
      <c r="S1510" s="5" t="s">
        <v>240</v>
      </c>
      <c r="T1510" s="5" t="s">
        <v>238</v>
      </c>
      <c r="W1510" s="5" t="s">
        <v>238</v>
      </c>
      <c r="X1510" s="5" t="s">
        <v>238</v>
      </c>
      <c r="Y1510" s="5" t="s">
        <v>238</v>
      </c>
      <c r="AB1510" s="5" t="s">
        <v>347</v>
      </c>
      <c r="AC1510" s="6" t="s">
        <v>238</v>
      </c>
      <c r="AD1510" s="6" t="s">
        <v>238</v>
      </c>
      <c r="AE1510" s="5" t="s">
        <v>238</v>
      </c>
      <c r="AF1510" s="6" t="s">
        <v>238</v>
      </c>
      <c r="AG1510" s="6" t="s">
        <v>3180</v>
      </c>
      <c r="AH1510" s="5" t="s">
        <v>247</v>
      </c>
      <c r="AI1510" s="5" t="s">
        <v>238</v>
      </c>
      <c r="AO1510" s="5" t="s">
        <v>238</v>
      </c>
      <c r="AP1510" s="5" t="s">
        <v>238</v>
      </c>
      <c r="AQ1510" s="5" t="s">
        <v>238</v>
      </c>
      <c r="AR1510" s="6" t="s">
        <v>238</v>
      </c>
      <c r="AS1510" s="6" t="s">
        <v>238</v>
      </c>
      <c r="AT1510" s="6" t="s">
        <v>238</v>
      </c>
      <c r="AW1510" s="5" t="s">
        <v>304</v>
      </c>
      <c r="AX1510" s="5" t="s">
        <v>304</v>
      </c>
      <c r="AY1510" s="5" t="s">
        <v>250</v>
      </c>
      <c r="AZ1510" s="5" t="s">
        <v>281</v>
      </c>
      <c r="BA1510" s="5" t="s">
        <v>251</v>
      </c>
      <c r="BB1510" s="5" t="s">
        <v>238</v>
      </c>
      <c r="BC1510" s="5" t="s">
        <v>253</v>
      </c>
      <c r="BD1510" s="5" t="s">
        <v>3170</v>
      </c>
      <c r="BF1510" s="5" t="s">
        <v>238</v>
      </c>
      <c r="BH1510" s="5" t="s">
        <v>283</v>
      </c>
      <c r="BI1510" s="6" t="s">
        <v>293</v>
      </c>
      <c r="BJ1510" s="5" t="s">
        <v>294</v>
      </c>
      <c r="BK1510" s="5" t="s">
        <v>3171</v>
      </c>
      <c r="BL1510" s="5" t="s">
        <v>238</v>
      </c>
      <c r="BM1510" s="8">
        <f>0</f>
        <v>0</v>
      </c>
      <c r="BN1510" s="8">
        <f>-23730</f>
        <v>-23730</v>
      </c>
      <c r="BO1510" s="5" t="s">
        <v>257</v>
      </c>
      <c r="BP1510" s="5" t="s">
        <v>258</v>
      </c>
      <c r="BQ1510" s="5" t="s">
        <v>377</v>
      </c>
      <c r="BR1510" s="5" t="s">
        <v>3172</v>
      </c>
      <c r="BS1510" s="5" t="s">
        <v>258</v>
      </c>
      <c r="BT1510" s="5" t="s">
        <v>238</v>
      </c>
      <c r="BU1510" s="5" t="s">
        <v>3173</v>
      </c>
      <c r="BV1510" s="5" t="s">
        <v>3174</v>
      </c>
      <c r="BW1510" s="5" t="s">
        <v>3174</v>
      </c>
      <c r="BY1510" s="6" t="s">
        <v>3188</v>
      </c>
      <c r="BZ1510" s="5" t="s">
        <v>257</v>
      </c>
      <c r="CA1510" s="5" t="s">
        <v>238</v>
      </c>
      <c r="CB1510" s="5" t="s">
        <v>238</v>
      </c>
      <c r="CC1510" s="5" t="s">
        <v>258</v>
      </c>
      <c r="CD1510" s="5" t="s">
        <v>238</v>
      </c>
      <c r="CE1510" s="5" t="s">
        <v>238</v>
      </c>
      <c r="CI1510" s="5" t="s">
        <v>238</v>
      </c>
      <c r="CJ1510" s="5" t="s">
        <v>238</v>
      </c>
      <c r="CK1510" s="5" t="s">
        <v>272</v>
      </c>
      <c r="CM1510" s="5" t="s">
        <v>238</v>
      </c>
      <c r="CN1510" s="6" t="s">
        <v>262</v>
      </c>
      <c r="CO1510" s="5" t="s">
        <v>263</v>
      </c>
      <c r="CP1510" s="5" t="s">
        <v>264</v>
      </c>
      <c r="CQ1510" s="5" t="s">
        <v>285</v>
      </c>
      <c r="CR1510" s="5" t="s">
        <v>238</v>
      </c>
      <c r="CS1510" s="5">
        <v>0</v>
      </c>
      <c r="CT1510" s="5" t="s">
        <v>265</v>
      </c>
      <c r="CU1510" s="5" t="s">
        <v>1342</v>
      </c>
      <c r="CV1510" s="5" t="s">
        <v>308</v>
      </c>
      <c r="CW1510" s="7">
        <f>878900</f>
        <v>878900</v>
      </c>
      <c r="CX1510" s="8">
        <f>878900</f>
        <v>878900</v>
      </c>
      <c r="CY1510" s="8">
        <f>878900</f>
        <v>878900</v>
      </c>
      <c r="CZ1510" s="8" t="s">
        <v>238</v>
      </c>
      <c r="DA1510" s="5" t="s">
        <v>238</v>
      </c>
      <c r="DB1510" s="5" t="s">
        <v>238</v>
      </c>
      <c r="DD1510" s="5" t="s">
        <v>238</v>
      </c>
      <c r="DE1510" s="8">
        <f>0</f>
        <v>0</v>
      </c>
      <c r="DF1510" s="6" t="s">
        <v>238</v>
      </c>
      <c r="DG1510" s="5" t="s">
        <v>238</v>
      </c>
      <c r="DH1510" s="5" t="s">
        <v>238</v>
      </c>
      <c r="DI1510" s="5" t="s">
        <v>238</v>
      </c>
      <c r="DJ1510" s="5" t="s">
        <v>238</v>
      </c>
      <c r="DK1510" s="5" t="s">
        <v>238</v>
      </c>
      <c r="DL1510" s="5" t="s">
        <v>238</v>
      </c>
      <c r="DM1510" s="8" t="s">
        <v>238</v>
      </c>
      <c r="DN1510" s="5" t="s">
        <v>238</v>
      </c>
      <c r="DO1510" s="5" t="s">
        <v>247</v>
      </c>
      <c r="DP1510" s="5" t="s">
        <v>3170</v>
      </c>
      <c r="DQ1510" s="5" t="s">
        <v>3170</v>
      </c>
      <c r="DR1510" s="5" t="s">
        <v>238</v>
      </c>
      <c r="DS1510" s="5" t="s">
        <v>238</v>
      </c>
      <c r="GL1510" s="5" t="s">
        <v>3189</v>
      </c>
      <c r="HP1510" s="5" t="s">
        <v>238</v>
      </c>
      <c r="HQ1510" s="5" t="s">
        <v>238</v>
      </c>
      <c r="HR1510" s="5" t="s">
        <v>238</v>
      </c>
      <c r="HS1510" s="5" t="s">
        <v>238</v>
      </c>
      <c r="HT1510" s="5" t="s">
        <v>238</v>
      </c>
      <c r="HU1510" s="5" t="s">
        <v>238</v>
      </c>
      <c r="HV1510" s="5" t="s">
        <v>238</v>
      </c>
      <c r="HW1510" s="5" t="s">
        <v>238</v>
      </c>
      <c r="HX1510" s="5" t="s">
        <v>238</v>
      </c>
      <c r="HY1510" s="5" t="s">
        <v>238</v>
      </c>
      <c r="HZ1510" s="5" t="s">
        <v>238</v>
      </c>
      <c r="IA1510" s="5" t="s">
        <v>238</v>
      </c>
      <c r="IB1510" s="5" t="s">
        <v>238</v>
      </c>
      <c r="IC1510" s="5" t="s">
        <v>238</v>
      </c>
      <c r="ID1510" s="5" t="s">
        <v>238</v>
      </c>
    </row>
    <row r="1511" spans="1:238" x14ac:dyDescent="0.4">
      <c r="A1511" s="5">
        <v>1905</v>
      </c>
      <c r="B1511" s="5">
        <v>1</v>
      </c>
      <c r="C1511" s="5">
        <v>3</v>
      </c>
      <c r="D1511" s="5" t="s">
        <v>1123</v>
      </c>
      <c r="E1511" s="5" t="s">
        <v>347</v>
      </c>
      <c r="F1511" s="5" t="s">
        <v>282</v>
      </c>
      <c r="G1511" s="5" t="s">
        <v>3181</v>
      </c>
      <c r="H1511" s="6" t="s">
        <v>3182</v>
      </c>
      <c r="I1511" s="5" t="s">
        <v>3166</v>
      </c>
      <c r="J1511" s="8">
        <f>1</f>
        <v>1</v>
      </c>
      <c r="K1511" s="5" t="s">
        <v>3176</v>
      </c>
      <c r="L1511" s="8">
        <f>213793</f>
        <v>213793</v>
      </c>
      <c r="M1511" s="8">
        <f>219725</f>
        <v>219725</v>
      </c>
      <c r="N1511" s="6" t="s">
        <v>3180</v>
      </c>
      <c r="O1511" s="5" t="s">
        <v>639</v>
      </c>
      <c r="P1511" s="5" t="s">
        <v>238</v>
      </c>
      <c r="Q1511" s="8">
        <f>0</f>
        <v>0</v>
      </c>
      <c r="R1511" s="8">
        <f>5932</f>
        <v>5932</v>
      </c>
      <c r="S1511" s="5" t="s">
        <v>240</v>
      </c>
      <c r="T1511" s="5" t="s">
        <v>238</v>
      </c>
      <c r="W1511" s="5" t="s">
        <v>238</v>
      </c>
      <c r="X1511" s="5" t="s">
        <v>238</v>
      </c>
      <c r="Y1511" s="5" t="s">
        <v>238</v>
      </c>
      <c r="AB1511" s="5" t="s">
        <v>347</v>
      </c>
      <c r="AC1511" s="6" t="s">
        <v>238</v>
      </c>
      <c r="AD1511" s="6" t="s">
        <v>238</v>
      </c>
      <c r="AE1511" s="5" t="s">
        <v>238</v>
      </c>
      <c r="AF1511" s="6" t="s">
        <v>238</v>
      </c>
      <c r="AG1511" s="6" t="s">
        <v>3180</v>
      </c>
      <c r="AH1511" s="5" t="s">
        <v>247</v>
      </c>
      <c r="AI1511" s="5" t="s">
        <v>238</v>
      </c>
      <c r="AO1511" s="5" t="s">
        <v>238</v>
      </c>
      <c r="AP1511" s="5" t="s">
        <v>238</v>
      </c>
      <c r="AQ1511" s="5" t="s">
        <v>238</v>
      </c>
      <c r="AR1511" s="6" t="s">
        <v>238</v>
      </c>
      <c r="AS1511" s="6" t="s">
        <v>238</v>
      </c>
      <c r="AT1511" s="6" t="s">
        <v>238</v>
      </c>
      <c r="AW1511" s="5" t="s">
        <v>304</v>
      </c>
      <c r="AX1511" s="5" t="s">
        <v>304</v>
      </c>
      <c r="AY1511" s="5" t="s">
        <v>250</v>
      </c>
      <c r="AZ1511" s="5" t="s">
        <v>281</v>
      </c>
      <c r="BA1511" s="5" t="s">
        <v>251</v>
      </c>
      <c r="BB1511" s="5" t="s">
        <v>238</v>
      </c>
      <c r="BC1511" s="5" t="s">
        <v>253</v>
      </c>
      <c r="BD1511" s="5" t="s">
        <v>3170</v>
      </c>
      <c r="BF1511" s="5" t="s">
        <v>238</v>
      </c>
      <c r="BH1511" s="5" t="s">
        <v>283</v>
      </c>
      <c r="BI1511" s="6" t="s">
        <v>293</v>
      </c>
      <c r="BJ1511" s="5" t="s">
        <v>294</v>
      </c>
      <c r="BK1511" s="5" t="s">
        <v>3171</v>
      </c>
      <c r="BL1511" s="5" t="s">
        <v>238</v>
      </c>
      <c r="BM1511" s="8">
        <f>0</f>
        <v>0</v>
      </c>
      <c r="BN1511" s="8">
        <f>-5932</f>
        <v>-5932</v>
      </c>
      <c r="BO1511" s="5" t="s">
        <v>257</v>
      </c>
      <c r="BP1511" s="5" t="s">
        <v>258</v>
      </c>
      <c r="BQ1511" s="5" t="s">
        <v>377</v>
      </c>
      <c r="BR1511" s="5" t="s">
        <v>3183</v>
      </c>
      <c r="BS1511" s="5" t="s">
        <v>258</v>
      </c>
      <c r="BT1511" s="5" t="s">
        <v>238</v>
      </c>
      <c r="BU1511" s="5" t="s">
        <v>3173</v>
      </c>
      <c r="BV1511" s="5" t="s">
        <v>3174</v>
      </c>
      <c r="BW1511" s="5" t="s">
        <v>3174</v>
      </c>
      <c r="BY1511" s="6" t="s">
        <v>3184</v>
      </c>
      <c r="BZ1511" s="5" t="s">
        <v>257</v>
      </c>
      <c r="CA1511" s="5" t="s">
        <v>238</v>
      </c>
      <c r="CB1511" s="5" t="s">
        <v>238</v>
      </c>
      <c r="CC1511" s="5" t="s">
        <v>258</v>
      </c>
      <c r="CD1511" s="5" t="s">
        <v>238</v>
      </c>
      <c r="CE1511" s="5" t="s">
        <v>238</v>
      </c>
      <c r="CI1511" s="5" t="s">
        <v>238</v>
      </c>
      <c r="CJ1511" s="5" t="s">
        <v>238</v>
      </c>
      <c r="CK1511" s="5" t="s">
        <v>272</v>
      </c>
      <c r="CM1511" s="5" t="s">
        <v>238</v>
      </c>
      <c r="CN1511" s="6" t="s">
        <v>262</v>
      </c>
      <c r="CO1511" s="5" t="s">
        <v>263</v>
      </c>
      <c r="CP1511" s="5" t="s">
        <v>264</v>
      </c>
      <c r="CQ1511" s="5" t="s">
        <v>285</v>
      </c>
      <c r="CR1511" s="5" t="s">
        <v>238</v>
      </c>
      <c r="CS1511" s="5">
        <v>0</v>
      </c>
      <c r="CT1511" s="5" t="s">
        <v>265</v>
      </c>
      <c r="CU1511" s="5" t="s">
        <v>1342</v>
      </c>
      <c r="CV1511" s="5" t="s">
        <v>308</v>
      </c>
      <c r="CW1511" s="7">
        <f>219725</f>
        <v>219725</v>
      </c>
      <c r="CX1511" s="8">
        <f>219725</f>
        <v>219725</v>
      </c>
      <c r="CY1511" s="8">
        <f>219725</f>
        <v>219725</v>
      </c>
      <c r="CZ1511" s="8" t="s">
        <v>238</v>
      </c>
      <c r="DA1511" s="5" t="s">
        <v>238</v>
      </c>
      <c r="DB1511" s="5" t="s">
        <v>238</v>
      </c>
      <c r="DD1511" s="5" t="s">
        <v>238</v>
      </c>
      <c r="DE1511" s="8">
        <f>0</f>
        <v>0</v>
      </c>
      <c r="DF1511" s="6" t="s">
        <v>238</v>
      </c>
      <c r="DG1511" s="5" t="s">
        <v>238</v>
      </c>
      <c r="DH1511" s="5" t="s">
        <v>238</v>
      </c>
      <c r="DI1511" s="5" t="s">
        <v>238</v>
      </c>
      <c r="DJ1511" s="5" t="s">
        <v>238</v>
      </c>
      <c r="DK1511" s="5" t="s">
        <v>238</v>
      </c>
      <c r="DL1511" s="5" t="s">
        <v>238</v>
      </c>
      <c r="DM1511" s="8" t="s">
        <v>238</v>
      </c>
      <c r="DN1511" s="5" t="s">
        <v>238</v>
      </c>
      <c r="DO1511" s="5" t="s">
        <v>247</v>
      </c>
      <c r="DP1511" s="5" t="s">
        <v>3170</v>
      </c>
      <c r="DQ1511" s="5" t="s">
        <v>3170</v>
      </c>
      <c r="DR1511" s="5" t="s">
        <v>238</v>
      </c>
      <c r="DS1511" s="5" t="s">
        <v>238</v>
      </c>
      <c r="GL1511" s="5" t="s">
        <v>3185</v>
      </c>
      <c r="HP1511" s="5" t="s">
        <v>238</v>
      </c>
      <c r="HQ1511" s="5" t="s">
        <v>238</v>
      </c>
      <c r="HR1511" s="5" t="s">
        <v>238</v>
      </c>
      <c r="HS1511" s="5" t="s">
        <v>238</v>
      </c>
      <c r="HT1511" s="5" t="s">
        <v>238</v>
      </c>
      <c r="HU1511" s="5" t="s">
        <v>238</v>
      </c>
      <c r="HV1511" s="5" t="s">
        <v>238</v>
      </c>
      <c r="HW1511" s="5" t="s">
        <v>238</v>
      </c>
      <c r="HX1511" s="5" t="s">
        <v>238</v>
      </c>
      <c r="HY1511" s="5" t="s">
        <v>238</v>
      </c>
      <c r="HZ1511" s="5" t="s">
        <v>238</v>
      </c>
      <c r="IA1511" s="5" t="s">
        <v>238</v>
      </c>
      <c r="IB1511" s="5" t="s">
        <v>238</v>
      </c>
      <c r="IC1511" s="5" t="s">
        <v>238</v>
      </c>
      <c r="ID1511" s="5" t="s">
        <v>238</v>
      </c>
    </row>
    <row r="1512" spans="1:238" x14ac:dyDescent="0.4">
      <c r="A1512" s="5">
        <v>1906</v>
      </c>
      <c r="B1512" s="5">
        <v>1</v>
      </c>
      <c r="C1512" s="5">
        <v>3</v>
      </c>
      <c r="D1512" s="5" t="s">
        <v>380</v>
      </c>
      <c r="E1512" s="5" t="s">
        <v>347</v>
      </c>
      <c r="F1512" s="5" t="s">
        <v>282</v>
      </c>
      <c r="G1512" s="5" t="s">
        <v>3196</v>
      </c>
      <c r="H1512" s="6" t="s">
        <v>3197</v>
      </c>
      <c r="I1512" s="5" t="s">
        <v>3166</v>
      </c>
      <c r="J1512" s="8">
        <f>1</f>
        <v>1</v>
      </c>
      <c r="K1512" s="5" t="s">
        <v>3176</v>
      </c>
      <c r="L1512" s="8">
        <f>1452398</f>
        <v>1452398</v>
      </c>
      <c r="M1512" s="8">
        <f>1492700</f>
        <v>1492700</v>
      </c>
      <c r="N1512" s="6" t="s">
        <v>3180</v>
      </c>
      <c r="O1512" s="5" t="s">
        <v>639</v>
      </c>
      <c r="P1512" s="5" t="s">
        <v>238</v>
      </c>
      <c r="Q1512" s="8">
        <f>0</f>
        <v>0</v>
      </c>
      <c r="R1512" s="8">
        <f>40302</f>
        <v>40302</v>
      </c>
      <c r="S1512" s="5" t="s">
        <v>240</v>
      </c>
      <c r="T1512" s="5" t="s">
        <v>238</v>
      </c>
      <c r="W1512" s="5" t="s">
        <v>238</v>
      </c>
      <c r="X1512" s="5" t="s">
        <v>238</v>
      </c>
      <c r="Y1512" s="5" t="s">
        <v>238</v>
      </c>
      <c r="AB1512" s="5" t="s">
        <v>347</v>
      </c>
      <c r="AC1512" s="6" t="s">
        <v>238</v>
      </c>
      <c r="AD1512" s="6" t="s">
        <v>238</v>
      </c>
      <c r="AE1512" s="5" t="s">
        <v>238</v>
      </c>
      <c r="AF1512" s="6" t="s">
        <v>238</v>
      </c>
      <c r="AG1512" s="6" t="s">
        <v>3180</v>
      </c>
      <c r="AH1512" s="5" t="s">
        <v>247</v>
      </c>
      <c r="AI1512" s="5" t="s">
        <v>238</v>
      </c>
      <c r="AO1512" s="5" t="s">
        <v>238</v>
      </c>
      <c r="AP1512" s="5" t="s">
        <v>238</v>
      </c>
      <c r="AQ1512" s="5" t="s">
        <v>238</v>
      </c>
      <c r="AR1512" s="6" t="s">
        <v>238</v>
      </c>
      <c r="AS1512" s="6" t="s">
        <v>238</v>
      </c>
      <c r="AT1512" s="6" t="s">
        <v>238</v>
      </c>
      <c r="AW1512" s="5" t="s">
        <v>304</v>
      </c>
      <c r="AX1512" s="5" t="s">
        <v>304</v>
      </c>
      <c r="AY1512" s="5" t="s">
        <v>250</v>
      </c>
      <c r="AZ1512" s="5" t="s">
        <v>281</v>
      </c>
      <c r="BA1512" s="5" t="s">
        <v>251</v>
      </c>
      <c r="BB1512" s="5" t="s">
        <v>238</v>
      </c>
      <c r="BC1512" s="5" t="s">
        <v>253</v>
      </c>
      <c r="BD1512" s="5" t="s">
        <v>3170</v>
      </c>
      <c r="BF1512" s="5" t="s">
        <v>238</v>
      </c>
      <c r="BH1512" s="5" t="s">
        <v>283</v>
      </c>
      <c r="BI1512" s="6" t="s">
        <v>293</v>
      </c>
      <c r="BJ1512" s="5" t="s">
        <v>294</v>
      </c>
      <c r="BK1512" s="5" t="s">
        <v>3171</v>
      </c>
      <c r="BL1512" s="5" t="s">
        <v>238</v>
      </c>
      <c r="BM1512" s="8">
        <f>0</f>
        <v>0</v>
      </c>
      <c r="BN1512" s="8">
        <f>-40302</f>
        <v>-40302</v>
      </c>
      <c r="BO1512" s="5" t="s">
        <v>257</v>
      </c>
      <c r="BP1512" s="5" t="s">
        <v>258</v>
      </c>
      <c r="BQ1512" s="5" t="s">
        <v>377</v>
      </c>
      <c r="BR1512" s="5" t="s">
        <v>3172</v>
      </c>
      <c r="BS1512" s="5" t="s">
        <v>258</v>
      </c>
      <c r="BT1512" s="5" t="s">
        <v>238</v>
      </c>
      <c r="BU1512" s="5" t="s">
        <v>3173</v>
      </c>
      <c r="BV1512" s="5" t="s">
        <v>3174</v>
      </c>
      <c r="BW1512" s="5" t="s">
        <v>3174</v>
      </c>
      <c r="BY1512" s="6" t="s">
        <v>3198</v>
      </c>
      <c r="BZ1512" s="5" t="s">
        <v>257</v>
      </c>
      <c r="CA1512" s="5" t="s">
        <v>238</v>
      </c>
      <c r="CB1512" s="5" t="s">
        <v>238</v>
      </c>
      <c r="CC1512" s="5" t="s">
        <v>258</v>
      </c>
      <c r="CD1512" s="5" t="s">
        <v>238</v>
      </c>
      <c r="CE1512" s="5" t="s">
        <v>238</v>
      </c>
      <c r="CI1512" s="5" t="s">
        <v>238</v>
      </c>
      <c r="CJ1512" s="5" t="s">
        <v>238</v>
      </c>
      <c r="CK1512" s="5" t="s">
        <v>272</v>
      </c>
      <c r="CM1512" s="5" t="s">
        <v>238</v>
      </c>
      <c r="CN1512" s="6" t="s">
        <v>262</v>
      </c>
      <c r="CO1512" s="5" t="s">
        <v>263</v>
      </c>
      <c r="CP1512" s="5" t="s">
        <v>264</v>
      </c>
      <c r="CQ1512" s="5" t="s">
        <v>285</v>
      </c>
      <c r="CR1512" s="5" t="s">
        <v>238</v>
      </c>
      <c r="CS1512" s="5">
        <v>0</v>
      </c>
      <c r="CT1512" s="5" t="s">
        <v>265</v>
      </c>
      <c r="CU1512" s="5" t="s">
        <v>1342</v>
      </c>
      <c r="CV1512" s="5" t="s">
        <v>308</v>
      </c>
      <c r="CW1512" s="7">
        <f>1492700</f>
        <v>1492700</v>
      </c>
      <c r="CX1512" s="8">
        <f>1492700</f>
        <v>1492700</v>
      </c>
      <c r="CY1512" s="8">
        <f>1492700</f>
        <v>1492700</v>
      </c>
      <c r="CZ1512" s="8" t="s">
        <v>238</v>
      </c>
      <c r="DA1512" s="5" t="s">
        <v>238</v>
      </c>
      <c r="DB1512" s="5" t="s">
        <v>238</v>
      </c>
      <c r="DD1512" s="5" t="s">
        <v>238</v>
      </c>
      <c r="DE1512" s="8">
        <f>0</f>
        <v>0</v>
      </c>
      <c r="DF1512" s="6" t="s">
        <v>238</v>
      </c>
      <c r="DG1512" s="5" t="s">
        <v>238</v>
      </c>
      <c r="DH1512" s="5" t="s">
        <v>238</v>
      </c>
      <c r="DI1512" s="5" t="s">
        <v>238</v>
      </c>
      <c r="DJ1512" s="5" t="s">
        <v>238</v>
      </c>
      <c r="DK1512" s="5" t="s">
        <v>238</v>
      </c>
      <c r="DL1512" s="5" t="s">
        <v>238</v>
      </c>
      <c r="DM1512" s="8" t="s">
        <v>238</v>
      </c>
      <c r="DN1512" s="5" t="s">
        <v>238</v>
      </c>
      <c r="DO1512" s="5" t="s">
        <v>247</v>
      </c>
      <c r="DP1512" s="5" t="s">
        <v>3170</v>
      </c>
      <c r="DQ1512" s="5" t="s">
        <v>3170</v>
      </c>
      <c r="DR1512" s="5" t="s">
        <v>238</v>
      </c>
      <c r="DS1512" s="5" t="s">
        <v>238</v>
      </c>
      <c r="GL1512" s="5" t="s">
        <v>3199</v>
      </c>
      <c r="HP1512" s="5" t="s">
        <v>238</v>
      </c>
      <c r="HQ1512" s="5" t="s">
        <v>238</v>
      </c>
      <c r="HR1512" s="5" t="s">
        <v>238</v>
      </c>
      <c r="HS1512" s="5" t="s">
        <v>238</v>
      </c>
      <c r="HT1512" s="5" t="s">
        <v>238</v>
      </c>
      <c r="HU1512" s="5" t="s">
        <v>238</v>
      </c>
      <c r="HV1512" s="5" t="s">
        <v>238</v>
      </c>
      <c r="HW1512" s="5" t="s">
        <v>238</v>
      </c>
      <c r="HX1512" s="5" t="s">
        <v>238</v>
      </c>
      <c r="HY1512" s="5" t="s">
        <v>238</v>
      </c>
      <c r="HZ1512" s="5" t="s">
        <v>238</v>
      </c>
      <c r="IA1512" s="5" t="s">
        <v>238</v>
      </c>
      <c r="IB1512" s="5" t="s">
        <v>238</v>
      </c>
      <c r="IC1512" s="5" t="s">
        <v>238</v>
      </c>
      <c r="ID1512" s="5" t="s">
        <v>238</v>
      </c>
    </row>
    <row r="1513" spans="1:238" x14ac:dyDescent="0.4">
      <c r="A1513" s="5">
        <v>1907</v>
      </c>
      <c r="B1513" s="5">
        <v>1</v>
      </c>
      <c r="C1513" s="5">
        <v>3</v>
      </c>
      <c r="D1513" s="5" t="s">
        <v>1024</v>
      </c>
      <c r="E1513" s="5" t="s">
        <v>347</v>
      </c>
      <c r="F1513" s="5" t="s">
        <v>282</v>
      </c>
      <c r="G1513" s="5" t="s">
        <v>3168</v>
      </c>
      <c r="H1513" s="6" t="s">
        <v>3169</v>
      </c>
      <c r="I1513" s="5" t="s">
        <v>3166</v>
      </c>
      <c r="J1513" s="8">
        <f>1</f>
        <v>1</v>
      </c>
      <c r="K1513" s="5" t="s">
        <v>3176</v>
      </c>
      <c r="L1513" s="8">
        <f>311458</f>
        <v>311458</v>
      </c>
      <c r="M1513" s="8">
        <f>320100</f>
        <v>320100</v>
      </c>
      <c r="N1513" s="6" t="s">
        <v>3167</v>
      </c>
      <c r="O1513" s="5" t="s">
        <v>639</v>
      </c>
      <c r="P1513" s="5" t="s">
        <v>238</v>
      </c>
      <c r="Q1513" s="8">
        <f>0</f>
        <v>0</v>
      </c>
      <c r="R1513" s="8">
        <f>8642</f>
        <v>8642</v>
      </c>
      <c r="S1513" s="5" t="s">
        <v>240</v>
      </c>
      <c r="T1513" s="5" t="s">
        <v>238</v>
      </c>
      <c r="W1513" s="5" t="s">
        <v>238</v>
      </c>
      <c r="X1513" s="5" t="s">
        <v>238</v>
      </c>
      <c r="Y1513" s="5" t="s">
        <v>238</v>
      </c>
      <c r="AB1513" s="5" t="s">
        <v>347</v>
      </c>
      <c r="AC1513" s="6" t="s">
        <v>238</v>
      </c>
      <c r="AD1513" s="6" t="s">
        <v>238</v>
      </c>
      <c r="AE1513" s="5" t="s">
        <v>238</v>
      </c>
      <c r="AF1513" s="6" t="s">
        <v>238</v>
      </c>
      <c r="AG1513" s="6" t="s">
        <v>3167</v>
      </c>
      <c r="AH1513" s="5" t="s">
        <v>247</v>
      </c>
      <c r="AI1513" s="5" t="s">
        <v>238</v>
      </c>
      <c r="AO1513" s="5" t="s">
        <v>238</v>
      </c>
      <c r="AP1513" s="5" t="s">
        <v>238</v>
      </c>
      <c r="AQ1513" s="5" t="s">
        <v>238</v>
      </c>
      <c r="AR1513" s="6" t="s">
        <v>238</v>
      </c>
      <c r="AS1513" s="6" t="s">
        <v>238</v>
      </c>
      <c r="AT1513" s="6" t="s">
        <v>238</v>
      </c>
      <c r="AW1513" s="5" t="s">
        <v>304</v>
      </c>
      <c r="AX1513" s="5" t="s">
        <v>304</v>
      </c>
      <c r="AY1513" s="5" t="s">
        <v>250</v>
      </c>
      <c r="AZ1513" s="5" t="s">
        <v>281</v>
      </c>
      <c r="BA1513" s="5" t="s">
        <v>251</v>
      </c>
      <c r="BB1513" s="5" t="s">
        <v>238</v>
      </c>
      <c r="BC1513" s="5" t="s">
        <v>253</v>
      </c>
      <c r="BD1513" s="5" t="s">
        <v>3170</v>
      </c>
      <c r="BF1513" s="5" t="s">
        <v>238</v>
      </c>
      <c r="BH1513" s="5" t="s">
        <v>283</v>
      </c>
      <c r="BI1513" s="6" t="s">
        <v>293</v>
      </c>
      <c r="BJ1513" s="5" t="s">
        <v>294</v>
      </c>
      <c r="BK1513" s="5" t="s">
        <v>3171</v>
      </c>
      <c r="BL1513" s="5" t="s">
        <v>238</v>
      </c>
      <c r="BM1513" s="8">
        <f>0</f>
        <v>0</v>
      </c>
      <c r="BN1513" s="8">
        <f>-8642</f>
        <v>-8642</v>
      </c>
      <c r="BO1513" s="5" t="s">
        <v>257</v>
      </c>
      <c r="BP1513" s="5" t="s">
        <v>258</v>
      </c>
      <c r="BQ1513" s="5" t="s">
        <v>377</v>
      </c>
      <c r="BR1513" s="5" t="s">
        <v>3172</v>
      </c>
      <c r="BS1513" s="5" t="s">
        <v>258</v>
      </c>
      <c r="BT1513" s="5" t="s">
        <v>238</v>
      </c>
      <c r="BU1513" s="5" t="s">
        <v>3173</v>
      </c>
      <c r="BV1513" s="5" t="s">
        <v>3174</v>
      </c>
      <c r="BW1513" s="5" t="s">
        <v>3174</v>
      </c>
      <c r="BY1513" s="6" t="s">
        <v>3175</v>
      </c>
      <c r="BZ1513" s="5" t="s">
        <v>257</v>
      </c>
      <c r="CA1513" s="5" t="s">
        <v>238</v>
      </c>
      <c r="CB1513" s="5" t="s">
        <v>238</v>
      </c>
      <c r="CC1513" s="5" t="s">
        <v>258</v>
      </c>
      <c r="CD1513" s="5" t="s">
        <v>238</v>
      </c>
      <c r="CE1513" s="5" t="s">
        <v>238</v>
      </c>
      <c r="CI1513" s="5" t="s">
        <v>238</v>
      </c>
      <c r="CJ1513" s="5" t="s">
        <v>238</v>
      </c>
      <c r="CK1513" s="5" t="s">
        <v>272</v>
      </c>
      <c r="CM1513" s="5" t="s">
        <v>238</v>
      </c>
      <c r="CN1513" s="6" t="s">
        <v>262</v>
      </c>
      <c r="CO1513" s="5" t="s">
        <v>263</v>
      </c>
      <c r="CP1513" s="5" t="s">
        <v>264</v>
      </c>
      <c r="CQ1513" s="5" t="s">
        <v>285</v>
      </c>
      <c r="CR1513" s="5" t="s">
        <v>238</v>
      </c>
      <c r="CS1513" s="5">
        <v>0</v>
      </c>
      <c r="CT1513" s="5" t="s">
        <v>265</v>
      </c>
      <c r="CU1513" s="5" t="s">
        <v>1342</v>
      </c>
      <c r="CV1513" s="5" t="s">
        <v>308</v>
      </c>
      <c r="CW1513" s="7">
        <f>320100</f>
        <v>320100</v>
      </c>
      <c r="CX1513" s="8">
        <f>320100</f>
        <v>320100</v>
      </c>
      <c r="CY1513" s="8">
        <f>320100</f>
        <v>320100</v>
      </c>
      <c r="CZ1513" s="8" t="s">
        <v>238</v>
      </c>
      <c r="DA1513" s="5" t="s">
        <v>238</v>
      </c>
      <c r="DB1513" s="5" t="s">
        <v>238</v>
      </c>
      <c r="DD1513" s="5" t="s">
        <v>238</v>
      </c>
      <c r="DE1513" s="8">
        <f>0</f>
        <v>0</v>
      </c>
      <c r="DF1513" s="6" t="s">
        <v>238</v>
      </c>
      <c r="DG1513" s="5" t="s">
        <v>238</v>
      </c>
      <c r="DH1513" s="5" t="s">
        <v>238</v>
      </c>
      <c r="DI1513" s="5" t="s">
        <v>238</v>
      </c>
      <c r="DJ1513" s="5" t="s">
        <v>238</v>
      </c>
      <c r="DK1513" s="5" t="s">
        <v>238</v>
      </c>
      <c r="DL1513" s="5" t="s">
        <v>238</v>
      </c>
      <c r="DM1513" s="8" t="s">
        <v>238</v>
      </c>
      <c r="DN1513" s="5" t="s">
        <v>238</v>
      </c>
      <c r="DO1513" s="5" t="s">
        <v>247</v>
      </c>
      <c r="DP1513" s="5" t="s">
        <v>3170</v>
      </c>
      <c r="DQ1513" s="5" t="s">
        <v>3170</v>
      </c>
      <c r="DR1513" s="5" t="s">
        <v>238</v>
      </c>
      <c r="DS1513" s="5" t="s">
        <v>238</v>
      </c>
      <c r="GL1513" s="5" t="s">
        <v>3177</v>
      </c>
      <c r="HP1513" s="5" t="s">
        <v>238</v>
      </c>
      <c r="HQ1513" s="5" t="s">
        <v>238</v>
      </c>
      <c r="HR1513" s="5" t="s">
        <v>238</v>
      </c>
      <c r="HS1513" s="5" t="s">
        <v>238</v>
      </c>
      <c r="HT1513" s="5" t="s">
        <v>238</v>
      </c>
      <c r="HU1513" s="5" t="s">
        <v>238</v>
      </c>
      <c r="HV1513" s="5" t="s">
        <v>238</v>
      </c>
      <c r="HW1513" s="5" t="s">
        <v>238</v>
      </c>
      <c r="HX1513" s="5" t="s">
        <v>238</v>
      </c>
      <c r="HY1513" s="5" t="s">
        <v>238</v>
      </c>
      <c r="HZ1513" s="5" t="s">
        <v>238</v>
      </c>
      <c r="IA1513" s="5" t="s">
        <v>238</v>
      </c>
      <c r="IB1513" s="5" t="s">
        <v>238</v>
      </c>
      <c r="IC1513" s="5" t="s">
        <v>238</v>
      </c>
      <c r="ID1513" s="5" t="s">
        <v>238</v>
      </c>
    </row>
    <row r="1514" spans="1:238" x14ac:dyDescent="0.4">
      <c r="A1514" s="5">
        <v>1908</v>
      </c>
      <c r="B1514" s="5">
        <v>1</v>
      </c>
      <c r="C1514" s="5">
        <v>3</v>
      </c>
      <c r="D1514" s="5" t="s">
        <v>1047</v>
      </c>
      <c r="E1514" s="5" t="s">
        <v>347</v>
      </c>
      <c r="F1514" s="5" t="s">
        <v>282</v>
      </c>
      <c r="G1514" s="5" t="s">
        <v>3168</v>
      </c>
      <c r="H1514" s="6" t="s">
        <v>4379</v>
      </c>
      <c r="I1514" s="5" t="s">
        <v>3166</v>
      </c>
      <c r="J1514" s="8">
        <f>1</f>
        <v>1</v>
      </c>
      <c r="K1514" s="5" t="s">
        <v>3176</v>
      </c>
      <c r="L1514" s="8">
        <f>160010</f>
        <v>160010</v>
      </c>
      <c r="M1514" s="8">
        <f>164450</f>
        <v>164450</v>
      </c>
      <c r="N1514" s="6" t="s">
        <v>3167</v>
      </c>
      <c r="O1514" s="5" t="s">
        <v>639</v>
      </c>
      <c r="P1514" s="5" t="s">
        <v>238</v>
      </c>
      <c r="Q1514" s="8">
        <f>0</f>
        <v>0</v>
      </c>
      <c r="R1514" s="8">
        <f>4440</f>
        <v>4440</v>
      </c>
      <c r="S1514" s="5" t="s">
        <v>240</v>
      </c>
      <c r="T1514" s="5" t="s">
        <v>238</v>
      </c>
      <c r="W1514" s="5" t="s">
        <v>238</v>
      </c>
      <c r="X1514" s="5" t="s">
        <v>238</v>
      </c>
      <c r="Y1514" s="5" t="s">
        <v>238</v>
      </c>
      <c r="AB1514" s="5" t="s">
        <v>347</v>
      </c>
      <c r="AC1514" s="6" t="s">
        <v>238</v>
      </c>
      <c r="AD1514" s="6" t="s">
        <v>238</v>
      </c>
      <c r="AE1514" s="5" t="s">
        <v>238</v>
      </c>
      <c r="AF1514" s="6" t="s">
        <v>238</v>
      </c>
      <c r="AG1514" s="6" t="s">
        <v>3167</v>
      </c>
      <c r="AH1514" s="5" t="s">
        <v>247</v>
      </c>
      <c r="AI1514" s="5" t="s">
        <v>238</v>
      </c>
      <c r="AO1514" s="5" t="s">
        <v>238</v>
      </c>
      <c r="AP1514" s="5" t="s">
        <v>238</v>
      </c>
      <c r="AQ1514" s="5" t="s">
        <v>238</v>
      </c>
      <c r="AR1514" s="6" t="s">
        <v>238</v>
      </c>
      <c r="AS1514" s="6" t="s">
        <v>238</v>
      </c>
      <c r="AT1514" s="6" t="s">
        <v>238</v>
      </c>
      <c r="AW1514" s="5" t="s">
        <v>304</v>
      </c>
      <c r="AX1514" s="5" t="s">
        <v>304</v>
      </c>
      <c r="AY1514" s="5" t="s">
        <v>250</v>
      </c>
      <c r="AZ1514" s="5" t="s">
        <v>281</v>
      </c>
      <c r="BA1514" s="5" t="s">
        <v>251</v>
      </c>
      <c r="BB1514" s="5" t="s">
        <v>238</v>
      </c>
      <c r="BC1514" s="5" t="s">
        <v>253</v>
      </c>
      <c r="BD1514" s="5" t="s">
        <v>3170</v>
      </c>
      <c r="BF1514" s="5" t="s">
        <v>238</v>
      </c>
      <c r="BH1514" s="5" t="s">
        <v>283</v>
      </c>
      <c r="BI1514" s="6" t="s">
        <v>293</v>
      </c>
      <c r="BJ1514" s="5" t="s">
        <v>294</v>
      </c>
      <c r="BK1514" s="5" t="s">
        <v>3171</v>
      </c>
      <c r="BL1514" s="5" t="s">
        <v>238</v>
      </c>
      <c r="BM1514" s="8">
        <f>0</f>
        <v>0</v>
      </c>
      <c r="BN1514" s="8">
        <f>-4440</f>
        <v>-4440</v>
      </c>
      <c r="BO1514" s="5" t="s">
        <v>257</v>
      </c>
      <c r="BP1514" s="5" t="s">
        <v>258</v>
      </c>
      <c r="BQ1514" s="5" t="s">
        <v>377</v>
      </c>
      <c r="BR1514" s="5" t="s">
        <v>3172</v>
      </c>
      <c r="BS1514" s="5" t="s">
        <v>258</v>
      </c>
      <c r="BT1514" s="5" t="s">
        <v>238</v>
      </c>
      <c r="BU1514" s="5" t="s">
        <v>3173</v>
      </c>
      <c r="BV1514" s="5" t="s">
        <v>3174</v>
      </c>
      <c r="BW1514" s="5" t="s">
        <v>3174</v>
      </c>
      <c r="BY1514" s="6" t="s">
        <v>3175</v>
      </c>
      <c r="BZ1514" s="5" t="s">
        <v>257</v>
      </c>
      <c r="CA1514" s="5" t="s">
        <v>238</v>
      </c>
      <c r="CB1514" s="5" t="s">
        <v>238</v>
      </c>
      <c r="CC1514" s="5" t="s">
        <v>258</v>
      </c>
      <c r="CD1514" s="5" t="s">
        <v>238</v>
      </c>
      <c r="CE1514" s="5" t="s">
        <v>238</v>
      </c>
      <c r="CI1514" s="5" t="s">
        <v>238</v>
      </c>
      <c r="CJ1514" s="5" t="s">
        <v>238</v>
      </c>
      <c r="CK1514" s="5" t="s">
        <v>272</v>
      </c>
      <c r="CM1514" s="5" t="s">
        <v>238</v>
      </c>
      <c r="CN1514" s="6" t="s">
        <v>262</v>
      </c>
      <c r="CO1514" s="5" t="s">
        <v>263</v>
      </c>
      <c r="CP1514" s="5" t="s">
        <v>264</v>
      </c>
      <c r="CQ1514" s="5" t="s">
        <v>285</v>
      </c>
      <c r="CR1514" s="5" t="s">
        <v>238</v>
      </c>
      <c r="CS1514" s="5">
        <v>0</v>
      </c>
      <c r="CT1514" s="5" t="s">
        <v>265</v>
      </c>
      <c r="CU1514" s="5" t="s">
        <v>1342</v>
      </c>
      <c r="CV1514" s="5" t="s">
        <v>308</v>
      </c>
      <c r="CW1514" s="7">
        <f t="shared" ref="CW1514:CY1515" si="96">164450</f>
        <v>164450</v>
      </c>
      <c r="CX1514" s="8">
        <f t="shared" si="96"/>
        <v>164450</v>
      </c>
      <c r="CY1514" s="8">
        <f t="shared" si="96"/>
        <v>164450</v>
      </c>
      <c r="CZ1514" s="8" t="s">
        <v>238</v>
      </c>
      <c r="DA1514" s="5" t="s">
        <v>238</v>
      </c>
      <c r="DB1514" s="5" t="s">
        <v>238</v>
      </c>
      <c r="DD1514" s="5" t="s">
        <v>238</v>
      </c>
      <c r="DE1514" s="8">
        <f>0</f>
        <v>0</v>
      </c>
      <c r="DF1514" s="6" t="s">
        <v>238</v>
      </c>
      <c r="DG1514" s="5" t="s">
        <v>238</v>
      </c>
      <c r="DH1514" s="5" t="s">
        <v>238</v>
      </c>
      <c r="DI1514" s="5" t="s">
        <v>238</v>
      </c>
      <c r="DJ1514" s="5" t="s">
        <v>238</v>
      </c>
      <c r="DK1514" s="5" t="s">
        <v>238</v>
      </c>
      <c r="DL1514" s="5" t="s">
        <v>238</v>
      </c>
      <c r="DM1514" s="8" t="s">
        <v>238</v>
      </c>
      <c r="DN1514" s="5" t="s">
        <v>238</v>
      </c>
      <c r="DO1514" s="5" t="s">
        <v>247</v>
      </c>
      <c r="DP1514" s="5" t="s">
        <v>3170</v>
      </c>
      <c r="DQ1514" s="5" t="s">
        <v>3170</v>
      </c>
      <c r="DR1514" s="5" t="s">
        <v>238</v>
      </c>
      <c r="DS1514" s="5" t="s">
        <v>238</v>
      </c>
      <c r="GL1514" s="5" t="s">
        <v>4380</v>
      </c>
      <c r="HP1514" s="5" t="s">
        <v>238</v>
      </c>
      <c r="HQ1514" s="5" t="s">
        <v>238</v>
      </c>
      <c r="HR1514" s="5" t="s">
        <v>238</v>
      </c>
      <c r="HS1514" s="5" t="s">
        <v>238</v>
      </c>
      <c r="HT1514" s="5" t="s">
        <v>238</v>
      </c>
      <c r="HU1514" s="5" t="s">
        <v>238</v>
      </c>
      <c r="HV1514" s="5" t="s">
        <v>238</v>
      </c>
      <c r="HW1514" s="5" t="s">
        <v>238</v>
      </c>
      <c r="HX1514" s="5" t="s">
        <v>238</v>
      </c>
      <c r="HY1514" s="5" t="s">
        <v>238</v>
      </c>
      <c r="HZ1514" s="5" t="s">
        <v>238</v>
      </c>
      <c r="IA1514" s="5" t="s">
        <v>238</v>
      </c>
      <c r="IB1514" s="5" t="s">
        <v>238</v>
      </c>
      <c r="IC1514" s="5" t="s">
        <v>238</v>
      </c>
      <c r="ID1514" s="5" t="s">
        <v>238</v>
      </c>
    </row>
    <row r="1515" spans="1:238" x14ac:dyDescent="0.4">
      <c r="A1515" s="5">
        <v>1909</v>
      </c>
      <c r="B1515" s="5">
        <v>1</v>
      </c>
      <c r="C1515" s="5">
        <v>3</v>
      </c>
      <c r="D1515" s="5" t="s">
        <v>1639</v>
      </c>
      <c r="E1515" s="5" t="s">
        <v>347</v>
      </c>
      <c r="F1515" s="5" t="s">
        <v>282</v>
      </c>
      <c r="G1515" s="5" t="s">
        <v>4237</v>
      </c>
      <c r="H1515" s="6" t="s">
        <v>4132</v>
      </c>
      <c r="I1515" s="5" t="s">
        <v>3166</v>
      </c>
      <c r="J1515" s="8">
        <f>1</f>
        <v>1</v>
      </c>
      <c r="K1515" s="5" t="s">
        <v>3176</v>
      </c>
      <c r="L1515" s="8">
        <f>160010</f>
        <v>160010</v>
      </c>
      <c r="M1515" s="8">
        <f>164450</f>
        <v>164450</v>
      </c>
      <c r="N1515" s="6" t="s">
        <v>3167</v>
      </c>
      <c r="O1515" s="5" t="s">
        <v>639</v>
      </c>
      <c r="P1515" s="5" t="s">
        <v>238</v>
      </c>
      <c r="Q1515" s="8">
        <f>0</f>
        <v>0</v>
      </c>
      <c r="R1515" s="8">
        <f>4440</f>
        <v>4440</v>
      </c>
      <c r="S1515" s="5" t="s">
        <v>240</v>
      </c>
      <c r="T1515" s="5" t="s">
        <v>238</v>
      </c>
      <c r="W1515" s="5" t="s">
        <v>238</v>
      </c>
      <c r="X1515" s="5" t="s">
        <v>238</v>
      </c>
      <c r="Y1515" s="5" t="s">
        <v>238</v>
      </c>
      <c r="AB1515" s="5" t="s">
        <v>347</v>
      </c>
      <c r="AC1515" s="6" t="s">
        <v>238</v>
      </c>
      <c r="AD1515" s="6" t="s">
        <v>238</v>
      </c>
      <c r="AE1515" s="5" t="s">
        <v>238</v>
      </c>
      <c r="AF1515" s="6" t="s">
        <v>238</v>
      </c>
      <c r="AG1515" s="6" t="s">
        <v>3167</v>
      </c>
      <c r="AH1515" s="5" t="s">
        <v>247</v>
      </c>
      <c r="AI1515" s="5" t="s">
        <v>238</v>
      </c>
      <c r="AO1515" s="5" t="s">
        <v>238</v>
      </c>
      <c r="AP1515" s="5" t="s">
        <v>238</v>
      </c>
      <c r="AQ1515" s="5" t="s">
        <v>238</v>
      </c>
      <c r="AR1515" s="6" t="s">
        <v>238</v>
      </c>
      <c r="AS1515" s="6" t="s">
        <v>238</v>
      </c>
      <c r="AT1515" s="6" t="s">
        <v>238</v>
      </c>
      <c r="AW1515" s="5" t="s">
        <v>304</v>
      </c>
      <c r="AX1515" s="5" t="s">
        <v>304</v>
      </c>
      <c r="AY1515" s="5" t="s">
        <v>250</v>
      </c>
      <c r="AZ1515" s="5" t="s">
        <v>281</v>
      </c>
      <c r="BA1515" s="5" t="s">
        <v>251</v>
      </c>
      <c r="BB1515" s="5" t="s">
        <v>238</v>
      </c>
      <c r="BC1515" s="5" t="s">
        <v>253</v>
      </c>
      <c r="BD1515" s="5" t="s">
        <v>3170</v>
      </c>
      <c r="BF1515" s="5" t="s">
        <v>238</v>
      </c>
      <c r="BH1515" s="5" t="s">
        <v>283</v>
      </c>
      <c r="BI1515" s="6" t="s">
        <v>293</v>
      </c>
      <c r="BJ1515" s="5" t="s">
        <v>294</v>
      </c>
      <c r="BK1515" s="5" t="s">
        <v>3171</v>
      </c>
      <c r="BL1515" s="5" t="s">
        <v>238</v>
      </c>
      <c r="BM1515" s="8">
        <f>0</f>
        <v>0</v>
      </c>
      <c r="BN1515" s="8">
        <f>-4440</f>
        <v>-4440</v>
      </c>
      <c r="BO1515" s="5" t="s">
        <v>257</v>
      </c>
      <c r="BP1515" s="5" t="s">
        <v>258</v>
      </c>
      <c r="BQ1515" s="5" t="s">
        <v>377</v>
      </c>
      <c r="BR1515" s="5" t="s">
        <v>3183</v>
      </c>
      <c r="BS1515" s="5" t="s">
        <v>258</v>
      </c>
      <c r="BT1515" s="5" t="s">
        <v>238</v>
      </c>
      <c r="BU1515" s="5" t="s">
        <v>3173</v>
      </c>
      <c r="BV1515" s="5" t="s">
        <v>3174</v>
      </c>
      <c r="BW1515" s="5" t="s">
        <v>3174</v>
      </c>
      <c r="BY1515" s="6" t="s">
        <v>4238</v>
      </c>
      <c r="BZ1515" s="5" t="s">
        <v>257</v>
      </c>
      <c r="CA1515" s="5" t="s">
        <v>238</v>
      </c>
      <c r="CB1515" s="5" t="s">
        <v>238</v>
      </c>
      <c r="CC1515" s="5" t="s">
        <v>258</v>
      </c>
      <c r="CD1515" s="5" t="s">
        <v>238</v>
      </c>
      <c r="CE1515" s="5" t="s">
        <v>238</v>
      </c>
      <c r="CI1515" s="5" t="s">
        <v>238</v>
      </c>
      <c r="CJ1515" s="5" t="s">
        <v>238</v>
      </c>
      <c r="CK1515" s="5" t="s">
        <v>272</v>
      </c>
      <c r="CM1515" s="5" t="s">
        <v>238</v>
      </c>
      <c r="CN1515" s="6" t="s">
        <v>262</v>
      </c>
      <c r="CO1515" s="5" t="s">
        <v>263</v>
      </c>
      <c r="CP1515" s="5" t="s">
        <v>264</v>
      </c>
      <c r="CQ1515" s="5" t="s">
        <v>285</v>
      </c>
      <c r="CR1515" s="5" t="s">
        <v>238</v>
      </c>
      <c r="CS1515" s="5">
        <v>0</v>
      </c>
      <c r="CT1515" s="5" t="s">
        <v>265</v>
      </c>
      <c r="CU1515" s="5" t="s">
        <v>1342</v>
      </c>
      <c r="CV1515" s="5" t="s">
        <v>308</v>
      </c>
      <c r="CW1515" s="7">
        <f t="shared" si="96"/>
        <v>164450</v>
      </c>
      <c r="CX1515" s="8">
        <f t="shared" si="96"/>
        <v>164450</v>
      </c>
      <c r="CY1515" s="8">
        <f t="shared" si="96"/>
        <v>164450</v>
      </c>
      <c r="CZ1515" s="8" t="s">
        <v>238</v>
      </c>
      <c r="DA1515" s="5" t="s">
        <v>238</v>
      </c>
      <c r="DB1515" s="5" t="s">
        <v>238</v>
      </c>
      <c r="DD1515" s="5" t="s">
        <v>238</v>
      </c>
      <c r="DE1515" s="8">
        <f>0</f>
        <v>0</v>
      </c>
      <c r="DF1515" s="6" t="s">
        <v>238</v>
      </c>
      <c r="DG1515" s="5" t="s">
        <v>238</v>
      </c>
      <c r="DH1515" s="5" t="s">
        <v>238</v>
      </c>
      <c r="DI1515" s="5" t="s">
        <v>238</v>
      </c>
      <c r="DJ1515" s="5" t="s">
        <v>238</v>
      </c>
      <c r="DK1515" s="5" t="s">
        <v>238</v>
      </c>
      <c r="DL1515" s="5" t="s">
        <v>238</v>
      </c>
      <c r="DM1515" s="8" t="s">
        <v>238</v>
      </c>
      <c r="DN1515" s="5" t="s">
        <v>238</v>
      </c>
      <c r="DO1515" s="5" t="s">
        <v>247</v>
      </c>
      <c r="DP1515" s="5" t="s">
        <v>3170</v>
      </c>
      <c r="DQ1515" s="5" t="s">
        <v>3170</v>
      </c>
      <c r="DR1515" s="5" t="s">
        <v>238</v>
      </c>
      <c r="DS1515" s="5" t="s">
        <v>238</v>
      </c>
      <c r="GL1515" s="5" t="s">
        <v>4239</v>
      </c>
      <c r="HP1515" s="5" t="s">
        <v>238</v>
      </c>
      <c r="HQ1515" s="5" t="s">
        <v>238</v>
      </c>
      <c r="HR1515" s="5" t="s">
        <v>238</v>
      </c>
      <c r="HS1515" s="5" t="s">
        <v>238</v>
      </c>
      <c r="HT1515" s="5" t="s">
        <v>238</v>
      </c>
      <c r="HU1515" s="5" t="s">
        <v>238</v>
      </c>
      <c r="HV1515" s="5" t="s">
        <v>238</v>
      </c>
      <c r="HW1515" s="5" t="s">
        <v>238</v>
      </c>
      <c r="HX1515" s="5" t="s">
        <v>238</v>
      </c>
      <c r="HY1515" s="5" t="s">
        <v>238</v>
      </c>
      <c r="HZ1515" s="5" t="s">
        <v>238</v>
      </c>
      <c r="IA1515" s="5" t="s">
        <v>238</v>
      </c>
      <c r="IB1515" s="5" t="s">
        <v>238</v>
      </c>
      <c r="IC1515" s="5" t="s">
        <v>238</v>
      </c>
      <c r="ID1515" s="5" t="s">
        <v>238</v>
      </c>
    </row>
    <row r="1516" spans="1:238" x14ac:dyDescent="0.4">
      <c r="A1516" s="5">
        <v>1911</v>
      </c>
      <c r="B1516" s="5">
        <v>1</v>
      </c>
      <c r="C1516" s="5">
        <v>3</v>
      </c>
      <c r="D1516" s="5" t="s">
        <v>470</v>
      </c>
      <c r="E1516" s="5" t="s">
        <v>454</v>
      </c>
      <c r="F1516" s="5" t="s">
        <v>282</v>
      </c>
      <c r="G1516" s="5" t="s">
        <v>349</v>
      </c>
      <c r="H1516" s="6" t="s">
        <v>238</v>
      </c>
      <c r="I1516" s="5" t="s">
        <v>3996</v>
      </c>
      <c r="J1516" s="7">
        <f>0</f>
        <v>0</v>
      </c>
      <c r="K1516" s="5" t="s">
        <v>270</v>
      </c>
      <c r="L1516" s="8">
        <f>839654</f>
        <v>839654</v>
      </c>
      <c r="M1516" s="8">
        <f>909700</f>
        <v>909700</v>
      </c>
      <c r="N1516" s="6" t="s">
        <v>1077</v>
      </c>
      <c r="O1516" s="5" t="s">
        <v>319</v>
      </c>
      <c r="P1516" s="5" t="s">
        <v>238</v>
      </c>
      <c r="Q1516" s="8">
        <f>0</f>
        <v>0</v>
      </c>
      <c r="R1516" s="8">
        <f>70046</f>
        <v>70046</v>
      </c>
      <c r="S1516" s="5" t="s">
        <v>240</v>
      </c>
      <c r="T1516" s="5" t="s">
        <v>237</v>
      </c>
      <c r="W1516" s="5" t="s">
        <v>241</v>
      </c>
      <c r="X1516" s="5" t="s">
        <v>238</v>
      </c>
      <c r="Y1516" s="5" t="s">
        <v>238</v>
      </c>
      <c r="AB1516" s="5" t="s">
        <v>454</v>
      </c>
      <c r="AC1516" s="6" t="s">
        <v>238</v>
      </c>
      <c r="AD1516" s="6" t="s">
        <v>238</v>
      </c>
      <c r="AE1516" s="5" t="s">
        <v>238</v>
      </c>
      <c r="AF1516" s="6" t="s">
        <v>238</v>
      </c>
      <c r="AG1516" s="6" t="s">
        <v>3279</v>
      </c>
      <c r="AH1516" s="5" t="s">
        <v>247</v>
      </c>
      <c r="AI1516" s="5" t="s">
        <v>238</v>
      </c>
      <c r="AO1516" s="5" t="s">
        <v>238</v>
      </c>
      <c r="AP1516" s="5" t="s">
        <v>238</v>
      </c>
      <c r="AQ1516" s="5" t="s">
        <v>238</v>
      </c>
      <c r="AR1516" s="6" t="s">
        <v>238</v>
      </c>
      <c r="AS1516" s="6" t="s">
        <v>238</v>
      </c>
      <c r="AT1516" s="6" t="s">
        <v>238</v>
      </c>
      <c r="AW1516" s="5" t="s">
        <v>304</v>
      </c>
      <c r="AX1516" s="5" t="s">
        <v>304</v>
      </c>
      <c r="AY1516" s="5" t="s">
        <v>250</v>
      </c>
      <c r="AZ1516" s="5" t="s">
        <v>281</v>
      </c>
      <c r="BA1516" s="5" t="s">
        <v>251</v>
      </c>
      <c r="BB1516" s="5" t="s">
        <v>238</v>
      </c>
      <c r="BC1516" s="5" t="s">
        <v>253</v>
      </c>
      <c r="BD1516" s="5" t="s">
        <v>3170</v>
      </c>
      <c r="BF1516" s="5" t="s">
        <v>238</v>
      </c>
      <c r="BH1516" s="5" t="s">
        <v>283</v>
      </c>
      <c r="BI1516" s="6" t="s">
        <v>293</v>
      </c>
      <c r="BJ1516" s="5" t="s">
        <v>294</v>
      </c>
      <c r="BK1516" s="5" t="s">
        <v>3171</v>
      </c>
      <c r="BL1516" s="5" t="s">
        <v>238</v>
      </c>
      <c r="BM1516" s="7">
        <f>0</f>
        <v>0</v>
      </c>
      <c r="BN1516" s="8">
        <f>-70046</f>
        <v>-70046</v>
      </c>
      <c r="BO1516" s="5" t="s">
        <v>257</v>
      </c>
      <c r="BP1516" s="5" t="s">
        <v>258</v>
      </c>
      <c r="BQ1516" s="5" t="s">
        <v>3183</v>
      </c>
      <c r="BR1516" s="5" t="s">
        <v>3172</v>
      </c>
      <c r="BS1516" s="5" t="s">
        <v>3997</v>
      </c>
      <c r="BT1516" s="5" t="s">
        <v>238</v>
      </c>
      <c r="BU1516" s="5" t="s">
        <v>257</v>
      </c>
      <c r="BV1516" s="5" t="s">
        <v>3174</v>
      </c>
      <c r="BW1516" s="5" t="s">
        <v>3174</v>
      </c>
      <c r="BY1516" s="6" t="s">
        <v>3998</v>
      </c>
      <c r="BZ1516" s="5" t="s">
        <v>257</v>
      </c>
      <c r="CA1516" s="5" t="s">
        <v>238</v>
      </c>
      <c r="CB1516" s="5" t="s">
        <v>238</v>
      </c>
      <c r="CC1516" s="5" t="s">
        <v>258</v>
      </c>
      <c r="CD1516" s="5" t="s">
        <v>238</v>
      </c>
      <c r="CE1516" s="5" t="s">
        <v>238</v>
      </c>
      <c r="CI1516" s="5" t="s">
        <v>238</v>
      </c>
      <c r="CJ1516" s="5" t="s">
        <v>238</v>
      </c>
      <c r="CK1516" s="5" t="s">
        <v>272</v>
      </c>
      <c r="CM1516" s="5" t="s">
        <v>238</v>
      </c>
      <c r="CN1516" s="6" t="s">
        <v>262</v>
      </c>
      <c r="CO1516" s="5" t="s">
        <v>263</v>
      </c>
      <c r="CP1516" s="5" t="s">
        <v>264</v>
      </c>
      <c r="CQ1516" s="5" t="s">
        <v>285</v>
      </c>
      <c r="CR1516" s="5" t="s">
        <v>238</v>
      </c>
      <c r="CS1516" s="5">
        <v>0</v>
      </c>
      <c r="CT1516" s="5" t="s">
        <v>265</v>
      </c>
      <c r="CU1516" s="5" t="s">
        <v>351</v>
      </c>
      <c r="CV1516" s="5" t="s">
        <v>352</v>
      </c>
      <c r="CW1516" s="7">
        <f>0</f>
        <v>0</v>
      </c>
      <c r="CX1516" s="8">
        <f>909700</f>
        <v>909700</v>
      </c>
      <c r="CY1516" s="8">
        <f>839654</f>
        <v>839654</v>
      </c>
      <c r="CZ1516" s="8" t="s">
        <v>238</v>
      </c>
      <c r="DA1516" s="5" t="s">
        <v>238</v>
      </c>
      <c r="DB1516" s="5" t="s">
        <v>238</v>
      </c>
      <c r="DD1516" s="5" t="s">
        <v>238</v>
      </c>
      <c r="DE1516" s="8">
        <f>0</f>
        <v>0</v>
      </c>
      <c r="DF1516" s="6" t="s">
        <v>238</v>
      </c>
      <c r="DG1516" s="5" t="s">
        <v>238</v>
      </c>
      <c r="DH1516" s="5" t="s">
        <v>238</v>
      </c>
      <c r="DI1516" s="5" t="s">
        <v>238</v>
      </c>
      <c r="DJ1516" s="5" t="s">
        <v>238</v>
      </c>
      <c r="DK1516" s="5" t="s">
        <v>238</v>
      </c>
      <c r="DL1516" s="5" t="s">
        <v>238</v>
      </c>
      <c r="DM1516" s="8" t="s">
        <v>238</v>
      </c>
      <c r="DN1516" s="5" t="s">
        <v>238</v>
      </c>
      <c r="DO1516" s="5" t="s">
        <v>247</v>
      </c>
      <c r="DP1516" s="5" t="s">
        <v>3170</v>
      </c>
      <c r="DQ1516" s="5" t="s">
        <v>3170</v>
      </c>
      <c r="DR1516" s="5" t="s">
        <v>238</v>
      </c>
      <c r="DS1516" s="5" t="s">
        <v>238</v>
      </c>
      <c r="HP1516" s="5" t="s">
        <v>238</v>
      </c>
      <c r="HQ1516" s="5" t="s">
        <v>238</v>
      </c>
      <c r="HR1516" s="5" t="s">
        <v>238</v>
      </c>
      <c r="HS1516" s="5" t="s">
        <v>238</v>
      </c>
      <c r="HT1516" s="5" t="s">
        <v>238</v>
      </c>
      <c r="HU1516" s="5" t="s">
        <v>238</v>
      </c>
      <c r="HV1516" s="5" t="s">
        <v>238</v>
      </c>
      <c r="HW1516" s="5" t="s">
        <v>238</v>
      </c>
      <c r="HX1516" s="5" t="s">
        <v>238</v>
      </c>
      <c r="HY1516" s="5" t="s">
        <v>238</v>
      </c>
      <c r="HZ1516" s="5" t="s">
        <v>238</v>
      </c>
      <c r="IA1516" s="5" t="s">
        <v>238</v>
      </c>
      <c r="IB1516" s="5" t="s">
        <v>238</v>
      </c>
      <c r="IC1516" s="5" t="s">
        <v>238</v>
      </c>
      <c r="ID1516" s="5" t="s">
        <v>238</v>
      </c>
    </row>
    <row r="1517" spans="1:238" x14ac:dyDescent="0.4">
      <c r="A1517" s="5">
        <v>1912</v>
      </c>
      <c r="B1517" s="5">
        <v>1</v>
      </c>
      <c r="C1517" s="5">
        <v>3</v>
      </c>
      <c r="D1517" s="5" t="s">
        <v>416</v>
      </c>
      <c r="E1517" s="5" t="s">
        <v>454</v>
      </c>
      <c r="F1517" s="5" t="s">
        <v>282</v>
      </c>
      <c r="G1517" s="5" t="s">
        <v>349</v>
      </c>
      <c r="H1517" s="6" t="s">
        <v>238</v>
      </c>
      <c r="I1517" s="5" t="s">
        <v>3999</v>
      </c>
      <c r="J1517" s="7">
        <f>0</f>
        <v>0</v>
      </c>
      <c r="K1517" s="5" t="s">
        <v>270</v>
      </c>
      <c r="L1517" s="8">
        <f>746246</f>
        <v>746246</v>
      </c>
      <c r="M1517" s="8">
        <f>808500</f>
        <v>808500</v>
      </c>
      <c r="N1517" s="6" t="s">
        <v>1077</v>
      </c>
      <c r="O1517" s="5" t="s">
        <v>319</v>
      </c>
      <c r="P1517" s="5" t="s">
        <v>238</v>
      </c>
      <c r="Q1517" s="8">
        <f>0</f>
        <v>0</v>
      </c>
      <c r="R1517" s="8">
        <f>62254</f>
        <v>62254</v>
      </c>
      <c r="S1517" s="5" t="s">
        <v>240</v>
      </c>
      <c r="T1517" s="5" t="s">
        <v>237</v>
      </c>
      <c r="W1517" s="5" t="s">
        <v>241</v>
      </c>
      <c r="X1517" s="5" t="s">
        <v>238</v>
      </c>
      <c r="Y1517" s="5" t="s">
        <v>238</v>
      </c>
      <c r="AB1517" s="5" t="s">
        <v>454</v>
      </c>
      <c r="AC1517" s="6" t="s">
        <v>238</v>
      </c>
      <c r="AD1517" s="6" t="s">
        <v>238</v>
      </c>
      <c r="AE1517" s="5" t="s">
        <v>238</v>
      </c>
      <c r="AF1517" s="6" t="s">
        <v>238</v>
      </c>
      <c r="AG1517" s="6" t="s">
        <v>3279</v>
      </c>
      <c r="AH1517" s="5" t="s">
        <v>247</v>
      </c>
      <c r="AI1517" s="5" t="s">
        <v>238</v>
      </c>
      <c r="AO1517" s="5" t="s">
        <v>238</v>
      </c>
      <c r="AP1517" s="5" t="s">
        <v>238</v>
      </c>
      <c r="AQ1517" s="5" t="s">
        <v>238</v>
      </c>
      <c r="AR1517" s="6" t="s">
        <v>238</v>
      </c>
      <c r="AS1517" s="6" t="s">
        <v>238</v>
      </c>
      <c r="AT1517" s="6" t="s">
        <v>238</v>
      </c>
      <c r="AW1517" s="5" t="s">
        <v>304</v>
      </c>
      <c r="AX1517" s="5" t="s">
        <v>304</v>
      </c>
      <c r="AY1517" s="5" t="s">
        <v>250</v>
      </c>
      <c r="AZ1517" s="5" t="s">
        <v>281</v>
      </c>
      <c r="BA1517" s="5" t="s">
        <v>251</v>
      </c>
      <c r="BB1517" s="5" t="s">
        <v>238</v>
      </c>
      <c r="BC1517" s="5" t="s">
        <v>253</v>
      </c>
      <c r="BD1517" s="5" t="s">
        <v>3170</v>
      </c>
      <c r="BF1517" s="5" t="s">
        <v>238</v>
      </c>
      <c r="BH1517" s="5" t="s">
        <v>283</v>
      </c>
      <c r="BI1517" s="6" t="s">
        <v>293</v>
      </c>
      <c r="BJ1517" s="5" t="s">
        <v>294</v>
      </c>
      <c r="BK1517" s="5" t="s">
        <v>3171</v>
      </c>
      <c r="BL1517" s="5" t="s">
        <v>238</v>
      </c>
      <c r="BM1517" s="7">
        <f>0</f>
        <v>0</v>
      </c>
      <c r="BN1517" s="8">
        <f>-62254</f>
        <v>-62254</v>
      </c>
      <c r="BO1517" s="5" t="s">
        <v>257</v>
      </c>
      <c r="BP1517" s="5" t="s">
        <v>258</v>
      </c>
      <c r="BQ1517" s="5" t="s">
        <v>3183</v>
      </c>
      <c r="BR1517" s="5" t="s">
        <v>3172</v>
      </c>
      <c r="BS1517" s="5" t="s">
        <v>3997</v>
      </c>
      <c r="BT1517" s="5" t="s">
        <v>238</v>
      </c>
      <c r="BU1517" s="5" t="s">
        <v>257</v>
      </c>
      <c r="BV1517" s="5" t="s">
        <v>3174</v>
      </c>
      <c r="BW1517" s="5" t="s">
        <v>3174</v>
      </c>
      <c r="BY1517" s="6" t="s">
        <v>3998</v>
      </c>
      <c r="BZ1517" s="5" t="s">
        <v>257</v>
      </c>
      <c r="CA1517" s="5" t="s">
        <v>238</v>
      </c>
      <c r="CB1517" s="5" t="s">
        <v>238</v>
      </c>
      <c r="CC1517" s="5" t="s">
        <v>258</v>
      </c>
      <c r="CD1517" s="5" t="s">
        <v>238</v>
      </c>
      <c r="CE1517" s="5" t="s">
        <v>238</v>
      </c>
      <c r="CI1517" s="5" t="s">
        <v>238</v>
      </c>
      <c r="CJ1517" s="5" t="s">
        <v>238</v>
      </c>
      <c r="CK1517" s="5" t="s">
        <v>272</v>
      </c>
      <c r="CM1517" s="5" t="s">
        <v>238</v>
      </c>
      <c r="CN1517" s="6" t="s">
        <v>262</v>
      </c>
      <c r="CO1517" s="5" t="s">
        <v>263</v>
      </c>
      <c r="CP1517" s="5" t="s">
        <v>264</v>
      </c>
      <c r="CQ1517" s="5" t="s">
        <v>285</v>
      </c>
      <c r="CR1517" s="5" t="s">
        <v>238</v>
      </c>
      <c r="CS1517" s="5">
        <v>0</v>
      </c>
      <c r="CT1517" s="5" t="s">
        <v>265</v>
      </c>
      <c r="CU1517" s="5" t="s">
        <v>351</v>
      </c>
      <c r="CV1517" s="5" t="s">
        <v>3141</v>
      </c>
      <c r="CW1517" s="7">
        <f>0</f>
        <v>0</v>
      </c>
      <c r="CX1517" s="8">
        <f>808500</f>
        <v>808500</v>
      </c>
      <c r="CY1517" s="8">
        <f>746246</f>
        <v>746246</v>
      </c>
      <c r="CZ1517" s="8" t="s">
        <v>238</v>
      </c>
      <c r="DA1517" s="5" t="s">
        <v>238</v>
      </c>
      <c r="DB1517" s="5" t="s">
        <v>238</v>
      </c>
      <c r="DD1517" s="5" t="s">
        <v>238</v>
      </c>
      <c r="DE1517" s="8">
        <f>0</f>
        <v>0</v>
      </c>
      <c r="DF1517" s="6" t="s">
        <v>238</v>
      </c>
      <c r="DG1517" s="5" t="s">
        <v>238</v>
      </c>
      <c r="DH1517" s="5" t="s">
        <v>238</v>
      </c>
      <c r="DI1517" s="5" t="s">
        <v>238</v>
      </c>
      <c r="DJ1517" s="5" t="s">
        <v>238</v>
      </c>
      <c r="DK1517" s="5" t="s">
        <v>238</v>
      </c>
      <c r="DL1517" s="5" t="s">
        <v>238</v>
      </c>
      <c r="DM1517" s="8" t="s">
        <v>238</v>
      </c>
      <c r="DN1517" s="5" t="s">
        <v>238</v>
      </c>
      <c r="DO1517" s="5" t="s">
        <v>247</v>
      </c>
      <c r="DP1517" s="5" t="s">
        <v>3170</v>
      </c>
      <c r="DQ1517" s="5" t="s">
        <v>3170</v>
      </c>
      <c r="DR1517" s="5" t="s">
        <v>238</v>
      </c>
      <c r="DS1517" s="5" t="s">
        <v>238</v>
      </c>
      <c r="HP1517" s="5" t="s">
        <v>238</v>
      </c>
      <c r="HQ1517" s="5" t="s">
        <v>238</v>
      </c>
      <c r="HR1517" s="5" t="s">
        <v>238</v>
      </c>
      <c r="HS1517" s="5" t="s">
        <v>238</v>
      </c>
      <c r="HT1517" s="5" t="s">
        <v>238</v>
      </c>
      <c r="HU1517" s="5" t="s">
        <v>238</v>
      </c>
      <c r="HV1517" s="5" t="s">
        <v>238</v>
      </c>
      <c r="HW1517" s="5" t="s">
        <v>238</v>
      </c>
      <c r="HX1517" s="5" t="s">
        <v>238</v>
      </c>
      <c r="HY1517" s="5" t="s">
        <v>238</v>
      </c>
      <c r="HZ1517" s="5" t="s">
        <v>238</v>
      </c>
      <c r="IA1517" s="5" t="s">
        <v>238</v>
      </c>
      <c r="IB1517" s="5" t="s">
        <v>238</v>
      </c>
      <c r="IC1517" s="5" t="s">
        <v>238</v>
      </c>
      <c r="ID1517" s="5" t="s">
        <v>238</v>
      </c>
    </row>
    <row r="1518" spans="1:238" x14ac:dyDescent="0.4">
      <c r="A1518" s="5">
        <v>1913</v>
      </c>
      <c r="B1518" s="5">
        <v>1</v>
      </c>
      <c r="C1518" s="5">
        <v>3</v>
      </c>
      <c r="D1518" s="5" t="s">
        <v>412</v>
      </c>
      <c r="E1518" s="5" t="s">
        <v>454</v>
      </c>
      <c r="F1518" s="5" t="s">
        <v>282</v>
      </c>
      <c r="G1518" s="5" t="s">
        <v>349</v>
      </c>
      <c r="H1518" s="6" t="s">
        <v>238</v>
      </c>
      <c r="I1518" s="5" t="s">
        <v>4000</v>
      </c>
      <c r="J1518" s="7">
        <f>0</f>
        <v>0</v>
      </c>
      <c r="K1518" s="5" t="s">
        <v>270</v>
      </c>
      <c r="L1518" s="8">
        <f>791934</f>
        <v>791934</v>
      </c>
      <c r="M1518" s="8">
        <f>858000</f>
        <v>858000</v>
      </c>
      <c r="N1518" s="6" t="s">
        <v>1077</v>
      </c>
      <c r="O1518" s="5" t="s">
        <v>319</v>
      </c>
      <c r="P1518" s="5" t="s">
        <v>238</v>
      </c>
      <c r="Q1518" s="8">
        <f>0</f>
        <v>0</v>
      </c>
      <c r="R1518" s="8">
        <f>66066</f>
        <v>66066</v>
      </c>
      <c r="S1518" s="5" t="s">
        <v>240</v>
      </c>
      <c r="T1518" s="5" t="s">
        <v>237</v>
      </c>
      <c r="W1518" s="5" t="s">
        <v>241</v>
      </c>
      <c r="X1518" s="5" t="s">
        <v>238</v>
      </c>
      <c r="Y1518" s="5" t="s">
        <v>238</v>
      </c>
      <c r="AB1518" s="5" t="s">
        <v>454</v>
      </c>
      <c r="AC1518" s="6" t="s">
        <v>238</v>
      </c>
      <c r="AD1518" s="6" t="s">
        <v>238</v>
      </c>
      <c r="AE1518" s="5" t="s">
        <v>238</v>
      </c>
      <c r="AF1518" s="6" t="s">
        <v>238</v>
      </c>
      <c r="AG1518" s="6" t="s">
        <v>3279</v>
      </c>
      <c r="AH1518" s="5" t="s">
        <v>247</v>
      </c>
      <c r="AI1518" s="5" t="s">
        <v>238</v>
      </c>
      <c r="AO1518" s="5" t="s">
        <v>238</v>
      </c>
      <c r="AP1518" s="5" t="s">
        <v>238</v>
      </c>
      <c r="AQ1518" s="5" t="s">
        <v>238</v>
      </c>
      <c r="AR1518" s="6" t="s">
        <v>238</v>
      </c>
      <c r="AS1518" s="6" t="s">
        <v>238</v>
      </c>
      <c r="AT1518" s="6" t="s">
        <v>238</v>
      </c>
      <c r="AW1518" s="5" t="s">
        <v>304</v>
      </c>
      <c r="AX1518" s="5" t="s">
        <v>304</v>
      </c>
      <c r="AY1518" s="5" t="s">
        <v>250</v>
      </c>
      <c r="AZ1518" s="5" t="s">
        <v>281</v>
      </c>
      <c r="BA1518" s="5" t="s">
        <v>251</v>
      </c>
      <c r="BB1518" s="5" t="s">
        <v>238</v>
      </c>
      <c r="BC1518" s="5" t="s">
        <v>253</v>
      </c>
      <c r="BD1518" s="5" t="s">
        <v>3170</v>
      </c>
      <c r="BF1518" s="5" t="s">
        <v>238</v>
      </c>
      <c r="BH1518" s="5" t="s">
        <v>283</v>
      </c>
      <c r="BI1518" s="6" t="s">
        <v>293</v>
      </c>
      <c r="BJ1518" s="5" t="s">
        <v>294</v>
      </c>
      <c r="BK1518" s="5" t="s">
        <v>3171</v>
      </c>
      <c r="BL1518" s="5" t="s">
        <v>238</v>
      </c>
      <c r="BM1518" s="7">
        <f>0</f>
        <v>0</v>
      </c>
      <c r="BN1518" s="8">
        <f>-66066</f>
        <v>-66066</v>
      </c>
      <c r="BO1518" s="5" t="s">
        <v>257</v>
      </c>
      <c r="BP1518" s="5" t="s">
        <v>258</v>
      </c>
      <c r="BQ1518" s="5" t="s">
        <v>3183</v>
      </c>
      <c r="BR1518" s="5" t="s">
        <v>3172</v>
      </c>
      <c r="BS1518" s="5" t="s">
        <v>3997</v>
      </c>
      <c r="BT1518" s="5" t="s">
        <v>238</v>
      </c>
      <c r="BU1518" s="5" t="s">
        <v>257</v>
      </c>
      <c r="BV1518" s="5" t="s">
        <v>3174</v>
      </c>
      <c r="BW1518" s="5" t="s">
        <v>3174</v>
      </c>
      <c r="BY1518" s="6" t="s">
        <v>4001</v>
      </c>
      <c r="BZ1518" s="5" t="s">
        <v>257</v>
      </c>
      <c r="CA1518" s="5" t="s">
        <v>238</v>
      </c>
      <c r="CB1518" s="5" t="s">
        <v>238</v>
      </c>
      <c r="CC1518" s="5" t="s">
        <v>258</v>
      </c>
      <c r="CD1518" s="5" t="s">
        <v>238</v>
      </c>
      <c r="CE1518" s="5" t="s">
        <v>238</v>
      </c>
      <c r="CI1518" s="5" t="s">
        <v>238</v>
      </c>
      <c r="CJ1518" s="5" t="s">
        <v>238</v>
      </c>
      <c r="CK1518" s="5" t="s">
        <v>272</v>
      </c>
      <c r="CM1518" s="5" t="s">
        <v>238</v>
      </c>
      <c r="CN1518" s="6" t="s">
        <v>262</v>
      </c>
      <c r="CO1518" s="5" t="s">
        <v>263</v>
      </c>
      <c r="CP1518" s="5" t="s">
        <v>264</v>
      </c>
      <c r="CQ1518" s="5" t="s">
        <v>285</v>
      </c>
      <c r="CR1518" s="5" t="s">
        <v>238</v>
      </c>
      <c r="CS1518" s="5">
        <v>0</v>
      </c>
      <c r="CT1518" s="5" t="s">
        <v>265</v>
      </c>
      <c r="CU1518" s="5" t="s">
        <v>351</v>
      </c>
      <c r="CV1518" s="5" t="s">
        <v>352</v>
      </c>
      <c r="CW1518" s="7">
        <f>0</f>
        <v>0</v>
      </c>
      <c r="CX1518" s="8">
        <f>858000</f>
        <v>858000</v>
      </c>
      <c r="CY1518" s="8">
        <f>791934</f>
        <v>791934</v>
      </c>
      <c r="CZ1518" s="8" t="s">
        <v>238</v>
      </c>
      <c r="DA1518" s="5" t="s">
        <v>238</v>
      </c>
      <c r="DB1518" s="5" t="s">
        <v>238</v>
      </c>
      <c r="DD1518" s="5" t="s">
        <v>238</v>
      </c>
      <c r="DE1518" s="8">
        <f>0</f>
        <v>0</v>
      </c>
      <c r="DF1518" s="6" t="s">
        <v>238</v>
      </c>
      <c r="DG1518" s="5" t="s">
        <v>238</v>
      </c>
      <c r="DH1518" s="5" t="s">
        <v>238</v>
      </c>
      <c r="DI1518" s="5" t="s">
        <v>238</v>
      </c>
      <c r="DJ1518" s="5" t="s">
        <v>238</v>
      </c>
      <c r="DK1518" s="5" t="s">
        <v>238</v>
      </c>
      <c r="DL1518" s="5" t="s">
        <v>238</v>
      </c>
      <c r="DM1518" s="8" t="s">
        <v>238</v>
      </c>
      <c r="DN1518" s="5" t="s">
        <v>238</v>
      </c>
      <c r="DO1518" s="5" t="s">
        <v>247</v>
      </c>
      <c r="DP1518" s="5" t="s">
        <v>3170</v>
      </c>
      <c r="DQ1518" s="5" t="s">
        <v>3170</v>
      </c>
      <c r="DR1518" s="5" t="s">
        <v>238</v>
      </c>
      <c r="DS1518" s="5" t="s">
        <v>238</v>
      </c>
      <c r="HP1518" s="5" t="s">
        <v>238</v>
      </c>
      <c r="HQ1518" s="5" t="s">
        <v>238</v>
      </c>
      <c r="HR1518" s="5" t="s">
        <v>238</v>
      </c>
      <c r="HS1518" s="5" t="s">
        <v>238</v>
      </c>
      <c r="HT1518" s="5" t="s">
        <v>238</v>
      </c>
      <c r="HU1518" s="5" t="s">
        <v>238</v>
      </c>
      <c r="HV1518" s="5" t="s">
        <v>238</v>
      </c>
      <c r="HW1518" s="5" t="s">
        <v>238</v>
      </c>
      <c r="HX1518" s="5" t="s">
        <v>238</v>
      </c>
      <c r="HY1518" s="5" t="s">
        <v>238</v>
      </c>
      <c r="HZ1518" s="5" t="s">
        <v>238</v>
      </c>
      <c r="IA1518" s="5" t="s">
        <v>238</v>
      </c>
      <c r="IB1518" s="5" t="s">
        <v>238</v>
      </c>
      <c r="IC1518" s="5" t="s">
        <v>238</v>
      </c>
      <c r="ID1518" s="5" t="s">
        <v>238</v>
      </c>
    </row>
    <row r="1519" spans="1:238" x14ac:dyDescent="0.4">
      <c r="A1519" s="5">
        <v>1914</v>
      </c>
      <c r="B1519" s="5">
        <v>1</v>
      </c>
      <c r="C1519" s="5">
        <v>3</v>
      </c>
      <c r="D1519" s="5" t="s">
        <v>385</v>
      </c>
      <c r="E1519" s="5" t="s">
        <v>454</v>
      </c>
      <c r="F1519" s="5" t="s">
        <v>282</v>
      </c>
      <c r="G1519" s="5" t="s">
        <v>349</v>
      </c>
      <c r="H1519" s="6" t="s">
        <v>238</v>
      </c>
      <c r="I1519" s="5" t="s">
        <v>4064</v>
      </c>
      <c r="J1519" s="7">
        <f>0</f>
        <v>0</v>
      </c>
      <c r="K1519" s="5" t="s">
        <v>270</v>
      </c>
      <c r="L1519" s="8">
        <f>426426</f>
        <v>426426</v>
      </c>
      <c r="M1519" s="8">
        <f>462000</f>
        <v>462000</v>
      </c>
      <c r="N1519" s="6" t="s">
        <v>1077</v>
      </c>
      <c r="O1519" s="5" t="s">
        <v>319</v>
      </c>
      <c r="P1519" s="5" t="s">
        <v>238</v>
      </c>
      <c r="Q1519" s="8">
        <f>0</f>
        <v>0</v>
      </c>
      <c r="R1519" s="8">
        <f>35574</f>
        <v>35574</v>
      </c>
      <c r="S1519" s="5" t="s">
        <v>240</v>
      </c>
      <c r="T1519" s="5" t="s">
        <v>237</v>
      </c>
      <c r="W1519" s="5" t="s">
        <v>241</v>
      </c>
      <c r="X1519" s="5" t="s">
        <v>238</v>
      </c>
      <c r="Y1519" s="5" t="s">
        <v>238</v>
      </c>
      <c r="AB1519" s="5" t="s">
        <v>454</v>
      </c>
      <c r="AC1519" s="6" t="s">
        <v>238</v>
      </c>
      <c r="AD1519" s="6" t="s">
        <v>238</v>
      </c>
      <c r="AE1519" s="5" t="s">
        <v>238</v>
      </c>
      <c r="AF1519" s="6" t="s">
        <v>238</v>
      </c>
      <c r="AG1519" s="6" t="s">
        <v>3279</v>
      </c>
      <c r="AH1519" s="5" t="s">
        <v>247</v>
      </c>
      <c r="AI1519" s="5" t="s">
        <v>238</v>
      </c>
      <c r="AO1519" s="5" t="s">
        <v>238</v>
      </c>
      <c r="AP1519" s="5" t="s">
        <v>238</v>
      </c>
      <c r="AQ1519" s="5" t="s">
        <v>238</v>
      </c>
      <c r="AR1519" s="6" t="s">
        <v>238</v>
      </c>
      <c r="AS1519" s="6" t="s">
        <v>238</v>
      </c>
      <c r="AT1519" s="6" t="s">
        <v>238</v>
      </c>
      <c r="AW1519" s="5" t="s">
        <v>304</v>
      </c>
      <c r="AX1519" s="5" t="s">
        <v>304</v>
      </c>
      <c r="AY1519" s="5" t="s">
        <v>250</v>
      </c>
      <c r="AZ1519" s="5" t="s">
        <v>281</v>
      </c>
      <c r="BA1519" s="5" t="s">
        <v>251</v>
      </c>
      <c r="BB1519" s="5" t="s">
        <v>238</v>
      </c>
      <c r="BC1519" s="5" t="s">
        <v>253</v>
      </c>
      <c r="BD1519" s="5" t="s">
        <v>3170</v>
      </c>
      <c r="BF1519" s="5" t="s">
        <v>238</v>
      </c>
      <c r="BH1519" s="5" t="s">
        <v>283</v>
      </c>
      <c r="BI1519" s="6" t="s">
        <v>293</v>
      </c>
      <c r="BJ1519" s="5" t="s">
        <v>294</v>
      </c>
      <c r="BK1519" s="5" t="s">
        <v>3171</v>
      </c>
      <c r="BL1519" s="5" t="s">
        <v>238</v>
      </c>
      <c r="BM1519" s="7">
        <f>0</f>
        <v>0</v>
      </c>
      <c r="BN1519" s="8">
        <f>-35574</f>
        <v>-35574</v>
      </c>
      <c r="BO1519" s="5" t="s">
        <v>257</v>
      </c>
      <c r="BP1519" s="5" t="s">
        <v>258</v>
      </c>
      <c r="BQ1519" s="5" t="s">
        <v>3183</v>
      </c>
      <c r="BR1519" s="5" t="s">
        <v>3172</v>
      </c>
      <c r="BS1519" s="5" t="s">
        <v>3997</v>
      </c>
      <c r="BT1519" s="5" t="s">
        <v>238</v>
      </c>
      <c r="BU1519" s="5" t="s">
        <v>257</v>
      </c>
      <c r="BV1519" s="5" t="s">
        <v>3174</v>
      </c>
      <c r="BW1519" s="5" t="s">
        <v>3174</v>
      </c>
      <c r="BY1519" s="6" t="s">
        <v>4001</v>
      </c>
      <c r="BZ1519" s="5" t="s">
        <v>257</v>
      </c>
      <c r="CA1519" s="5" t="s">
        <v>238</v>
      </c>
      <c r="CB1519" s="5" t="s">
        <v>238</v>
      </c>
      <c r="CC1519" s="5" t="s">
        <v>258</v>
      </c>
      <c r="CD1519" s="5" t="s">
        <v>238</v>
      </c>
      <c r="CE1519" s="5" t="s">
        <v>238</v>
      </c>
      <c r="CI1519" s="5" t="s">
        <v>238</v>
      </c>
      <c r="CJ1519" s="5" t="s">
        <v>238</v>
      </c>
      <c r="CK1519" s="5" t="s">
        <v>272</v>
      </c>
      <c r="CM1519" s="5" t="s">
        <v>238</v>
      </c>
      <c r="CN1519" s="6" t="s">
        <v>262</v>
      </c>
      <c r="CO1519" s="5" t="s">
        <v>263</v>
      </c>
      <c r="CP1519" s="5" t="s">
        <v>264</v>
      </c>
      <c r="CQ1519" s="5" t="s">
        <v>285</v>
      </c>
      <c r="CR1519" s="5" t="s">
        <v>238</v>
      </c>
      <c r="CS1519" s="5">
        <v>0</v>
      </c>
      <c r="CT1519" s="5" t="s">
        <v>265</v>
      </c>
      <c r="CU1519" s="5" t="s">
        <v>351</v>
      </c>
      <c r="CV1519" s="5" t="s">
        <v>352</v>
      </c>
      <c r="CW1519" s="7">
        <f>0</f>
        <v>0</v>
      </c>
      <c r="CX1519" s="8">
        <f>462000</f>
        <v>462000</v>
      </c>
      <c r="CY1519" s="8">
        <f>426426</f>
        <v>426426</v>
      </c>
      <c r="CZ1519" s="8" t="s">
        <v>238</v>
      </c>
      <c r="DA1519" s="5" t="s">
        <v>238</v>
      </c>
      <c r="DB1519" s="5" t="s">
        <v>238</v>
      </c>
      <c r="DD1519" s="5" t="s">
        <v>238</v>
      </c>
      <c r="DE1519" s="8">
        <f>0</f>
        <v>0</v>
      </c>
      <c r="DF1519" s="6" t="s">
        <v>238</v>
      </c>
      <c r="DG1519" s="5" t="s">
        <v>238</v>
      </c>
      <c r="DH1519" s="5" t="s">
        <v>238</v>
      </c>
      <c r="DI1519" s="5" t="s">
        <v>238</v>
      </c>
      <c r="DJ1519" s="5" t="s">
        <v>238</v>
      </c>
      <c r="DK1519" s="5" t="s">
        <v>238</v>
      </c>
      <c r="DL1519" s="5" t="s">
        <v>238</v>
      </c>
      <c r="DM1519" s="8" t="s">
        <v>238</v>
      </c>
      <c r="DN1519" s="5" t="s">
        <v>238</v>
      </c>
      <c r="DO1519" s="5" t="s">
        <v>247</v>
      </c>
      <c r="DP1519" s="5" t="s">
        <v>3170</v>
      </c>
      <c r="DQ1519" s="5" t="s">
        <v>3170</v>
      </c>
      <c r="DR1519" s="5" t="s">
        <v>238</v>
      </c>
      <c r="DS1519" s="5" t="s">
        <v>238</v>
      </c>
      <c r="HP1519" s="5" t="s">
        <v>238</v>
      </c>
      <c r="HQ1519" s="5" t="s">
        <v>238</v>
      </c>
      <c r="HR1519" s="5" t="s">
        <v>238</v>
      </c>
      <c r="HS1519" s="5" t="s">
        <v>238</v>
      </c>
      <c r="HT1519" s="5" t="s">
        <v>238</v>
      </c>
      <c r="HU1519" s="5" t="s">
        <v>238</v>
      </c>
      <c r="HV1519" s="5" t="s">
        <v>238</v>
      </c>
      <c r="HW1519" s="5" t="s">
        <v>238</v>
      </c>
      <c r="HX1519" s="5" t="s">
        <v>238</v>
      </c>
      <c r="HY1519" s="5" t="s">
        <v>238</v>
      </c>
      <c r="HZ1519" s="5" t="s">
        <v>238</v>
      </c>
      <c r="IA1519" s="5" t="s">
        <v>238</v>
      </c>
      <c r="IB1519" s="5" t="s">
        <v>238</v>
      </c>
      <c r="IC1519" s="5" t="s">
        <v>238</v>
      </c>
      <c r="ID1519" s="5" t="s">
        <v>238</v>
      </c>
    </row>
    <row r="1520" spans="1:238" x14ac:dyDescent="0.4">
      <c r="A1520" s="5">
        <v>1915</v>
      </c>
      <c r="B1520" s="5">
        <v>1</v>
      </c>
      <c r="C1520" s="5">
        <v>4</v>
      </c>
      <c r="D1520" s="5" t="s">
        <v>1442</v>
      </c>
      <c r="E1520" s="5" t="s">
        <v>440</v>
      </c>
      <c r="F1520" s="5" t="s">
        <v>282</v>
      </c>
      <c r="G1520" s="5" t="s">
        <v>3223</v>
      </c>
      <c r="H1520" s="6" t="s">
        <v>3225</v>
      </c>
      <c r="I1520" s="5" t="s">
        <v>3221</v>
      </c>
      <c r="J1520" s="8">
        <f>1</f>
        <v>1</v>
      </c>
      <c r="K1520" s="5" t="s">
        <v>3176</v>
      </c>
      <c r="L1520" s="8">
        <f>22250670</f>
        <v>22250670</v>
      </c>
      <c r="M1520" s="8">
        <f>23010000</f>
        <v>23010000</v>
      </c>
      <c r="N1520" s="6" t="s">
        <v>3222</v>
      </c>
      <c r="O1520" s="5" t="s">
        <v>650</v>
      </c>
      <c r="P1520" s="5" t="s">
        <v>272</v>
      </c>
      <c r="Q1520" s="8">
        <f>0</f>
        <v>0</v>
      </c>
      <c r="R1520" s="8">
        <f>759330</f>
        <v>759330</v>
      </c>
      <c r="S1520" s="5" t="s">
        <v>240</v>
      </c>
      <c r="T1520" s="5" t="s">
        <v>237</v>
      </c>
      <c r="W1520" s="5" t="s">
        <v>241</v>
      </c>
      <c r="X1520" s="5" t="s">
        <v>951</v>
      </c>
      <c r="Y1520" s="5" t="s">
        <v>238</v>
      </c>
      <c r="AB1520" s="5" t="s">
        <v>440</v>
      </c>
      <c r="AC1520" s="6" t="s">
        <v>3222</v>
      </c>
      <c r="AD1520" s="6" t="s">
        <v>3222</v>
      </c>
      <c r="AE1520" s="5" t="s">
        <v>238</v>
      </c>
      <c r="AF1520" s="6" t="s">
        <v>238</v>
      </c>
      <c r="AG1520" s="6" t="s">
        <v>3222</v>
      </c>
      <c r="AH1520" s="5" t="s">
        <v>247</v>
      </c>
      <c r="AI1520" s="5" t="s">
        <v>248</v>
      </c>
      <c r="AJ1520" s="5" t="s">
        <v>3224</v>
      </c>
      <c r="AO1520" s="5" t="s">
        <v>238</v>
      </c>
      <c r="AP1520" s="5" t="s">
        <v>238</v>
      </c>
      <c r="AQ1520" s="5" t="s">
        <v>238</v>
      </c>
      <c r="AR1520" s="6" t="s">
        <v>238</v>
      </c>
      <c r="AS1520" s="6" t="s">
        <v>238</v>
      </c>
      <c r="AT1520" s="6" t="s">
        <v>238</v>
      </c>
      <c r="AW1520" s="5" t="s">
        <v>304</v>
      </c>
      <c r="AX1520" s="5" t="s">
        <v>304</v>
      </c>
      <c r="AY1520" s="5" t="s">
        <v>250</v>
      </c>
      <c r="AZ1520" s="5" t="s">
        <v>281</v>
      </c>
      <c r="BA1520" s="5" t="s">
        <v>251</v>
      </c>
      <c r="BB1520" s="5" t="s">
        <v>3190</v>
      </c>
      <c r="BC1520" s="5" t="s">
        <v>253</v>
      </c>
      <c r="BD1520" s="5" t="s">
        <v>3170</v>
      </c>
      <c r="BF1520" s="5" t="s">
        <v>710</v>
      </c>
      <c r="BH1520" s="5" t="s">
        <v>283</v>
      </c>
      <c r="BI1520" s="6" t="s">
        <v>293</v>
      </c>
      <c r="BJ1520" s="5" t="s">
        <v>294</v>
      </c>
      <c r="BK1520" s="5" t="s">
        <v>3171</v>
      </c>
      <c r="BL1520" s="5" t="s">
        <v>238</v>
      </c>
      <c r="BM1520" s="8">
        <f>0</f>
        <v>0</v>
      </c>
      <c r="BN1520" s="8">
        <f>-759330</f>
        <v>-759330</v>
      </c>
      <c r="BO1520" s="5" t="s">
        <v>257</v>
      </c>
      <c r="BP1520" s="5" t="s">
        <v>258</v>
      </c>
      <c r="BQ1520" s="5" t="s">
        <v>3226</v>
      </c>
      <c r="BR1520" s="5" t="s">
        <v>3172</v>
      </c>
      <c r="BS1520" s="5" t="s">
        <v>3183</v>
      </c>
      <c r="BT1520" s="5" t="s">
        <v>238</v>
      </c>
      <c r="BY1520" s="6" t="s">
        <v>3227</v>
      </c>
      <c r="BZ1520" s="5" t="s">
        <v>257</v>
      </c>
      <c r="CA1520" s="5" t="s">
        <v>238</v>
      </c>
      <c r="CB1520" s="5" t="s">
        <v>238</v>
      </c>
      <c r="CC1520" s="5" t="s">
        <v>258</v>
      </c>
      <c r="CD1520" s="5" t="s">
        <v>3228</v>
      </c>
      <c r="CE1520" s="5" t="s">
        <v>3229</v>
      </c>
      <c r="CI1520" s="5" t="s">
        <v>259</v>
      </c>
      <c r="CJ1520" s="5" t="s">
        <v>260</v>
      </c>
      <c r="CK1520" s="5" t="s">
        <v>272</v>
      </c>
      <c r="CM1520" s="5" t="s">
        <v>3222</v>
      </c>
      <c r="CN1520" s="6" t="s">
        <v>262</v>
      </c>
      <c r="CO1520" s="5" t="s">
        <v>263</v>
      </c>
      <c r="CP1520" s="5" t="s">
        <v>264</v>
      </c>
      <c r="CQ1520" s="5" t="s">
        <v>285</v>
      </c>
      <c r="CR1520" s="5" t="s">
        <v>238</v>
      </c>
      <c r="CS1520" s="5">
        <v>0</v>
      </c>
      <c r="CT1520" s="5" t="s">
        <v>265</v>
      </c>
      <c r="CU1520" s="5" t="s">
        <v>266</v>
      </c>
      <c r="CV1520" s="5" t="s">
        <v>649</v>
      </c>
      <c r="CW1520" s="7">
        <f>23010000</f>
        <v>23010000</v>
      </c>
      <c r="CX1520" s="8">
        <f>23010000</f>
        <v>23010000</v>
      </c>
      <c r="CY1520" s="8">
        <f>22250670</f>
        <v>22250670</v>
      </c>
      <c r="CZ1520" s="8" t="s">
        <v>238</v>
      </c>
      <c r="DA1520" s="5" t="s">
        <v>238</v>
      </c>
      <c r="DB1520" s="5" t="s">
        <v>238</v>
      </c>
      <c r="DD1520" s="5" t="s">
        <v>238</v>
      </c>
      <c r="DE1520" s="8">
        <f>0</f>
        <v>0</v>
      </c>
      <c r="DF1520" s="6" t="s">
        <v>238</v>
      </c>
      <c r="DG1520" s="5" t="s">
        <v>238</v>
      </c>
      <c r="DH1520" s="5" t="s">
        <v>3230</v>
      </c>
      <c r="DI1520" s="5" t="s">
        <v>3231</v>
      </c>
      <c r="DJ1520" s="5" t="s">
        <v>3232</v>
      </c>
      <c r="DK1520" s="5" t="s">
        <v>271</v>
      </c>
      <c r="DL1520" s="5" t="s">
        <v>238</v>
      </c>
      <c r="DM1520" s="8">
        <f>84.38</f>
        <v>84.38</v>
      </c>
      <c r="DN1520" s="5" t="s">
        <v>238</v>
      </c>
      <c r="DO1520" s="5" t="s">
        <v>247</v>
      </c>
      <c r="DP1520" s="5" t="s">
        <v>3170</v>
      </c>
      <c r="DQ1520" s="5" t="s">
        <v>3170</v>
      </c>
      <c r="DR1520" s="5" t="s">
        <v>238</v>
      </c>
      <c r="DS1520" s="5" t="s">
        <v>238</v>
      </c>
      <c r="HP1520" s="5" t="s">
        <v>238</v>
      </c>
      <c r="HQ1520" s="5" t="s">
        <v>238</v>
      </c>
      <c r="HR1520" s="5" t="s">
        <v>238</v>
      </c>
      <c r="HS1520" s="5" t="s">
        <v>238</v>
      </c>
      <c r="HT1520" s="5" t="s">
        <v>238</v>
      </c>
      <c r="HU1520" s="5" t="s">
        <v>238</v>
      </c>
      <c r="HV1520" s="5" t="s">
        <v>238</v>
      </c>
      <c r="HW1520" s="5" t="s">
        <v>238</v>
      </c>
      <c r="HX1520" s="5" t="s">
        <v>238</v>
      </c>
      <c r="HY1520" s="5" t="s">
        <v>238</v>
      </c>
      <c r="HZ1520" s="5" t="s">
        <v>238</v>
      </c>
      <c r="IA1520" s="5" t="s">
        <v>238</v>
      </c>
      <c r="IB1520" s="5" t="s">
        <v>238</v>
      </c>
      <c r="IC1520" s="5" t="s">
        <v>238</v>
      </c>
      <c r="ID1520" s="5" t="s">
        <v>238</v>
      </c>
    </row>
    <row r="1521" spans="1:238" x14ac:dyDescent="0.4">
      <c r="A1521" s="5">
        <v>1954</v>
      </c>
      <c r="B1521" s="5">
        <v>1</v>
      </c>
      <c r="C1521" s="5">
        <v>4</v>
      </c>
      <c r="D1521" s="5" t="s">
        <v>1442</v>
      </c>
      <c r="E1521" s="5" t="s">
        <v>440</v>
      </c>
      <c r="F1521" s="5" t="s">
        <v>282</v>
      </c>
      <c r="G1521" s="5" t="s">
        <v>349</v>
      </c>
      <c r="H1521" s="6" t="s">
        <v>3225</v>
      </c>
      <c r="I1521" s="5" t="s">
        <v>4029</v>
      </c>
      <c r="J1521" s="8">
        <f>1</f>
        <v>1</v>
      </c>
      <c r="K1521" s="5" t="s">
        <v>3176</v>
      </c>
      <c r="L1521" s="8">
        <f>145211093</f>
        <v>145211093</v>
      </c>
      <c r="M1521" s="8">
        <f>154315720</f>
        <v>154315720</v>
      </c>
      <c r="N1521" s="6" t="s">
        <v>3222</v>
      </c>
      <c r="O1521" s="5" t="s">
        <v>631</v>
      </c>
      <c r="P1521" s="5" t="s">
        <v>238</v>
      </c>
      <c r="Q1521" s="8">
        <f>0</f>
        <v>0</v>
      </c>
      <c r="R1521" s="8">
        <f>9104627</f>
        <v>9104627</v>
      </c>
      <c r="S1521" s="5" t="s">
        <v>240</v>
      </c>
      <c r="T1521" s="5" t="s">
        <v>237</v>
      </c>
      <c r="W1521" s="5" t="s">
        <v>241</v>
      </c>
      <c r="X1521" s="5" t="s">
        <v>951</v>
      </c>
      <c r="Y1521" s="5" t="s">
        <v>238</v>
      </c>
      <c r="AB1521" s="5" t="s">
        <v>440</v>
      </c>
      <c r="AC1521" s="6" t="s">
        <v>3222</v>
      </c>
      <c r="AD1521" s="6" t="s">
        <v>3222</v>
      </c>
      <c r="AE1521" s="5" t="s">
        <v>238</v>
      </c>
      <c r="AF1521" s="6" t="s">
        <v>238</v>
      </c>
      <c r="AG1521" s="6" t="s">
        <v>3222</v>
      </c>
      <c r="AH1521" s="5" t="s">
        <v>247</v>
      </c>
      <c r="AI1521" s="5" t="s">
        <v>238</v>
      </c>
      <c r="AO1521" s="5" t="s">
        <v>238</v>
      </c>
      <c r="AP1521" s="5" t="s">
        <v>238</v>
      </c>
      <c r="AQ1521" s="5" t="s">
        <v>238</v>
      </c>
      <c r="AR1521" s="6" t="s">
        <v>238</v>
      </c>
      <c r="AS1521" s="6" t="s">
        <v>238</v>
      </c>
      <c r="AT1521" s="6" t="s">
        <v>238</v>
      </c>
      <c r="AW1521" s="5" t="s">
        <v>304</v>
      </c>
      <c r="AX1521" s="5" t="s">
        <v>304</v>
      </c>
      <c r="AY1521" s="5" t="s">
        <v>250</v>
      </c>
      <c r="AZ1521" s="5" t="s">
        <v>281</v>
      </c>
      <c r="BA1521" s="5" t="s">
        <v>251</v>
      </c>
      <c r="BB1521" s="5" t="s">
        <v>3190</v>
      </c>
      <c r="BC1521" s="5" t="s">
        <v>253</v>
      </c>
      <c r="BD1521" s="5" t="s">
        <v>3170</v>
      </c>
      <c r="BF1521" s="5" t="s">
        <v>238</v>
      </c>
      <c r="BH1521" s="5" t="s">
        <v>283</v>
      </c>
      <c r="BI1521" s="6" t="s">
        <v>293</v>
      </c>
      <c r="BJ1521" s="5" t="s">
        <v>294</v>
      </c>
      <c r="BK1521" s="5" t="s">
        <v>3171</v>
      </c>
      <c r="BL1521" s="5" t="s">
        <v>238</v>
      </c>
      <c r="BM1521" s="8">
        <f>0</f>
        <v>0</v>
      </c>
      <c r="BN1521" s="8">
        <f>-9104627</f>
        <v>-9104627</v>
      </c>
      <c r="BO1521" s="5" t="s">
        <v>257</v>
      </c>
      <c r="BP1521" s="5" t="s">
        <v>258</v>
      </c>
      <c r="BQ1521" s="5" t="s">
        <v>3226</v>
      </c>
      <c r="BR1521" s="5" t="s">
        <v>3172</v>
      </c>
      <c r="BS1521" s="5" t="s">
        <v>3183</v>
      </c>
      <c r="BT1521" s="5" t="s">
        <v>238</v>
      </c>
      <c r="BY1521" s="6" t="s">
        <v>3227</v>
      </c>
      <c r="BZ1521" s="5" t="s">
        <v>257</v>
      </c>
      <c r="CA1521" s="5" t="s">
        <v>238</v>
      </c>
      <c r="CB1521" s="5" t="s">
        <v>238</v>
      </c>
      <c r="CC1521" s="5" t="s">
        <v>258</v>
      </c>
      <c r="CD1521" s="5" t="s">
        <v>3228</v>
      </c>
      <c r="CE1521" s="5" t="s">
        <v>3229</v>
      </c>
      <c r="CI1521" s="5" t="s">
        <v>238</v>
      </c>
      <c r="CJ1521" s="5" t="s">
        <v>238</v>
      </c>
      <c r="CK1521" s="5" t="s">
        <v>272</v>
      </c>
      <c r="CM1521" s="5" t="s">
        <v>3222</v>
      </c>
      <c r="CN1521" s="6" t="s">
        <v>262</v>
      </c>
      <c r="CO1521" s="5" t="s">
        <v>263</v>
      </c>
      <c r="CP1521" s="5" t="s">
        <v>264</v>
      </c>
      <c r="CQ1521" s="5" t="s">
        <v>285</v>
      </c>
      <c r="CR1521" s="5" t="s">
        <v>238</v>
      </c>
      <c r="CS1521" s="5">
        <v>0</v>
      </c>
      <c r="CT1521" s="5" t="s">
        <v>4030</v>
      </c>
      <c r="CU1521" s="5" t="s">
        <v>4031</v>
      </c>
      <c r="CV1521" s="5" t="s">
        <v>4032</v>
      </c>
      <c r="CW1521" s="7">
        <f>154315720</f>
        <v>154315720</v>
      </c>
      <c r="CX1521" s="8">
        <f>154315720</f>
        <v>154315720</v>
      </c>
      <c r="CY1521" s="8">
        <f>145211093</f>
        <v>145211093</v>
      </c>
      <c r="CZ1521" s="8">
        <f>154315720</f>
        <v>154315720</v>
      </c>
      <c r="DA1521" s="5" t="s">
        <v>238</v>
      </c>
      <c r="DB1521" s="5" t="s">
        <v>238</v>
      </c>
      <c r="DD1521" s="5" t="s">
        <v>238</v>
      </c>
      <c r="DE1521" s="8">
        <f>0</f>
        <v>0</v>
      </c>
      <c r="DF1521" s="6" t="s">
        <v>238</v>
      </c>
      <c r="DG1521" s="5" t="s">
        <v>238</v>
      </c>
      <c r="DH1521" s="5" t="s">
        <v>238</v>
      </c>
      <c r="DI1521" s="5" t="s">
        <v>238</v>
      </c>
      <c r="DJ1521" s="5" t="s">
        <v>238</v>
      </c>
      <c r="DK1521" s="5" t="s">
        <v>238</v>
      </c>
      <c r="DL1521" s="5" t="s">
        <v>238</v>
      </c>
      <c r="DM1521" s="8" t="s">
        <v>238</v>
      </c>
      <c r="DN1521" s="5" t="s">
        <v>238</v>
      </c>
      <c r="DO1521" s="5" t="s">
        <v>247</v>
      </c>
      <c r="DP1521" s="5" t="s">
        <v>3170</v>
      </c>
      <c r="DQ1521" s="5" t="s">
        <v>3170</v>
      </c>
      <c r="DR1521" s="5" t="s">
        <v>238</v>
      </c>
      <c r="DS1521" s="5" t="s">
        <v>238</v>
      </c>
      <c r="HP1521" s="5" t="s">
        <v>238</v>
      </c>
      <c r="HQ1521" s="5" t="s">
        <v>238</v>
      </c>
      <c r="HR1521" s="5" t="s">
        <v>238</v>
      </c>
      <c r="HS1521" s="5" t="s">
        <v>238</v>
      </c>
      <c r="HT1521" s="5" t="s">
        <v>238</v>
      </c>
      <c r="HU1521" s="5" t="s">
        <v>238</v>
      </c>
      <c r="HV1521" s="5" t="s">
        <v>238</v>
      </c>
      <c r="HW1521" s="5" t="s">
        <v>238</v>
      </c>
      <c r="HX1521" s="5" t="s">
        <v>238</v>
      </c>
      <c r="HY1521" s="5" t="s">
        <v>238</v>
      </c>
      <c r="HZ1521" s="5" t="s">
        <v>238</v>
      </c>
      <c r="IA1521" s="5" t="s">
        <v>238</v>
      </c>
      <c r="IB1521" s="5" t="s">
        <v>238</v>
      </c>
      <c r="IC1521" s="5" t="s">
        <v>238</v>
      </c>
      <c r="ID1521" s="5" t="s">
        <v>238</v>
      </c>
    </row>
    <row r="1522" spans="1:238" x14ac:dyDescent="0.4">
      <c r="A1522" s="5">
        <v>1955</v>
      </c>
      <c r="B1522" s="5">
        <v>1</v>
      </c>
      <c r="C1522" s="5">
        <v>2</v>
      </c>
      <c r="D1522" s="5" t="s">
        <v>405</v>
      </c>
      <c r="E1522" s="5" t="s">
        <v>347</v>
      </c>
      <c r="F1522" s="5" t="s">
        <v>282</v>
      </c>
      <c r="G1522" s="5" t="s">
        <v>4245</v>
      </c>
      <c r="H1522" s="6" t="s">
        <v>407</v>
      </c>
      <c r="I1522" s="5" t="s">
        <v>4244</v>
      </c>
      <c r="J1522" s="8">
        <f>1</f>
        <v>1</v>
      </c>
      <c r="K1522" s="5" t="s">
        <v>3176</v>
      </c>
      <c r="L1522" s="8">
        <f>698390</f>
        <v>698390</v>
      </c>
      <c r="M1522" s="8">
        <f>698390</f>
        <v>698390</v>
      </c>
      <c r="N1522" s="6" t="s">
        <v>293</v>
      </c>
      <c r="O1522" s="5" t="s">
        <v>319</v>
      </c>
      <c r="P1522" s="5" t="s">
        <v>238</v>
      </c>
      <c r="Q1522" s="8">
        <f>0</f>
        <v>0</v>
      </c>
      <c r="R1522" s="8">
        <f>0</f>
        <v>0</v>
      </c>
      <c r="S1522" s="5" t="s">
        <v>240</v>
      </c>
      <c r="T1522" s="5" t="s">
        <v>237</v>
      </c>
      <c r="W1522" s="5" t="s">
        <v>241</v>
      </c>
      <c r="X1522" s="5" t="s">
        <v>337</v>
      </c>
      <c r="Y1522" s="5" t="s">
        <v>238</v>
      </c>
      <c r="AB1522" s="5" t="s">
        <v>347</v>
      </c>
      <c r="AC1522" s="6" t="s">
        <v>238</v>
      </c>
      <c r="AD1522" s="6" t="s">
        <v>238</v>
      </c>
      <c r="AE1522" s="5" t="s">
        <v>238</v>
      </c>
      <c r="AF1522" s="6" t="s">
        <v>238</v>
      </c>
      <c r="AG1522" s="6" t="s">
        <v>3242</v>
      </c>
      <c r="AH1522" s="5" t="s">
        <v>247</v>
      </c>
      <c r="AI1522" s="5" t="s">
        <v>248</v>
      </c>
      <c r="AO1522" s="5" t="s">
        <v>238</v>
      </c>
      <c r="AP1522" s="5" t="s">
        <v>238</v>
      </c>
      <c r="AQ1522" s="5" t="s">
        <v>238</v>
      </c>
      <c r="AR1522" s="6" t="s">
        <v>238</v>
      </c>
      <c r="AS1522" s="6" t="s">
        <v>238</v>
      </c>
      <c r="AT1522" s="6" t="s">
        <v>3194</v>
      </c>
      <c r="AW1522" s="5" t="s">
        <v>304</v>
      </c>
      <c r="AX1522" s="5" t="s">
        <v>304</v>
      </c>
      <c r="AY1522" s="5" t="s">
        <v>250</v>
      </c>
      <c r="AZ1522" s="5" t="s">
        <v>281</v>
      </c>
      <c r="BA1522" s="5" t="s">
        <v>251</v>
      </c>
      <c r="BB1522" s="5" t="s">
        <v>3190</v>
      </c>
      <c r="BC1522" s="5" t="s">
        <v>253</v>
      </c>
      <c r="BD1522" s="5" t="s">
        <v>3170</v>
      </c>
      <c r="BF1522" s="5" t="s">
        <v>1495</v>
      </c>
      <c r="BH1522" s="5" t="s">
        <v>283</v>
      </c>
      <c r="BI1522" s="6" t="s">
        <v>3242</v>
      </c>
      <c r="BJ1522" s="5" t="s">
        <v>3212</v>
      </c>
      <c r="BK1522" s="5" t="s">
        <v>3171</v>
      </c>
      <c r="BL1522" s="5" t="s">
        <v>238</v>
      </c>
      <c r="BM1522" s="8">
        <f>0</f>
        <v>0</v>
      </c>
      <c r="BN1522" s="8">
        <f>698390</f>
        <v>698390</v>
      </c>
      <c r="BO1522" s="5" t="s">
        <v>257</v>
      </c>
      <c r="BP1522" s="5" t="s">
        <v>258</v>
      </c>
      <c r="BQ1522" s="5" t="s">
        <v>377</v>
      </c>
      <c r="BR1522" s="5" t="s">
        <v>3172</v>
      </c>
      <c r="BS1522" s="5" t="s">
        <v>258</v>
      </c>
      <c r="BT1522" s="5" t="s">
        <v>238</v>
      </c>
      <c r="BU1522" s="5" t="s">
        <v>3173</v>
      </c>
      <c r="BV1522" s="5" t="s">
        <v>3174</v>
      </c>
      <c r="BW1522" s="5" t="s">
        <v>3174</v>
      </c>
      <c r="BY1522" s="6" t="s">
        <v>4246</v>
      </c>
      <c r="BZ1522" s="5" t="s">
        <v>257</v>
      </c>
      <c r="CA1522" s="5" t="s">
        <v>238</v>
      </c>
      <c r="CB1522" s="5" t="s">
        <v>238</v>
      </c>
      <c r="CC1522" s="5" t="s">
        <v>258</v>
      </c>
      <c r="CD1522" s="5" t="s">
        <v>238</v>
      </c>
      <c r="CE1522" s="5" t="s">
        <v>238</v>
      </c>
      <c r="CI1522" s="5" t="s">
        <v>238</v>
      </c>
      <c r="CJ1522" s="5" t="s">
        <v>238</v>
      </c>
      <c r="CK1522" s="5" t="s">
        <v>272</v>
      </c>
      <c r="CM1522" s="5" t="s">
        <v>238</v>
      </c>
      <c r="CN1522" s="6" t="s">
        <v>262</v>
      </c>
      <c r="CO1522" s="5" t="s">
        <v>263</v>
      </c>
      <c r="CP1522" s="5" t="s">
        <v>264</v>
      </c>
      <c r="CQ1522" s="5" t="s">
        <v>285</v>
      </c>
      <c r="CR1522" s="5" t="s">
        <v>238</v>
      </c>
      <c r="CS1522" s="5">
        <v>0</v>
      </c>
      <c r="CT1522" s="5" t="s">
        <v>265</v>
      </c>
      <c r="CU1522" s="5" t="s">
        <v>351</v>
      </c>
      <c r="CV1522" s="5" t="s">
        <v>352</v>
      </c>
      <c r="CW1522" s="7">
        <f>698390</f>
        <v>698390</v>
      </c>
      <c r="CX1522" s="8">
        <f>698390</f>
        <v>698390</v>
      </c>
      <c r="CY1522" s="8">
        <f>698390</f>
        <v>698390</v>
      </c>
      <c r="CZ1522" s="8" t="s">
        <v>238</v>
      </c>
      <c r="DA1522" s="5" t="s">
        <v>238</v>
      </c>
      <c r="DB1522" s="5" t="s">
        <v>238</v>
      </c>
      <c r="DD1522" s="5" t="s">
        <v>238</v>
      </c>
      <c r="DE1522" s="8">
        <f>0</f>
        <v>0</v>
      </c>
      <c r="DF1522" s="6" t="s">
        <v>238</v>
      </c>
      <c r="DG1522" s="5" t="s">
        <v>238</v>
      </c>
      <c r="DH1522" s="5" t="s">
        <v>238</v>
      </c>
      <c r="DI1522" s="5" t="s">
        <v>238</v>
      </c>
      <c r="DJ1522" s="5" t="s">
        <v>238</v>
      </c>
      <c r="DK1522" s="5" t="s">
        <v>238</v>
      </c>
      <c r="DL1522" s="5" t="s">
        <v>238</v>
      </c>
      <c r="DM1522" s="8" t="s">
        <v>238</v>
      </c>
      <c r="DN1522" s="5" t="s">
        <v>238</v>
      </c>
      <c r="DO1522" s="5" t="s">
        <v>247</v>
      </c>
      <c r="DP1522" s="5" t="s">
        <v>3170</v>
      </c>
      <c r="DQ1522" s="5" t="s">
        <v>3170</v>
      </c>
      <c r="DR1522" s="5" t="s">
        <v>238</v>
      </c>
      <c r="DS1522" s="5" t="s">
        <v>238</v>
      </c>
      <c r="HP1522" s="5" t="s">
        <v>238</v>
      </c>
      <c r="HQ1522" s="5" t="s">
        <v>238</v>
      </c>
      <c r="HR1522" s="5" t="s">
        <v>238</v>
      </c>
      <c r="HS1522" s="5" t="s">
        <v>238</v>
      </c>
      <c r="HT1522" s="5" t="s">
        <v>238</v>
      </c>
      <c r="HU1522" s="5" t="s">
        <v>238</v>
      </c>
      <c r="HV1522" s="5" t="s">
        <v>238</v>
      </c>
      <c r="HW1522" s="5" t="s">
        <v>238</v>
      </c>
      <c r="HX1522" s="5" t="s">
        <v>238</v>
      </c>
      <c r="HY1522" s="5" t="s">
        <v>238</v>
      </c>
      <c r="HZ1522" s="5" t="s">
        <v>238</v>
      </c>
      <c r="IA1522" s="5" t="s">
        <v>238</v>
      </c>
      <c r="IB1522" s="5" t="s">
        <v>238</v>
      </c>
      <c r="IC1522" s="5" t="s">
        <v>238</v>
      </c>
      <c r="ID1522" s="5" t="s">
        <v>238</v>
      </c>
    </row>
    <row r="1523" spans="1:238" x14ac:dyDescent="0.4">
      <c r="A1523" s="5">
        <v>1956</v>
      </c>
      <c r="B1523" s="5">
        <v>1</v>
      </c>
      <c r="C1523" s="5">
        <v>2</v>
      </c>
      <c r="D1523" s="5" t="s">
        <v>434</v>
      </c>
      <c r="E1523" s="5" t="s">
        <v>347</v>
      </c>
      <c r="F1523" s="5" t="s">
        <v>282</v>
      </c>
      <c r="G1523" s="5" t="s">
        <v>4251</v>
      </c>
      <c r="H1523" s="6" t="s">
        <v>435</v>
      </c>
      <c r="I1523" s="5" t="s">
        <v>4244</v>
      </c>
      <c r="J1523" s="8">
        <f>1</f>
        <v>1</v>
      </c>
      <c r="K1523" s="5" t="s">
        <v>3176</v>
      </c>
      <c r="L1523" s="8">
        <f>327030</f>
        <v>327030</v>
      </c>
      <c r="M1523" s="8">
        <f>327030</f>
        <v>327030</v>
      </c>
      <c r="N1523" s="6" t="s">
        <v>293</v>
      </c>
      <c r="O1523" s="5" t="s">
        <v>319</v>
      </c>
      <c r="P1523" s="5" t="s">
        <v>238</v>
      </c>
      <c r="Q1523" s="8">
        <f>0</f>
        <v>0</v>
      </c>
      <c r="R1523" s="8">
        <f>0</f>
        <v>0</v>
      </c>
      <c r="S1523" s="5" t="s">
        <v>240</v>
      </c>
      <c r="T1523" s="5" t="s">
        <v>237</v>
      </c>
      <c r="W1523" s="5" t="s">
        <v>241</v>
      </c>
      <c r="X1523" s="5" t="s">
        <v>337</v>
      </c>
      <c r="Y1523" s="5" t="s">
        <v>238</v>
      </c>
      <c r="AB1523" s="5" t="s">
        <v>347</v>
      </c>
      <c r="AC1523" s="6" t="s">
        <v>238</v>
      </c>
      <c r="AD1523" s="6" t="s">
        <v>238</v>
      </c>
      <c r="AE1523" s="5" t="s">
        <v>238</v>
      </c>
      <c r="AF1523" s="6" t="s">
        <v>238</v>
      </c>
      <c r="AG1523" s="6" t="s">
        <v>3242</v>
      </c>
      <c r="AH1523" s="5" t="s">
        <v>247</v>
      </c>
      <c r="AI1523" s="5" t="s">
        <v>248</v>
      </c>
      <c r="AO1523" s="5" t="s">
        <v>238</v>
      </c>
      <c r="AP1523" s="5" t="s">
        <v>238</v>
      </c>
      <c r="AQ1523" s="5" t="s">
        <v>238</v>
      </c>
      <c r="AR1523" s="6" t="s">
        <v>238</v>
      </c>
      <c r="AS1523" s="6" t="s">
        <v>238</v>
      </c>
      <c r="AT1523" s="6" t="s">
        <v>3208</v>
      </c>
      <c r="AW1523" s="5" t="s">
        <v>304</v>
      </c>
      <c r="AX1523" s="5" t="s">
        <v>304</v>
      </c>
      <c r="AY1523" s="5" t="s">
        <v>250</v>
      </c>
      <c r="AZ1523" s="5" t="s">
        <v>281</v>
      </c>
      <c r="BA1523" s="5" t="s">
        <v>251</v>
      </c>
      <c r="BB1523" s="5" t="s">
        <v>3190</v>
      </c>
      <c r="BC1523" s="5" t="s">
        <v>253</v>
      </c>
      <c r="BD1523" s="5" t="s">
        <v>3170</v>
      </c>
      <c r="BF1523" s="5" t="s">
        <v>1495</v>
      </c>
      <c r="BH1523" s="5" t="s">
        <v>283</v>
      </c>
      <c r="BI1523" s="6" t="s">
        <v>3242</v>
      </c>
      <c r="BJ1523" s="5" t="s">
        <v>3212</v>
      </c>
      <c r="BK1523" s="5" t="s">
        <v>3171</v>
      </c>
      <c r="BL1523" s="5" t="s">
        <v>238</v>
      </c>
      <c r="BM1523" s="8">
        <f>0</f>
        <v>0</v>
      </c>
      <c r="BN1523" s="8">
        <f>327030</f>
        <v>327030</v>
      </c>
      <c r="BO1523" s="5" t="s">
        <v>257</v>
      </c>
      <c r="BP1523" s="5" t="s">
        <v>258</v>
      </c>
      <c r="BQ1523" s="5" t="s">
        <v>377</v>
      </c>
      <c r="BR1523" s="5" t="s">
        <v>3172</v>
      </c>
      <c r="BS1523" s="5" t="s">
        <v>258</v>
      </c>
      <c r="BT1523" s="5" t="s">
        <v>238</v>
      </c>
      <c r="BU1523" s="5" t="s">
        <v>3173</v>
      </c>
      <c r="BV1523" s="5" t="s">
        <v>3174</v>
      </c>
      <c r="BW1523" s="5" t="s">
        <v>3174</v>
      </c>
      <c r="BY1523" s="6" t="s">
        <v>4252</v>
      </c>
      <c r="BZ1523" s="5" t="s">
        <v>257</v>
      </c>
      <c r="CA1523" s="5" t="s">
        <v>238</v>
      </c>
      <c r="CB1523" s="5" t="s">
        <v>238</v>
      </c>
      <c r="CC1523" s="5" t="s">
        <v>258</v>
      </c>
      <c r="CD1523" s="5" t="s">
        <v>238</v>
      </c>
      <c r="CE1523" s="5" t="s">
        <v>238</v>
      </c>
      <c r="CI1523" s="5" t="s">
        <v>238</v>
      </c>
      <c r="CJ1523" s="5" t="s">
        <v>238</v>
      </c>
      <c r="CK1523" s="5" t="s">
        <v>272</v>
      </c>
      <c r="CM1523" s="5" t="s">
        <v>238</v>
      </c>
      <c r="CN1523" s="6" t="s">
        <v>262</v>
      </c>
      <c r="CO1523" s="5" t="s">
        <v>263</v>
      </c>
      <c r="CP1523" s="5" t="s">
        <v>264</v>
      </c>
      <c r="CQ1523" s="5" t="s">
        <v>285</v>
      </c>
      <c r="CR1523" s="5" t="s">
        <v>238</v>
      </c>
      <c r="CS1523" s="5">
        <v>0</v>
      </c>
      <c r="CT1523" s="5" t="s">
        <v>265</v>
      </c>
      <c r="CU1523" s="5" t="s">
        <v>351</v>
      </c>
      <c r="CV1523" s="5" t="s">
        <v>3141</v>
      </c>
      <c r="CW1523" s="7">
        <f>327030</f>
        <v>327030</v>
      </c>
      <c r="CX1523" s="8">
        <f>327030</f>
        <v>327030</v>
      </c>
      <c r="CY1523" s="8">
        <f>327030</f>
        <v>327030</v>
      </c>
      <c r="CZ1523" s="8" t="s">
        <v>238</v>
      </c>
      <c r="DA1523" s="5" t="s">
        <v>238</v>
      </c>
      <c r="DB1523" s="5" t="s">
        <v>238</v>
      </c>
      <c r="DD1523" s="5" t="s">
        <v>238</v>
      </c>
      <c r="DE1523" s="8">
        <f>0</f>
        <v>0</v>
      </c>
      <c r="DF1523" s="6" t="s">
        <v>238</v>
      </c>
      <c r="DG1523" s="5" t="s">
        <v>238</v>
      </c>
      <c r="DH1523" s="5" t="s">
        <v>238</v>
      </c>
      <c r="DI1523" s="5" t="s">
        <v>238</v>
      </c>
      <c r="DJ1523" s="5" t="s">
        <v>238</v>
      </c>
      <c r="DK1523" s="5" t="s">
        <v>238</v>
      </c>
      <c r="DL1523" s="5" t="s">
        <v>238</v>
      </c>
      <c r="DM1523" s="8" t="s">
        <v>238</v>
      </c>
      <c r="DN1523" s="5" t="s">
        <v>238</v>
      </c>
      <c r="DO1523" s="5" t="s">
        <v>247</v>
      </c>
      <c r="DP1523" s="5" t="s">
        <v>3170</v>
      </c>
      <c r="DQ1523" s="5" t="s">
        <v>3170</v>
      </c>
      <c r="DR1523" s="5" t="s">
        <v>238</v>
      </c>
      <c r="DS1523" s="5" t="s">
        <v>238</v>
      </c>
      <c r="HP1523" s="5" t="s">
        <v>238</v>
      </c>
      <c r="HQ1523" s="5" t="s">
        <v>238</v>
      </c>
      <c r="HR1523" s="5" t="s">
        <v>238</v>
      </c>
      <c r="HS1523" s="5" t="s">
        <v>238</v>
      </c>
      <c r="HT1523" s="5" t="s">
        <v>238</v>
      </c>
      <c r="HU1523" s="5" t="s">
        <v>238</v>
      </c>
      <c r="HV1523" s="5" t="s">
        <v>238</v>
      </c>
      <c r="HW1523" s="5" t="s">
        <v>238</v>
      </c>
      <c r="HX1523" s="5" t="s">
        <v>238</v>
      </c>
      <c r="HY1523" s="5" t="s">
        <v>238</v>
      </c>
      <c r="HZ1523" s="5" t="s">
        <v>238</v>
      </c>
      <c r="IA1523" s="5" t="s">
        <v>238</v>
      </c>
      <c r="IB1523" s="5" t="s">
        <v>238</v>
      </c>
      <c r="IC1523" s="5" t="s">
        <v>238</v>
      </c>
      <c r="ID1523" s="5" t="s">
        <v>238</v>
      </c>
    </row>
    <row r="1524" spans="1:238" x14ac:dyDescent="0.4">
      <c r="A1524" s="5">
        <v>1957</v>
      </c>
      <c r="B1524" s="5">
        <v>1</v>
      </c>
      <c r="C1524" s="5">
        <v>2</v>
      </c>
      <c r="D1524" s="5" t="s">
        <v>412</v>
      </c>
      <c r="E1524" s="5" t="s">
        <v>347</v>
      </c>
      <c r="F1524" s="5" t="s">
        <v>282</v>
      </c>
      <c r="G1524" s="5" t="s">
        <v>4228</v>
      </c>
      <c r="H1524" s="6" t="s">
        <v>413</v>
      </c>
      <c r="I1524" s="5" t="s">
        <v>4227</v>
      </c>
      <c r="J1524" s="8">
        <f>1</f>
        <v>1</v>
      </c>
      <c r="K1524" s="5" t="s">
        <v>3176</v>
      </c>
      <c r="L1524" s="8">
        <f>474100</f>
        <v>474100</v>
      </c>
      <c r="M1524" s="8">
        <f>474100</f>
        <v>474100</v>
      </c>
      <c r="N1524" s="6" t="s">
        <v>293</v>
      </c>
      <c r="O1524" s="5" t="s">
        <v>377</v>
      </c>
      <c r="P1524" s="5" t="s">
        <v>238</v>
      </c>
      <c r="Q1524" s="8">
        <f>0</f>
        <v>0</v>
      </c>
      <c r="R1524" s="8">
        <f>0</f>
        <v>0</v>
      </c>
      <c r="S1524" s="5" t="s">
        <v>240</v>
      </c>
      <c r="T1524" s="5" t="s">
        <v>237</v>
      </c>
      <c r="W1524" s="5" t="s">
        <v>241</v>
      </c>
      <c r="X1524" s="5" t="s">
        <v>337</v>
      </c>
      <c r="Y1524" s="5" t="s">
        <v>238</v>
      </c>
      <c r="AB1524" s="5" t="s">
        <v>347</v>
      </c>
      <c r="AC1524" s="6" t="s">
        <v>238</v>
      </c>
      <c r="AD1524" s="6" t="s">
        <v>238</v>
      </c>
      <c r="AE1524" s="5" t="s">
        <v>238</v>
      </c>
      <c r="AF1524" s="6" t="s">
        <v>238</v>
      </c>
      <c r="AG1524" s="6" t="s">
        <v>3242</v>
      </c>
      <c r="AH1524" s="5" t="s">
        <v>247</v>
      </c>
      <c r="AI1524" s="5" t="s">
        <v>248</v>
      </c>
      <c r="AO1524" s="5" t="s">
        <v>238</v>
      </c>
      <c r="AP1524" s="5" t="s">
        <v>238</v>
      </c>
      <c r="AQ1524" s="5" t="s">
        <v>238</v>
      </c>
      <c r="AR1524" s="6" t="s">
        <v>238</v>
      </c>
      <c r="AS1524" s="6" t="s">
        <v>238</v>
      </c>
      <c r="AT1524" s="6" t="s">
        <v>4229</v>
      </c>
      <c r="AW1524" s="5" t="s">
        <v>304</v>
      </c>
      <c r="AX1524" s="5" t="s">
        <v>304</v>
      </c>
      <c r="AY1524" s="5" t="s">
        <v>250</v>
      </c>
      <c r="AZ1524" s="5" t="s">
        <v>281</v>
      </c>
      <c r="BA1524" s="5" t="s">
        <v>251</v>
      </c>
      <c r="BB1524" s="5" t="s">
        <v>3190</v>
      </c>
      <c r="BC1524" s="5" t="s">
        <v>253</v>
      </c>
      <c r="BD1524" s="5" t="s">
        <v>3170</v>
      </c>
      <c r="BF1524" s="5" t="s">
        <v>1495</v>
      </c>
      <c r="BH1524" s="5" t="s">
        <v>283</v>
      </c>
      <c r="BI1524" s="6" t="s">
        <v>3242</v>
      </c>
      <c r="BJ1524" s="5" t="s">
        <v>3212</v>
      </c>
      <c r="BK1524" s="5" t="s">
        <v>3171</v>
      </c>
      <c r="BL1524" s="5" t="s">
        <v>238</v>
      </c>
      <c r="BM1524" s="8">
        <f>0</f>
        <v>0</v>
      </c>
      <c r="BN1524" s="8">
        <f>474100</f>
        <v>474100</v>
      </c>
      <c r="BO1524" s="5" t="s">
        <v>257</v>
      </c>
      <c r="BP1524" s="5" t="s">
        <v>258</v>
      </c>
      <c r="BQ1524" s="5" t="s">
        <v>377</v>
      </c>
      <c r="BR1524" s="5" t="s">
        <v>3172</v>
      </c>
      <c r="BS1524" s="5" t="s">
        <v>258</v>
      </c>
      <c r="BT1524" s="5" t="s">
        <v>238</v>
      </c>
      <c r="BU1524" s="5" t="s">
        <v>3173</v>
      </c>
      <c r="BV1524" s="5" t="s">
        <v>3174</v>
      </c>
      <c r="BW1524" s="5" t="s">
        <v>3174</v>
      </c>
      <c r="BY1524" s="6" t="s">
        <v>4230</v>
      </c>
      <c r="BZ1524" s="5" t="s">
        <v>257</v>
      </c>
      <c r="CA1524" s="5" t="s">
        <v>238</v>
      </c>
      <c r="CB1524" s="5" t="s">
        <v>238</v>
      </c>
      <c r="CC1524" s="5" t="s">
        <v>258</v>
      </c>
      <c r="CD1524" s="5" t="s">
        <v>238</v>
      </c>
      <c r="CE1524" s="5" t="s">
        <v>238</v>
      </c>
      <c r="CI1524" s="5" t="s">
        <v>238</v>
      </c>
      <c r="CJ1524" s="5" t="s">
        <v>238</v>
      </c>
      <c r="CK1524" s="5" t="s">
        <v>272</v>
      </c>
      <c r="CL1524" s="5" t="s">
        <v>4231</v>
      </c>
      <c r="CM1524" s="5" t="s">
        <v>238</v>
      </c>
      <c r="CN1524" s="6" t="s">
        <v>262</v>
      </c>
      <c r="CO1524" s="5" t="s">
        <v>263</v>
      </c>
      <c r="CP1524" s="5" t="s">
        <v>264</v>
      </c>
      <c r="CQ1524" s="5" t="s">
        <v>285</v>
      </c>
      <c r="CR1524" s="5" t="s">
        <v>238</v>
      </c>
      <c r="CS1524" s="5">
        <v>0</v>
      </c>
      <c r="CT1524" s="5" t="s">
        <v>265</v>
      </c>
      <c r="CU1524" s="5" t="s">
        <v>351</v>
      </c>
      <c r="CV1524" s="5" t="s">
        <v>4232</v>
      </c>
      <c r="CW1524" s="7">
        <f>474100</f>
        <v>474100</v>
      </c>
      <c r="CX1524" s="8">
        <f>474100</f>
        <v>474100</v>
      </c>
      <c r="CY1524" s="8">
        <f>474100</f>
        <v>474100</v>
      </c>
      <c r="CZ1524" s="8" t="s">
        <v>238</v>
      </c>
      <c r="DA1524" s="5" t="s">
        <v>238</v>
      </c>
      <c r="DB1524" s="5" t="s">
        <v>238</v>
      </c>
      <c r="DD1524" s="5" t="s">
        <v>238</v>
      </c>
      <c r="DE1524" s="8">
        <f>0</f>
        <v>0</v>
      </c>
      <c r="DF1524" s="6" t="s">
        <v>238</v>
      </c>
      <c r="DG1524" s="5" t="s">
        <v>238</v>
      </c>
      <c r="DH1524" s="5" t="s">
        <v>238</v>
      </c>
      <c r="DI1524" s="5" t="s">
        <v>238</v>
      </c>
      <c r="DJ1524" s="5" t="s">
        <v>238</v>
      </c>
      <c r="DK1524" s="5" t="s">
        <v>238</v>
      </c>
      <c r="DL1524" s="5" t="s">
        <v>238</v>
      </c>
      <c r="DM1524" s="8" t="s">
        <v>238</v>
      </c>
      <c r="DN1524" s="5" t="s">
        <v>238</v>
      </c>
      <c r="DO1524" s="5" t="s">
        <v>247</v>
      </c>
      <c r="DP1524" s="5" t="s">
        <v>3170</v>
      </c>
      <c r="DQ1524" s="5" t="s">
        <v>3170</v>
      </c>
      <c r="DR1524" s="5" t="s">
        <v>238</v>
      </c>
      <c r="DS1524" s="5" t="s">
        <v>238</v>
      </c>
      <c r="HP1524" s="5" t="s">
        <v>238</v>
      </c>
      <c r="HQ1524" s="5" t="s">
        <v>238</v>
      </c>
      <c r="HR1524" s="5" t="s">
        <v>238</v>
      </c>
      <c r="HS1524" s="5" t="s">
        <v>238</v>
      </c>
      <c r="HT1524" s="5" t="s">
        <v>238</v>
      </c>
      <c r="HU1524" s="5" t="s">
        <v>238</v>
      </c>
      <c r="HV1524" s="5" t="s">
        <v>238</v>
      </c>
      <c r="HW1524" s="5" t="s">
        <v>238</v>
      </c>
      <c r="HX1524" s="5" t="s">
        <v>238</v>
      </c>
      <c r="HY1524" s="5" t="s">
        <v>238</v>
      </c>
      <c r="HZ1524" s="5" t="s">
        <v>238</v>
      </c>
      <c r="IA1524" s="5" t="s">
        <v>238</v>
      </c>
      <c r="IB1524" s="5" t="s">
        <v>238</v>
      </c>
      <c r="IC1524" s="5" t="s">
        <v>238</v>
      </c>
      <c r="ID1524" s="5" t="s">
        <v>238</v>
      </c>
    </row>
    <row r="1525" spans="1:238" x14ac:dyDescent="0.4">
      <c r="A1525" s="5">
        <v>1960</v>
      </c>
      <c r="B1525" s="5">
        <v>1</v>
      </c>
      <c r="C1525" s="5">
        <v>4</v>
      </c>
      <c r="D1525" s="5" t="s">
        <v>3241</v>
      </c>
      <c r="E1525" s="5" t="s">
        <v>751</v>
      </c>
      <c r="F1525" s="5" t="s">
        <v>282</v>
      </c>
      <c r="G1525" s="5" t="s">
        <v>3243</v>
      </c>
      <c r="H1525" s="6" t="s">
        <v>3244</v>
      </c>
      <c r="I1525" s="5" t="s">
        <v>3240</v>
      </c>
      <c r="J1525" s="7">
        <f>33</f>
        <v>33</v>
      </c>
      <c r="K1525" s="5" t="s">
        <v>270</v>
      </c>
      <c r="L1525" s="8">
        <f>16075400</f>
        <v>16075400</v>
      </c>
      <c r="M1525" s="8">
        <f>16075400</f>
        <v>16075400</v>
      </c>
      <c r="N1525" s="6" t="s">
        <v>293</v>
      </c>
      <c r="O1525" s="5" t="s">
        <v>268</v>
      </c>
      <c r="P1525" s="5" t="s">
        <v>238</v>
      </c>
      <c r="Q1525" s="8">
        <f>0</f>
        <v>0</v>
      </c>
      <c r="R1525" s="8">
        <f>0</f>
        <v>0</v>
      </c>
      <c r="S1525" s="5" t="s">
        <v>240</v>
      </c>
      <c r="T1525" s="5" t="s">
        <v>237</v>
      </c>
      <c r="W1525" s="5" t="s">
        <v>241</v>
      </c>
      <c r="X1525" s="5" t="s">
        <v>750</v>
      </c>
      <c r="Y1525" s="5" t="s">
        <v>238</v>
      </c>
      <c r="AB1525" s="5" t="s">
        <v>751</v>
      </c>
      <c r="AC1525" s="6" t="s">
        <v>238</v>
      </c>
      <c r="AD1525" s="6" t="s">
        <v>238</v>
      </c>
      <c r="AE1525" s="5" t="s">
        <v>238</v>
      </c>
      <c r="AF1525" s="6" t="s">
        <v>238</v>
      </c>
      <c r="AG1525" s="6" t="s">
        <v>3242</v>
      </c>
      <c r="AH1525" s="5" t="s">
        <v>247</v>
      </c>
      <c r="AI1525" s="5" t="s">
        <v>248</v>
      </c>
      <c r="AO1525" s="5" t="s">
        <v>238</v>
      </c>
      <c r="AP1525" s="5" t="s">
        <v>238</v>
      </c>
      <c r="AQ1525" s="5" t="s">
        <v>238</v>
      </c>
      <c r="AR1525" s="6" t="s">
        <v>238</v>
      </c>
      <c r="AS1525" s="6" t="s">
        <v>238</v>
      </c>
      <c r="AT1525" s="6" t="s">
        <v>238</v>
      </c>
      <c r="AW1525" s="5" t="s">
        <v>304</v>
      </c>
      <c r="AX1525" s="5" t="s">
        <v>304</v>
      </c>
      <c r="AY1525" s="5" t="s">
        <v>250</v>
      </c>
      <c r="AZ1525" s="5" t="s">
        <v>281</v>
      </c>
      <c r="BA1525" s="5" t="s">
        <v>251</v>
      </c>
      <c r="BB1525" s="5" t="s">
        <v>3190</v>
      </c>
      <c r="BC1525" s="5" t="s">
        <v>253</v>
      </c>
      <c r="BD1525" s="5" t="s">
        <v>3170</v>
      </c>
      <c r="BF1525" s="5" t="s">
        <v>760</v>
      </c>
      <c r="BH1525" s="5" t="s">
        <v>283</v>
      </c>
      <c r="BI1525" s="6" t="s">
        <v>3245</v>
      </c>
      <c r="BJ1525" s="5" t="s">
        <v>3212</v>
      </c>
      <c r="BK1525" s="5" t="s">
        <v>3171</v>
      </c>
      <c r="BL1525" s="5" t="s">
        <v>238</v>
      </c>
      <c r="BM1525" s="7">
        <f>0</f>
        <v>0</v>
      </c>
      <c r="BN1525" s="8">
        <f>3153700</f>
        <v>3153700</v>
      </c>
      <c r="BO1525" s="5" t="s">
        <v>257</v>
      </c>
      <c r="BP1525" s="5" t="s">
        <v>258</v>
      </c>
      <c r="BQ1525" s="5" t="s">
        <v>3246</v>
      </c>
      <c r="BR1525" s="5" t="s">
        <v>258</v>
      </c>
      <c r="BS1525" s="5" t="s">
        <v>3183</v>
      </c>
      <c r="BT1525" s="5" t="s">
        <v>238</v>
      </c>
      <c r="BU1525" s="5" t="s">
        <v>257</v>
      </c>
      <c r="BV1525" s="5" t="s">
        <v>3174</v>
      </c>
      <c r="BW1525" s="5" t="s">
        <v>3174</v>
      </c>
      <c r="BY1525" s="6" t="s">
        <v>3247</v>
      </c>
      <c r="BZ1525" s="5" t="s">
        <v>257</v>
      </c>
      <c r="CA1525" s="5" t="s">
        <v>238</v>
      </c>
      <c r="CB1525" s="5" t="s">
        <v>238</v>
      </c>
      <c r="CC1525" s="5" t="s">
        <v>258</v>
      </c>
      <c r="CD1525" s="5" t="s">
        <v>238</v>
      </c>
      <c r="CE1525" s="5" t="s">
        <v>238</v>
      </c>
      <c r="CI1525" s="5" t="s">
        <v>238</v>
      </c>
      <c r="CJ1525" s="5" t="s">
        <v>238</v>
      </c>
      <c r="CK1525" s="5" t="s">
        <v>272</v>
      </c>
      <c r="CM1525" s="5" t="s">
        <v>238</v>
      </c>
      <c r="CN1525" s="6" t="s">
        <v>262</v>
      </c>
      <c r="CO1525" s="5" t="s">
        <v>263</v>
      </c>
      <c r="CP1525" s="5" t="s">
        <v>264</v>
      </c>
      <c r="CQ1525" s="5" t="s">
        <v>285</v>
      </c>
      <c r="CR1525" s="5" t="s">
        <v>238</v>
      </c>
      <c r="CS1525" s="5">
        <v>0</v>
      </c>
      <c r="CT1525" s="5" t="s">
        <v>265</v>
      </c>
      <c r="CU1525" s="5" t="s">
        <v>266</v>
      </c>
      <c r="CV1525" s="5" t="s">
        <v>267</v>
      </c>
      <c r="CW1525" s="7">
        <f>487133</f>
        <v>487133</v>
      </c>
      <c r="CX1525" s="8">
        <f>16075400</f>
        <v>16075400</v>
      </c>
      <c r="CY1525" s="8">
        <f>16075400</f>
        <v>16075400</v>
      </c>
      <c r="CZ1525" s="8" t="s">
        <v>238</v>
      </c>
      <c r="DA1525" s="5" t="s">
        <v>238</v>
      </c>
      <c r="DB1525" s="5" t="s">
        <v>238</v>
      </c>
      <c r="DD1525" s="5" t="s">
        <v>238</v>
      </c>
      <c r="DE1525" s="8">
        <f>0</f>
        <v>0</v>
      </c>
      <c r="DF1525" s="6" t="s">
        <v>238</v>
      </c>
      <c r="DG1525" s="5" t="s">
        <v>238</v>
      </c>
      <c r="DH1525" s="5" t="s">
        <v>238</v>
      </c>
      <c r="DI1525" s="5" t="s">
        <v>238</v>
      </c>
      <c r="DJ1525" s="5" t="s">
        <v>238</v>
      </c>
      <c r="DK1525" s="5" t="s">
        <v>238</v>
      </c>
      <c r="DL1525" s="5" t="s">
        <v>238</v>
      </c>
      <c r="DM1525" s="8" t="s">
        <v>238</v>
      </c>
      <c r="DN1525" s="5" t="s">
        <v>238</v>
      </c>
      <c r="DO1525" s="5" t="s">
        <v>247</v>
      </c>
      <c r="DP1525" s="5" t="s">
        <v>3170</v>
      </c>
      <c r="DQ1525" s="5" t="s">
        <v>3170</v>
      </c>
      <c r="DR1525" s="5" t="s">
        <v>238</v>
      </c>
      <c r="DS1525" s="5" t="s">
        <v>238</v>
      </c>
      <c r="HP1525" s="5" t="s">
        <v>238</v>
      </c>
      <c r="HQ1525" s="5" t="s">
        <v>238</v>
      </c>
      <c r="HR1525" s="5" t="s">
        <v>238</v>
      </c>
      <c r="HS1525" s="5" t="s">
        <v>238</v>
      </c>
      <c r="HT1525" s="5" t="s">
        <v>238</v>
      </c>
      <c r="HU1525" s="5" t="s">
        <v>238</v>
      </c>
      <c r="HV1525" s="5" t="s">
        <v>238</v>
      </c>
      <c r="HW1525" s="5" t="s">
        <v>238</v>
      </c>
      <c r="HX1525" s="5" t="s">
        <v>238</v>
      </c>
      <c r="HY1525" s="5" t="s">
        <v>238</v>
      </c>
      <c r="HZ1525" s="5" t="s">
        <v>238</v>
      </c>
      <c r="IA1525" s="5" t="s">
        <v>238</v>
      </c>
      <c r="IB1525" s="5" t="s">
        <v>238</v>
      </c>
      <c r="IC1525" s="5" t="s">
        <v>238</v>
      </c>
      <c r="ID1525" s="5" t="s">
        <v>238</v>
      </c>
    </row>
    <row r="1526" spans="1:238" x14ac:dyDescent="0.4">
      <c r="A1526" s="5">
        <v>1979</v>
      </c>
      <c r="B1526" s="5">
        <v>1</v>
      </c>
      <c r="C1526" s="5">
        <v>2</v>
      </c>
      <c r="D1526" s="5" t="s">
        <v>1174</v>
      </c>
      <c r="E1526" s="5" t="s">
        <v>993</v>
      </c>
      <c r="F1526" s="5" t="s">
        <v>282</v>
      </c>
      <c r="G1526" s="5" t="s">
        <v>349</v>
      </c>
      <c r="H1526" s="6" t="s">
        <v>4273</v>
      </c>
      <c r="I1526" s="5" t="s">
        <v>4272</v>
      </c>
      <c r="J1526" s="8">
        <f>1</f>
        <v>1</v>
      </c>
      <c r="K1526" s="5" t="s">
        <v>3251</v>
      </c>
      <c r="L1526" s="8">
        <f>192500</f>
        <v>192500</v>
      </c>
      <c r="M1526" s="8">
        <f>192500</f>
        <v>192500</v>
      </c>
      <c r="N1526" s="6" t="s">
        <v>293</v>
      </c>
      <c r="O1526" s="5" t="s">
        <v>395</v>
      </c>
      <c r="P1526" s="5" t="s">
        <v>238</v>
      </c>
      <c r="Q1526" s="8">
        <f>0</f>
        <v>0</v>
      </c>
      <c r="R1526" s="8">
        <f>0</f>
        <v>0</v>
      </c>
      <c r="S1526" s="5" t="s">
        <v>240</v>
      </c>
      <c r="T1526" s="5" t="s">
        <v>287</v>
      </c>
      <c r="W1526" s="5" t="s">
        <v>241</v>
      </c>
      <c r="X1526" s="5" t="s">
        <v>243</v>
      </c>
      <c r="Y1526" s="5" t="s">
        <v>238</v>
      </c>
      <c r="AB1526" s="5" t="s">
        <v>993</v>
      </c>
      <c r="AC1526" s="6" t="s">
        <v>238</v>
      </c>
      <c r="AD1526" s="6" t="s">
        <v>238</v>
      </c>
      <c r="AE1526" s="5" t="s">
        <v>238</v>
      </c>
      <c r="AF1526" s="6" t="s">
        <v>238</v>
      </c>
      <c r="AG1526" s="6" t="s">
        <v>3245</v>
      </c>
      <c r="AH1526" s="5" t="s">
        <v>247</v>
      </c>
      <c r="AI1526" s="5" t="s">
        <v>248</v>
      </c>
      <c r="AO1526" s="5" t="s">
        <v>238</v>
      </c>
      <c r="AP1526" s="5" t="s">
        <v>238</v>
      </c>
      <c r="AQ1526" s="5" t="s">
        <v>238</v>
      </c>
      <c r="AR1526" s="6" t="s">
        <v>238</v>
      </c>
      <c r="AS1526" s="6" t="s">
        <v>238</v>
      </c>
      <c r="AT1526" s="6" t="s">
        <v>238</v>
      </c>
      <c r="AW1526" s="5" t="s">
        <v>304</v>
      </c>
      <c r="AX1526" s="5" t="s">
        <v>304</v>
      </c>
      <c r="AY1526" s="5" t="s">
        <v>250</v>
      </c>
      <c r="AZ1526" s="5" t="s">
        <v>281</v>
      </c>
      <c r="BA1526" s="5" t="s">
        <v>251</v>
      </c>
      <c r="BB1526" s="5" t="s">
        <v>3190</v>
      </c>
      <c r="BC1526" s="5" t="s">
        <v>253</v>
      </c>
      <c r="BD1526" s="5" t="s">
        <v>3170</v>
      </c>
      <c r="BF1526" s="5" t="s">
        <v>4108</v>
      </c>
      <c r="BH1526" s="5" t="s">
        <v>283</v>
      </c>
      <c r="BI1526" s="6" t="s">
        <v>3245</v>
      </c>
      <c r="BJ1526" s="5" t="s">
        <v>3212</v>
      </c>
      <c r="BK1526" s="5" t="s">
        <v>3171</v>
      </c>
      <c r="BL1526" s="5" t="s">
        <v>238</v>
      </c>
      <c r="BM1526" s="8">
        <f>0</f>
        <v>0</v>
      </c>
      <c r="BN1526" s="8">
        <f>192500</f>
        <v>192500</v>
      </c>
      <c r="BO1526" s="5" t="s">
        <v>257</v>
      </c>
      <c r="BP1526" s="5" t="s">
        <v>258</v>
      </c>
      <c r="BQ1526" s="5" t="s">
        <v>3172</v>
      </c>
      <c r="BR1526" s="5" t="s">
        <v>258</v>
      </c>
      <c r="BS1526" s="5" t="s">
        <v>3246</v>
      </c>
      <c r="BT1526" s="5" t="s">
        <v>238</v>
      </c>
      <c r="BU1526" s="5" t="s">
        <v>257</v>
      </c>
      <c r="BV1526" s="5" t="s">
        <v>377</v>
      </c>
      <c r="BW1526" s="5" t="s">
        <v>3238</v>
      </c>
      <c r="BY1526" s="6" t="s">
        <v>4274</v>
      </c>
      <c r="BZ1526" s="5" t="s">
        <v>257</v>
      </c>
      <c r="CA1526" s="5" t="s">
        <v>238</v>
      </c>
      <c r="CB1526" s="5" t="s">
        <v>238</v>
      </c>
      <c r="CC1526" s="5" t="s">
        <v>258</v>
      </c>
      <c r="CD1526" s="5" t="s">
        <v>238</v>
      </c>
      <c r="CE1526" s="5" t="s">
        <v>238</v>
      </c>
      <c r="CI1526" s="5" t="s">
        <v>238</v>
      </c>
      <c r="CJ1526" s="5" t="s">
        <v>238</v>
      </c>
      <c r="CK1526" s="5" t="s">
        <v>272</v>
      </c>
      <c r="CM1526" s="5" t="s">
        <v>238</v>
      </c>
      <c r="CN1526" s="6" t="s">
        <v>262</v>
      </c>
      <c r="CO1526" s="5" t="s">
        <v>263</v>
      </c>
      <c r="CP1526" s="5" t="s">
        <v>264</v>
      </c>
      <c r="CQ1526" s="5" t="s">
        <v>285</v>
      </c>
      <c r="CR1526" s="5" t="s">
        <v>238</v>
      </c>
      <c r="CS1526" s="5">
        <v>0</v>
      </c>
      <c r="CT1526" s="5" t="s">
        <v>265</v>
      </c>
      <c r="CU1526" s="5" t="s">
        <v>351</v>
      </c>
      <c r="CV1526" s="5" t="s">
        <v>2977</v>
      </c>
      <c r="CW1526" s="7">
        <f>192500</f>
        <v>192500</v>
      </c>
      <c r="CX1526" s="8">
        <f>192500</f>
        <v>192500</v>
      </c>
      <c r="CY1526" s="8">
        <f>192500</f>
        <v>192500</v>
      </c>
      <c r="CZ1526" s="8" t="s">
        <v>238</v>
      </c>
      <c r="DA1526" s="5" t="s">
        <v>238</v>
      </c>
      <c r="DB1526" s="5" t="s">
        <v>238</v>
      </c>
      <c r="DD1526" s="5" t="s">
        <v>238</v>
      </c>
      <c r="DE1526" s="8">
        <f>0</f>
        <v>0</v>
      </c>
      <c r="DF1526" s="6" t="s">
        <v>238</v>
      </c>
      <c r="DG1526" s="5" t="s">
        <v>238</v>
      </c>
      <c r="DH1526" s="5" t="s">
        <v>238</v>
      </c>
      <c r="DI1526" s="5" t="s">
        <v>238</v>
      </c>
      <c r="DJ1526" s="5" t="s">
        <v>238</v>
      </c>
      <c r="DK1526" s="5" t="s">
        <v>238</v>
      </c>
      <c r="DL1526" s="5" t="s">
        <v>238</v>
      </c>
      <c r="DM1526" s="8" t="s">
        <v>238</v>
      </c>
      <c r="DN1526" s="5" t="s">
        <v>238</v>
      </c>
      <c r="DO1526" s="5" t="s">
        <v>247</v>
      </c>
      <c r="DP1526" s="5" t="s">
        <v>3170</v>
      </c>
      <c r="DQ1526" s="5" t="s">
        <v>3170</v>
      </c>
      <c r="DR1526" s="5" t="s">
        <v>238</v>
      </c>
      <c r="DS1526" s="5" t="s">
        <v>238</v>
      </c>
      <c r="HP1526" s="5" t="s">
        <v>238</v>
      </c>
      <c r="HQ1526" s="5" t="s">
        <v>238</v>
      </c>
      <c r="HR1526" s="5" t="s">
        <v>238</v>
      </c>
      <c r="HS1526" s="5" t="s">
        <v>238</v>
      </c>
      <c r="HT1526" s="5" t="s">
        <v>238</v>
      </c>
      <c r="HU1526" s="5" t="s">
        <v>238</v>
      </c>
      <c r="HV1526" s="5" t="s">
        <v>238</v>
      </c>
      <c r="HW1526" s="5" t="s">
        <v>238</v>
      </c>
      <c r="HX1526" s="5" t="s">
        <v>238</v>
      </c>
      <c r="HY1526" s="5" t="s">
        <v>238</v>
      </c>
      <c r="HZ1526" s="5" t="s">
        <v>238</v>
      </c>
      <c r="IA1526" s="5" t="s">
        <v>238</v>
      </c>
      <c r="IB1526" s="5" t="s">
        <v>238</v>
      </c>
      <c r="IC1526" s="5" t="s">
        <v>238</v>
      </c>
      <c r="ID1526" s="5" t="s">
        <v>238</v>
      </c>
    </row>
    <row r="1527" spans="1:238" x14ac:dyDescent="0.4">
      <c r="A1527" s="5">
        <v>2011</v>
      </c>
      <c r="B1527" s="5">
        <v>1</v>
      </c>
      <c r="C1527" s="5">
        <v>2</v>
      </c>
      <c r="D1527" s="5" t="s">
        <v>1217</v>
      </c>
      <c r="E1527" s="5" t="s">
        <v>1218</v>
      </c>
      <c r="F1527" s="5" t="s">
        <v>282</v>
      </c>
      <c r="G1527" s="5" t="s">
        <v>4107</v>
      </c>
      <c r="H1527" s="6" t="s">
        <v>1220</v>
      </c>
      <c r="I1527" s="5" t="s">
        <v>4105</v>
      </c>
      <c r="J1527" s="8">
        <f>1</f>
        <v>1</v>
      </c>
      <c r="K1527" s="5" t="s">
        <v>3176</v>
      </c>
      <c r="L1527" s="8">
        <f>1078000</f>
        <v>1078000</v>
      </c>
      <c r="M1527" s="8">
        <f>1078000</f>
        <v>1078000</v>
      </c>
      <c r="N1527" s="6" t="s">
        <v>4106</v>
      </c>
      <c r="O1527" s="5" t="s">
        <v>319</v>
      </c>
      <c r="P1527" s="5" t="s">
        <v>238</v>
      </c>
      <c r="Q1527" s="8">
        <f>0</f>
        <v>0</v>
      </c>
      <c r="R1527" s="8">
        <f>0</f>
        <v>0</v>
      </c>
      <c r="S1527" s="5" t="s">
        <v>240</v>
      </c>
      <c r="T1527" s="5" t="s">
        <v>287</v>
      </c>
      <c r="W1527" s="5" t="s">
        <v>241</v>
      </c>
      <c r="X1527" s="5" t="s">
        <v>243</v>
      </c>
      <c r="Y1527" s="5" t="s">
        <v>238</v>
      </c>
      <c r="AB1527" s="5" t="s">
        <v>686</v>
      </c>
      <c r="AC1527" s="6" t="s">
        <v>238</v>
      </c>
      <c r="AD1527" s="6" t="s">
        <v>238</v>
      </c>
      <c r="AE1527" s="5" t="s">
        <v>238</v>
      </c>
      <c r="AF1527" s="6" t="s">
        <v>238</v>
      </c>
      <c r="AG1527" s="6" t="s">
        <v>4106</v>
      </c>
      <c r="AH1527" s="5" t="s">
        <v>247</v>
      </c>
      <c r="AI1527" s="5" t="s">
        <v>248</v>
      </c>
      <c r="AO1527" s="5" t="s">
        <v>238</v>
      </c>
      <c r="AP1527" s="5" t="s">
        <v>238</v>
      </c>
      <c r="AQ1527" s="5" t="s">
        <v>238</v>
      </c>
      <c r="AR1527" s="6" t="s">
        <v>238</v>
      </c>
      <c r="AS1527" s="6" t="s">
        <v>238</v>
      </c>
      <c r="AT1527" s="6" t="s">
        <v>238</v>
      </c>
      <c r="AW1527" s="5" t="s">
        <v>304</v>
      </c>
      <c r="AX1527" s="5" t="s">
        <v>304</v>
      </c>
      <c r="AY1527" s="5" t="s">
        <v>250</v>
      </c>
      <c r="AZ1527" s="5" t="s">
        <v>281</v>
      </c>
      <c r="BA1527" s="5" t="s">
        <v>251</v>
      </c>
      <c r="BB1527" s="5" t="s">
        <v>3190</v>
      </c>
      <c r="BC1527" s="5" t="s">
        <v>253</v>
      </c>
      <c r="BD1527" s="5" t="s">
        <v>3170</v>
      </c>
      <c r="BF1527" s="5" t="s">
        <v>4108</v>
      </c>
      <c r="BH1527" s="5" t="s">
        <v>283</v>
      </c>
      <c r="BI1527" s="6" t="s">
        <v>4106</v>
      </c>
      <c r="BJ1527" s="5" t="s">
        <v>3212</v>
      </c>
      <c r="BK1527" s="5" t="s">
        <v>3171</v>
      </c>
      <c r="BL1527" s="5" t="s">
        <v>238</v>
      </c>
      <c r="BM1527" s="8">
        <f>0</f>
        <v>0</v>
      </c>
      <c r="BN1527" s="8">
        <f>1078000</f>
        <v>1078000</v>
      </c>
      <c r="BO1527" s="5" t="s">
        <v>257</v>
      </c>
      <c r="BP1527" s="5" t="s">
        <v>258</v>
      </c>
      <c r="BQ1527" s="5" t="s">
        <v>3172</v>
      </c>
      <c r="BR1527" s="5" t="s">
        <v>258</v>
      </c>
      <c r="BS1527" s="5" t="s">
        <v>3238</v>
      </c>
      <c r="BT1527" s="5" t="s">
        <v>238</v>
      </c>
      <c r="BU1527" s="5" t="s">
        <v>3173</v>
      </c>
      <c r="BV1527" s="5" t="s">
        <v>3174</v>
      </c>
      <c r="BW1527" s="5" t="s">
        <v>3174</v>
      </c>
      <c r="BY1527" s="6" t="s">
        <v>4109</v>
      </c>
      <c r="BZ1527" s="5" t="s">
        <v>257</v>
      </c>
      <c r="CA1527" s="5" t="s">
        <v>238</v>
      </c>
      <c r="CB1527" s="5" t="s">
        <v>238</v>
      </c>
      <c r="CC1527" s="5" t="s">
        <v>258</v>
      </c>
      <c r="CD1527" s="5" t="s">
        <v>238</v>
      </c>
      <c r="CE1527" s="5" t="s">
        <v>238</v>
      </c>
      <c r="CI1527" s="5" t="s">
        <v>259</v>
      </c>
      <c r="CJ1527" s="5" t="s">
        <v>260</v>
      </c>
      <c r="CK1527" s="5" t="s">
        <v>272</v>
      </c>
      <c r="CM1527" s="5" t="s">
        <v>3220</v>
      </c>
      <c r="CN1527" s="6" t="s">
        <v>262</v>
      </c>
      <c r="CO1527" s="5" t="s">
        <v>263</v>
      </c>
      <c r="CP1527" s="5" t="s">
        <v>264</v>
      </c>
      <c r="CQ1527" s="5" t="s">
        <v>285</v>
      </c>
      <c r="CR1527" s="5" t="s">
        <v>238</v>
      </c>
      <c r="CS1527" s="5">
        <v>0</v>
      </c>
      <c r="CT1527" s="5" t="s">
        <v>265</v>
      </c>
      <c r="CU1527" s="5" t="s">
        <v>351</v>
      </c>
      <c r="CV1527" s="5" t="s">
        <v>352</v>
      </c>
      <c r="CW1527" s="7">
        <f>1078000</f>
        <v>1078000</v>
      </c>
      <c r="CX1527" s="8">
        <f>1078000</f>
        <v>1078000</v>
      </c>
      <c r="CY1527" s="8">
        <f>1078000</f>
        <v>1078000</v>
      </c>
      <c r="CZ1527" s="8" t="s">
        <v>238</v>
      </c>
      <c r="DA1527" s="5" t="s">
        <v>238</v>
      </c>
      <c r="DB1527" s="5" t="s">
        <v>238</v>
      </c>
      <c r="DD1527" s="5" t="s">
        <v>238</v>
      </c>
      <c r="DE1527" s="8">
        <f>0</f>
        <v>0</v>
      </c>
      <c r="DF1527" s="6" t="s">
        <v>238</v>
      </c>
      <c r="DG1527" s="5" t="s">
        <v>238</v>
      </c>
      <c r="DH1527" s="5" t="s">
        <v>238</v>
      </c>
      <c r="DI1527" s="5" t="s">
        <v>238</v>
      </c>
      <c r="DJ1527" s="5" t="s">
        <v>238</v>
      </c>
      <c r="DK1527" s="5" t="s">
        <v>238</v>
      </c>
      <c r="DL1527" s="5" t="s">
        <v>238</v>
      </c>
      <c r="DM1527" s="8" t="s">
        <v>238</v>
      </c>
      <c r="DN1527" s="5" t="s">
        <v>238</v>
      </c>
      <c r="DO1527" s="5" t="s">
        <v>247</v>
      </c>
      <c r="DP1527" s="5" t="s">
        <v>3170</v>
      </c>
      <c r="DQ1527" s="5" t="s">
        <v>3170</v>
      </c>
      <c r="DR1527" s="5" t="s">
        <v>238</v>
      </c>
      <c r="DS1527" s="5" t="s">
        <v>238</v>
      </c>
      <c r="HP1527" s="5" t="s">
        <v>238</v>
      </c>
      <c r="HQ1527" s="5" t="s">
        <v>238</v>
      </c>
      <c r="HR1527" s="5" t="s">
        <v>238</v>
      </c>
      <c r="HS1527" s="5" t="s">
        <v>238</v>
      </c>
      <c r="HT1527" s="5" t="s">
        <v>238</v>
      </c>
      <c r="HU1527" s="5" t="s">
        <v>238</v>
      </c>
      <c r="HV1527" s="5" t="s">
        <v>238</v>
      </c>
      <c r="HW1527" s="5" t="s">
        <v>238</v>
      </c>
      <c r="HX1527" s="5" t="s">
        <v>238</v>
      </c>
      <c r="HY1527" s="5" t="s">
        <v>238</v>
      </c>
      <c r="HZ1527" s="5" t="s">
        <v>238</v>
      </c>
      <c r="IA1527" s="5" t="s">
        <v>238</v>
      </c>
      <c r="IB1527" s="5" t="s">
        <v>238</v>
      </c>
      <c r="IC1527" s="5" t="s">
        <v>238</v>
      </c>
      <c r="ID1527" s="5" t="s">
        <v>238</v>
      </c>
    </row>
    <row r="1528" spans="1:238" x14ac:dyDescent="0.4">
      <c r="A1528" s="5">
        <v>2012</v>
      </c>
      <c r="B1528" s="5">
        <v>1</v>
      </c>
      <c r="C1528" s="5">
        <v>2</v>
      </c>
      <c r="D1528" s="5" t="s">
        <v>1174</v>
      </c>
      <c r="E1528" s="5" t="s">
        <v>993</v>
      </c>
      <c r="F1528" s="5" t="s">
        <v>282</v>
      </c>
      <c r="G1528" s="5" t="s">
        <v>4165</v>
      </c>
      <c r="H1528" s="6" t="s">
        <v>1178</v>
      </c>
      <c r="I1528" s="5" t="s">
        <v>4163</v>
      </c>
      <c r="J1528" s="8">
        <f>1</f>
        <v>1</v>
      </c>
      <c r="K1528" s="5" t="s">
        <v>3176</v>
      </c>
      <c r="L1528" s="8">
        <f>3179000</f>
        <v>3179000</v>
      </c>
      <c r="M1528" s="8">
        <f>3179000</f>
        <v>3179000</v>
      </c>
      <c r="N1528" s="6" t="s">
        <v>4164</v>
      </c>
      <c r="O1528" s="5" t="s">
        <v>319</v>
      </c>
      <c r="P1528" s="5" t="s">
        <v>238</v>
      </c>
      <c r="Q1528" s="8">
        <f>0</f>
        <v>0</v>
      </c>
      <c r="R1528" s="8">
        <f>0</f>
        <v>0</v>
      </c>
      <c r="S1528" s="5" t="s">
        <v>240</v>
      </c>
      <c r="T1528" s="5" t="s">
        <v>287</v>
      </c>
      <c r="W1528" s="5" t="s">
        <v>241</v>
      </c>
      <c r="X1528" s="5" t="s">
        <v>243</v>
      </c>
      <c r="Y1528" s="5" t="s">
        <v>238</v>
      </c>
      <c r="AB1528" s="5" t="s">
        <v>686</v>
      </c>
      <c r="AC1528" s="6" t="s">
        <v>238</v>
      </c>
      <c r="AD1528" s="6" t="s">
        <v>238</v>
      </c>
      <c r="AE1528" s="5" t="s">
        <v>238</v>
      </c>
      <c r="AF1528" s="6" t="s">
        <v>238</v>
      </c>
      <c r="AG1528" s="6" t="s">
        <v>4164</v>
      </c>
      <c r="AH1528" s="5" t="s">
        <v>247</v>
      </c>
      <c r="AI1528" s="5" t="s">
        <v>248</v>
      </c>
      <c r="AO1528" s="5" t="s">
        <v>238</v>
      </c>
      <c r="AP1528" s="5" t="s">
        <v>238</v>
      </c>
      <c r="AQ1528" s="5" t="s">
        <v>238</v>
      </c>
      <c r="AR1528" s="6" t="s">
        <v>238</v>
      </c>
      <c r="AS1528" s="6" t="s">
        <v>238</v>
      </c>
      <c r="AT1528" s="6" t="s">
        <v>238</v>
      </c>
      <c r="AW1528" s="5" t="s">
        <v>304</v>
      </c>
      <c r="AX1528" s="5" t="s">
        <v>304</v>
      </c>
      <c r="AY1528" s="5" t="s">
        <v>250</v>
      </c>
      <c r="AZ1528" s="5" t="s">
        <v>281</v>
      </c>
      <c r="BA1528" s="5" t="s">
        <v>251</v>
      </c>
      <c r="BB1528" s="5" t="s">
        <v>3190</v>
      </c>
      <c r="BC1528" s="5" t="s">
        <v>253</v>
      </c>
      <c r="BD1528" s="5" t="s">
        <v>3170</v>
      </c>
      <c r="BF1528" s="5" t="s">
        <v>4108</v>
      </c>
      <c r="BH1528" s="5" t="s">
        <v>283</v>
      </c>
      <c r="BI1528" s="6" t="s">
        <v>4164</v>
      </c>
      <c r="BJ1528" s="5" t="s">
        <v>3212</v>
      </c>
      <c r="BK1528" s="5" t="s">
        <v>3171</v>
      </c>
      <c r="BL1528" s="5" t="s">
        <v>238</v>
      </c>
      <c r="BM1528" s="8">
        <f>0</f>
        <v>0</v>
      </c>
      <c r="BN1528" s="8">
        <f>3179000</f>
        <v>3179000</v>
      </c>
      <c r="BO1528" s="5" t="s">
        <v>257</v>
      </c>
      <c r="BP1528" s="5" t="s">
        <v>258</v>
      </c>
      <c r="BQ1528" s="5" t="s">
        <v>3172</v>
      </c>
      <c r="BR1528" s="5" t="s">
        <v>258</v>
      </c>
      <c r="BS1528" s="5" t="s">
        <v>3238</v>
      </c>
      <c r="BT1528" s="5" t="s">
        <v>238</v>
      </c>
      <c r="BU1528" s="5" t="s">
        <v>3173</v>
      </c>
      <c r="BV1528" s="5" t="s">
        <v>3174</v>
      </c>
      <c r="BW1528" s="5" t="s">
        <v>3174</v>
      </c>
      <c r="BY1528" s="6" t="s">
        <v>4166</v>
      </c>
      <c r="BZ1528" s="5" t="s">
        <v>257</v>
      </c>
      <c r="CA1528" s="5" t="s">
        <v>238</v>
      </c>
      <c r="CB1528" s="5" t="s">
        <v>238</v>
      </c>
      <c r="CC1528" s="5" t="s">
        <v>258</v>
      </c>
      <c r="CD1528" s="5" t="s">
        <v>238</v>
      </c>
      <c r="CE1528" s="5" t="s">
        <v>238</v>
      </c>
      <c r="CI1528" s="5" t="s">
        <v>259</v>
      </c>
      <c r="CJ1528" s="5" t="s">
        <v>260</v>
      </c>
      <c r="CK1528" s="5" t="s">
        <v>272</v>
      </c>
      <c r="CM1528" s="5" t="s">
        <v>3220</v>
      </c>
      <c r="CN1528" s="6" t="s">
        <v>262</v>
      </c>
      <c r="CO1528" s="5" t="s">
        <v>263</v>
      </c>
      <c r="CP1528" s="5" t="s">
        <v>264</v>
      </c>
      <c r="CQ1528" s="5" t="s">
        <v>285</v>
      </c>
      <c r="CR1528" s="5" t="s">
        <v>238</v>
      </c>
      <c r="CS1528" s="5">
        <v>0</v>
      </c>
      <c r="CT1528" s="5" t="s">
        <v>265</v>
      </c>
      <c r="CU1528" s="5" t="s">
        <v>351</v>
      </c>
      <c r="CV1528" s="5" t="s">
        <v>352</v>
      </c>
      <c r="CW1528" s="7">
        <f>3179000</f>
        <v>3179000</v>
      </c>
      <c r="CX1528" s="8">
        <f>3179000</f>
        <v>3179000</v>
      </c>
      <c r="CY1528" s="8">
        <f>3179000</f>
        <v>3179000</v>
      </c>
      <c r="CZ1528" s="8" t="s">
        <v>238</v>
      </c>
      <c r="DA1528" s="5" t="s">
        <v>238</v>
      </c>
      <c r="DB1528" s="5" t="s">
        <v>238</v>
      </c>
      <c r="DD1528" s="5" t="s">
        <v>238</v>
      </c>
      <c r="DE1528" s="8">
        <f>0</f>
        <v>0</v>
      </c>
      <c r="DF1528" s="6" t="s">
        <v>238</v>
      </c>
      <c r="DG1528" s="5" t="s">
        <v>238</v>
      </c>
      <c r="DH1528" s="5" t="s">
        <v>238</v>
      </c>
      <c r="DI1528" s="5" t="s">
        <v>238</v>
      </c>
      <c r="DJ1528" s="5" t="s">
        <v>238</v>
      </c>
      <c r="DK1528" s="5" t="s">
        <v>238</v>
      </c>
      <c r="DL1528" s="5" t="s">
        <v>238</v>
      </c>
      <c r="DM1528" s="8" t="s">
        <v>238</v>
      </c>
      <c r="DN1528" s="5" t="s">
        <v>238</v>
      </c>
      <c r="DO1528" s="5" t="s">
        <v>247</v>
      </c>
      <c r="DP1528" s="5" t="s">
        <v>3170</v>
      </c>
      <c r="DQ1528" s="5" t="s">
        <v>3170</v>
      </c>
      <c r="DR1528" s="5" t="s">
        <v>238</v>
      </c>
      <c r="DS1528" s="5" t="s">
        <v>238</v>
      </c>
      <c r="HP1528" s="5" t="s">
        <v>238</v>
      </c>
      <c r="HQ1528" s="5" t="s">
        <v>238</v>
      </c>
      <c r="HR1528" s="5" t="s">
        <v>238</v>
      </c>
      <c r="HS1528" s="5" t="s">
        <v>238</v>
      </c>
      <c r="HT1528" s="5" t="s">
        <v>238</v>
      </c>
      <c r="HU1528" s="5" t="s">
        <v>238</v>
      </c>
      <c r="HV1528" s="5" t="s">
        <v>238</v>
      </c>
      <c r="HW1528" s="5" t="s">
        <v>238</v>
      </c>
      <c r="HX1528" s="5" t="s">
        <v>238</v>
      </c>
      <c r="HY1528" s="5" t="s">
        <v>238</v>
      </c>
      <c r="HZ1528" s="5" t="s">
        <v>238</v>
      </c>
      <c r="IA1528" s="5" t="s">
        <v>238</v>
      </c>
      <c r="IB1528" s="5" t="s">
        <v>238</v>
      </c>
      <c r="IC1528" s="5" t="s">
        <v>238</v>
      </c>
      <c r="ID1528" s="5" t="s">
        <v>238</v>
      </c>
    </row>
    <row r="1529" spans="1:238" x14ac:dyDescent="0.4">
      <c r="A1529" s="5">
        <v>2013</v>
      </c>
      <c r="B1529" s="5">
        <v>1</v>
      </c>
      <c r="C1529" s="5">
        <v>2</v>
      </c>
      <c r="D1529" s="5" t="s">
        <v>1174</v>
      </c>
      <c r="E1529" s="5" t="s">
        <v>993</v>
      </c>
      <c r="F1529" s="5" t="s">
        <v>282</v>
      </c>
      <c r="G1529" s="5" t="s">
        <v>4115</v>
      </c>
      <c r="H1529" s="6" t="s">
        <v>1178</v>
      </c>
      <c r="I1529" s="5" t="s">
        <v>4113</v>
      </c>
      <c r="J1529" s="8">
        <f>1</f>
        <v>1</v>
      </c>
      <c r="K1529" s="5" t="s">
        <v>3176</v>
      </c>
      <c r="L1529" s="8">
        <f>4070000</f>
        <v>4070000</v>
      </c>
      <c r="M1529" s="8">
        <f>4070000</f>
        <v>4070000</v>
      </c>
      <c r="N1529" s="6" t="s">
        <v>4114</v>
      </c>
      <c r="O1529" s="5" t="s">
        <v>268</v>
      </c>
      <c r="P1529" s="5" t="s">
        <v>238</v>
      </c>
      <c r="Q1529" s="8">
        <f>0</f>
        <v>0</v>
      </c>
      <c r="R1529" s="8">
        <f>0</f>
        <v>0</v>
      </c>
      <c r="S1529" s="5" t="s">
        <v>240</v>
      </c>
      <c r="T1529" s="5" t="s">
        <v>287</v>
      </c>
      <c r="W1529" s="5" t="s">
        <v>241</v>
      </c>
      <c r="X1529" s="5" t="s">
        <v>243</v>
      </c>
      <c r="Y1529" s="5" t="s">
        <v>238</v>
      </c>
      <c r="AB1529" s="5" t="s">
        <v>686</v>
      </c>
      <c r="AC1529" s="6" t="s">
        <v>238</v>
      </c>
      <c r="AD1529" s="6" t="s">
        <v>238</v>
      </c>
      <c r="AE1529" s="5" t="s">
        <v>238</v>
      </c>
      <c r="AF1529" s="6" t="s">
        <v>238</v>
      </c>
      <c r="AG1529" s="6" t="s">
        <v>4114</v>
      </c>
      <c r="AH1529" s="5" t="s">
        <v>247</v>
      </c>
      <c r="AI1529" s="5" t="s">
        <v>248</v>
      </c>
      <c r="AO1529" s="5" t="s">
        <v>238</v>
      </c>
      <c r="AP1529" s="5" t="s">
        <v>238</v>
      </c>
      <c r="AQ1529" s="5" t="s">
        <v>238</v>
      </c>
      <c r="AR1529" s="6" t="s">
        <v>238</v>
      </c>
      <c r="AS1529" s="6" t="s">
        <v>238</v>
      </c>
      <c r="AT1529" s="6" t="s">
        <v>238</v>
      </c>
      <c r="AW1529" s="5" t="s">
        <v>304</v>
      </c>
      <c r="AX1529" s="5" t="s">
        <v>304</v>
      </c>
      <c r="AY1529" s="5" t="s">
        <v>250</v>
      </c>
      <c r="AZ1529" s="5" t="s">
        <v>281</v>
      </c>
      <c r="BA1529" s="5" t="s">
        <v>251</v>
      </c>
      <c r="BB1529" s="5" t="s">
        <v>3190</v>
      </c>
      <c r="BC1529" s="5" t="s">
        <v>253</v>
      </c>
      <c r="BD1529" s="5" t="s">
        <v>3170</v>
      </c>
      <c r="BF1529" s="5" t="s">
        <v>4108</v>
      </c>
      <c r="BH1529" s="5" t="s">
        <v>283</v>
      </c>
      <c r="BI1529" s="6" t="s">
        <v>4114</v>
      </c>
      <c r="BJ1529" s="5" t="s">
        <v>3212</v>
      </c>
      <c r="BK1529" s="5" t="s">
        <v>3171</v>
      </c>
      <c r="BL1529" s="5" t="s">
        <v>238</v>
      </c>
      <c r="BM1529" s="8">
        <f>0</f>
        <v>0</v>
      </c>
      <c r="BN1529" s="8">
        <f>4070000</f>
        <v>4070000</v>
      </c>
      <c r="BO1529" s="5" t="s">
        <v>257</v>
      </c>
      <c r="BP1529" s="5" t="s">
        <v>258</v>
      </c>
      <c r="BQ1529" s="5" t="s">
        <v>3172</v>
      </c>
      <c r="BR1529" s="5" t="s">
        <v>258</v>
      </c>
      <c r="BS1529" s="5" t="s">
        <v>3238</v>
      </c>
      <c r="BT1529" s="5" t="s">
        <v>238</v>
      </c>
      <c r="BU1529" s="5" t="s">
        <v>3173</v>
      </c>
      <c r="BV1529" s="5" t="s">
        <v>3174</v>
      </c>
      <c r="BW1529" s="5" t="s">
        <v>3174</v>
      </c>
      <c r="BY1529" s="6" t="s">
        <v>4116</v>
      </c>
      <c r="BZ1529" s="5" t="s">
        <v>3173</v>
      </c>
      <c r="CA1529" s="5" t="s">
        <v>238</v>
      </c>
      <c r="CB1529" s="5" t="s">
        <v>238</v>
      </c>
      <c r="CC1529" s="5" t="s">
        <v>258</v>
      </c>
      <c r="CD1529" s="5" t="s">
        <v>238</v>
      </c>
      <c r="CE1529" s="5" t="s">
        <v>238</v>
      </c>
      <c r="CI1529" s="5" t="s">
        <v>259</v>
      </c>
      <c r="CJ1529" s="5" t="s">
        <v>260</v>
      </c>
      <c r="CK1529" s="5" t="s">
        <v>272</v>
      </c>
      <c r="CM1529" s="5" t="s">
        <v>3220</v>
      </c>
      <c r="CN1529" s="6" t="s">
        <v>262</v>
      </c>
      <c r="CO1529" s="5" t="s">
        <v>263</v>
      </c>
      <c r="CP1529" s="5" t="s">
        <v>264</v>
      </c>
      <c r="CQ1529" s="5" t="s">
        <v>285</v>
      </c>
      <c r="CR1529" s="5" t="s">
        <v>238</v>
      </c>
      <c r="CS1529" s="5">
        <v>0</v>
      </c>
      <c r="CT1529" s="5" t="s">
        <v>265</v>
      </c>
      <c r="CU1529" s="5" t="s">
        <v>351</v>
      </c>
      <c r="CV1529" s="5" t="s">
        <v>365</v>
      </c>
      <c r="CW1529" s="7">
        <f>4070000</f>
        <v>4070000</v>
      </c>
      <c r="CX1529" s="8">
        <f>4070000</f>
        <v>4070000</v>
      </c>
      <c r="CY1529" s="8">
        <f>4070000</f>
        <v>4070000</v>
      </c>
      <c r="CZ1529" s="8" t="s">
        <v>238</v>
      </c>
      <c r="DA1529" s="5" t="s">
        <v>238</v>
      </c>
      <c r="DB1529" s="5" t="s">
        <v>238</v>
      </c>
      <c r="DD1529" s="5" t="s">
        <v>238</v>
      </c>
      <c r="DE1529" s="8">
        <f>0</f>
        <v>0</v>
      </c>
      <c r="DF1529" s="6" t="s">
        <v>238</v>
      </c>
      <c r="DG1529" s="5" t="s">
        <v>238</v>
      </c>
      <c r="DH1529" s="5" t="s">
        <v>238</v>
      </c>
      <c r="DI1529" s="5" t="s">
        <v>238</v>
      </c>
      <c r="DJ1529" s="5" t="s">
        <v>238</v>
      </c>
      <c r="DK1529" s="5" t="s">
        <v>238</v>
      </c>
      <c r="DL1529" s="5" t="s">
        <v>238</v>
      </c>
      <c r="DM1529" s="8" t="s">
        <v>238</v>
      </c>
      <c r="DN1529" s="5" t="s">
        <v>238</v>
      </c>
      <c r="DO1529" s="5" t="s">
        <v>247</v>
      </c>
      <c r="DP1529" s="5" t="s">
        <v>3170</v>
      </c>
      <c r="DQ1529" s="5" t="s">
        <v>3170</v>
      </c>
      <c r="DR1529" s="5" t="s">
        <v>238</v>
      </c>
      <c r="DS1529" s="5" t="s">
        <v>238</v>
      </c>
      <c r="HP1529" s="5" t="s">
        <v>238</v>
      </c>
      <c r="HQ1529" s="5" t="s">
        <v>238</v>
      </c>
      <c r="HR1529" s="5" t="s">
        <v>238</v>
      </c>
      <c r="HS1529" s="5" t="s">
        <v>238</v>
      </c>
      <c r="HT1529" s="5" t="s">
        <v>238</v>
      </c>
      <c r="HU1529" s="5" t="s">
        <v>238</v>
      </c>
      <c r="HV1529" s="5" t="s">
        <v>238</v>
      </c>
      <c r="HW1529" s="5" t="s">
        <v>238</v>
      </c>
      <c r="HX1529" s="5" t="s">
        <v>238</v>
      </c>
      <c r="HY1529" s="5" t="s">
        <v>238</v>
      </c>
      <c r="HZ1529" s="5" t="s">
        <v>238</v>
      </c>
      <c r="IA1529" s="5" t="s">
        <v>238</v>
      </c>
      <c r="IB1529" s="5" t="s">
        <v>238</v>
      </c>
      <c r="IC1529" s="5" t="s">
        <v>238</v>
      </c>
      <c r="ID1529" s="5" t="s">
        <v>238</v>
      </c>
    </row>
    <row r="1530" spans="1:238" x14ac:dyDescent="0.4">
      <c r="A1530" s="5">
        <v>2014</v>
      </c>
      <c r="B1530" s="5">
        <v>1</v>
      </c>
      <c r="C1530" s="5">
        <v>2</v>
      </c>
      <c r="D1530" s="5" t="s">
        <v>1174</v>
      </c>
      <c r="E1530" s="5" t="s">
        <v>993</v>
      </c>
      <c r="F1530" s="5" t="s">
        <v>282</v>
      </c>
      <c r="G1530" s="5" t="s">
        <v>4141</v>
      </c>
      <c r="H1530" s="6" t="s">
        <v>1178</v>
      </c>
      <c r="I1530" s="5" t="s">
        <v>4139</v>
      </c>
      <c r="J1530" s="8">
        <f>1</f>
        <v>1</v>
      </c>
      <c r="K1530" s="5" t="s">
        <v>3176</v>
      </c>
      <c r="L1530" s="8">
        <f>1003100</f>
        <v>1003100</v>
      </c>
      <c r="M1530" s="8">
        <f>1003100</f>
        <v>1003100</v>
      </c>
      <c r="N1530" s="6" t="s">
        <v>4140</v>
      </c>
      <c r="O1530" s="5" t="s">
        <v>268</v>
      </c>
      <c r="P1530" s="5" t="s">
        <v>238</v>
      </c>
      <c r="Q1530" s="8">
        <f>0</f>
        <v>0</v>
      </c>
      <c r="R1530" s="8">
        <f>0</f>
        <v>0</v>
      </c>
      <c r="S1530" s="5" t="s">
        <v>240</v>
      </c>
      <c r="T1530" s="5" t="s">
        <v>287</v>
      </c>
      <c r="W1530" s="5" t="s">
        <v>241</v>
      </c>
      <c r="X1530" s="5" t="s">
        <v>243</v>
      </c>
      <c r="Y1530" s="5" t="s">
        <v>238</v>
      </c>
      <c r="AB1530" s="5" t="s">
        <v>686</v>
      </c>
      <c r="AC1530" s="6" t="s">
        <v>238</v>
      </c>
      <c r="AD1530" s="6" t="s">
        <v>238</v>
      </c>
      <c r="AE1530" s="5" t="s">
        <v>238</v>
      </c>
      <c r="AF1530" s="6" t="s">
        <v>238</v>
      </c>
      <c r="AG1530" s="6" t="s">
        <v>4140</v>
      </c>
      <c r="AH1530" s="5" t="s">
        <v>247</v>
      </c>
      <c r="AI1530" s="5" t="s">
        <v>248</v>
      </c>
      <c r="AO1530" s="5" t="s">
        <v>238</v>
      </c>
      <c r="AP1530" s="5" t="s">
        <v>238</v>
      </c>
      <c r="AQ1530" s="5" t="s">
        <v>238</v>
      </c>
      <c r="AR1530" s="6" t="s">
        <v>238</v>
      </c>
      <c r="AS1530" s="6" t="s">
        <v>238</v>
      </c>
      <c r="AT1530" s="6" t="s">
        <v>238</v>
      </c>
      <c r="AW1530" s="5" t="s">
        <v>304</v>
      </c>
      <c r="AX1530" s="5" t="s">
        <v>304</v>
      </c>
      <c r="AY1530" s="5" t="s">
        <v>250</v>
      </c>
      <c r="AZ1530" s="5" t="s">
        <v>281</v>
      </c>
      <c r="BA1530" s="5" t="s">
        <v>251</v>
      </c>
      <c r="BB1530" s="5" t="s">
        <v>3190</v>
      </c>
      <c r="BC1530" s="5" t="s">
        <v>253</v>
      </c>
      <c r="BD1530" s="5" t="s">
        <v>3170</v>
      </c>
      <c r="BF1530" s="5" t="s">
        <v>4108</v>
      </c>
      <c r="BH1530" s="5" t="s">
        <v>283</v>
      </c>
      <c r="BI1530" s="6" t="s">
        <v>4140</v>
      </c>
      <c r="BJ1530" s="5" t="s">
        <v>3212</v>
      </c>
      <c r="BK1530" s="5" t="s">
        <v>3171</v>
      </c>
      <c r="BL1530" s="5" t="s">
        <v>238</v>
      </c>
      <c r="BM1530" s="8">
        <f>0</f>
        <v>0</v>
      </c>
      <c r="BN1530" s="8">
        <f>1003100</f>
        <v>1003100</v>
      </c>
      <c r="BO1530" s="5" t="s">
        <v>257</v>
      </c>
      <c r="BP1530" s="5" t="s">
        <v>258</v>
      </c>
      <c r="BQ1530" s="5" t="s">
        <v>3172</v>
      </c>
      <c r="BR1530" s="5" t="s">
        <v>258</v>
      </c>
      <c r="BS1530" s="5" t="s">
        <v>3238</v>
      </c>
      <c r="BT1530" s="5" t="s">
        <v>238</v>
      </c>
      <c r="BU1530" s="5" t="s">
        <v>3173</v>
      </c>
      <c r="BV1530" s="5" t="s">
        <v>3174</v>
      </c>
      <c r="BW1530" s="5" t="s">
        <v>3174</v>
      </c>
      <c r="BY1530" s="6" t="s">
        <v>4142</v>
      </c>
      <c r="BZ1530" s="5" t="s">
        <v>257</v>
      </c>
      <c r="CA1530" s="5" t="s">
        <v>238</v>
      </c>
      <c r="CB1530" s="5" t="s">
        <v>238</v>
      </c>
      <c r="CC1530" s="5" t="s">
        <v>258</v>
      </c>
      <c r="CD1530" s="5" t="s">
        <v>238</v>
      </c>
      <c r="CE1530" s="5" t="s">
        <v>238</v>
      </c>
      <c r="CI1530" s="5" t="s">
        <v>259</v>
      </c>
      <c r="CJ1530" s="5" t="s">
        <v>260</v>
      </c>
      <c r="CK1530" s="5" t="s">
        <v>272</v>
      </c>
      <c r="CM1530" s="5" t="s">
        <v>3220</v>
      </c>
      <c r="CN1530" s="6" t="s">
        <v>262</v>
      </c>
      <c r="CO1530" s="5" t="s">
        <v>263</v>
      </c>
      <c r="CP1530" s="5" t="s">
        <v>264</v>
      </c>
      <c r="CQ1530" s="5" t="s">
        <v>285</v>
      </c>
      <c r="CR1530" s="5" t="s">
        <v>238</v>
      </c>
      <c r="CS1530" s="5">
        <v>0</v>
      </c>
      <c r="CT1530" s="5" t="s">
        <v>265</v>
      </c>
      <c r="CU1530" s="5" t="s">
        <v>351</v>
      </c>
      <c r="CV1530" s="5" t="s">
        <v>365</v>
      </c>
      <c r="CW1530" s="7">
        <f>1003100</f>
        <v>1003100</v>
      </c>
      <c r="CX1530" s="8">
        <f>1003100</f>
        <v>1003100</v>
      </c>
      <c r="CY1530" s="8">
        <f>1003100</f>
        <v>1003100</v>
      </c>
      <c r="CZ1530" s="8" t="s">
        <v>238</v>
      </c>
      <c r="DA1530" s="5" t="s">
        <v>238</v>
      </c>
      <c r="DB1530" s="5" t="s">
        <v>238</v>
      </c>
      <c r="DD1530" s="5" t="s">
        <v>238</v>
      </c>
      <c r="DE1530" s="8">
        <f>0</f>
        <v>0</v>
      </c>
      <c r="DF1530" s="6" t="s">
        <v>238</v>
      </c>
      <c r="DG1530" s="5" t="s">
        <v>238</v>
      </c>
      <c r="DH1530" s="5" t="s">
        <v>238</v>
      </c>
      <c r="DI1530" s="5" t="s">
        <v>238</v>
      </c>
      <c r="DJ1530" s="5" t="s">
        <v>238</v>
      </c>
      <c r="DK1530" s="5" t="s">
        <v>238</v>
      </c>
      <c r="DL1530" s="5" t="s">
        <v>238</v>
      </c>
      <c r="DM1530" s="8" t="s">
        <v>238</v>
      </c>
      <c r="DN1530" s="5" t="s">
        <v>238</v>
      </c>
      <c r="DO1530" s="5" t="s">
        <v>247</v>
      </c>
      <c r="DP1530" s="5" t="s">
        <v>3170</v>
      </c>
      <c r="DQ1530" s="5" t="s">
        <v>3170</v>
      </c>
      <c r="DR1530" s="5" t="s">
        <v>238</v>
      </c>
      <c r="DS1530" s="5" t="s">
        <v>238</v>
      </c>
      <c r="HP1530" s="5" t="s">
        <v>238</v>
      </c>
      <c r="HQ1530" s="5" t="s">
        <v>238</v>
      </c>
      <c r="HR1530" s="5" t="s">
        <v>238</v>
      </c>
      <c r="HS1530" s="5" t="s">
        <v>238</v>
      </c>
      <c r="HT1530" s="5" t="s">
        <v>238</v>
      </c>
      <c r="HU1530" s="5" t="s">
        <v>238</v>
      </c>
      <c r="HV1530" s="5" t="s">
        <v>238</v>
      </c>
      <c r="HW1530" s="5" t="s">
        <v>238</v>
      </c>
      <c r="HX1530" s="5" t="s">
        <v>238</v>
      </c>
      <c r="HY1530" s="5" t="s">
        <v>238</v>
      </c>
      <c r="HZ1530" s="5" t="s">
        <v>238</v>
      </c>
      <c r="IA1530" s="5" t="s">
        <v>238</v>
      </c>
      <c r="IB1530" s="5" t="s">
        <v>238</v>
      </c>
      <c r="IC1530" s="5" t="s">
        <v>238</v>
      </c>
      <c r="ID1530" s="5" t="s">
        <v>238</v>
      </c>
    </row>
    <row r="1531" spans="1:238" x14ac:dyDescent="0.4">
      <c r="A1531" s="5">
        <v>2015</v>
      </c>
      <c r="B1531" s="5">
        <v>1</v>
      </c>
      <c r="C1531" s="5">
        <v>2</v>
      </c>
      <c r="D1531" s="5" t="s">
        <v>1217</v>
      </c>
      <c r="E1531" s="5" t="s">
        <v>1218</v>
      </c>
      <c r="F1531" s="5" t="s">
        <v>282</v>
      </c>
      <c r="G1531" s="5" t="s">
        <v>4144</v>
      </c>
      <c r="H1531" s="6" t="s">
        <v>1220</v>
      </c>
      <c r="I1531" s="5" t="s">
        <v>4143</v>
      </c>
      <c r="J1531" s="8">
        <f>1</f>
        <v>1</v>
      </c>
      <c r="K1531" s="5" t="s">
        <v>3176</v>
      </c>
      <c r="L1531" s="8">
        <f>1862900</f>
        <v>1862900</v>
      </c>
      <c r="M1531" s="8">
        <f>1862900</f>
        <v>1862900</v>
      </c>
      <c r="N1531" s="6" t="s">
        <v>4140</v>
      </c>
      <c r="O1531" s="5" t="s">
        <v>268</v>
      </c>
      <c r="P1531" s="5" t="s">
        <v>238</v>
      </c>
      <c r="Q1531" s="8">
        <f>0</f>
        <v>0</v>
      </c>
      <c r="R1531" s="8">
        <f>0</f>
        <v>0</v>
      </c>
      <c r="S1531" s="5" t="s">
        <v>240</v>
      </c>
      <c r="T1531" s="5" t="s">
        <v>287</v>
      </c>
      <c r="W1531" s="5" t="s">
        <v>241</v>
      </c>
      <c r="X1531" s="5" t="s">
        <v>243</v>
      </c>
      <c r="Y1531" s="5" t="s">
        <v>238</v>
      </c>
      <c r="AB1531" s="5" t="s">
        <v>686</v>
      </c>
      <c r="AC1531" s="6" t="s">
        <v>238</v>
      </c>
      <c r="AD1531" s="6" t="s">
        <v>238</v>
      </c>
      <c r="AE1531" s="5" t="s">
        <v>238</v>
      </c>
      <c r="AF1531" s="6" t="s">
        <v>238</v>
      </c>
      <c r="AG1531" s="6" t="s">
        <v>4140</v>
      </c>
      <c r="AH1531" s="5" t="s">
        <v>247</v>
      </c>
      <c r="AI1531" s="5" t="s">
        <v>248</v>
      </c>
      <c r="AO1531" s="5" t="s">
        <v>238</v>
      </c>
      <c r="AP1531" s="5" t="s">
        <v>238</v>
      </c>
      <c r="AQ1531" s="5" t="s">
        <v>238</v>
      </c>
      <c r="AR1531" s="6" t="s">
        <v>238</v>
      </c>
      <c r="AS1531" s="6" t="s">
        <v>238</v>
      </c>
      <c r="AT1531" s="6" t="s">
        <v>238</v>
      </c>
      <c r="AW1531" s="5" t="s">
        <v>304</v>
      </c>
      <c r="AX1531" s="5" t="s">
        <v>304</v>
      </c>
      <c r="AY1531" s="5" t="s">
        <v>250</v>
      </c>
      <c r="AZ1531" s="5" t="s">
        <v>281</v>
      </c>
      <c r="BA1531" s="5" t="s">
        <v>251</v>
      </c>
      <c r="BB1531" s="5" t="s">
        <v>3190</v>
      </c>
      <c r="BC1531" s="5" t="s">
        <v>253</v>
      </c>
      <c r="BD1531" s="5" t="s">
        <v>3170</v>
      </c>
      <c r="BF1531" s="5" t="s">
        <v>4108</v>
      </c>
      <c r="BH1531" s="5" t="s">
        <v>283</v>
      </c>
      <c r="BI1531" s="6" t="s">
        <v>4140</v>
      </c>
      <c r="BJ1531" s="5" t="s">
        <v>3212</v>
      </c>
      <c r="BK1531" s="5" t="s">
        <v>3171</v>
      </c>
      <c r="BL1531" s="5" t="s">
        <v>238</v>
      </c>
      <c r="BM1531" s="8">
        <f>0</f>
        <v>0</v>
      </c>
      <c r="BN1531" s="8">
        <f>1862900</f>
        <v>1862900</v>
      </c>
      <c r="BO1531" s="5" t="s">
        <v>257</v>
      </c>
      <c r="BP1531" s="5" t="s">
        <v>258</v>
      </c>
      <c r="BQ1531" s="5" t="s">
        <v>3172</v>
      </c>
      <c r="BR1531" s="5" t="s">
        <v>258</v>
      </c>
      <c r="BS1531" s="5" t="s">
        <v>3238</v>
      </c>
      <c r="BT1531" s="5" t="s">
        <v>238</v>
      </c>
      <c r="BU1531" s="5" t="s">
        <v>3173</v>
      </c>
      <c r="BV1531" s="5" t="s">
        <v>3174</v>
      </c>
      <c r="BW1531" s="5" t="s">
        <v>3174</v>
      </c>
      <c r="BY1531" s="6" t="s">
        <v>4142</v>
      </c>
      <c r="BZ1531" s="5" t="s">
        <v>257</v>
      </c>
      <c r="CA1531" s="5" t="s">
        <v>238</v>
      </c>
      <c r="CB1531" s="5" t="s">
        <v>238</v>
      </c>
      <c r="CC1531" s="5" t="s">
        <v>258</v>
      </c>
      <c r="CD1531" s="5" t="s">
        <v>238</v>
      </c>
      <c r="CE1531" s="5" t="s">
        <v>238</v>
      </c>
      <c r="CI1531" s="5" t="s">
        <v>259</v>
      </c>
      <c r="CJ1531" s="5" t="s">
        <v>260</v>
      </c>
      <c r="CK1531" s="5" t="s">
        <v>272</v>
      </c>
      <c r="CM1531" s="5" t="s">
        <v>3220</v>
      </c>
      <c r="CN1531" s="6" t="s">
        <v>262</v>
      </c>
      <c r="CO1531" s="5" t="s">
        <v>263</v>
      </c>
      <c r="CP1531" s="5" t="s">
        <v>264</v>
      </c>
      <c r="CQ1531" s="5" t="s">
        <v>285</v>
      </c>
      <c r="CR1531" s="5" t="s">
        <v>238</v>
      </c>
      <c r="CS1531" s="5">
        <v>0</v>
      </c>
      <c r="CT1531" s="5" t="s">
        <v>265</v>
      </c>
      <c r="CU1531" s="5" t="s">
        <v>351</v>
      </c>
      <c r="CV1531" s="5" t="s">
        <v>365</v>
      </c>
      <c r="CW1531" s="7">
        <f>1862900</f>
        <v>1862900</v>
      </c>
      <c r="CX1531" s="8">
        <f>1862900</f>
        <v>1862900</v>
      </c>
      <c r="CY1531" s="8">
        <f>1862900</f>
        <v>1862900</v>
      </c>
      <c r="CZ1531" s="8" t="s">
        <v>238</v>
      </c>
      <c r="DA1531" s="5" t="s">
        <v>238</v>
      </c>
      <c r="DB1531" s="5" t="s">
        <v>238</v>
      </c>
      <c r="DD1531" s="5" t="s">
        <v>238</v>
      </c>
      <c r="DE1531" s="8">
        <f>0</f>
        <v>0</v>
      </c>
      <c r="DF1531" s="6" t="s">
        <v>238</v>
      </c>
      <c r="DG1531" s="5" t="s">
        <v>238</v>
      </c>
      <c r="DH1531" s="5" t="s">
        <v>238</v>
      </c>
      <c r="DI1531" s="5" t="s">
        <v>238</v>
      </c>
      <c r="DJ1531" s="5" t="s">
        <v>238</v>
      </c>
      <c r="DK1531" s="5" t="s">
        <v>238</v>
      </c>
      <c r="DL1531" s="5" t="s">
        <v>238</v>
      </c>
      <c r="DM1531" s="8" t="s">
        <v>238</v>
      </c>
      <c r="DN1531" s="5" t="s">
        <v>238</v>
      </c>
      <c r="DO1531" s="5" t="s">
        <v>247</v>
      </c>
      <c r="DP1531" s="5" t="s">
        <v>3170</v>
      </c>
      <c r="DQ1531" s="5" t="s">
        <v>3170</v>
      </c>
      <c r="DR1531" s="5" t="s">
        <v>238</v>
      </c>
      <c r="DS1531" s="5" t="s">
        <v>238</v>
      </c>
      <c r="HP1531" s="5" t="s">
        <v>238</v>
      </c>
      <c r="HQ1531" s="5" t="s">
        <v>238</v>
      </c>
      <c r="HR1531" s="5" t="s">
        <v>238</v>
      </c>
      <c r="HS1531" s="5" t="s">
        <v>238</v>
      </c>
      <c r="HT1531" s="5" t="s">
        <v>238</v>
      </c>
      <c r="HU1531" s="5" t="s">
        <v>238</v>
      </c>
      <c r="HV1531" s="5" t="s">
        <v>238</v>
      </c>
      <c r="HW1531" s="5" t="s">
        <v>238</v>
      </c>
      <c r="HX1531" s="5" t="s">
        <v>238</v>
      </c>
      <c r="HY1531" s="5" t="s">
        <v>238</v>
      </c>
      <c r="HZ1531" s="5" t="s">
        <v>238</v>
      </c>
      <c r="IA1531" s="5" t="s">
        <v>238</v>
      </c>
      <c r="IB1531" s="5" t="s">
        <v>238</v>
      </c>
      <c r="IC1531" s="5" t="s">
        <v>238</v>
      </c>
      <c r="ID1531" s="5" t="s">
        <v>238</v>
      </c>
    </row>
    <row r="1532" spans="1:238" x14ac:dyDescent="0.4">
      <c r="A1532" s="5">
        <v>2016</v>
      </c>
      <c r="B1532" s="5">
        <v>1</v>
      </c>
      <c r="C1532" s="5">
        <v>2</v>
      </c>
      <c r="D1532" s="5" t="s">
        <v>1174</v>
      </c>
      <c r="E1532" s="5" t="s">
        <v>993</v>
      </c>
      <c r="F1532" s="5" t="s">
        <v>282</v>
      </c>
      <c r="G1532" s="5" t="s">
        <v>4141</v>
      </c>
      <c r="H1532" s="6" t="s">
        <v>1178</v>
      </c>
      <c r="I1532" s="5" t="s">
        <v>4139</v>
      </c>
      <c r="J1532" s="8">
        <f>1</f>
        <v>1</v>
      </c>
      <c r="K1532" s="5" t="s">
        <v>3176</v>
      </c>
      <c r="L1532" s="8">
        <f>1206415</f>
        <v>1206415</v>
      </c>
      <c r="M1532" s="8">
        <f>1206415</f>
        <v>1206415</v>
      </c>
      <c r="N1532" s="6" t="s">
        <v>293</v>
      </c>
      <c r="O1532" s="5" t="s">
        <v>268</v>
      </c>
      <c r="P1532" s="5" t="s">
        <v>238</v>
      </c>
      <c r="Q1532" s="8">
        <f>0</f>
        <v>0</v>
      </c>
      <c r="R1532" s="8">
        <f>0</f>
        <v>0</v>
      </c>
      <c r="S1532" s="5" t="s">
        <v>240</v>
      </c>
      <c r="T1532" s="5" t="s">
        <v>287</v>
      </c>
      <c r="W1532" s="5" t="s">
        <v>241</v>
      </c>
      <c r="X1532" s="5" t="s">
        <v>243</v>
      </c>
      <c r="Y1532" s="5" t="s">
        <v>238</v>
      </c>
      <c r="AB1532" s="5" t="s">
        <v>686</v>
      </c>
      <c r="AC1532" s="6" t="s">
        <v>238</v>
      </c>
      <c r="AD1532" s="6" t="s">
        <v>238</v>
      </c>
      <c r="AE1532" s="5" t="s">
        <v>238</v>
      </c>
      <c r="AF1532" s="6" t="s">
        <v>238</v>
      </c>
      <c r="AG1532" s="6" t="s">
        <v>293</v>
      </c>
      <c r="AH1532" s="5" t="s">
        <v>247</v>
      </c>
      <c r="AI1532" s="5" t="s">
        <v>248</v>
      </c>
      <c r="AO1532" s="5" t="s">
        <v>238</v>
      </c>
      <c r="AP1532" s="5" t="s">
        <v>238</v>
      </c>
      <c r="AQ1532" s="5" t="s">
        <v>238</v>
      </c>
      <c r="AR1532" s="6" t="s">
        <v>238</v>
      </c>
      <c r="AS1532" s="6" t="s">
        <v>238</v>
      </c>
      <c r="AT1532" s="6" t="s">
        <v>238</v>
      </c>
      <c r="AW1532" s="5" t="s">
        <v>304</v>
      </c>
      <c r="AX1532" s="5" t="s">
        <v>304</v>
      </c>
      <c r="AY1532" s="5" t="s">
        <v>250</v>
      </c>
      <c r="AZ1532" s="5" t="s">
        <v>281</v>
      </c>
      <c r="BA1532" s="5" t="s">
        <v>251</v>
      </c>
      <c r="BB1532" s="5" t="s">
        <v>3190</v>
      </c>
      <c r="BC1532" s="5" t="s">
        <v>253</v>
      </c>
      <c r="BD1532" s="5" t="s">
        <v>3170</v>
      </c>
      <c r="BF1532" s="5" t="s">
        <v>4108</v>
      </c>
      <c r="BH1532" s="5" t="s">
        <v>283</v>
      </c>
      <c r="BI1532" s="6" t="s">
        <v>293</v>
      </c>
      <c r="BJ1532" s="5" t="s">
        <v>3212</v>
      </c>
      <c r="BK1532" s="5" t="s">
        <v>3171</v>
      </c>
      <c r="BL1532" s="5" t="s">
        <v>238</v>
      </c>
      <c r="BM1532" s="8">
        <f>0</f>
        <v>0</v>
      </c>
      <c r="BN1532" s="8">
        <f>1206415</f>
        <v>1206415</v>
      </c>
      <c r="BO1532" s="5" t="s">
        <v>257</v>
      </c>
      <c r="BP1532" s="5" t="s">
        <v>258</v>
      </c>
      <c r="BQ1532" s="5" t="s">
        <v>3172</v>
      </c>
      <c r="BR1532" s="5" t="s">
        <v>258</v>
      </c>
      <c r="BS1532" s="5" t="s">
        <v>3238</v>
      </c>
      <c r="BT1532" s="5" t="s">
        <v>238</v>
      </c>
      <c r="BU1532" s="5" t="s">
        <v>3173</v>
      </c>
      <c r="BV1532" s="5" t="s">
        <v>3174</v>
      </c>
      <c r="BW1532" s="5" t="s">
        <v>3174</v>
      </c>
      <c r="BY1532" s="6" t="s">
        <v>4142</v>
      </c>
      <c r="BZ1532" s="5" t="s">
        <v>3173</v>
      </c>
      <c r="CA1532" s="5" t="s">
        <v>238</v>
      </c>
      <c r="CB1532" s="5" t="s">
        <v>238</v>
      </c>
      <c r="CC1532" s="5" t="s">
        <v>258</v>
      </c>
      <c r="CD1532" s="5" t="s">
        <v>238</v>
      </c>
      <c r="CE1532" s="5" t="s">
        <v>238</v>
      </c>
      <c r="CI1532" s="5" t="s">
        <v>259</v>
      </c>
      <c r="CJ1532" s="5" t="s">
        <v>260</v>
      </c>
      <c r="CK1532" s="5" t="s">
        <v>272</v>
      </c>
      <c r="CM1532" s="5" t="s">
        <v>3220</v>
      </c>
      <c r="CN1532" s="6" t="s">
        <v>262</v>
      </c>
      <c r="CO1532" s="5" t="s">
        <v>263</v>
      </c>
      <c r="CP1532" s="5" t="s">
        <v>264</v>
      </c>
      <c r="CQ1532" s="5" t="s">
        <v>285</v>
      </c>
      <c r="CR1532" s="5" t="s">
        <v>238</v>
      </c>
      <c r="CS1532" s="5">
        <v>0</v>
      </c>
      <c r="CT1532" s="5" t="s">
        <v>265</v>
      </c>
      <c r="CU1532" s="5" t="s">
        <v>351</v>
      </c>
      <c r="CV1532" s="5" t="s">
        <v>365</v>
      </c>
      <c r="CW1532" s="7">
        <f>1206415</f>
        <v>1206415</v>
      </c>
      <c r="CX1532" s="8">
        <f>1206415</f>
        <v>1206415</v>
      </c>
      <c r="CY1532" s="8">
        <f>1206415</f>
        <v>1206415</v>
      </c>
      <c r="CZ1532" s="8" t="s">
        <v>238</v>
      </c>
      <c r="DA1532" s="5" t="s">
        <v>238</v>
      </c>
      <c r="DB1532" s="5" t="s">
        <v>238</v>
      </c>
      <c r="DD1532" s="5" t="s">
        <v>238</v>
      </c>
      <c r="DE1532" s="8">
        <f>0</f>
        <v>0</v>
      </c>
      <c r="DF1532" s="6" t="s">
        <v>238</v>
      </c>
      <c r="DG1532" s="5" t="s">
        <v>238</v>
      </c>
      <c r="DH1532" s="5" t="s">
        <v>238</v>
      </c>
      <c r="DI1532" s="5" t="s">
        <v>238</v>
      </c>
      <c r="DJ1532" s="5" t="s">
        <v>238</v>
      </c>
      <c r="DK1532" s="5" t="s">
        <v>238</v>
      </c>
      <c r="DL1532" s="5" t="s">
        <v>238</v>
      </c>
      <c r="DM1532" s="8" t="s">
        <v>238</v>
      </c>
      <c r="DN1532" s="5" t="s">
        <v>238</v>
      </c>
      <c r="DO1532" s="5" t="s">
        <v>247</v>
      </c>
      <c r="DP1532" s="5" t="s">
        <v>3170</v>
      </c>
      <c r="DQ1532" s="5" t="s">
        <v>3170</v>
      </c>
      <c r="DR1532" s="5" t="s">
        <v>238</v>
      </c>
      <c r="DS1532" s="5" t="s">
        <v>238</v>
      </c>
      <c r="HP1532" s="5" t="s">
        <v>238</v>
      </c>
      <c r="HQ1532" s="5" t="s">
        <v>238</v>
      </c>
      <c r="HR1532" s="5" t="s">
        <v>238</v>
      </c>
      <c r="HS1532" s="5" t="s">
        <v>238</v>
      </c>
      <c r="HT1532" s="5" t="s">
        <v>238</v>
      </c>
      <c r="HU1532" s="5" t="s">
        <v>238</v>
      </c>
      <c r="HV1532" s="5" t="s">
        <v>238</v>
      </c>
      <c r="HW1532" s="5" t="s">
        <v>238</v>
      </c>
      <c r="HX1532" s="5" t="s">
        <v>238</v>
      </c>
      <c r="HY1532" s="5" t="s">
        <v>238</v>
      </c>
      <c r="HZ1532" s="5" t="s">
        <v>238</v>
      </c>
      <c r="IA1532" s="5" t="s">
        <v>238</v>
      </c>
      <c r="IB1532" s="5" t="s">
        <v>238</v>
      </c>
      <c r="IC1532" s="5" t="s">
        <v>238</v>
      </c>
      <c r="ID1532" s="5" t="s">
        <v>238</v>
      </c>
    </row>
    <row r="1533" spans="1:238" x14ac:dyDescent="0.4">
      <c r="A1533" s="5">
        <v>2017</v>
      </c>
      <c r="B1533" s="5">
        <v>1</v>
      </c>
      <c r="C1533" s="5">
        <v>2</v>
      </c>
      <c r="D1533" s="5" t="s">
        <v>1217</v>
      </c>
      <c r="E1533" s="5" t="s">
        <v>1218</v>
      </c>
      <c r="F1533" s="5" t="s">
        <v>282</v>
      </c>
      <c r="G1533" s="5" t="s">
        <v>4144</v>
      </c>
      <c r="H1533" s="6" t="s">
        <v>1220</v>
      </c>
      <c r="I1533" s="5" t="s">
        <v>4143</v>
      </c>
      <c r="J1533" s="8">
        <f>1</f>
        <v>1</v>
      </c>
      <c r="K1533" s="5" t="s">
        <v>3176</v>
      </c>
      <c r="L1533" s="8">
        <f>2240485</f>
        <v>2240485</v>
      </c>
      <c r="M1533" s="8">
        <f>2240485</f>
        <v>2240485</v>
      </c>
      <c r="N1533" s="6" t="s">
        <v>293</v>
      </c>
      <c r="O1533" s="5" t="s">
        <v>268</v>
      </c>
      <c r="P1533" s="5" t="s">
        <v>238</v>
      </c>
      <c r="Q1533" s="8">
        <f>0</f>
        <v>0</v>
      </c>
      <c r="R1533" s="8">
        <f>0</f>
        <v>0</v>
      </c>
      <c r="S1533" s="5" t="s">
        <v>240</v>
      </c>
      <c r="T1533" s="5" t="s">
        <v>287</v>
      </c>
      <c r="W1533" s="5" t="s">
        <v>241</v>
      </c>
      <c r="X1533" s="5" t="s">
        <v>243</v>
      </c>
      <c r="Y1533" s="5" t="s">
        <v>238</v>
      </c>
      <c r="AB1533" s="5" t="s">
        <v>686</v>
      </c>
      <c r="AC1533" s="6" t="s">
        <v>238</v>
      </c>
      <c r="AD1533" s="6" t="s">
        <v>238</v>
      </c>
      <c r="AE1533" s="5" t="s">
        <v>238</v>
      </c>
      <c r="AF1533" s="6" t="s">
        <v>238</v>
      </c>
      <c r="AG1533" s="6" t="s">
        <v>293</v>
      </c>
      <c r="AH1533" s="5" t="s">
        <v>247</v>
      </c>
      <c r="AI1533" s="5" t="s">
        <v>248</v>
      </c>
      <c r="AO1533" s="5" t="s">
        <v>238</v>
      </c>
      <c r="AP1533" s="5" t="s">
        <v>238</v>
      </c>
      <c r="AQ1533" s="5" t="s">
        <v>238</v>
      </c>
      <c r="AR1533" s="6" t="s">
        <v>238</v>
      </c>
      <c r="AS1533" s="6" t="s">
        <v>238</v>
      </c>
      <c r="AT1533" s="6" t="s">
        <v>238</v>
      </c>
      <c r="AW1533" s="5" t="s">
        <v>304</v>
      </c>
      <c r="AX1533" s="5" t="s">
        <v>304</v>
      </c>
      <c r="AY1533" s="5" t="s">
        <v>250</v>
      </c>
      <c r="AZ1533" s="5" t="s">
        <v>281</v>
      </c>
      <c r="BA1533" s="5" t="s">
        <v>251</v>
      </c>
      <c r="BB1533" s="5" t="s">
        <v>3190</v>
      </c>
      <c r="BC1533" s="5" t="s">
        <v>253</v>
      </c>
      <c r="BD1533" s="5" t="s">
        <v>3170</v>
      </c>
      <c r="BF1533" s="5" t="s">
        <v>4108</v>
      </c>
      <c r="BH1533" s="5" t="s">
        <v>283</v>
      </c>
      <c r="BI1533" s="6" t="s">
        <v>293</v>
      </c>
      <c r="BJ1533" s="5" t="s">
        <v>3212</v>
      </c>
      <c r="BK1533" s="5" t="s">
        <v>3171</v>
      </c>
      <c r="BL1533" s="5" t="s">
        <v>238</v>
      </c>
      <c r="BM1533" s="8">
        <f>0</f>
        <v>0</v>
      </c>
      <c r="BN1533" s="8">
        <f>2240485</f>
        <v>2240485</v>
      </c>
      <c r="BO1533" s="5" t="s">
        <v>257</v>
      </c>
      <c r="BP1533" s="5" t="s">
        <v>258</v>
      </c>
      <c r="BQ1533" s="5" t="s">
        <v>3172</v>
      </c>
      <c r="BR1533" s="5" t="s">
        <v>258</v>
      </c>
      <c r="BS1533" s="5" t="s">
        <v>3238</v>
      </c>
      <c r="BT1533" s="5" t="s">
        <v>238</v>
      </c>
      <c r="BU1533" s="5" t="s">
        <v>3173</v>
      </c>
      <c r="BV1533" s="5" t="s">
        <v>3174</v>
      </c>
      <c r="BW1533" s="5" t="s">
        <v>3174</v>
      </c>
      <c r="BY1533" s="6" t="s">
        <v>4142</v>
      </c>
      <c r="BZ1533" s="5" t="s">
        <v>3173</v>
      </c>
      <c r="CA1533" s="5" t="s">
        <v>238</v>
      </c>
      <c r="CB1533" s="5" t="s">
        <v>238</v>
      </c>
      <c r="CC1533" s="5" t="s">
        <v>258</v>
      </c>
      <c r="CD1533" s="5" t="s">
        <v>238</v>
      </c>
      <c r="CE1533" s="5" t="s">
        <v>238</v>
      </c>
      <c r="CI1533" s="5" t="s">
        <v>259</v>
      </c>
      <c r="CJ1533" s="5" t="s">
        <v>260</v>
      </c>
      <c r="CK1533" s="5" t="s">
        <v>272</v>
      </c>
      <c r="CM1533" s="5" t="s">
        <v>3220</v>
      </c>
      <c r="CN1533" s="6" t="s">
        <v>262</v>
      </c>
      <c r="CO1533" s="5" t="s">
        <v>263</v>
      </c>
      <c r="CP1533" s="5" t="s">
        <v>264</v>
      </c>
      <c r="CQ1533" s="5" t="s">
        <v>285</v>
      </c>
      <c r="CR1533" s="5" t="s">
        <v>238</v>
      </c>
      <c r="CS1533" s="5">
        <v>0</v>
      </c>
      <c r="CT1533" s="5" t="s">
        <v>265</v>
      </c>
      <c r="CU1533" s="5" t="s">
        <v>351</v>
      </c>
      <c r="CV1533" s="5" t="s">
        <v>365</v>
      </c>
      <c r="CW1533" s="7">
        <f>2240485</f>
        <v>2240485</v>
      </c>
      <c r="CX1533" s="8">
        <f>2240485</f>
        <v>2240485</v>
      </c>
      <c r="CY1533" s="8">
        <f>2240485</f>
        <v>2240485</v>
      </c>
      <c r="CZ1533" s="8" t="s">
        <v>238</v>
      </c>
      <c r="DA1533" s="5" t="s">
        <v>238</v>
      </c>
      <c r="DB1533" s="5" t="s">
        <v>238</v>
      </c>
      <c r="DD1533" s="5" t="s">
        <v>238</v>
      </c>
      <c r="DE1533" s="8">
        <f>0</f>
        <v>0</v>
      </c>
      <c r="DF1533" s="6" t="s">
        <v>238</v>
      </c>
      <c r="DG1533" s="5" t="s">
        <v>238</v>
      </c>
      <c r="DH1533" s="5" t="s">
        <v>238</v>
      </c>
      <c r="DI1533" s="5" t="s">
        <v>238</v>
      </c>
      <c r="DJ1533" s="5" t="s">
        <v>238</v>
      </c>
      <c r="DK1533" s="5" t="s">
        <v>238</v>
      </c>
      <c r="DL1533" s="5" t="s">
        <v>238</v>
      </c>
      <c r="DM1533" s="8" t="s">
        <v>238</v>
      </c>
      <c r="DN1533" s="5" t="s">
        <v>238</v>
      </c>
      <c r="DO1533" s="5" t="s">
        <v>247</v>
      </c>
      <c r="DP1533" s="5" t="s">
        <v>3170</v>
      </c>
      <c r="DQ1533" s="5" t="s">
        <v>3170</v>
      </c>
      <c r="DR1533" s="5" t="s">
        <v>238</v>
      </c>
      <c r="DS1533" s="5" t="s">
        <v>238</v>
      </c>
      <c r="HP1533" s="5" t="s">
        <v>238</v>
      </c>
      <c r="HQ1533" s="5" t="s">
        <v>238</v>
      </c>
      <c r="HR1533" s="5" t="s">
        <v>238</v>
      </c>
      <c r="HS1533" s="5" t="s">
        <v>238</v>
      </c>
      <c r="HT1533" s="5" t="s">
        <v>238</v>
      </c>
      <c r="HU1533" s="5" t="s">
        <v>238</v>
      </c>
      <c r="HV1533" s="5" t="s">
        <v>238</v>
      </c>
      <c r="HW1533" s="5" t="s">
        <v>238</v>
      </c>
      <c r="HX1533" s="5" t="s">
        <v>238</v>
      </c>
      <c r="HY1533" s="5" t="s">
        <v>238</v>
      </c>
      <c r="HZ1533" s="5" t="s">
        <v>238</v>
      </c>
      <c r="IA1533" s="5" t="s">
        <v>238</v>
      </c>
      <c r="IB1533" s="5" t="s">
        <v>238</v>
      </c>
      <c r="IC1533" s="5" t="s">
        <v>238</v>
      </c>
      <c r="ID1533" s="5" t="s">
        <v>238</v>
      </c>
    </row>
    <row r="1534" spans="1:238" x14ac:dyDescent="0.4">
      <c r="A1534" s="5">
        <v>2025</v>
      </c>
      <c r="B1534" s="5">
        <v>1</v>
      </c>
      <c r="C1534" s="5">
        <v>2</v>
      </c>
      <c r="D1534" s="5" t="s">
        <v>299</v>
      </c>
      <c r="E1534" s="5" t="s">
        <v>300</v>
      </c>
      <c r="F1534" s="5" t="s">
        <v>282</v>
      </c>
      <c r="G1534" s="5" t="s">
        <v>4202</v>
      </c>
      <c r="H1534" s="6" t="s">
        <v>4203</v>
      </c>
      <c r="I1534" s="5" t="s">
        <v>4200</v>
      </c>
      <c r="J1534" s="8">
        <f>1</f>
        <v>1</v>
      </c>
      <c r="K1534" s="5" t="s">
        <v>3251</v>
      </c>
      <c r="L1534" s="8">
        <f>979000</f>
        <v>979000</v>
      </c>
      <c r="M1534" s="8">
        <f>979000</f>
        <v>979000</v>
      </c>
      <c r="N1534" s="6" t="s">
        <v>4201</v>
      </c>
      <c r="O1534" s="5" t="s">
        <v>268</v>
      </c>
      <c r="P1534" s="5" t="s">
        <v>238</v>
      </c>
      <c r="Q1534" s="8">
        <f>0</f>
        <v>0</v>
      </c>
      <c r="R1534" s="8">
        <f>0</f>
        <v>0</v>
      </c>
      <c r="S1534" s="5" t="s">
        <v>240</v>
      </c>
      <c r="T1534" s="5" t="s">
        <v>237</v>
      </c>
      <c r="W1534" s="5" t="s">
        <v>241</v>
      </c>
      <c r="X1534" s="5" t="s">
        <v>243</v>
      </c>
      <c r="Y1534" s="5" t="s">
        <v>238</v>
      </c>
      <c r="AB1534" s="5" t="s">
        <v>300</v>
      </c>
      <c r="AC1534" s="6" t="s">
        <v>238</v>
      </c>
      <c r="AD1534" s="6" t="s">
        <v>238</v>
      </c>
      <c r="AE1534" s="5" t="s">
        <v>238</v>
      </c>
      <c r="AF1534" s="6" t="s">
        <v>238</v>
      </c>
      <c r="AG1534" s="6" t="s">
        <v>4201</v>
      </c>
      <c r="AH1534" s="5" t="s">
        <v>247</v>
      </c>
      <c r="AI1534" s="5" t="s">
        <v>248</v>
      </c>
      <c r="AO1534" s="5" t="s">
        <v>238</v>
      </c>
      <c r="AP1534" s="5" t="s">
        <v>238</v>
      </c>
      <c r="AQ1534" s="5" t="s">
        <v>238</v>
      </c>
      <c r="AR1534" s="6" t="s">
        <v>238</v>
      </c>
      <c r="AS1534" s="6" t="s">
        <v>238</v>
      </c>
      <c r="AT1534" s="6" t="s">
        <v>238</v>
      </c>
      <c r="AW1534" s="5" t="s">
        <v>304</v>
      </c>
      <c r="AX1534" s="5" t="s">
        <v>304</v>
      </c>
      <c r="AY1534" s="5" t="s">
        <v>250</v>
      </c>
      <c r="AZ1534" s="5" t="s">
        <v>281</v>
      </c>
      <c r="BA1534" s="5" t="s">
        <v>251</v>
      </c>
      <c r="BB1534" s="5" t="s">
        <v>3190</v>
      </c>
      <c r="BC1534" s="5" t="s">
        <v>253</v>
      </c>
      <c r="BD1534" s="5" t="s">
        <v>3170</v>
      </c>
      <c r="BF1534" s="5" t="s">
        <v>4108</v>
      </c>
      <c r="BH1534" s="5" t="s">
        <v>283</v>
      </c>
      <c r="BI1534" s="6" t="s">
        <v>4201</v>
      </c>
      <c r="BJ1534" s="5" t="s">
        <v>3212</v>
      </c>
      <c r="BK1534" s="5" t="s">
        <v>3171</v>
      </c>
      <c r="BL1534" s="5" t="s">
        <v>238</v>
      </c>
      <c r="BM1534" s="8">
        <f>0</f>
        <v>0</v>
      </c>
      <c r="BN1534" s="8">
        <f>979000</f>
        <v>979000</v>
      </c>
      <c r="BO1534" s="5" t="s">
        <v>257</v>
      </c>
      <c r="BP1534" s="5" t="s">
        <v>258</v>
      </c>
      <c r="BQ1534" s="5" t="s">
        <v>3172</v>
      </c>
      <c r="BR1534" s="5" t="s">
        <v>258</v>
      </c>
      <c r="BS1534" s="5" t="s">
        <v>3246</v>
      </c>
      <c r="BT1534" s="5" t="s">
        <v>238</v>
      </c>
      <c r="BU1534" s="5" t="s">
        <v>257</v>
      </c>
      <c r="BV1534" s="5" t="s">
        <v>3174</v>
      </c>
      <c r="BW1534" s="5" t="s">
        <v>3174</v>
      </c>
      <c r="BY1534" s="6" t="s">
        <v>4204</v>
      </c>
      <c r="BZ1534" s="5" t="s">
        <v>257</v>
      </c>
      <c r="CA1534" s="5" t="s">
        <v>238</v>
      </c>
      <c r="CB1534" s="5" t="s">
        <v>238</v>
      </c>
      <c r="CC1534" s="5" t="s">
        <v>258</v>
      </c>
      <c r="CD1534" s="5" t="s">
        <v>238</v>
      </c>
      <c r="CE1534" s="5" t="s">
        <v>238</v>
      </c>
      <c r="CI1534" s="5" t="s">
        <v>238</v>
      </c>
      <c r="CJ1534" s="5" t="s">
        <v>238</v>
      </c>
      <c r="CK1534" s="5" t="s">
        <v>272</v>
      </c>
      <c r="CM1534" s="5" t="s">
        <v>238</v>
      </c>
      <c r="CN1534" s="6" t="s">
        <v>262</v>
      </c>
      <c r="CO1534" s="5" t="s">
        <v>263</v>
      </c>
      <c r="CP1534" s="5" t="s">
        <v>264</v>
      </c>
      <c r="CQ1534" s="5" t="s">
        <v>285</v>
      </c>
      <c r="CR1534" s="5" t="s">
        <v>238</v>
      </c>
      <c r="CS1534" s="5">
        <v>0</v>
      </c>
      <c r="CT1534" s="5" t="s">
        <v>265</v>
      </c>
      <c r="CU1534" s="5" t="s">
        <v>351</v>
      </c>
      <c r="CV1534" s="5" t="s">
        <v>394</v>
      </c>
      <c r="CW1534" s="7">
        <f>979000</f>
        <v>979000</v>
      </c>
      <c r="CX1534" s="8">
        <f>979000</f>
        <v>979000</v>
      </c>
      <c r="CY1534" s="8">
        <f>979000</f>
        <v>979000</v>
      </c>
      <c r="CZ1534" s="8" t="s">
        <v>238</v>
      </c>
      <c r="DA1534" s="5" t="s">
        <v>238</v>
      </c>
      <c r="DB1534" s="5" t="s">
        <v>238</v>
      </c>
      <c r="DD1534" s="5" t="s">
        <v>238</v>
      </c>
      <c r="DE1534" s="8">
        <f>0</f>
        <v>0</v>
      </c>
      <c r="DF1534" s="6" t="s">
        <v>238</v>
      </c>
      <c r="DG1534" s="5" t="s">
        <v>238</v>
      </c>
      <c r="DH1534" s="5" t="s">
        <v>238</v>
      </c>
      <c r="DI1534" s="5" t="s">
        <v>238</v>
      </c>
      <c r="DJ1534" s="5" t="s">
        <v>238</v>
      </c>
      <c r="DK1534" s="5" t="s">
        <v>238</v>
      </c>
      <c r="DL1534" s="5" t="s">
        <v>238</v>
      </c>
      <c r="DM1534" s="8" t="s">
        <v>238</v>
      </c>
      <c r="DN1534" s="5" t="s">
        <v>238</v>
      </c>
      <c r="DO1534" s="5" t="s">
        <v>247</v>
      </c>
      <c r="DP1534" s="5" t="s">
        <v>3170</v>
      </c>
      <c r="DQ1534" s="5" t="s">
        <v>3170</v>
      </c>
      <c r="DR1534" s="5" t="s">
        <v>238</v>
      </c>
      <c r="DS1534" s="5" t="s">
        <v>238</v>
      </c>
      <c r="HP1534" s="5" t="s">
        <v>238</v>
      </c>
      <c r="HQ1534" s="5" t="s">
        <v>238</v>
      </c>
      <c r="HR1534" s="5" t="s">
        <v>238</v>
      </c>
      <c r="HS1534" s="5" t="s">
        <v>238</v>
      </c>
      <c r="HT1534" s="5" t="s">
        <v>238</v>
      </c>
      <c r="HU1534" s="5" t="s">
        <v>238</v>
      </c>
      <c r="HV1534" s="5" t="s">
        <v>238</v>
      </c>
      <c r="HW1534" s="5" t="s">
        <v>238</v>
      </c>
      <c r="HX1534" s="5" t="s">
        <v>238</v>
      </c>
      <c r="HY1534" s="5" t="s">
        <v>238</v>
      </c>
      <c r="HZ1534" s="5" t="s">
        <v>238</v>
      </c>
      <c r="IA1534" s="5" t="s">
        <v>238</v>
      </c>
      <c r="IB1534" s="5" t="s">
        <v>238</v>
      </c>
      <c r="IC1534" s="5" t="s">
        <v>238</v>
      </c>
      <c r="ID1534" s="5" t="s">
        <v>238</v>
      </c>
    </row>
    <row r="1535" spans="1:238" x14ac:dyDescent="0.4">
      <c r="A1535" s="5">
        <v>2028</v>
      </c>
      <c r="B1535" s="5">
        <v>1</v>
      </c>
      <c r="C1535" s="5">
        <v>2</v>
      </c>
      <c r="D1535" s="5" t="s">
        <v>1952</v>
      </c>
      <c r="E1535" s="5" t="s">
        <v>440</v>
      </c>
      <c r="F1535" s="5" t="s">
        <v>282</v>
      </c>
      <c r="G1535" s="5" t="s">
        <v>4101</v>
      </c>
      <c r="H1535" s="6" t="s">
        <v>1954</v>
      </c>
      <c r="I1535" s="5" t="s">
        <v>4100</v>
      </c>
      <c r="J1535" s="8">
        <f>1</f>
        <v>1</v>
      </c>
      <c r="K1535" s="5" t="s">
        <v>287</v>
      </c>
      <c r="L1535" s="8">
        <f>1980000</f>
        <v>1980000</v>
      </c>
      <c r="M1535" s="8">
        <f>1980000</f>
        <v>1980000</v>
      </c>
      <c r="N1535" s="6" t="s">
        <v>3442</v>
      </c>
      <c r="O1535" s="5" t="s">
        <v>268</v>
      </c>
      <c r="P1535" s="5" t="s">
        <v>238</v>
      </c>
      <c r="Q1535" s="8">
        <f>0</f>
        <v>0</v>
      </c>
      <c r="R1535" s="8">
        <f>0</f>
        <v>0</v>
      </c>
      <c r="S1535" s="5" t="s">
        <v>240</v>
      </c>
      <c r="T1535" s="5" t="s">
        <v>237</v>
      </c>
      <c r="W1535" s="5" t="s">
        <v>241</v>
      </c>
      <c r="X1535" s="5" t="s">
        <v>951</v>
      </c>
      <c r="Y1535" s="5" t="s">
        <v>238</v>
      </c>
      <c r="AB1535" s="5" t="s">
        <v>440</v>
      </c>
      <c r="AC1535" s="6" t="s">
        <v>238</v>
      </c>
      <c r="AD1535" s="6" t="s">
        <v>238</v>
      </c>
      <c r="AE1535" s="5" t="s">
        <v>238</v>
      </c>
      <c r="AF1535" s="6" t="s">
        <v>238</v>
      </c>
      <c r="AG1535" s="6" t="s">
        <v>3442</v>
      </c>
      <c r="AH1535" s="5" t="s">
        <v>247</v>
      </c>
      <c r="AI1535" s="5" t="s">
        <v>248</v>
      </c>
      <c r="AO1535" s="5" t="s">
        <v>238</v>
      </c>
      <c r="AP1535" s="5" t="s">
        <v>238</v>
      </c>
      <c r="AQ1535" s="5" t="s">
        <v>238</v>
      </c>
      <c r="AR1535" s="6" t="s">
        <v>238</v>
      </c>
      <c r="AS1535" s="6" t="s">
        <v>238</v>
      </c>
      <c r="AT1535" s="6" t="s">
        <v>238</v>
      </c>
      <c r="AW1535" s="5" t="s">
        <v>304</v>
      </c>
      <c r="AX1535" s="5" t="s">
        <v>304</v>
      </c>
      <c r="AY1535" s="5" t="s">
        <v>250</v>
      </c>
      <c r="AZ1535" s="5" t="s">
        <v>281</v>
      </c>
      <c r="BA1535" s="5" t="s">
        <v>251</v>
      </c>
      <c r="BB1535" s="5" t="s">
        <v>3190</v>
      </c>
      <c r="BC1535" s="5" t="s">
        <v>253</v>
      </c>
      <c r="BD1535" s="5" t="s">
        <v>3170</v>
      </c>
      <c r="BF1535" s="5" t="s">
        <v>710</v>
      </c>
      <c r="BH1535" s="5" t="s">
        <v>283</v>
      </c>
      <c r="BI1535" s="6" t="s">
        <v>3442</v>
      </c>
      <c r="BJ1535" s="5" t="s">
        <v>3212</v>
      </c>
      <c r="BK1535" s="5" t="s">
        <v>3171</v>
      </c>
      <c r="BL1535" s="5" t="s">
        <v>238</v>
      </c>
      <c r="BM1535" s="8">
        <f>0</f>
        <v>0</v>
      </c>
      <c r="BN1535" s="8">
        <f>1980000</f>
        <v>1980000</v>
      </c>
      <c r="BO1535" s="5" t="s">
        <v>257</v>
      </c>
      <c r="BP1535" s="5" t="s">
        <v>258</v>
      </c>
      <c r="BQ1535" s="5" t="s">
        <v>3238</v>
      </c>
      <c r="BR1535" s="5" t="s">
        <v>258</v>
      </c>
      <c r="BS1535" s="5" t="s">
        <v>3218</v>
      </c>
      <c r="BT1535" s="5" t="s">
        <v>238</v>
      </c>
      <c r="BU1535" s="5" t="s">
        <v>4102</v>
      </c>
      <c r="BV1535" s="5" t="s">
        <v>3174</v>
      </c>
      <c r="BW1535" s="5" t="s">
        <v>3174</v>
      </c>
      <c r="BY1535" s="6" t="s">
        <v>4103</v>
      </c>
      <c r="BZ1535" s="5" t="s">
        <v>257</v>
      </c>
      <c r="CA1535" s="5" t="s">
        <v>238</v>
      </c>
      <c r="CB1535" s="5" t="s">
        <v>238</v>
      </c>
      <c r="CC1535" s="5" t="s">
        <v>258</v>
      </c>
      <c r="CD1535" s="5" t="s">
        <v>238</v>
      </c>
      <c r="CE1535" s="5" t="s">
        <v>238</v>
      </c>
      <c r="CI1535" s="5" t="s">
        <v>238</v>
      </c>
      <c r="CJ1535" s="5" t="s">
        <v>238</v>
      </c>
      <c r="CK1535" s="5" t="s">
        <v>272</v>
      </c>
      <c r="CM1535" s="5" t="s">
        <v>238</v>
      </c>
      <c r="CN1535" s="6" t="s">
        <v>262</v>
      </c>
      <c r="CO1535" s="5" t="s">
        <v>263</v>
      </c>
      <c r="CP1535" s="5" t="s">
        <v>264</v>
      </c>
      <c r="CQ1535" s="5" t="s">
        <v>285</v>
      </c>
      <c r="CR1535" s="5" t="s">
        <v>238</v>
      </c>
      <c r="CS1535" s="5">
        <v>0</v>
      </c>
      <c r="CT1535" s="5" t="s">
        <v>265</v>
      </c>
      <c r="CU1535" s="5" t="s">
        <v>351</v>
      </c>
      <c r="CV1535" s="5" t="s">
        <v>4104</v>
      </c>
      <c r="CW1535" s="7">
        <f>1980000</f>
        <v>1980000</v>
      </c>
      <c r="CX1535" s="8">
        <f>1980000</f>
        <v>1980000</v>
      </c>
      <c r="CY1535" s="8">
        <f>1980000</f>
        <v>1980000</v>
      </c>
      <c r="CZ1535" s="8" t="s">
        <v>238</v>
      </c>
      <c r="DA1535" s="5" t="s">
        <v>238</v>
      </c>
      <c r="DB1535" s="5" t="s">
        <v>238</v>
      </c>
      <c r="DD1535" s="5" t="s">
        <v>238</v>
      </c>
      <c r="DE1535" s="8">
        <f>0</f>
        <v>0</v>
      </c>
      <c r="DF1535" s="6" t="s">
        <v>238</v>
      </c>
      <c r="DG1535" s="5" t="s">
        <v>238</v>
      </c>
      <c r="DH1535" s="5" t="s">
        <v>238</v>
      </c>
      <c r="DI1535" s="5" t="s">
        <v>238</v>
      </c>
      <c r="DJ1535" s="5" t="s">
        <v>238</v>
      </c>
      <c r="DK1535" s="5" t="s">
        <v>238</v>
      </c>
      <c r="DL1535" s="5" t="s">
        <v>238</v>
      </c>
      <c r="DM1535" s="8" t="s">
        <v>238</v>
      </c>
      <c r="DN1535" s="5" t="s">
        <v>238</v>
      </c>
      <c r="DO1535" s="5" t="s">
        <v>247</v>
      </c>
      <c r="DP1535" s="5" t="s">
        <v>3170</v>
      </c>
      <c r="DQ1535" s="5" t="s">
        <v>3170</v>
      </c>
      <c r="DR1535" s="5" t="s">
        <v>238</v>
      </c>
      <c r="DS1535" s="5" t="s">
        <v>238</v>
      </c>
      <c r="HP1535" s="5" t="s">
        <v>238</v>
      </c>
      <c r="HQ1535" s="5" t="s">
        <v>238</v>
      </c>
      <c r="HR1535" s="5" t="s">
        <v>238</v>
      </c>
      <c r="HS1535" s="5" t="s">
        <v>238</v>
      </c>
      <c r="HT1535" s="5" t="s">
        <v>238</v>
      </c>
      <c r="HU1535" s="5" t="s">
        <v>238</v>
      </c>
      <c r="HV1535" s="5" t="s">
        <v>238</v>
      </c>
      <c r="HW1535" s="5" t="s">
        <v>238</v>
      </c>
      <c r="HX1535" s="5" t="s">
        <v>238</v>
      </c>
      <c r="HY1535" s="5" t="s">
        <v>238</v>
      </c>
      <c r="HZ1535" s="5" t="s">
        <v>238</v>
      </c>
      <c r="IA1535" s="5" t="s">
        <v>238</v>
      </c>
      <c r="IB1535" s="5" t="s">
        <v>238</v>
      </c>
      <c r="IC1535" s="5" t="s">
        <v>238</v>
      </c>
      <c r="ID1535" s="5" t="s">
        <v>238</v>
      </c>
    </row>
    <row r="1536" spans="1:238" x14ac:dyDescent="0.4">
      <c r="A1536" s="5">
        <v>2047</v>
      </c>
      <c r="B1536" s="5">
        <v>1</v>
      </c>
      <c r="C1536" s="5">
        <v>1</v>
      </c>
      <c r="D1536" s="5" t="s">
        <v>3878</v>
      </c>
      <c r="E1536" s="5" t="s">
        <v>300</v>
      </c>
      <c r="F1536" s="5" t="s">
        <v>282</v>
      </c>
      <c r="G1536" s="5" t="s">
        <v>349</v>
      </c>
      <c r="H1536" s="6" t="s">
        <v>3880</v>
      </c>
      <c r="I1536" s="5" t="s">
        <v>3877</v>
      </c>
      <c r="J1536" s="7">
        <f>104</f>
        <v>104</v>
      </c>
      <c r="K1536" s="5" t="s">
        <v>270</v>
      </c>
      <c r="L1536" s="8">
        <f>1</f>
        <v>1</v>
      </c>
      <c r="M1536" s="8">
        <f>1</f>
        <v>1</v>
      </c>
      <c r="N1536" s="6" t="s">
        <v>3879</v>
      </c>
      <c r="O1536" s="5" t="s">
        <v>286</v>
      </c>
      <c r="P1536" s="5" t="s">
        <v>238</v>
      </c>
      <c r="Q1536" s="8">
        <f>0</f>
        <v>0</v>
      </c>
      <c r="R1536" s="8">
        <f>0</f>
        <v>0</v>
      </c>
      <c r="S1536" s="5" t="s">
        <v>240</v>
      </c>
      <c r="T1536" s="5" t="s">
        <v>237</v>
      </c>
      <c r="W1536" s="5" t="s">
        <v>241</v>
      </c>
      <c r="X1536" s="5" t="s">
        <v>243</v>
      </c>
      <c r="Y1536" s="5" t="s">
        <v>238</v>
      </c>
      <c r="AB1536" s="5" t="s">
        <v>238</v>
      </c>
      <c r="AC1536" s="6" t="s">
        <v>238</v>
      </c>
      <c r="AD1536" s="6" t="s">
        <v>238</v>
      </c>
      <c r="AE1536" s="5" t="s">
        <v>238</v>
      </c>
      <c r="AF1536" s="6" t="s">
        <v>238</v>
      </c>
      <c r="AG1536" s="6" t="s">
        <v>3249</v>
      </c>
      <c r="AH1536" s="5" t="s">
        <v>247</v>
      </c>
      <c r="AI1536" s="5" t="s">
        <v>248</v>
      </c>
      <c r="AO1536" s="5" t="s">
        <v>238</v>
      </c>
      <c r="AP1536" s="5" t="s">
        <v>238</v>
      </c>
      <c r="AQ1536" s="5" t="s">
        <v>238</v>
      </c>
      <c r="AR1536" s="6" t="s">
        <v>238</v>
      </c>
      <c r="AS1536" s="6" t="s">
        <v>238</v>
      </c>
      <c r="AT1536" s="6" t="s">
        <v>238</v>
      </c>
      <c r="AW1536" s="5" t="s">
        <v>304</v>
      </c>
      <c r="AX1536" s="5" t="s">
        <v>304</v>
      </c>
      <c r="AY1536" s="5" t="s">
        <v>250</v>
      </c>
      <c r="AZ1536" s="5" t="s">
        <v>281</v>
      </c>
      <c r="BA1536" s="5" t="s">
        <v>251</v>
      </c>
      <c r="BB1536" s="5" t="s">
        <v>3190</v>
      </c>
      <c r="BC1536" s="5" t="s">
        <v>253</v>
      </c>
      <c r="BD1536" s="5" t="s">
        <v>3170</v>
      </c>
      <c r="BF1536" s="5" t="s">
        <v>710</v>
      </c>
      <c r="BH1536" s="5" t="s">
        <v>283</v>
      </c>
      <c r="BI1536" s="6" t="s">
        <v>293</v>
      </c>
      <c r="BJ1536" s="5" t="s">
        <v>3165</v>
      </c>
      <c r="BK1536" s="5" t="s">
        <v>3165</v>
      </c>
      <c r="BL1536" s="5" t="s">
        <v>238</v>
      </c>
      <c r="BM1536" s="7">
        <f>104</f>
        <v>104</v>
      </c>
      <c r="BN1536" s="8">
        <f>1</f>
        <v>1</v>
      </c>
      <c r="BO1536" s="5" t="s">
        <v>257</v>
      </c>
      <c r="BP1536" s="5" t="s">
        <v>258</v>
      </c>
      <c r="BQ1536" s="5" t="s">
        <v>238</v>
      </c>
      <c r="BR1536" s="5" t="s">
        <v>238</v>
      </c>
      <c r="BS1536" s="5" t="s">
        <v>238</v>
      </c>
      <c r="BT1536" s="5" t="s">
        <v>238</v>
      </c>
      <c r="BY1536" s="6" t="s">
        <v>238</v>
      </c>
      <c r="BZ1536" s="5" t="s">
        <v>238</v>
      </c>
      <c r="CA1536" s="5" t="s">
        <v>238</v>
      </c>
      <c r="CB1536" s="5" t="s">
        <v>238</v>
      </c>
      <c r="CC1536" s="5" t="s">
        <v>258</v>
      </c>
      <c r="CD1536" s="5" t="s">
        <v>238</v>
      </c>
      <c r="CE1536" s="5" t="s">
        <v>238</v>
      </c>
      <c r="CI1536" s="5" t="s">
        <v>238</v>
      </c>
      <c r="CJ1536" s="5" t="s">
        <v>238</v>
      </c>
      <c r="CK1536" s="5" t="s">
        <v>272</v>
      </c>
      <c r="CM1536" s="5" t="s">
        <v>921</v>
      </c>
      <c r="CN1536" s="6" t="s">
        <v>262</v>
      </c>
      <c r="CO1536" s="5" t="s">
        <v>263</v>
      </c>
      <c r="CP1536" s="5" t="s">
        <v>264</v>
      </c>
      <c r="CQ1536" s="5" t="s">
        <v>285</v>
      </c>
      <c r="CR1536" s="5" t="s">
        <v>238</v>
      </c>
      <c r="CS1536" s="5">
        <v>0</v>
      </c>
      <c r="CT1536" s="5" t="s">
        <v>265</v>
      </c>
      <c r="CU1536" s="5" t="s">
        <v>1803</v>
      </c>
      <c r="CV1536" s="5" t="s">
        <v>267</v>
      </c>
      <c r="CW1536" s="7">
        <f>0</f>
        <v>0</v>
      </c>
      <c r="CX1536" s="8">
        <f>1</f>
        <v>1</v>
      </c>
      <c r="CY1536" s="8">
        <f>1</f>
        <v>1</v>
      </c>
      <c r="CZ1536" s="8">
        <f>9360000</f>
        <v>9360000</v>
      </c>
      <c r="DA1536" s="5" t="s">
        <v>238</v>
      </c>
      <c r="DB1536" s="5" t="s">
        <v>238</v>
      </c>
      <c r="DD1536" s="5" t="s">
        <v>238</v>
      </c>
      <c r="DE1536" s="8">
        <f>0</f>
        <v>0</v>
      </c>
      <c r="DF1536" s="6" t="s">
        <v>238</v>
      </c>
      <c r="DG1536" s="5" t="s">
        <v>238</v>
      </c>
      <c r="DH1536" s="5" t="s">
        <v>238</v>
      </c>
      <c r="DI1536" s="5" t="s">
        <v>238</v>
      </c>
      <c r="DJ1536" s="5" t="s">
        <v>238</v>
      </c>
      <c r="DK1536" s="5" t="s">
        <v>238</v>
      </c>
      <c r="DL1536" s="5" t="s">
        <v>238</v>
      </c>
      <c r="DM1536" s="8" t="s">
        <v>238</v>
      </c>
      <c r="DN1536" s="5" t="s">
        <v>238</v>
      </c>
      <c r="DO1536" s="5" t="s">
        <v>247</v>
      </c>
      <c r="DP1536" s="5" t="s">
        <v>3170</v>
      </c>
      <c r="DQ1536" s="5" t="s">
        <v>3170</v>
      </c>
      <c r="DR1536" s="5" t="s">
        <v>238</v>
      </c>
      <c r="DS1536" s="5" t="s">
        <v>238</v>
      </c>
      <c r="HP1536" s="5" t="s">
        <v>238</v>
      </c>
      <c r="HQ1536" s="5" t="s">
        <v>238</v>
      </c>
      <c r="HR1536" s="5" t="s">
        <v>238</v>
      </c>
      <c r="HS1536" s="5" t="s">
        <v>238</v>
      </c>
      <c r="HT1536" s="5" t="s">
        <v>238</v>
      </c>
      <c r="HU1536" s="5" t="s">
        <v>238</v>
      </c>
      <c r="HV1536" s="5" t="s">
        <v>238</v>
      </c>
      <c r="HW1536" s="5" t="s">
        <v>238</v>
      </c>
      <c r="HX1536" s="5" t="s">
        <v>238</v>
      </c>
      <c r="HY1536" s="5" t="s">
        <v>238</v>
      </c>
      <c r="HZ1536" s="5" t="s">
        <v>238</v>
      </c>
      <c r="IA1536" s="5" t="s">
        <v>238</v>
      </c>
      <c r="IB1536" s="5" t="s">
        <v>238</v>
      </c>
      <c r="IC1536" s="5" t="s">
        <v>238</v>
      </c>
      <c r="ID1536" s="5" t="s">
        <v>238</v>
      </c>
    </row>
    <row r="1537" spans="1:238" x14ac:dyDescent="0.4">
      <c r="A1537" s="5">
        <v>2048</v>
      </c>
      <c r="B1537" s="5">
        <v>1</v>
      </c>
      <c r="C1537" s="5">
        <v>3</v>
      </c>
      <c r="D1537" s="5" t="s">
        <v>879</v>
      </c>
      <c r="E1537" s="5" t="s">
        <v>347</v>
      </c>
      <c r="F1537" s="5" t="s">
        <v>282</v>
      </c>
      <c r="G1537" s="5" t="s">
        <v>3443</v>
      </c>
      <c r="H1537" s="6" t="s">
        <v>3444</v>
      </c>
      <c r="I1537" s="5" t="s">
        <v>3441</v>
      </c>
      <c r="J1537" s="8">
        <f>1</f>
        <v>1</v>
      </c>
      <c r="K1537" s="5" t="s">
        <v>3176</v>
      </c>
      <c r="L1537" s="8">
        <f>80496900</f>
        <v>80496900</v>
      </c>
      <c r="M1537" s="8">
        <f>80496900</f>
        <v>80496900</v>
      </c>
      <c r="N1537" s="6" t="s">
        <v>3442</v>
      </c>
      <c r="O1537" s="5" t="s">
        <v>898</v>
      </c>
      <c r="P1537" s="5" t="s">
        <v>238</v>
      </c>
      <c r="Q1537" s="8">
        <f>0</f>
        <v>0</v>
      </c>
      <c r="R1537" s="8">
        <f>0</f>
        <v>0</v>
      </c>
      <c r="S1537" s="5" t="s">
        <v>240</v>
      </c>
      <c r="T1537" s="5" t="s">
        <v>237</v>
      </c>
      <c r="W1537" s="5" t="s">
        <v>241</v>
      </c>
      <c r="X1537" s="5" t="s">
        <v>337</v>
      </c>
      <c r="Y1537" s="5" t="s">
        <v>238</v>
      </c>
      <c r="AB1537" s="5" t="s">
        <v>347</v>
      </c>
      <c r="AC1537" s="6" t="s">
        <v>238</v>
      </c>
      <c r="AD1537" s="6" t="s">
        <v>238</v>
      </c>
      <c r="AE1537" s="5" t="s">
        <v>238</v>
      </c>
      <c r="AF1537" s="6" t="s">
        <v>238</v>
      </c>
      <c r="AG1537" s="6" t="s">
        <v>3442</v>
      </c>
      <c r="AH1537" s="5" t="s">
        <v>247</v>
      </c>
      <c r="AI1537" s="5" t="s">
        <v>248</v>
      </c>
      <c r="AO1537" s="5" t="s">
        <v>238</v>
      </c>
      <c r="AP1537" s="5" t="s">
        <v>238</v>
      </c>
      <c r="AQ1537" s="5" t="s">
        <v>238</v>
      </c>
      <c r="AR1537" s="6" t="s">
        <v>238</v>
      </c>
      <c r="AS1537" s="6" t="s">
        <v>238</v>
      </c>
      <c r="AT1537" s="6" t="s">
        <v>238</v>
      </c>
      <c r="AW1537" s="5" t="s">
        <v>304</v>
      </c>
      <c r="AX1537" s="5" t="s">
        <v>304</v>
      </c>
      <c r="AY1537" s="5" t="s">
        <v>250</v>
      </c>
      <c r="AZ1537" s="5" t="s">
        <v>281</v>
      </c>
      <c r="BA1537" s="5" t="s">
        <v>251</v>
      </c>
      <c r="BB1537" s="5" t="s">
        <v>3190</v>
      </c>
      <c r="BC1537" s="5" t="s">
        <v>253</v>
      </c>
      <c r="BD1537" s="5" t="s">
        <v>3170</v>
      </c>
      <c r="BF1537" s="5" t="s">
        <v>238</v>
      </c>
      <c r="BH1537" s="5" t="s">
        <v>283</v>
      </c>
      <c r="BI1537" s="6" t="s">
        <v>3445</v>
      </c>
      <c r="BJ1537" s="5" t="s">
        <v>3212</v>
      </c>
      <c r="BK1537" s="5" t="s">
        <v>3171</v>
      </c>
      <c r="BL1537" s="5" t="s">
        <v>238</v>
      </c>
      <c r="BM1537" s="8">
        <f>0</f>
        <v>0</v>
      </c>
      <c r="BN1537" s="8">
        <f>39906900</f>
        <v>39906900</v>
      </c>
      <c r="BO1537" s="5" t="s">
        <v>257</v>
      </c>
      <c r="BP1537" s="5" t="s">
        <v>258</v>
      </c>
      <c r="BQ1537" s="5" t="s">
        <v>377</v>
      </c>
      <c r="BR1537" s="5" t="s">
        <v>3183</v>
      </c>
      <c r="BS1537" s="5" t="s">
        <v>258</v>
      </c>
      <c r="BT1537" s="5" t="s">
        <v>238</v>
      </c>
      <c r="BU1537" s="5" t="s">
        <v>3173</v>
      </c>
      <c r="BV1537" s="5" t="s">
        <v>3174</v>
      </c>
      <c r="BW1537" s="5" t="s">
        <v>3174</v>
      </c>
      <c r="BY1537" s="6" t="s">
        <v>3446</v>
      </c>
      <c r="BZ1537" s="5" t="s">
        <v>257</v>
      </c>
      <c r="CA1537" s="5" t="s">
        <v>238</v>
      </c>
      <c r="CB1537" s="5" t="s">
        <v>238</v>
      </c>
      <c r="CC1537" s="5" t="s">
        <v>258</v>
      </c>
      <c r="CD1537" s="5" t="s">
        <v>238</v>
      </c>
      <c r="CE1537" s="5" t="s">
        <v>238</v>
      </c>
      <c r="CI1537" s="5" t="s">
        <v>238</v>
      </c>
      <c r="CJ1537" s="5" t="s">
        <v>238</v>
      </c>
      <c r="CK1537" s="5" t="s">
        <v>272</v>
      </c>
      <c r="CL1537" s="5" t="s">
        <v>3447</v>
      </c>
      <c r="CM1537" s="5" t="s">
        <v>238</v>
      </c>
      <c r="CN1537" s="6" t="s">
        <v>262</v>
      </c>
      <c r="CO1537" s="5" t="s">
        <v>263</v>
      </c>
      <c r="CP1537" s="5" t="s">
        <v>264</v>
      </c>
      <c r="CQ1537" s="5" t="s">
        <v>285</v>
      </c>
      <c r="CR1537" s="5" t="s">
        <v>238</v>
      </c>
      <c r="CS1537" s="5">
        <v>0</v>
      </c>
      <c r="CT1537" s="5" t="s">
        <v>265</v>
      </c>
      <c r="CU1537" s="5" t="s">
        <v>1330</v>
      </c>
      <c r="CV1537" s="5" t="s">
        <v>1539</v>
      </c>
      <c r="CW1537" s="7">
        <f>80496900</f>
        <v>80496900</v>
      </c>
      <c r="CX1537" s="8">
        <f>80496900</f>
        <v>80496900</v>
      </c>
      <c r="CY1537" s="8">
        <f>80496900</f>
        <v>80496900</v>
      </c>
      <c r="CZ1537" s="8" t="s">
        <v>238</v>
      </c>
      <c r="DA1537" s="5" t="s">
        <v>238</v>
      </c>
      <c r="DB1537" s="5" t="s">
        <v>238</v>
      </c>
      <c r="DD1537" s="5" t="s">
        <v>238</v>
      </c>
      <c r="DE1537" s="8">
        <f>0</f>
        <v>0</v>
      </c>
      <c r="DF1537" s="6" t="s">
        <v>238</v>
      </c>
      <c r="DG1537" s="5" t="s">
        <v>238</v>
      </c>
      <c r="DH1537" s="5" t="s">
        <v>238</v>
      </c>
      <c r="DI1537" s="5" t="s">
        <v>238</v>
      </c>
      <c r="DJ1537" s="5" t="s">
        <v>238</v>
      </c>
      <c r="DK1537" s="5" t="s">
        <v>238</v>
      </c>
      <c r="DL1537" s="5" t="s">
        <v>238</v>
      </c>
      <c r="DM1537" s="8" t="s">
        <v>238</v>
      </c>
      <c r="DN1537" s="5" t="s">
        <v>238</v>
      </c>
      <c r="DO1537" s="5" t="s">
        <v>247</v>
      </c>
      <c r="DP1537" s="5" t="s">
        <v>3170</v>
      </c>
      <c r="DQ1537" s="5" t="s">
        <v>3170</v>
      </c>
      <c r="DR1537" s="5" t="s">
        <v>238</v>
      </c>
      <c r="DS1537" s="5" t="s">
        <v>238</v>
      </c>
      <c r="HP1537" s="5" t="s">
        <v>238</v>
      </c>
      <c r="HQ1537" s="5" t="s">
        <v>238</v>
      </c>
      <c r="HR1537" s="5" t="s">
        <v>238</v>
      </c>
      <c r="HS1537" s="5" t="s">
        <v>238</v>
      </c>
      <c r="HT1537" s="5" t="s">
        <v>238</v>
      </c>
      <c r="HU1537" s="5" t="s">
        <v>238</v>
      </c>
      <c r="HV1537" s="5" t="s">
        <v>238</v>
      </c>
      <c r="HW1537" s="5" t="s">
        <v>238</v>
      </c>
      <c r="HX1537" s="5" t="s">
        <v>238</v>
      </c>
      <c r="HY1537" s="5" t="s">
        <v>238</v>
      </c>
      <c r="HZ1537" s="5" t="s">
        <v>238</v>
      </c>
      <c r="IA1537" s="5" t="s">
        <v>238</v>
      </c>
      <c r="IB1537" s="5" t="s">
        <v>238</v>
      </c>
      <c r="IC1537" s="5" t="s">
        <v>238</v>
      </c>
      <c r="ID1537" s="5" t="s">
        <v>238</v>
      </c>
    </row>
    <row r="1538" spans="1:238" x14ac:dyDescent="0.4">
      <c r="A1538" s="5">
        <v>2054</v>
      </c>
      <c r="B1538" s="5">
        <v>1</v>
      </c>
      <c r="C1538" s="5">
        <v>2</v>
      </c>
      <c r="D1538" s="5" t="s">
        <v>543</v>
      </c>
      <c r="E1538" s="5" t="s">
        <v>338</v>
      </c>
      <c r="F1538" s="5" t="s">
        <v>282</v>
      </c>
      <c r="G1538" s="5" t="s">
        <v>4197</v>
      </c>
      <c r="H1538" s="6" t="s">
        <v>4198</v>
      </c>
      <c r="I1538" s="5" t="s">
        <v>4196</v>
      </c>
      <c r="J1538" s="8">
        <f>1</f>
        <v>1</v>
      </c>
      <c r="K1538" s="5" t="s">
        <v>3176</v>
      </c>
      <c r="L1538" s="8">
        <f>1864500</f>
        <v>1864500</v>
      </c>
      <c r="M1538" s="8">
        <f>1864500</f>
        <v>1864500</v>
      </c>
      <c r="N1538" s="6" t="s">
        <v>3445</v>
      </c>
      <c r="O1538" s="5" t="s">
        <v>268</v>
      </c>
      <c r="P1538" s="5" t="s">
        <v>238</v>
      </c>
      <c r="Q1538" s="8">
        <f>0</f>
        <v>0</v>
      </c>
      <c r="R1538" s="8">
        <f>0</f>
        <v>0</v>
      </c>
      <c r="S1538" s="5" t="s">
        <v>240</v>
      </c>
      <c r="T1538" s="5" t="s">
        <v>237</v>
      </c>
      <c r="W1538" s="5" t="s">
        <v>241</v>
      </c>
      <c r="X1538" s="5" t="s">
        <v>337</v>
      </c>
      <c r="Y1538" s="5" t="s">
        <v>238</v>
      </c>
      <c r="AB1538" s="5" t="s">
        <v>338</v>
      </c>
      <c r="AC1538" s="6" t="s">
        <v>238</v>
      </c>
      <c r="AD1538" s="6" t="s">
        <v>238</v>
      </c>
      <c r="AE1538" s="5" t="s">
        <v>238</v>
      </c>
      <c r="AF1538" s="6" t="s">
        <v>238</v>
      </c>
      <c r="AG1538" s="6" t="s">
        <v>3445</v>
      </c>
      <c r="AH1538" s="5" t="s">
        <v>247</v>
      </c>
      <c r="AI1538" s="5" t="s">
        <v>248</v>
      </c>
      <c r="AO1538" s="5" t="s">
        <v>238</v>
      </c>
      <c r="AP1538" s="5" t="s">
        <v>238</v>
      </c>
      <c r="AQ1538" s="5" t="s">
        <v>238</v>
      </c>
      <c r="AR1538" s="6" t="s">
        <v>238</v>
      </c>
      <c r="AS1538" s="6" t="s">
        <v>238</v>
      </c>
      <c r="AT1538" s="6" t="s">
        <v>238</v>
      </c>
      <c r="AW1538" s="5" t="s">
        <v>304</v>
      </c>
      <c r="AX1538" s="5" t="s">
        <v>304</v>
      </c>
      <c r="AY1538" s="5" t="s">
        <v>250</v>
      </c>
      <c r="AZ1538" s="5" t="s">
        <v>281</v>
      </c>
      <c r="BA1538" s="5" t="s">
        <v>251</v>
      </c>
      <c r="BB1538" s="5" t="s">
        <v>3190</v>
      </c>
      <c r="BC1538" s="5" t="s">
        <v>253</v>
      </c>
      <c r="BD1538" s="5" t="s">
        <v>3170</v>
      </c>
      <c r="BF1538" s="5" t="s">
        <v>238</v>
      </c>
      <c r="BH1538" s="5" t="s">
        <v>283</v>
      </c>
      <c r="BI1538" s="6" t="s">
        <v>3445</v>
      </c>
      <c r="BJ1538" s="5" t="s">
        <v>3212</v>
      </c>
      <c r="BK1538" s="5" t="s">
        <v>3171</v>
      </c>
      <c r="BL1538" s="5" t="s">
        <v>238</v>
      </c>
      <c r="BM1538" s="8">
        <f>0</f>
        <v>0</v>
      </c>
      <c r="BN1538" s="8">
        <f>1864500</f>
        <v>1864500</v>
      </c>
      <c r="BO1538" s="5" t="s">
        <v>257</v>
      </c>
      <c r="BP1538" s="5" t="s">
        <v>258</v>
      </c>
      <c r="BQ1538" s="5" t="s">
        <v>377</v>
      </c>
      <c r="BR1538" s="5" t="s">
        <v>3997</v>
      </c>
      <c r="BS1538" s="5" t="s">
        <v>3183</v>
      </c>
      <c r="BT1538" s="5" t="s">
        <v>238</v>
      </c>
      <c r="BU1538" s="5" t="s">
        <v>3173</v>
      </c>
      <c r="BV1538" s="5" t="s">
        <v>3174</v>
      </c>
      <c r="BW1538" s="5" t="s">
        <v>3174</v>
      </c>
      <c r="BY1538" s="6" t="s">
        <v>4199</v>
      </c>
      <c r="BZ1538" s="5" t="s">
        <v>257</v>
      </c>
      <c r="CA1538" s="5" t="s">
        <v>238</v>
      </c>
      <c r="CB1538" s="5" t="s">
        <v>238</v>
      </c>
      <c r="CC1538" s="5" t="s">
        <v>258</v>
      </c>
      <c r="CD1538" s="5" t="s">
        <v>238</v>
      </c>
      <c r="CE1538" s="5" t="s">
        <v>238</v>
      </c>
      <c r="CI1538" s="5" t="s">
        <v>238</v>
      </c>
      <c r="CJ1538" s="5" t="s">
        <v>238</v>
      </c>
      <c r="CK1538" s="5" t="s">
        <v>272</v>
      </c>
      <c r="CM1538" s="5" t="s">
        <v>238</v>
      </c>
      <c r="CN1538" s="6" t="s">
        <v>262</v>
      </c>
      <c r="CO1538" s="5" t="s">
        <v>263</v>
      </c>
      <c r="CP1538" s="5" t="s">
        <v>264</v>
      </c>
      <c r="CQ1538" s="5" t="s">
        <v>285</v>
      </c>
      <c r="CR1538" s="5" t="s">
        <v>238</v>
      </c>
      <c r="CS1538" s="5">
        <v>0</v>
      </c>
      <c r="CT1538" s="5" t="s">
        <v>265</v>
      </c>
      <c r="CU1538" s="5" t="s">
        <v>351</v>
      </c>
      <c r="CV1538" s="5" t="s">
        <v>365</v>
      </c>
      <c r="CW1538" s="7">
        <f>1864500</f>
        <v>1864500</v>
      </c>
      <c r="CX1538" s="8">
        <f>1864500</f>
        <v>1864500</v>
      </c>
      <c r="CY1538" s="8">
        <f>1864500</f>
        <v>1864500</v>
      </c>
      <c r="CZ1538" s="8" t="s">
        <v>238</v>
      </c>
      <c r="DA1538" s="5" t="s">
        <v>238</v>
      </c>
      <c r="DB1538" s="5" t="s">
        <v>238</v>
      </c>
      <c r="DD1538" s="5" t="s">
        <v>238</v>
      </c>
      <c r="DE1538" s="8">
        <f>0</f>
        <v>0</v>
      </c>
      <c r="DF1538" s="6" t="s">
        <v>238</v>
      </c>
      <c r="DG1538" s="5" t="s">
        <v>238</v>
      </c>
      <c r="DH1538" s="5" t="s">
        <v>238</v>
      </c>
      <c r="DI1538" s="5" t="s">
        <v>238</v>
      </c>
      <c r="DJ1538" s="5" t="s">
        <v>238</v>
      </c>
      <c r="DK1538" s="5" t="s">
        <v>238</v>
      </c>
      <c r="DL1538" s="5" t="s">
        <v>238</v>
      </c>
      <c r="DM1538" s="8" t="s">
        <v>238</v>
      </c>
      <c r="DN1538" s="5" t="s">
        <v>238</v>
      </c>
      <c r="DO1538" s="5" t="s">
        <v>247</v>
      </c>
      <c r="DP1538" s="5" t="s">
        <v>3170</v>
      </c>
      <c r="DQ1538" s="5" t="s">
        <v>3170</v>
      </c>
      <c r="DR1538" s="5" t="s">
        <v>238</v>
      </c>
      <c r="DS1538" s="5" t="s">
        <v>238</v>
      </c>
      <c r="HP1538" s="5" t="s">
        <v>238</v>
      </c>
      <c r="HQ1538" s="5" t="s">
        <v>238</v>
      </c>
      <c r="HR1538" s="5" t="s">
        <v>238</v>
      </c>
      <c r="HS1538" s="5" t="s">
        <v>238</v>
      </c>
      <c r="HT1538" s="5" t="s">
        <v>238</v>
      </c>
      <c r="HU1538" s="5" t="s">
        <v>238</v>
      </c>
      <c r="HV1538" s="5" t="s">
        <v>238</v>
      </c>
      <c r="HW1538" s="5" t="s">
        <v>238</v>
      </c>
      <c r="HX1538" s="5" t="s">
        <v>238</v>
      </c>
      <c r="HY1538" s="5" t="s">
        <v>238</v>
      </c>
      <c r="HZ1538" s="5" t="s">
        <v>238</v>
      </c>
      <c r="IA1538" s="5" t="s">
        <v>238</v>
      </c>
      <c r="IB1538" s="5" t="s">
        <v>238</v>
      </c>
      <c r="IC1538" s="5" t="s">
        <v>238</v>
      </c>
      <c r="ID1538" s="5" t="s">
        <v>238</v>
      </c>
    </row>
    <row r="1539" spans="1:238" x14ac:dyDescent="0.4">
      <c r="A1539" s="5">
        <v>2055</v>
      </c>
      <c r="B1539" s="5">
        <v>1</v>
      </c>
      <c r="C1539" s="5">
        <v>3</v>
      </c>
      <c r="D1539" s="5" t="s">
        <v>1328</v>
      </c>
      <c r="E1539" s="5" t="s">
        <v>338</v>
      </c>
      <c r="F1539" s="5" t="s">
        <v>282</v>
      </c>
      <c r="G1539" s="5" t="s">
        <v>4025</v>
      </c>
      <c r="H1539" s="6" t="s">
        <v>4026</v>
      </c>
      <c r="I1539" s="5" t="s">
        <v>4023</v>
      </c>
      <c r="J1539" s="8">
        <f>1</f>
        <v>1</v>
      </c>
      <c r="K1539" s="5" t="s">
        <v>3176</v>
      </c>
      <c r="L1539" s="8">
        <f>3773000</f>
        <v>3773000</v>
      </c>
      <c r="M1539" s="8">
        <f>3773000</f>
        <v>3773000</v>
      </c>
      <c r="N1539" s="6" t="s">
        <v>4024</v>
      </c>
      <c r="O1539" s="5" t="s">
        <v>712</v>
      </c>
      <c r="P1539" s="5" t="s">
        <v>238</v>
      </c>
      <c r="Q1539" s="8">
        <f>0</f>
        <v>0</v>
      </c>
      <c r="R1539" s="8">
        <f>0</f>
        <v>0</v>
      </c>
      <c r="S1539" s="5" t="s">
        <v>240</v>
      </c>
      <c r="T1539" s="5" t="s">
        <v>237</v>
      </c>
      <c r="W1539" s="5" t="s">
        <v>241</v>
      </c>
      <c r="X1539" s="5" t="s">
        <v>337</v>
      </c>
      <c r="Y1539" s="5" t="s">
        <v>238</v>
      </c>
      <c r="AB1539" s="5" t="s">
        <v>338</v>
      </c>
      <c r="AC1539" s="6" t="s">
        <v>238</v>
      </c>
      <c r="AD1539" s="6" t="s">
        <v>238</v>
      </c>
      <c r="AE1539" s="5" t="s">
        <v>238</v>
      </c>
      <c r="AF1539" s="6" t="s">
        <v>238</v>
      </c>
      <c r="AG1539" s="6" t="s">
        <v>4024</v>
      </c>
      <c r="AH1539" s="5" t="s">
        <v>247</v>
      </c>
      <c r="AI1539" s="5" t="s">
        <v>248</v>
      </c>
      <c r="AO1539" s="5" t="s">
        <v>238</v>
      </c>
      <c r="AP1539" s="5" t="s">
        <v>238</v>
      </c>
      <c r="AQ1539" s="5" t="s">
        <v>238</v>
      </c>
      <c r="AR1539" s="6" t="s">
        <v>238</v>
      </c>
      <c r="AS1539" s="6" t="s">
        <v>238</v>
      </c>
      <c r="AT1539" s="6" t="s">
        <v>238</v>
      </c>
      <c r="AW1539" s="5" t="s">
        <v>304</v>
      </c>
      <c r="AX1539" s="5" t="s">
        <v>304</v>
      </c>
      <c r="AY1539" s="5" t="s">
        <v>250</v>
      </c>
      <c r="AZ1539" s="5" t="s">
        <v>281</v>
      </c>
      <c r="BA1539" s="5" t="s">
        <v>251</v>
      </c>
      <c r="BB1539" s="5" t="s">
        <v>3190</v>
      </c>
      <c r="BC1539" s="5" t="s">
        <v>253</v>
      </c>
      <c r="BD1539" s="5" t="s">
        <v>3170</v>
      </c>
      <c r="BF1539" s="5" t="s">
        <v>238</v>
      </c>
      <c r="BH1539" s="5" t="s">
        <v>283</v>
      </c>
      <c r="BI1539" s="6" t="s">
        <v>3449</v>
      </c>
      <c r="BJ1539" s="5" t="s">
        <v>3212</v>
      </c>
      <c r="BK1539" s="5" t="s">
        <v>3171</v>
      </c>
      <c r="BL1539" s="5" t="s">
        <v>238</v>
      </c>
      <c r="BM1539" s="8">
        <f>0</f>
        <v>0</v>
      </c>
      <c r="BN1539" s="8">
        <f>2239000</f>
        <v>2239000</v>
      </c>
      <c r="BO1539" s="5" t="s">
        <v>257</v>
      </c>
      <c r="BP1539" s="5" t="s">
        <v>258</v>
      </c>
      <c r="BQ1539" s="5" t="s">
        <v>377</v>
      </c>
      <c r="BR1539" s="5" t="s">
        <v>3238</v>
      </c>
      <c r="BS1539" s="5" t="s">
        <v>3172</v>
      </c>
      <c r="BT1539" s="5" t="s">
        <v>238</v>
      </c>
      <c r="BU1539" s="5" t="s">
        <v>3173</v>
      </c>
      <c r="BV1539" s="5" t="s">
        <v>3174</v>
      </c>
      <c r="BW1539" s="5" t="s">
        <v>3174</v>
      </c>
      <c r="BY1539" s="6" t="s">
        <v>4027</v>
      </c>
      <c r="BZ1539" s="5" t="s">
        <v>257</v>
      </c>
      <c r="CA1539" s="5" t="s">
        <v>238</v>
      </c>
      <c r="CB1539" s="5" t="s">
        <v>238</v>
      </c>
      <c r="CC1539" s="5" t="s">
        <v>258</v>
      </c>
      <c r="CD1539" s="5" t="s">
        <v>238</v>
      </c>
      <c r="CE1539" s="5" t="s">
        <v>238</v>
      </c>
      <c r="CI1539" s="5" t="s">
        <v>238</v>
      </c>
      <c r="CJ1539" s="5" t="s">
        <v>238</v>
      </c>
      <c r="CK1539" s="5" t="s">
        <v>272</v>
      </c>
      <c r="CM1539" s="5" t="s">
        <v>238</v>
      </c>
      <c r="CN1539" s="6" t="s">
        <v>262</v>
      </c>
      <c r="CO1539" s="5" t="s">
        <v>263</v>
      </c>
      <c r="CP1539" s="5" t="s">
        <v>264</v>
      </c>
      <c r="CQ1539" s="5" t="s">
        <v>285</v>
      </c>
      <c r="CR1539" s="5" t="s">
        <v>238</v>
      </c>
      <c r="CS1539" s="5">
        <v>0</v>
      </c>
      <c r="CT1539" s="5" t="s">
        <v>265</v>
      </c>
      <c r="CU1539" s="5" t="s">
        <v>1295</v>
      </c>
      <c r="CV1539" s="5" t="s">
        <v>4028</v>
      </c>
      <c r="CW1539" s="7">
        <f>3773000</f>
        <v>3773000</v>
      </c>
      <c r="CX1539" s="8">
        <f>3773000</f>
        <v>3773000</v>
      </c>
      <c r="CY1539" s="8">
        <f>3773000</f>
        <v>3773000</v>
      </c>
      <c r="CZ1539" s="8" t="s">
        <v>238</v>
      </c>
      <c r="DA1539" s="5" t="s">
        <v>238</v>
      </c>
      <c r="DB1539" s="5" t="s">
        <v>238</v>
      </c>
      <c r="DD1539" s="5" t="s">
        <v>238</v>
      </c>
      <c r="DE1539" s="8">
        <f>0</f>
        <v>0</v>
      </c>
      <c r="DF1539" s="6" t="s">
        <v>238</v>
      </c>
      <c r="DG1539" s="5" t="s">
        <v>238</v>
      </c>
      <c r="DH1539" s="5" t="s">
        <v>238</v>
      </c>
      <c r="DI1539" s="5" t="s">
        <v>238</v>
      </c>
      <c r="DJ1539" s="5" t="s">
        <v>238</v>
      </c>
      <c r="DK1539" s="5" t="s">
        <v>238</v>
      </c>
      <c r="DL1539" s="5" t="s">
        <v>238</v>
      </c>
      <c r="DM1539" s="8" t="s">
        <v>238</v>
      </c>
      <c r="DN1539" s="5" t="s">
        <v>238</v>
      </c>
      <c r="DO1539" s="5" t="s">
        <v>247</v>
      </c>
      <c r="DP1539" s="5" t="s">
        <v>3170</v>
      </c>
      <c r="DQ1539" s="5" t="s">
        <v>3170</v>
      </c>
      <c r="DR1539" s="5" t="s">
        <v>238</v>
      </c>
      <c r="DS1539" s="5" t="s">
        <v>238</v>
      </c>
      <c r="HP1539" s="5" t="s">
        <v>238</v>
      </c>
      <c r="HQ1539" s="5" t="s">
        <v>238</v>
      </c>
      <c r="HR1539" s="5" t="s">
        <v>238</v>
      </c>
      <c r="HS1539" s="5" t="s">
        <v>238</v>
      </c>
      <c r="HT1539" s="5" t="s">
        <v>238</v>
      </c>
      <c r="HU1539" s="5" t="s">
        <v>238</v>
      </c>
      <c r="HV1539" s="5" t="s">
        <v>238</v>
      </c>
      <c r="HW1539" s="5" t="s">
        <v>238</v>
      </c>
      <c r="HX1539" s="5" t="s">
        <v>238</v>
      </c>
      <c r="HY1539" s="5" t="s">
        <v>238</v>
      </c>
      <c r="HZ1539" s="5" t="s">
        <v>238</v>
      </c>
      <c r="IA1539" s="5" t="s">
        <v>238</v>
      </c>
      <c r="IB1539" s="5" t="s">
        <v>238</v>
      </c>
      <c r="IC1539" s="5" t="s">
        <v>238</v>
      </c>
      <c r="ID1539" s="5" t="s">
        <v>238</v>
      </c>
    </row>
    <row r="1540" spans="1:238" x14ac:dyDescent="0.4">
      <c r="A1540" s="5">
        <v>2056</v>
      </c>
      <c r="B1540" s="5">
        <v>1</v>
      </c>
      <c r="C1540" s="5">
        <v>2</v>
      </c>
      <c r="D1540" s="5" t="s">
        <v>1704</v>
      </c>
      <c r="E1540" s="5" t="s">
        <v>338</v>
      </c>
      <c r="F1540" s="5" t="s">
        <v>282</v>
      </c>
      <c r="G1540" s="5" t="s">
        <v>4259</v>
      </c>
      <c r="H1540" s="6" t="s">
        <v>4260</v>
      </c>
      <c r="I1540" s="5" t="s">
        <v>4257</v>
      </c>
      <c r="J1540" s="8">
        <f>1</f>
        <v>1</v>
      </c>
      <c r="K1540" s="5" t="s">
        <v>3176</v>
      </c>
      <c r="L1540" s="8">
        <f>1064646</f>
        <v>1064646</v>
      </c>
      <c r="M1540" s="8">
        <f>1064646</f>
        <v>1064646</v>
      </c>
      <c r="N1540" s="6" t="s">
        <v>4258</v>
      </c>
      <c r="O1540" s="5" t="s">
        <v>268</v>
      </c>
      <c r="P1540" s="5" t="s">
        <v>238</v>
      </c>
      <c r="Q1540" s="8">
        <f>0</f>
        <v>0</v>
      </c>
      <c r="R1540" s="8">
        <f>0</f>
        <v>0</v>
      </c>
      <c r="S1540" s="5" t="s">
        <v>240</v>
      </c>
      <c r="T1540" s="5" t="s">
        <v>238</v>
      </c>
      <c r="W1540" s="5" t="s">
        <v>241</v>
      </c>
      <c r="X1540" s="5" t="s">
        <v>337</v>
      </c>
      <c r="Y1540" s="5" t="s">
        <v>238</v>
      </c>
      <c r="AB1540" s="5" t="s">
        <v>338</v>
      </c>
      <c r="AC1540" s="6" t="s">
        <v>238</v>
      </c>
      <c r="AD1540" s="6" t="s">
        <v>238</v>
      </c>
      <c r="AE1540" s="5" t="s">
        <v>238</v>
      </c>
      <c r="AF1540" s="6" t="s">
        <v>238</v>
      </c>
      <c r="AG1540" s="6" t="s">
        <v>4258</v>
      </c>
      <c r="AH1540" s="5" t="s">
        <v>247</v>
      </c>
      <c r="AI1540" s="5" t="s">
        <v>248</v>
      </c>
      <c r="AO1540" s="5" t="s">
        <v>238</v>
      </c>
      <c r="AP1540" s="5" t="s">
        <v>238</v>
      </c>
      <c r="AQ1540" s="5" t="s">
        <v>238</v>
      </c>
      <c r="AR1540" s="6" t="s">
        <v>238</v>
      </c>
      <c r="AS1540" s="6" t="s">
        <v>238</v>
      </c>
      <c r="AT1540" s="6" t="s">
        <v>238</v>
      </c>
      <c r="AW1540" s="5" t="s">
        <v>304</v>
      </c>
      <c r="AX1540" s="5" t="s">
        <v>304</v>
      </c>
      <c r="AY1540" s="5" t="s">
        <v>250</v>
      </c>
      <c r="AZ1540" s="5" t="s">
        <v>281</v>
      </c>
      <c r="BA1540" s="5" t="s">
        <v>251</v>
      </c>
      <c r="BB1540" s="5" t="s">
        <v>3190</v>
      </c>
      <c r="BC1540" s="5" t="s">
        <v>253</v>
      </c>
      <c r="BD1540" s="5" t="s">
        <v>3170</v>
      </c>
      <c r="BF1540" s="5" t="s">
        <v>238</v>
      </c>
      <c r="BH1540" s="5" t="s">
        <v>283</v>
      </c>
      <c r="BI1540" s="6" t="s">
        <v>4258</v>
      </c>
      <c r="BJ1540" s="5" t="s">
        <v>3212</v>
      </c>
      <c r="BK1540" s="5" t="s">
        <v>3171</v>
      </c>
      <c r="BL1540" s="5" t="s">
        <v>238</v>
      </c>
      <c r="BM1540" s="8">
        <f>0</f>
        <v>0</v>
      </c>
      <c r="BN1540" s="8">
        <f>1064646</f>
        <v>1064646</v>
      </c>
      <c r="BO1540" s="5" t="s">
        <v>257</v>
      </c>
      <c r="BP1540" s="5" t="s">
        <v>258</v>
      </c>
      <c r="BQ1540" s="5" t="s">
        <v>377</v>
      </c>
      <c r="BR1540" s="5" t="s">
        <v>3238</v>
      </c>
      <c r="BS1540" s="5" t="s">
        <v>3172</v>
      </c>
      <c r="BT1540" s="5" t="s">
        <v>238</v>
      </c>
      <c r="BU1540" s="5" t="s">
        <v>3173</v>
      </c>
      <c r="BV1540" s="5" t="s">
        <v>3174</v>
      </c>
      <c r="BW1540" s="5" t="s">
        <v>3174</v>
      </c>
      <c r="BY1540" s="6" t="s">
        <v>4261</v>
      </c>
      <c r="BZ1540" s="5" t="s">
        <v>257</v>
      </c>
      <c r="CA1540" s="5" t="s">
        <v>238</v>
      </c>
      <c r="CB1540" s="5" t="s">
        <v>238</v>
      </c>
      <c r="CC1540" s="5" t="s">
        <v>258</v>
      </c>
      <c r="CD1540" s="5" t="s">
        <v>238</v>
      </c>
      <c r="CE1540" s="5" t="s">
        <v>238</v>
      </c>
      <c r="CI1540" s="5" t="s">
        <v>238</v>
      </c>
      <c r="CJ1540" s="5" t="s">
        <v>238</v>
      </c>
      <c r="CK1540" s="5" t="s">
        <v>272</v>
      </c>
      <c r="CM1540" s="5" t="s">
        <v>238</v>
      </c>
      <c r="CN1540" s="6" t="s">
        <v>262</v>
      </c>
      <c r="CO1540" s="5" t="s">
        <v>263</v>
      </c>
      <c r="CP1540" s="5" t="s">
        <v>264</v>
      </c>
      <c r="CQ1540" s="5" t="s">
        <v>285</v>
      </c>
      <c r="CR1540" s="5" t="s">
        <v>238</v>
      </c>
      <c r="CS1540" s="5">
        <v>0</v>
      </c>
      <c r="CT1540" s="5" t="s">
        <v>265</v>
      </c>
      <c r="CU1540" s="5" t="s">
        <v>1342</v>
      </c>
      <c r="CV1540" s="5" t="s">
        <v>267</v>
      </c>
      <c r="CW1540" s="7">
        <f>1064646</f>
        <v>1064646</v>
      </c>
      <c r="CX1540" s="8">
        <f>1064646</f>
        <v>1064646</v>
      </c>
      <c r="CY1540" s="8">
        <f>1064646</f>
        <v>1064646</v>
      </c>
      <c r="CZ1540" s="8" t="s">
        <v>238</v>
      </c>
      <c r="DA1540" s="5" t="s">
        <v>238</v>
      </c>
      <c r="DB1540" s="5" t="s">
        <v>238</v>
      </c>
      <c r="DD1540" s="5" t="s">
        <v>238</v>
      </c>
      <c r="DE1540" s="8">
        <f>0</f>
        <v>0</v>
      </c>
      <c r="DF1540" s="6" t="s">
        <v>238</v>
      </c>
      <c r="DG1540" s="5" t="s">
        <v>238</v>
      </c>
      <c r="DH1540" s="5" t="s">
        <v>238</v>
      </c>
      <c r="DI1540" s="5" t="s">
        <v>238</v>
      </c>
      <c r="DJ1540" s="5" t="s">
        <v>238</v>
      </c>
      <c r="DK1540" s="5" t="s">
        <v>238</v>
      </c>
      <c r="DL1540" s="5" t="s">
        <v>238</v>
      </c>
      <c r="DM1540" s="8" t="s">
        <v>238</v>
      </c>
      <c r="DN1540" s="5" t="s">
        <v>238</v>
      </c>
      <c r="DO1540" s="5" t="s">
        <v>247</v>
      </c>
      <c r="DP1540" s="5" t="s">
        <v>3170</v>
      </c>
      <c r="DQ1540" s="5" t="s">
        <v>3170</v>
      </c>
      <c r="DR1540" s="5" t="s">
        <v>238</v>
      </c>
      <c r="DS1540" s="5" t="s">
        <v>238</v>
      </c>
      <c r="HP1540" s="5" t="s">
        <v>238</v>
      </c>
      <c r="HQ1540" s="5" t="s">
        <v>238</v>
      </c>
      <c r="HR1540" s="5" t="s">
        <v>238</v>
      </c>
      <c r="HS1540" s="5" t="s">
        <v>238</v>
      </c>
      <c r="HT1540" s="5" t="s">
        <v>238</v>
      </c>
      <c r="HU1540" s="5" t="s">
        <v>238</v>
      </c>
      <c r="HV1540" s="5" t="s">
        <v>238</v>
      </c>
      <c r="HW1540" s="5" t="s">
        <v>238</v>
      </c>
      <c r="HX1540" s="5" t="s">
        <v>238</v>
      </c>
      <c r="HY1540" s="5" t="s">
        <v>238</v>
      </c>
      <c r="HZ1540" s="5" t="s">
        <v>238</v>
      </c>
      <c r="IA1540" s="5" t="s">
        <v>238</v>
      </c>
      <c r="IB1540" s="5" t="s">
        <v>238</v>
      </c>
      <c r="IC1540" s="5" t="s">
        <v>238</v>
      </c>
      <c r="ID1540" s="5" t="s">
        <v>238</v>
      </c>
    </row>
    <row r="1541" spans="1:238" x14ac:dyDescent="0.4">
      <c r="A1541" s="5">
        <v>2059</v>
      </c>
      <c r="B1541" s="5">
        <v>1</v>
      </c>
      <c r="C1541" s="5">
        <v>4</v>
      </c>
      <c r="D1541" s="5" t="s">
        <v>2702</v>
      </c>
      <c r="E1541" s="5" t="s">
        <v>277</v>
      </c>
      <c r="F1541" s="5" t="s">
        <v>282</v>
      </c>
      <c r="G1541" s="5" t="s">
        <v>4097</v>
      </c>
      <c r="H1541" s="6" t="s">
        <v>4098</v>
      </c>
      <c r="I1541" s="5" t="s">
        <v>4095</v>
      </c>
      <c r="J1541" s="8">
        <f>1</f>
        <v>1</v>
      </c>
      <c r="K1541" s="5" t="s">
        <v>3176</v>
      </c>
      <c r="L1541" s="8">
        <f>26543000</f>
        <v>26543000</v>
      </c>
      <c r="M1541" s="8">
        <f>26543000</f>
        <v>26543000</v>
      </c>
      <c r="N1541" s="6" t="s">
        <v>4096</v>
      </c>
      <c r="O1541" s="5" t="s">
        <v>268</v>
      </c>
      <c r="P1541" s="5" t="s">
        <v>238</v>
      </c>
      <c r="Q1541" s="8">
        <f>0</f>
        <v>0</v>
      </c>
      <c r="R1541" s="8">
        <f>0</f>
        <v>0</v>
      </c>
      <c r="S1541" s="5" t="s">
        <v>240</v>
      </c>
      <c r="T1541" s="5" t="s">
        <v>237</v>
      </c>
      <c r="W1541" s="5" t="s">
        <v>241</v>
      </c>
      <c r="X1541" s="5" t="s">
        <v>276</v>
      </c>
      <c r="Y1541" s="5" t="s">
        <v>238</v>
      </c>
      <c r="AB1541" s="5" t="s">
        <v>277</v>
      </c>
      <c r="AC1541" s="6" t="s">
        <v>238</v>
      </c>
      <c r="AD1541" s="6" t="s">
        <v>238</v>
      </c>
      <c r="AE1541" s="5" t="s">
        <v>238</v>
      </c>
      <c r="AF1541" s="6" t="s">
        <v>238</v>
      </c>
      <c r="AG1541" s="6" t="s">
        <v>4096</v>
      </c>
      <c r="AH1541" s="5" t="s">
        <v>247</v>
      </c>
      <c r="AI1541" s="5" t="s">
        <v>248</v>
      </c>
      <c r="AO1541" s="5" t="s">
        <v>238</v>
      </c>
      <c r="AP1541" s="5" t="s">
        <v>238</v>
      </c>
      <c r="AQ1541" s="5" t="s">
        <v>238</v>
      </c>
      <c r="AR1541" s="6" t="s">
        <v>238</v>
      </c>
      <c r="AS1541" s="6" t="s">
        <v>238</v>
      </c>
      <c r="AT1541" s="6" t="s">
        <v>238</v>
      </c>
      <c r="AW1541" s="5" t="s">
        <v>304</v>
      </c>
      <c r="AX1541" s="5" t="s">
        <v>304</v>
      </c>
      <c r="AY1541" s="5" t="s">
        <v>250</v>
      </c>
      <c r="AZ1541" s="5" t="s">
        <v>281</v>
      </c>
      <c r="BA1541" s="5" t="s">
        <v>251</v>
      </c>
      <c r="BB1541" s="5" t="s">
        <v>3190</v>
      </c>
      <c r="BC1541" s="5" t="s">
        <v>253</v>
      </c>
      <c r="BD1541" s="5" t="s">
        <v>3170</v>
      </c>
      <c r="BF1541" s="5" t="s">
        <v>238</v>
      </c>
      <c r="BH1541" s="5" t="s">
        <v>283</v>
      </c>
      <c r="BI1541" s="6" t="s">
        <v>3455</v>
      </c>
      <c r="BJ1541" s="5" t="s">
        <v>3212</v>
      </c>
      <c r="BK1541" s="5" t="s">
        <v>3171</v>
      </c>
      <c r="BL1541" s="5" t="s">
        <v>238</v>
      </c>
      <c r="BM1541" s="8">
        <f>0</f>
        <v>0</v>
      </c>
      <c r="BN1541" s="8">
        <f>25036000</f>
        <v>25036000</v>
      </c>
      <c r="BO1541" s="5" t="s">
        <v>257</v>
      </c>
      <c r="BP1541" s="5" t="s">
        <v>258</v>
      </c>
      <c r="BQ1541" s="5" t="s">
        <v>3218</v>
      </c>
      <c r="BR1541" s="5" t="s">
        <v>3238</v>
      </c>
      <c r="BS1541" s="5" t="s">
        <v>258</v>
      </c>
      <c r="BT1541" s="5" t="s">
        <v>238</v>
      </c>
      <c r="BU1541" s="5" t="s">
        <v>3173</v>
      </c>
      <c r="BV1541" s="5" t="s">
        <v>3174</v>
      </c>
      <c r="BW1541" s="5" t="s">
        <v>3174</v>
      </c>
      <c r="BY1541" s="6" t="s">
        <v>4099</v>
      </c>
      <c r="BZ1541" s="5" t="s">
        <v>257</v>
      </c>
      <c r="CA1541" s="5" t="s">
        <v>238</v>
      </c>
      <c r="CB1541" s="5" t="s">
        <v>238</v>
      </c>
      <c r="CC1541" s="5" t="s">
        <v>258</v>
      </c>
      <c r="CD1541" s="5" t="s">
        <v>238</v>
      </c>
      <c r="CE1541" s="5" t="s">
        <v>238</v>
      </c>
      <c r="CI1541" s="5" t="s">
        <v>238</v>
      </c>
      <c r="CJ1541" s="5" t="s">
        <v>238</v>
      </c>
      <c r="CK1541" s="5" t="s">
        <v>272</v>
      </c>
      <c r="CM1541" s="5" t="s">
        <v>238</v>
      </c>
      <c r="CN1541" s="6" t="s">
        <v>262</v>
      </c>
      <c r="CO1541" s="5" t="s">
        <v>263</v>
      </c>
      <c r="CP1541" s="5" t="s">
        <v>264</v>
      </c>
      <c r="CQ1541" s="5" t="s">
        <v>285</v>
      </c>
      <c r="CR1541" s="5" t="s">
        <v>238</v>
      </c>
      <c r="CS1541" s="5">
        <v>0</v>
      </c>
      <c r="CT1541" s="5" t="s">
        <v>265</v>
      </c>
      <c r="CU1541" s="5" t="s">
        <v>351</v>
      </c>
      <c r="CV1541" s="5" t="s">
        <v>394</v>
      </c>
      <c r="CW1541" s="7">
        <f>26543000</f>
        <v>26543000</v>
      </c>
      <c r="CX1541" s="8">
        <f>26543000</f>
        <v>26543000</v>
      </c>
      <c r="CY1541" s="8">
        <f>26543000</f>
        <v>26543000</v>
      </c>
      <c r="CZ1541" s="8" t="s">
        <v>238</v>
      </c>
      <c r="DA1541" s="5" t="s">
        <v>238</v>
      </c>
      <c r="DB1541" s="5" t="s">
        <v>238</v>
      </c>
      <c r="DD1541" s="5" t="s">
        <v>238</v>
      </c>
      <c r="DE1541" s="8">
        <f>0</f>
        <v>0</v>
      </c>
      <c r="DF1541" s="6" t="s">
        <v>238</v>
      </c>
      <c r="DG1541" s="5" t="s">
        <v>238</v>
      </c>
      <c r="DH1541" s="5" t="s">
        <v>238</v>
      </c>
      <c r="DI1541" s="5" t="s">
        <v>238</v>
      </c>
      <c r="DJ1541" s="5" t="s">
        <v>238</v>
      </c>
      <c r="DK1541" s="5" t="s">
        <v>238</v>
      </c>
      <c r="DL1541" s="5" t="s">
        <v>238</v>
      </c>
      <c r="DM1541" s="8" t="s">
        <v>238</v>
      </c>
      <c r="DN1541" s="5" t="s">
        <v>238</v>
      </c>
      <c r="DO1541" s="5" t="s">
        <v>247</v>
      </c>
      <c r="DP1541" s="5" t="s">
        <v>3170</v>
      </c>
      <c r="DQ1541" s="5" t="s">
        <v>3170</v>
      </c>
      <c r="DR1541" s="5" t="s">
        <v>238</v>
      </c>
      <c r="DS1541" s="5" t="s">
        <v>238</v>
      </c>
      <c r="HP1541" s="5" t="s">
        <v>238</v>
      </c>
      <c r="HQ1541" s="5" t="s">
        <v>238</v>
      </c>
      <c r="HR1541" s="5" t="s">
        <v>238</v>
      </c>
      <c r="HS1541" s="5" t="s">
        <v>238</v>
      </c>
      <c r="HT1541" s="5" t="s">
        <v>238</v>
      </c>
      <c r="HU1541" s="5" t="s">
        <v>238</v>
      </c>
      <c r="HV1541" s="5" t="s">
        <v>238</v>
      </c>
      <c r="HW1541" s="5" t="s">
        <v>238</v>
      </c>
      <c r="HX1541" s="5" t="s">
        <v>238</v>
      </c>
      <c r="HY1541" s="5" t="s">
        <v>238</v>
      </c>
      <c r="HZ1541" s="5" t="s">
        <v>238</v>
      </c>
      <c r="IA1541" s="5" t="s">
        <v>238</v>
      </c>
      <c r="IB1541" s="5" t="s">
        <v>238</v>
      </c>
      <c r="IC1541" s="5" t="s">
        <v>238</v>
      </c>
      <c r="ID1541" s="5" t="s">
        <v>238</v>
      </c>
    </row>
    <row r="1542" spans="1:238" x14ac:dyDescent="0.4">
      <c r="A1542" s="5">
        <v>2060</v>
      </c>
      <c r="B1542" s="5">
        <v>1</v>
      </c>
      <c r="C1542" s="5">
        <v>2</v>
      </c>
      <c r="D1542" s="5" t="s">
        <v>779</v>
      </c>
      <c r="E1542" s="5" t="s">
        <v>277</v>
      </c>
      <c r="F1542" s="5" t="s">
        <v>282</v>
      </c>
      <c r="G1542" s="5" t="s">
        <v>3450</v>
      </c>
      <c r="H1542" s="6" t="s">
        <v>3451</v>
      </c>
      <c r="I1542" s="5" t="s">
        <v>3448</v>
      </c>
      <c r="J1542" s="8">
        <f>1</f>
        <v>1</v>
      </c>
      <c r="K1542" s="5" t="s">
        <v>3176</v>
      </c>
      <c r="L1542" s="8">
        <f>60104000</f>
        <v>60104000</v>
      </c>
      <c r="M1542" s="8">
        <f>60104000</f>
        <v>60104000</v>
      </c>
      <c r="N1542" s="6" t="s">
        <v>3449</v>
      </c>
      <c r="O1542" s="5" t="s">
        <v>898</v>
      </c>
      <c r="P1542" s="5" t="s">
        <v>238</v>
      </c>
      <c r="Q1542" s="8">
        <f>0</f>
        <v>0</v>
      </c>
      <c r="R1542" s="8">
        <f>0</f>
        <v>0</v>
      </c>
      <c r="S1542" s="5" t="s">
        <v>240</v>
      </c>
      <c r="T1542" s="5" t="s">
        <v>237</v>
      </c>
      <c r="W1542" s="5" t="s">
        <v>241</v>
      </c>
      <c r="X1542" s="5" t="s">
        <v>276</v>
      </c>
      <c r="Y1542" s="5" t="s">
        <v>238</v>
      </c>
      <c r="AB1542" s="5" t="s">
        <v>277</v>
      </c>
      <c r="AC1542" s="6" t="s">
        <v>238</v>
      </c>
      <c r="AD1542" s="6" t="s">
        <v>238</v>
      </c>
      <c r="AE1542" s="5" t="s">
        <v>238</v>
      </c>
      <c r="AF1542" s="6" t="s">
        <v>238</v>
      </c>
      <c r="AG1542" s="6" t="s">
        <v>3449</v>
      </c>
      <c r="AH1542" s="5" t="s">
        <v>247</v>
      </c>
      <c r="AI1542" s="5" t="s">
        <v>248</v>
      </c>
      <c r="AO1542" s="5" t="s">
        <v>238</v>
      </c>
      <c r="AP1542" s="5" t="s">
        <v>238</v>
      </c>
      <c r="AQ1542" s="5" t="s">
        <v>238</v>
      </c>
      <c r="AR1542" s="6" t="s">
        <v>238</v>
      </c>
      <c r="AS1542" s="6" t="s">
        <v>238</v>
      </c>
      <c r="AT1542" s="6" t="s">
        <v>238</v>
      </c>
      <c r="AW1542" s="5" t="s">
        <v>304</v>
      </c>
      <c r="AX1542" s="5" t="s">
        <v>304</v>
      </c>
      <c r="AY1542" s="5" t="s">
        <v>250</v>
      </c>
      <c r="AZ1542" s="5" t="s">
        <v>281</v>
      </c>
      <c r="BA1542" s="5" t="s">
        <v>251</v>
      </c>
      <c r="BB1542" s="5" t="s">
        <v>3190</v>
      </c>
      <c r="BC1542" s="5" t="s">
        <v>253</v>
      </c>
      <c r="BD1542" s="5" t="s">
        <v>3170</v>
      </c>
      <c r="BF1542" s="5" t="s">
        <v>238</v>
      </c>
      <c r="BH1542" s="5" t="s">
        <v>283</v>
      </c>
      <c r="BI1542" s="6" t="s">
        <v>3449</v>
      </c>
      <c r="BJ1542" s="5" t="s">
        <v>3212</v>
      </c>
      <c r="BK1542" s="5" t="s">
        <v>3171</v>
      </c>
      <c r="BL1542" s="5" t="s">
        <v>238</v>
      </c>
      <c r="BM1542" s="8">
        <f>0</f>
        <v>0</v>
      </c>
      <c r="BN1542" s="8">
        <f>60104000</f>
        <v>60104000</v>
      </c>
      <c r="BO1542" s="5" t="s">
        <v>257</v>
      </c>
      <c r="BP1542" s="5" t="s">
        <v>258</v>
      </c>
      <c r="BQ1542" s="5" t="s">
        <v>3218</v>
      </c>
      <c r="BR1542" s="5" t="s">
        <v>3238</v>
      </c>
      <c r="BS1542" s="5" t="s">
        <v>258</v>
      </c>
      <c r="BT1542" s="5" t="s">
        <v>238</v>
      </c>
      <c r="BU1542" s="5" t="s">
        <v>3173</v>
      </c>
      <c r="BV1542" s="5" t="s">
        <v>3174</v>
      </c>
      <c r="BW1542" s="5" t="s">
        <v>3174</v>
      </c>
      <c r="BY1542" s="6" t="s">
        <v>3452</v>
      </c>
      <c r="BZ1542" s="5" t="s">
        <v>257</v>
      </c>
      <c r="CA1542" s="5" t="s">
        <v>238</v>
      </c>
      <c r="CB1542" s="5" t="s">
        <v>238</v>
      </c>
      <c r="CC1542" s="5" t="s">
        <v>258</v>
      </c>
      <c r="CD1542" s="5" t="s">
        <v>238</v>
      </c>
      <c r="CE1542" s="5" t="s">
        <v>238</v>
      </c>
      <c r="CI1542" s="5" t="s">
        <v>238</v>
      </c>
      <c r="CJ1542" s="5" t="s">
        <v>238</v>
      </c>
      <c r="CK1542" s="5" t="s">
        <v>272</v>
      </c>
      <c r="CM1542" s="5" t="s">
        <v>238</v>
      </c>
      <c r="CN1542" s="6" t="s">
        <v>262</v>
      </c>
      <c r="CO1542" s="5" t="s">
        <v>263</v>
      </c>
      <c r="CP1542" s="5" t="s">
        <v>264</v>
      </c>
      <c r="CQ1542" s="5" t="s">
        <v>285</v>
      </c>
      <c r="CR1542" s="5" t="s">
        <v>238</v>
      </c>
      <c r="CS1542" s="5">
        <v>0</v>
      </c>
      <c r="CT1542" s="5" t="s">
        <v>265</v>
      </c>
      <c r="CU1542" s="5" t="s">
        <v>1360</v>
      </c>
      <c r="CV1542" s="5" t="s">
        <v>308</v>
      </c>
      <c r="CW1542" s="7">
        <f>60104000</f>
        <v>60104000</v>
      </c>
      <c r="CX1542" s="8">
        <f>60104000</f>
        <v>60104000</v>
      </c>
      <c r="CY1542" s="8">
        <f>60104000</f>
        <v>60104000</v>
      </c>
      <c r="CZ1542" s="8" t="s">
        <v>238</v>
      </c>
      <c r="DA1542" s="5" t="s">
        <v>238</v>
      </c>
      <c r="DB1542" s="5" t="s">
        <v>238</v>
      </c>
      <c r="DD1542" s="5" t="s">
        <v>238</v>
      </c>
      <c r="DE1542" s="8">
        <f>0</f>
        <v>0</v>
      </c>
      <c r="DF1542" s="6" t="s">
        <v>238</v>
      </c>
      <c r="DG1542" s="5" t="s">
        <v>238</v>
      </c>
      <c r="DH1542" s="5" t="s">
        <v>238</v>
      </c>
      <c r="DI1542" s="5" t="s">
        <v>238</v>
      </c>
      <c r="DJ1542" s="5" t="s">
        <v>238</v>
      </c>
      <c r="DK1542" s="5" t="s">
        <v>238</v>
      </c>
      <c r="DL1542" s="5" t="s">
        <v>238</v>
      </c>
      <c r="DM1542" s="8" t="s">
        <v>238</v>
      </c>
      <c r="DN1542" s="5" t="s">
        <v>238</v>
      </c>
      <c r="DO1542" s="5" t="s">
        <v>247</v>
      </c>
      <c r="DP1542" s="5" t="s">
        <v>3170</v>
      </c>
      <c r="DQ1542" s="5" t="s">
        <v>3170</v>
      </c>
      <c r="DR1542" s="5" t="s">
        <v>238</v>
      </c>
      <c r="DS1542" s="5" t="s">
        <v>238</v>
      </c>
      <c r="HP1542" s="5" t="s">
        <v>238</v>
      </c>
      <c r="HQ1542" s="5" t="s">
        <v>238</v>
      </c>
      <c r="HR1542" s="5" t="s">
        <v>238</v>
      </c>
      <c r="HS1542" s="5" t="s">
        <v>238</v>
      </c>
      <c r="HT1542" s="5" t="s">
        <v>238</v>
      </c>
      <c r="HU1542" s="5" t="s">
        <v>238</v>
      </c>
      <c r="HV1542" s="5" t="s">
        <v>238</v>
      </c>
      <c r="HW1542" s="5" t="s">
        <v>238</v>
      </c>
      <c r="HX1542" s="5" t="s">
        <v>238</v>
      </c>
      <c r="HY1542" s="5" t="s">
        <v>238</v>
      </c>
      <c r="HZ1542" s="5" t="s">
        <v>238</v>
      </c>
      <c r="IA1542" s="5" t="s">
        <v>238</v>
      </c>
      <c r="IB1542" s="5" t="s">
        <v>238</v>
      </c>
      <c r="IC1542" s="5" t="s">
        <v>238</v>
      </c>
      <c r="ID1542" s="5" t="s">
        <v>238</v>
      </c>
    </row>
    <row r="1543" spans="1:238" x14ac:dyDescent="0.4">
      <c r="A1543" s="5">
        <v>2061</v>
      </c>
      <c r="B1543" s="5">
        <v>1</v>
      </c>
      <c r="C1543" s="5">
        <v>3</v>
      </c>
      <c r="D1543" s="5" t="s">
        <v>2869</v>
      </c>
      <c r="E1543" s="5" t="s">
        <v>277</v>
      </c>
      <c r="F1543" s="5" t="s">
        <v>282</v>
      </c>
      <c r="G1543" s="5" t="s">
        <v>3454</v>
      </c>
      <c r="H1543" s="6" t="s">
        <v>292</v>
      </c>
      <c r="I1543" s="5" t="s">
        <v>3453</v>
      </c>
      <c r="J1543" s="8">
        <f>1</f>
        <v>1</v>
      </c>
      <c r="K1543" s="5" t="s">
        <v>3176</v>
      </c>
      <c r="L1543" s="8">
        <f>4015000</f>
        <v>4015000</v>
      </c>
      <c r="M1543" s="8">
        <f>4015000</f>
        <v>4015000</v>
      </c>
      <c r="N1543" s="6" t="s">
        <v>3445</v>
      </c>
      <c r="O1543" s="5" t="s">
        <v>639</v>
      </c>
      <c r="P1543" s="5" t="s">
        <v>238</v>
      </c>
      <c r="Q1543" s="8">
        <f>0</f>
        <v>0</v>
      </c>
      <c r="R1543" s="8">
        <f>0</f>
        <v>0</v>
      </c>
      <c r="S1543" s="5" t="s">
        <v>240</v>
      </c>
      <c r="T1543" s="5" t="s">
        <v>237</v>
      </c>
      <c r="W1543" s="5" t="s">
        <v>241</v>
      </c>
      <c r="X1543" s="5" t="s">
        <v>276</v>
      </c>
      <c r="Y1543" s="5" t="s">
        <v>238</v>
      </c>
      <c r="AB1543" s="5" t="s">
        <v>277</v>
      </c>
      <c r="AC1543" s="6" t="s">
        <v>238</v>
      </c>
      <c r="AD1543" s="6" t="s">
        <v>238</v>
      </c>
      <c r="AE1543" s="5" t="s">
        <v>238</v>
      </c>
      <c r="AF1543" s="6" t="s">
        <v>238</v>
      </c>
      <c r="AG1543" s="6" t="s">
        <v>3445</v>
      </c>
      <c r="AH1543" s="5" t="s">
        <v>247</v>
      </c>
      <c r="AI1543" s="5" t="s">
        <v>248</v>
      </c>
      <c r="AO1543" s="5" t="s">
        <v>238</v>
      </c>
      <c r="AP1543" s="5" t="s">
        <v>238</v>
      </c>
      <c r="AQ1543" s="5" t="s">
        <v>238</v>
      </c>
      <c r="AR1543" s="6" t="s">
        <v>238</v>
      </c>
      <c r="AS1543" s="6" t="s">
        <v>238</v>
      </c>
      <c r="AT1543" s="6" t="s">
        <v>238</v>
      </c>
      <c r="AW1543" s="5" t="s">
        <v>304</v>
      </c>
      <c r="AX1543" s="5" t="s">
        <v>304</v>
      </c>
      <c r="AY1543" s="5" t="s">
        <v>250</v>
      </c>
      <c r="AZ1543" s="5" t="s">
        <v>281</v>
      </c>
      <c r="BA1543" s="5" t="s">
        <v>251</v>
      </c>
      <c r="BB1543" s="5" t="s">
        <v>3190</v>
      </c>
      <c r="BC1543" s="5" t="s">
        <v>253</v>
      </c>
      <c r="BD1543" s="5" t="s">
        <v>3170</v>
      </c>
      <c r="BF1543" s="5" t="s">
        <v>238</v>
      </c>
      <c r="BH1543" s="5" t="s">
        <v>283</v>
      </c>
      <c r="BI1543" s="6" t="s">
        <v>3455</v>
      </c>
      <c r="BJ1543" s="5" t="s">
        <v>3212</v>
      </c>
      <c r="BK1543" s="5" t="s">
        <v>3171</v>
      </c>
      <c r="BL1543" s="5" t="s">
        <v>238</v>
      </c>
      <c r="BM1543" s="8">
        <f>0</f>
        <v>0</v>
      </c>
      <c r="BN1543" s="8">
        <f>2308000</f>
        <v>2308000</v>
      </c>
      <c r="BO1543" s="5" t="s">
        <v>257</v>
      </c>
      <c r="BP1543" s="5" t="s">
        <v>258</v>
      </c>
      <c r="BQ1543" s="5" t="s">
        <v>3218</v>
      </c>
      <c r="BR1543" s="5" t="s">
        <v>3238</v>
      </c>
      <c r="BS1543" s="5" t="s">
        <v>258</v>
      </c>
      <c r="BT1543" s="5" t="s">
        <v>238</v>
      </c>
      <c r="BU1543" s="5" t="s">
        <v>3173</v>
      </c>
      <c r="BV1543" s="5" t="s">
        <v>3174</v>
      </c>
      <c r="BW1543" s="5" t="s">
        <v>3174</v>
      </c>
      <c r="BY1543" s="6" t="s">
        <v>3456</v>
      </c>
      <c r="BZ1543" s="5" t="s">
        <v>257</v>
      </c>
      <c r="CA1543" s="5" t="s">
        <v>238</v>
      </c>
      <c r="CB1543" s="5" t="s">
        <v>238</v>
      </c>
      <c r="CC1543" s="5" t="s">
        <v>258</v>
      </c>
      <c r="CD1543" s="5" t="s">
        <v>238</v>
      </c>
      <c r="CE1543" s="5" t="s">
        <v>238</v>
      </c>
      <c r="CI1543" s="5" t="s">
        <v>238</v>
      </c>
      <c r="CJ1543" s="5" t="s">
        <v>238</v>
      </c>
      <c r="CK1543" s="5" t="s">
        <v>272</v>
      </c>
      <c r="CM1543" s="5" t="s">
        <v>238</v>
      </c>
      <c r="CN1543" s="6" t="s">
        <v>262</v>
      </c>
      <c r="CO1543" s="5" t="s">
        <v>263</v>
      </c>
      <c r="CP1543" s="5" t="s">
        <v>264</v>
      </c>
      <c r="CQ1543" s="5" t="s">
        <v>285</v>
      </c>
      <c r="CR1543" s="5" t="s">
        <v>238</v>
      </c>
      <c r="CS1543" s="5">
        <v>0</v>
      </c>
      <c r="CT1543" s="5" t="s">
        <v>265</v>
      </c>
      <c r="CU1543" s="5" t="s">
        <v>1360</v>
      </c>
      <c r="CV1543" s="5" t="s">
        <v>2508</v>
      </c>
      <c r="CW1543" s="7">
        <f>4015000</f>
        <v>4015000</v>
      </c>
      <c r="CX1543" s="8">
        <f>4015000</f>
        <v>4015000</v>
      </c>
      <c r="CY1543" s="8">
        <f>4015000</f>
        <v>4015000</v>
      </c>
      <c r="CZ1543" s="8" t="s">
        <v>238</v>
      </c>
      <c r="DA1543" s="5" t="s">
        <v>238</v>
      </c>
      <c r="DB1543" s="5" t="s">
        <v>238</v>
      </c>
      <c r="DD1543" s="5" t="s">
        <v>238</v>
      </c>
      <c r="DE1543" s="8">
        <f>0</f>
        <v>0</v>
      </c>
      <c r="DF1543" s="6" t="s">
        <v>238</v>
      </c>
      <c r="DG1543" s="5" t="s">
        <v>238</v>
      </c>
      <c r="DH1543" s="5" t="s">
        <v>238</v>
      </c>
      <c r="DI1543" s="5" t="s">
        <v>238</v>
      </c>
      <c r="DJ1543" s="5" t="s">
        <v>238</v>
      </c>
      <c r="DK1543" s="5" t="s">
        <v>238</v>
      </c>
      <c r="DL1543" s="5" t="s">
        <v>238</v>
      </c>
      <c r="DM1543" s="8" t="s">
        <v>238</v>
      </c>
      <c r="DN1543" s="5" t="s">
        <v>238</v>
      </c>
      <c r="DO1543" s="5" t="s">
        <v>247</v>
      </c>
      <c r="DP1543" s="5" t="s">
        <v>3170</v>
      </c>
      <c r="DQ1543" s="5" t="s">
        <v>3170</v>
      </c>
      <c r="DR1543" s="5" t="s">
        <v>238</v>
      </c>
      <c r="DS1543" s="5" t="s">
        <v>238</v>
      </c>
      <c r="HP1543" s="5" t="s">
        <v>238</v>
      </c>
      <c r="HQ1543" s="5" t="s">
        <v>238</v>
      </c>
      <c r="HR1543" s="5" t="s">
        <v>238</v>
      </c>
      <c r="HS1543" s="5" t="s">
        <v>238</v>
      </c>
      <c r="HT1543" s="5" t="s">
        <v>238</v>
      </c>
      <c r="HU1543" s="5" t="s">
        <v>238</v>
      </c>
      <c r="HV1543" s="5" t="s">
        <v>238</v>
      </c>
      <c r="HW1543" s="5" t="s">
        <v>238</v>
      </c>
      <c r="HX1543" s="5" t="s">
        <v>238</v>
      </c>
      <c r="HY1543" s="5" t="s">
        <v>238</v>
      </c>
      <c r="HZ1543" s="5" t="s">
        <v>238</v>
      </c>
      <c r="IA1543" s="5" t="s">
        <v>238</v>
      </c>
      <c r="IB1543" s="5" t="s">
        <v>238</v>
      </c>
      <c r="IC1543" s="5" t="s">
        <v>238</v>
      </c>
      <c r="ID1543" s="5" t="s">
        <v>238</v>
      </c>
    </row>
    <row r="1544" spans="1:238" x14ac:dyDescent="0.4">
      <c r="A1544" s="5">
        <v>2062</v>
      </c>
      <c r="B1544" s="5">
        <v>1</v>
      </c>
      <c r="C1544" s="5">
        <v>1</v>
      </c>
      <c r="D1544" s="5" t="s">
        <v>238</v>
      </c>
      <c r="E1544" s="5" t="s">
        <v>277</v>
      </c>
      <c r="F1544" s="5" t="s">
        <v>282</v>
      </c>
      <c r="G1544" s="5" t="s">
        <v>238</v>
      </c>
      <c r="H1544" s="6" t="s">
        <v>292</v>
      </c>
      <c r="I1544" s="5" t="s">
        <v>296</v>
      </c>
      <c r="J1544" s="8">
        <f>0</f>
        <v>0</v>
      </c>
      <c r="K1544" s="5" t="s">
        <v>287</v>
      </c>
      <c r="L1544" s="8">
        <f>5142060</f>
        <v>5142060</v>
      </c>
      <c r="M1544" s="8">
        <f>5390000</f>
        <v>5390000</v>
      </c>
      <c r="N1544" s="6" t="s">
        <v>291</v>
      </c>
      <c r="O1544" s="5" t="s">
        <v>286</v>
      </c>
      <c r="P1544" s="5" t="s">
        <v>238</v>
      </c>
      <c r="Q1544" s="8" t="s">
        <v>238</v>
      </c>
      <c r="R1544" s="8">
        <f>247940</f>
        <v>247940</v>
      </c>
      <c r="S1544" s="5" t="s">
        <v>240</v>
      </c>
      <c r="T1544" s="5" t="s">
        <v>238</v>
      </c>
      <c r="U1544" s="5" t="s">
        <v>238</v>
      </c>
      <c r="V1544" s="5" t="s">
        <v>238</v>
      </c>
      <c r="W1544" s="5" t="s">
        <v>241</v>
      </c>
      <c r="X1544" s="5" t="s">
        <v>290</v>
      </c>
      <c r="Y1544" s="5" t="s">
        <v>238</v>
      </c>
      <c r="Z1544" s="5" t="s">
        <v>238</v>
      </c>
      <c r="AA1544" s="5" t="s">
        <v>238</v>
      </c>
      <c r="AB1544" s="5" t="s">
        <v>238</v>
      </c>
      <c r="AC1544" s="6" t="s">
        <v>291</v>
      </c>
      <c r="AD1544" s="6" t="s">
        <v>291</v>
      </c>
      <c r="AE1544" s="5" t="s">
        <v>238</v>
      </c>
      <c r="AF1544" s="6" t="s">
        <v>238</v>
      </c>
      <c r="AG1544" s="6" t="s">
        <v>238</v>
      </c>
      <c r="AH1544" s="5" t="s">
        <v>247</v>
      </c>
      <c r="AI1544" s="5" t="s">
        <v>279</v>
      </c>
      <c r="AJ1544" s="5" t="s">
        <v>238</v>
      </c>
      <c r="AK1544" s="5" t="s">
        <v>238</v>
      </c>
      <c r="AL1544" s="5" t="s">
        <v>238</v>
      </c>
      <c r="AM1544" s="5" t="s">
        <v>238</v>
      </c>
      <c r="AN1544" s="5" t="s">
        <v>238</v>
      </c>
      <c r="AO1544" s="5" t="s">
        <v>238</v>
      </c>
      <c r="AP1544" s="5" t="s">
        <v>238</v>
      </c>
      <c r="AQ1544" s="5" t="s">
        <v>238</v>
      </c>
      <c r="AR1544" s="6" t="s">
        <v>238</v>
      </c>
      <c r="AS1544" s="6" t="s">
        <v>238</v>
      </c>
      <c r="AT1544" s="6" t="s">
        <v>238</v>
      </c>
      <c r="AU1544" s="6" t="s">
        <v>238</v>
      </c>
      <c r="AV1544" s="5" t="s">
        <v>238</v>
      </c>
      <c r="AW1544" s="5" t="s">
        <v>238</v>
      </c>
      <c r="AX1544" s="5" t="s">
        <v>238</v>
      </c>
      <c r="AY1544" s="5" t="s">
        <v>250</v>
      </c>
      <c r="AZ1544" s="5" t="s">
        <v>281</v>
      </c>
      <c r="BA1544" s="5" t="s">
        <v>251</v>
      </c>
      <c r="BB1544" s="5" t="s">
        <v>238</v>
      </c>
      <c r="BC1544" s="5" t="s">
        <v>253</v>
      </c>
      <c r="BD1544" s="5" t="s">
        <v>238</v>
      </c>
      <c r="BE1544" s="6" t="s">
        <v>238</v>
      </c>
      <c r="BF1544" s="5" t="s">
        <v>238</v>
      </c>
      <c r="BG1544" s="5" t="s">
        <v>238</v>
      </c>
      <c r="BH1544" s="5" t="s">
        <v>283</v>
      </c>
      <c r="BI1544" s="6" t="s">
        <v>293</v>
      </c>
      <c r="BJ1544" s="5" t="s">
        <v>294</v>
      </c>
      <c r="BK1544" s="5" t="s">
        <v>238</v>
      </c>
      <c r="BL1544" s="5" t="s">
        <v>238</v>
      </c>
      <c r="BM1544" s="8">
        <f>0</f>
        <v>0</v>
      </c>
      <c r="BN1544" s="8">
        <f>-247940</f>
        <v>-247940</v>
      </c>
      <c r="BO1544" s="5" t="s">
        <v>257</v>
      </c>
      <c r="BP1544" s="5" t="s">
        <v>258</v>
      </c>
      <c r="BQ1544" s="5" t="s">
        <v>238</v>
      </c>
      <c r="BR1544" s="5" t="s">
        <v>238</v>
      </c>
      <c r="BS1544" s="5" t="s">
        <v>238</v>
      </c>
      <c r="BT1544" s="5" t="s">
        <v>238</v>
      </c>
      <c r="BU1544" s="5" t="s">
        <v>238</v>
      </c>
      <c r="BV1544" s="5" t="s">
        <v>238</v>
      </c>
      <c r="BW1544" s="5" t="s">
        <v>238</v>
      </c>
      <c r="BX1544" s="5" t="s">
        <v>238</v>
      </c>
      <c r="BY1544" s="6" t="s">
        <v>238</v>
      </c>
      <c r="BZ1544" s="5" t="s">
        <v>238</v>
      </c>
      <c r="CA1544" s="5" t="s">
        <v>238</v>
      </c>
      <c r="CB1544" s="5" t="s">
        <v>238</v>
      </c>
      <c r="CC1544" s="5" t="s">
        <v>258</v>
      </c>
      <c r="CD1544" s="5" t="s">
        <v>238</v>
      </c>
      <c r="CE1544" s="5" t="s">
        <v>238</v>
      </c>
      <c r="CF1544" s="5" t="s">
        <v>238</v>
      </c>
      <c r="CG1544" s="5" t="s">
        <v>238</v>
      </c>
      <c r="CH1544" s="5" t="s">
        <v>238</v>
      </c>
      <c r="CI1544" s="5" t="s">
        <v>238</v>
      </c>
      <c r="CJ1544" s="5" t="s">
        <v>238</v>
      </c>
      <c r="CK1544" s="5" t="s">
        <v>238</v>
      </c>
      <c r="CL1544" s="5" t="s">
        <v>238</v>
      </c>
      <c r="CM1544" s="5" t="s">
        <v>238</v>
      </c>
      <c r="CN1544" s="6" t="s">
        <v>262</v>
      </c>
      <c r="CO1544" s="5" t="s">
        <v>263</v>
      </c>
      <c r="CP1544" s="5" t="s">
        <v>264</v>
      </c>
      <c r="CQ1544" s="5" t="s">
        <v>285</v>
      </c>
      <c r="CR1544" s="5" t="s">
        <v>238</v>
      </c>
      <c r="CS1544" s="5">
        <v>0</v>
      </c>
      <c r="CT1544" s="5" t="s">
        <v>238</v>
      </c>
      <c r="CU1544" s="5" t="s">
        <v>238</v>
      </c>
      <c r="CV1544" s="5" t="s">
        <v>238</v>
      </c>
      <c r="CW1544" s="7">
        <f>0</f>
        <v>0</v>
      </c>
      <c r="CX1544" s="8">
        <f>0</f>
        <v>0</v>
      </c>
      <c r="CY1544" s="8" t="s">
        <v>238</v>
      </c>
      <c r="CZ1544" s="8" t="s">
        <v>238</v>
      </c>
      <c r="DA1544" s="5" t="s">
        <v>238</v>
      </c>
      <c r="DB1544" s="5" t="s">
        <v>238</v>
      </c>
      <c r="DC1544" s="5" t="s">
        <v>238</v>
      </c>
      <c r="DD1544" s="5" t="s">
        <v>238</v>
      </c>
      <c r="DE1544" s="8">
        <f>0</f>
        <v>0</v>
      </c>
      <c r="DF1544" s="6" t="s">
        <v>238</v>
      </c>
      <c r="DG1544" s="5" t="s">
        <v>238</v>
      </c>
      <c r="DH1544" s="5" t="s">
        <v>238</v>
      </c>
      <c r="DI1544" s="5" t="s">
        <v>238</v>
      </c>
      <c r="DJ1544" s="5" t="s">
        <v>238</v>
      </c>
      <c r="DK1544" s="5" t="s">
        <v>238</v>
      </c>
      <c r="DL1544" s="5" t="s">
        <v>238</v>
      </c>
      <c r="DM1544" s="8" t="s">
        <v>238</v>
      </c>
      <c r="DN1544" s="5" t="s">
        <v>238</v>
      </c>
      <c r="DO1544" s="5" t="s">
        <v>238</v>
      </c>
      <c r="DP1544" s="5" t="s">
        <v>238</v>
      </c>
      <c r="DQ1544" s="5" t="s">
        <v>238</v>
      </c>
      <c r="DR1544" s="5" t="s">
        <v>238</v>
      </c>
      <c r="DS1544" s="5" t="s">
        <v>238</v>
      </c>
      <c r="DT1544" s="5" t="s">
        <v>238</v>
      </c>
      <c r="DU1544" s="5" t="s">
        <v>238</v>
      </c>
      <c r="DV1544" s="5" t="s">
        <v>238</v>
      </c>
      <c r="DW1544" s="5" t="s">
        <v>238</v>
      </c>
      <c r="DX1544" s="5" t="s">
        <v>238</v>
      </c>
      <c r="DY1544" s="5" t="s">
        <v>238</v>
      </c>
      <c r="DZ1544" s="5" t="s">
        <v>238</v>
      </c>
      <c r="EA1544" s="5" t="s">
        <v>238</v>
      </c>
      <c r="EB1544" s="5" t="s">
        <v>238</v>
      </c>
      <c r="EC1544" s="5" t="s">
        <v>238</v>
      </c>
      <c r="ED1544" s="5" t="s">
        <v>238</v>
      </c>
      <c r="EE1544" s="5" t="s">
        <v>238</v>
      </c>
      <c r="EF1544" s="5" t="s">
        <v>238</v>
      </c>
      <c r="EG1544" s="5" t="s">
        <v>238</v>
      </c>
      <c r="EH1544" s="5" t="s">
        <v>238</v>
      </c>
      <c r="EI1544" s="5" t="s">
        <v>238</v>
      </c>
      <c r="EJ1544" s="5" t="s">
        <v>238</v>
      </c>
      <c r="EK1544" s="5" t="s">
        <v>238</v>
      </c>
      <c r="EL1544" s="5" t="s">
        <v>238</v>
      </c>
      <c r="EM1544" s="5" t="s">
        <v>238</v>
      </c>
      <c r="EN1544" s="5" t="s">
        <v>238</v>
      </c>
      <c r="EO1544" s="5" t="s">
        <v>238</v>
      </c>
      <c r="EP1544" s="5" t="s">
        <v>238</v>
      </c>
      <c r="EQ1544" s="5" t="s">
        <v>238</v>
      </c>
      <c r="ER1544" s="5" t="s">
        <v>238</v>
      </c>
      <c r="ES1544" s="5" t="s">
        <v>238</v>
      </c>
      <c r="ET1544" s="5" t="s">
        <v>238</v>
      </c>
      <c r="EU1544" s="5" t="s">
        <v>238</v>
      </c>
      <c r="EV1544" s="5" t="s">
        <v>238</v>
      </c>
      <c r="EW1544" s="5" t="s">
        <v>238</v>
      </c>
      <c r="EX1544" s="5" t="s">
        <v>238</v>
      </c>
      <c r="EY1544" s="5" t="s">
        <v>238</v>
      </c>
      <c r="EZ1544" s="5" t="s">
        <v>238</v>
      </c>
      <c r="FA1544" s="5" t="s">
        <v>238</v>
      </c>
      <c r="FB1544" s="5" t="s">
        <v>238</v>
      </c>
      <c r="FC1544" s="5" t="s">
        <v>238</v>
      </c>
      <c r="FD1544" s="5" t="s">
        <v>238</v>
      </c>
      <c r="FE1544" s="5" t="s">
        <v>238</v>
      </c>
      <c r="FF1544" s="5" t="s">
        <v>238</v>
      </c>
      <c r="FG1544" s="5" t="s">
        <v>238</v>
      </c>
      <c r="FH1544" s="5" t="s">
        <v>238</v>
      </c>
      <c r="FI1544" s="5" t="s">
        <v>238</v>
      </c>
      <c r="FJ1544" s="5" t="s">
        <v>238</v>
      </c>
      <c r="FK1544" s="5" t="s">
        <v>238</v>
      </c>
      <c r="FL1544" s="5" t="s">
        <v>238</v>
      </c>
      <c r="FM1544" s="5" t="s">
        <v>238</v>
      </c>
      <c r="FN1544" s="5" t="s">
        <v>238</v>
      </c>
      <c r="FO1544" s="5" t="s">
        <v>238</v>
      </c>
      <c r="FP1544" s="5" t="s">
        <v>238</v>
      </c>
      <c r="FQ1544" s="5" t="s">
        <v>238</v>
      </c>
      <c r="FR1544" s="5" t="s">
        <v>238</v>
      </c>
      <c r="FS1544" s="5" t="s">
        <v>238</v>
      </c>
      <c r="FT1544" s="5" t="s">
        <v>238</v>
      </c>
      <c r="FU1544" s="5" t="s">
        <v>238</v>
      </c>
      <c r="FV1544" s="5" t="s">
        <v>238</v>
      </c>
      <c r="FW1544" s="5" t="s">
        <v>238</v>
      </c>
      <c r="FX1544" s="5" t="s">
        <v>238</v>
      </c>
      <c r="FY1544" s="5" t="s">
        <v>238</v>
      </c>
      <c r="FZ1544" s="5" t="s">
        <v>238</v>
      </c>
      <c r="GA1544" s="5" t="s">
        <v>238</v>
      </c>
      <c r="GB1544" s="5" t="s">
        <v>238</v>
      </c>
      <c r="GC1544" s="5" t="s">
        <v>238</v>
      </c>
      <c r="GD1544" s="5" t="s">
        <v>238</v>
      </c>
      <c r="GE1544" s="5" t="s">
        <v>238</v>
      </c>
      <c r="GF1544" s="5" t="s">
        <v>238</v>
      </c>
      <c r="GG1544" s="5" t="s">
        <v>238</v>
      </c>
      <c r="GH1544" s="5" t="s">
        <v>238</v>
      </c>
      <c r="GI1544" s="5" t="s">
        <v>238</v>
      </c>
      <c r="GJ1544" s="5" t="s">
        <v>238</v>
      </c>
      <c r="GK1544" s="5" t="s">
        <v>238</v>
      </c>
      <c r="GL1544" s="5" t="s">
        <v>238</v>
      </c>
      <c r="GM1544" s="5" t="s">
        <v>238</v>
      </c>
      <c r="GN1544" s="5" t="s">
        <v>238</v>
      </c>
      <c r="GO1544" s="5" t="s">
        <v>238</v>
      </c>
      <c r="GP1544" s="5" t="s">
        <v>238</v>
      </c>
      <c r="GQ1544" s="5" t="s">
        <v>238</v>
      </c>
      <c r="GR1544" s="5" t="s">
        <v>238</v>
      </c>
      <c r="GS1544" s="5" t="s">
        <v>238</v>
      </c>
      <c r="GT1544" s="5" t="s">
        <v>238</v>
      </c>
      <c r="GU1544" s="5" t="s">
        <v>238</v>
      </c>
      <c r="GV1544" s="5" t="s">
        <v>238</v>
      </c>
      <c r="GW1544" s="5" t="s">
        <v>238</v>
      </c>
      <c r="GX1544" s="5" t="s">
        <v>238</v>
      </c>
      <c r="GY1544" s="5" t="s">
        <v>238</v>
      </c>
      <c r="GZ1544" s="5" t="s">
        <v>238</v>
      </c>
      <c r="HA1544" s="5" t="s">
        <v>238</v>
      </c>
      <c r="HB1544" s="5" t="s">
        <v>238</v>
      </c>
      <c r="HC1544" s="5" t="s">
        <v>238</v>
      </c>
      <c r="HD1544" s="5" t="s">
        <v>238</v>
      </c>
      <c r="HE1544" s="5" t="s">
        <v>238</v>
      </c>
      <c r="HF1544" s="5" t="s">
        <v>238</v>
      </c>
      <c r="HG1544" s="5" t="s">
        <v>238</v>
      </c>
      <c r="HH1544" s="5" t="s">
        <v>238</v>
      </c>
      <c r="HI1544" s="5" t="s">
        <v>238</v>
      </c>
      <c r="HJ1544" s="5" t="s">
        <v>238</v>
      </c>
      <c r="HK1544" s="5" t="s">
        <v>238</v>
      </c>
      <c r="HL1544" s="5" t="s">
        <v>238</v>
      </c>
      <c r="HM1544" s="5" t="s">
        <v>238</v>
      </c>
      <c r="HN1544" s="5" t="s">
        <v>238</v>
      </c>
      <c r="HO1544" s="5" t="s">
        <v>238</v>
      </c>
      <c r="HP1544" s="5" t="s">
        <v>238</v>
      </c>
      <c r="HQ1544" s="5" t="s">
        <v>238</v>
      </c>
      <c r="HR1544" s="5" t="s">
        <v>238</v>
      </c>
      <c r="HS1544" s="5" t="s">
        <v>238</v>
      </c>
      <c r="HT1544" s="5" t="s">
        <v>238</v>
      </c>
      <c r="HU1544" s="5" t="s">
        <v>238</v>
      </c>
      <c r="HV1544" s="5" t="s">
        <v>238</v>
      </c>
      <c r="HW1544" s="5" t="s">
        <v>238</v>
      </c>
      <c r="HX1544" s="5" t="s">
        <v>238</v>
      </c>
      <c r="HY1544" s="5" t="s">
        <v>238</v>
      </c>
      <c r="HZ1544" s="5" t="s">
        <v>238</v>
      </c>
      <c r="IA1544" s="5" t="s">
        <v>238</v>
      </c>
      <c r="IB1544" s="5" t="s">
        <v>238</v>
      </c>
      <c r="IC1544" s="5" t="s">
        <v>238</v>
      </c>
      <c r="ID1544" s="5" t="s">
        <v>238</v>
      </c>
    </row>
    <row r="1545" spans="1:238" x14ac:dyDescent="0.4">
      <c r="A1545" s="5">
        <v>2063</v>
      </c>
      <c r="B1545" s="5">
        <v>1</v>
      </c>
      <c r="C1545" s="5">
        <v>1</v>
      </c>
      <c r="D1545" s="5" t="s">
        <v>238</v>
      </c>
      <c r="E1545" s="5" t="s">
        <v>277</v>
      </c>
      <c r="F1545" s="5" t="s">
        <v>282</v>
      </c>
      <c r="G1545" s="5" t="s">
        <v>238</v>
      </c>
      <c r="H1545" s="6" t="s">
        <v>292</v>
      </c>
      <c r="I1545" s="5" t="s">
        <v>289</v>
      </c>
      <c r="J1545" s="8">
        <f>0</f>
        <v>0</v>
      </c>
      <c r="K1545" s="5" t="s">
        <v>287</v>
      </c>
      <c r="L1545" s="8">
        <f>5142060</f>
        <v>5142060</v>
      </c>
      <c r="M1545" s="8">
        <f>5390000</f>
        <v>5390000</v>
      </c>
      <c r="N1545" s="6" t="s">
        <v>291</v>
      </c>
      <c r="O1545" s="5" t="s">
        <v>286</v>
      </c>
      <c r="P1545" s="5" t="s">
        <v>238</v>
      </c>
      <c r="Q1545" s="8" t="s">
        <v>238</v>
      </c>
      <c r="R1545" s="8">
        <f>247940</f>
        <v>247940</v>
      </c>
      <c r="S1545" s="5" t="s">
        <v>240</v>
      </c>
      <c r="T1545" s="5" t="s">
        <v>238</v>
      </c>
      <c r="U1545" s="5" t="s">
        <v>238</v>
      </c>
      <c r="V1545" s="5" t="s">
        <v>238</v>
      </c>
      <c r="W1545" s="5" t="s">
        <v>241</v>
      </c>
      <c r="X1545" s="5" t="s">
        <v>290</v>
      </c>
      <c r="Y1545" s="5" t="s">
        <v>238</v>
      </c>
      <c r="Z1545" s="5" t="s">
        <v>238</v>
      </c>
      <c r="AA1545" s="5" t="s">
        <v>238</v>
      </c>
      <c r="AB1545" s="5" t="s">
        <v>238</v>
      </c>
      <c r="AC1545" s="6" t="s">
        <v>291</v>
      </c>
      <c r="AD1545" s="6" t="s">
        <v>291</v>
      </c>
      <c r="AE1545" s="5" t="s">
        <v>238</v>
      </c>
      <c r="AF1545" s="6" t="s">
        <v>238</v>
      </c>
      <c r="AG1545" s="6" t="s">
        <v>238</v>
      </c>
      <c r="AH1545" s="5" t="s">
        <v>247</v>
      </c>
      <c r="AI1545" s="5" t="s">
        <v>279</v>
      </c>
      <c r="AJ1545" s="5" t="s">
        <v>238</v>
      </c>
      <c r="AK1545" s="5" t="s">
        <v>238</v>
      </c>
      <c r="AL1545" s="5" t="s">
        <v>238</v>
      </c>
      <c r="AM1545" s="5" t="s">
        <v>238</v>
      </c>
      <c r="AN1545" s="5" t="s">
        <v>238</v>
      </c>
      <c r="AO1545" s="5" t="s">
        <v>238</v>
      </c>
      <c r="AP1545" s="5" t="s">
        <v>238</v>
      </c>
      <c r="AQ1545" s="5" t="s">
        <v>238</v>
      </c>
      <c r="AR1545" s="6" t="s">
        <v>238</v>
      </c>
      <c r="AS1545" s="6" t="s">
        <v>238</v>
      </c>
      <c r="AT1545" s="6" t="s">
        <v>238</v>
      </c>
      <c r="AU1545" s="6" t="s">
        <v>238</v>
      </c>
      <c r="AV1545" s="5" t="s">
        <v>238</v>
      </c>
      <c r="AW1545" s="5" t="s">
        <v>238</v>
      </c>
      <c r="AX1545" s="5" t="s">
        <v>238</v>
      </c>
      <c r="AY1545" s="5" t="s">
        <v>250</v>
      </c>
      <c r="AZ1545" s="5" t="s">
        <v>281</v>
      </c>
      <c r="BA1545" s="5" t="s">
        <v>251</v>
      </c>
      <c r="BB1545" s="5" t="s">
        <v>238</v>
      </c>
      <c r="BC1545" s="5" t="s">
        <v>253</v>
      </c>
      <c r="BD1545" s="5" t="s">
        <v>238</v>
      </c>
      <c r="BE1545" s="6" t="s">
        <v>238</v>
      </c>
      <c r="BF1545" s="5" t="s">
        <v>238</v>
      </c>
      <c r="BG1545" s="5" t="s">
        <v>238</v>
      </c>
      <c r="BH1545" s="5" t="s">
        <v>283</v>
      </c>
      <c r="BI1545" s="6" t="s">
        <v>293</v>
      </c>
      <c r="BJ1545" s="5" t="s">
        <v>294</v>
      </c>
      <c r="BK1545" s="5" t="s">
        <v>238</v>
      </c>
      <c r="BL1545" s="5" t="s">
        <v>238</v>
      </c>
      <c r="BM1545" s="8">
        <f>0</f>
        <v>0</v>
      </c>
      <c r="BN1545" s="8">
        <f>-247940</f>
        <v>-247940</v>
      </c>
      <c r="BO1545" s="5" t="s">
        <v>257</v>
      </c>
      <c r="BP1545" s="5" t="s">
        <v>258</v>
      </c>
      <c r="BQ1545" s="5" t="s">
        <v>238</v>
      </c>
      <c r="BR1545" s="5" t="s">
        <v>238</v>
      </c>
      <c r="BS1545" s="5" t="s">
        <v>238</v>
      </c>
      <c r="BT1545" s="5" t="s">
        <v>238</v>
      </c>
      <c r="BU1545" s="5" t="s">
        <v>238</v>
      </c>
      <c r="BV1545" s="5" t="s">
        <v>238</v>
      </c>
      <c r="BW1545" s="5" t="s">
        <v>238</v>
      </c>
      <c r="BX1545" s="5" t="s">
        <v>238</v>
      </c>
      <c r="BY1545" s="6" t="s">
        <v>238</v>
      </c>
      <c r="BZ1545" s="5" t="s">
        <v>238</v>
      </c>
      <c r="CA1545" s="5" t="s">
        <v>238</v>
      </c>
      <c r="CB1545" s="5" t="s">
        <v>238</v>
      </c>
      <c r="CC1545" s="5" t="s">
        <v>258</v>
      </c>
      <c r="CD1545" s="5" t="s">
        <v>238</v>
      </c>
      <c r="CE1545" s="5" t="s">
        <v>238</v>
      </c>
      <c r="CF1545" s="5" t="s">
        <v>238</v>
      </c>
      <c r="CG1545" s="5" t="s">
        <v>238</v>
      </c>
      <c r="CH1545" s="5" t="s">
        <v>238</v>
      </c>
      <c r="CI1545" s="5" t="s">
        <v>238</v>
      </c>
      <c r="CJ1545" s="5" t="s">
        <v>238</v>
      </c>
      <c r="CK1545" s="5" t="s">
        <v>238</v>
      </c>
      <c r="CL1545" s="5" t="s">
        <v>238</v>
      </c>
      <c r="CM1545" s="5" t="s">
        <v>238</v>
      </c>
      <c r="CN1545" s="6" t="s">
        <v>262</v>
      </c>
      <c r="CO1545" s="5" t="s">
        <v>263</v>
      </c>
      <c r="CP1545" s="5" t="s">
        <v>264</v>
      </c>
      <c r="CQ1545" s="5" t="s">
        <v>285</v>
      </c>
      <c r="CR1545" s="5" t="s">
        <v>238</v>
      </c>
      <c r="CS1545" s="5">
        <v>0</v>
      </c>
      <c r="CT1545" s="5" t="s">
        <v>238</v>
      </c>
      <c r="CU1545" s="5" t="s">
        <v>238</v>
      </c>
      <c r="CV1545" s="5" t="s">
        <v>238</v>
      </c>
      <c r="CW1545" s="7">
        <f>0</f>
        <v>0</v>
      </c>
      <c r="CX1545" s="8">
        <f>0</f>
        <v>0</v>
      </c>
      <c r="CY1545" s="8" t="s">
        <v>238</v>
      </c>
      <c r="CZ1545" s="8" t="s">
        <v>238</v>
      </c>
      <c r="DA1545" s="5" t="s">
        <v>238</v>
      </c>
      <c r="DB1545" s="5" t="s">
        <v>238</v>
      </c>
      <c r="DC1545" s="5" t="s">
        <v>238</v>
      </c>
      <c r="DD1545" s="5" t="s">
        <v>238</v>
      </c>
      <c r="DE1545" s="8">
        <f>0</f>
        <v>0</v>
      </c>
      <c r="DF1545" s="6" t="s">
        <v>238</v>
      </c>
      <c r="DG1545" s="5" t="s">
        <v>238</v>
      </c>
      <c r="DH1545" s="5" t="s">
        <v>238</v>
      </c>
      <c r="DI1545" s="5" t="s">
        <v>238</v>
      </c>
      <c r="DJ1545" s="5" t="s">
        <v>238</v>
      </c>
      <c r="DK1545" s="5" t="s">
        <v>238</v>
      </c>
      <c r="DL1545" s="5" t="s">
        <v>238</v>
      </c>
      <c r="DM1545" s="8" t="s">
        <v>238</v>
      </c>
      <c r="DN1545" s="5" t="s">
        <v>238</v>
      </c>
      <c r="DO1545" s="5" t="s">
        <v>238</v>
      </c>
      <c r="DP1545" s="5" t="s">
        <v>238</v>
      </c>
      <c r="DQ1545" s="5" t="s">
        <v>238</v>
      </c>
      <c r="DR1545" s="5" t="s">
        <v>238</v>
      </c>
      <c r="DS1545" s="5" t="s">
        <v>238</v>
      </c>
      <c r="DT1545" s="5" t="s">
        <v>238</v>
      </c>
      <c r="DU1545" s="5" t="s">
        <v>238</v>
      </c>
      <c r="DV1545" s="5" t="s">
        <v>238</v>
      </c>
      <c r="DW1545" s="5" t="s">
        <v>238</v>
      </c>
      <c r="DX1545" s="5" t="s">
        <v>238</v>
      </c>
      <c r="DY1545" s="5" t="s">
        <v>238</v>
      </c>
      <c r="DZ1545" s="5" t="s">
        <v>238</v>
      </c>
      <c r="EA1545" s="5" t="s">
        <v>238</v>
      </c>
      <c r="EB1545" s="5" t="s">
        <v>238</v>
      </c>
      <c r="EC1545" s="5" t="s">
        <v>238</v>
      </c>
      <c r="ED1545" s="5" t="s">
        <v>238</v>
      </c>
      <c r="EE1545" s="5" t="s">
        <v>238</v>
      </c>
      <c r="EF1545" s="5" t="s">
        <v>238</v>
      </c>
      <c r="EG1545" s="5" t="s">
        <v>238</v>
      </c>
      <c r="EH1545" s="5" t="s">
        <v>238</v>
      </c>
      <c r="EI1545" s="5" t="s">
        <v>238</v>
      </c>
      <c r="EJ1545" s="5" t="s">
        <v>238</v>
      </c>
      <c r="EK1545" s="5" t="s">
        <v>238</v>
      </c>
      <c r="EL1545" s="5" t="s">
        <v>238</v>
      </c>
      <c r="EM1545" s="5" t="s">
        <v>238</v>
      </c>
      <c r="EN1545" s="5" t="s">
        <v>238</v>
      </c>
      <c r="EO1545" s="5" t="s">
        <v>238</v>
      </c>
      <c r="EP1545" s="5" t="s">
        <v>238</v>
      </c>
      <c r="EQ1545" s="5" t="s">
        <v>238</v>
      </c>
      <c r="ER1545" s="5" t="s">
        <v>238</v>
      </c>
      <c r="ES1545" s="5" t="s">
        <v>238</v>
      </c>
      <c r="ET1545" s="5" t="s">
        <v>238</v>
      </c>
      <c r="EU1545" s="5" t="s">
        <v>238</v>
      </c>
      <c r="EV1545" s="5" t="s">
        <v>238</v>
      </c>
      <c r="EW1545" s="5" t="s">
        <v>238</v>
      </c>
      <c r="EX1545" s="5" t="s">
        <v>238</v>
      </c>
      <c r="EY1545" s="5" t="s">
        <v>238</v>
      </c>
      <c r="EZ1545" s="5" t="s">
        <v>238</v>
      </c>
      <c r="FA1545" s="5" t="s">
        <v>238</v>
      </c>
      <c r="FB1545" s="5" t="s">
        <v>238</v>
      </c>
      <c r="FC1545" s="5" t="s">
        <v>238</v>
      </c>
      <c r="FD1545" s="5" t="s">
        <v>238</v>
      </c>
      <c r="FE1545" s="5" t="s">
        <v>238</v>
      </c>
      <c r="FF1545" s="5" t="s">
        <v>238</v>
      </c>
      <c r="FG1545" s="5" t="s">
        <v>238</v>
      </c>
      <c r="FH1545" s="5" t="s">
        <v>238</v>
      </c>
      <c r="FI1545" s="5" t="s">
        <v>238</v>
      </c>
      <c r="FJ1545" s="5" t="s">
        <v>238</v>
      </c>
      <c r="FK1545" s="5" t="s">
        <v>238</v>
      </c>
      <c r="FL1545" s="5" t="s">
        <v>238</v>
      </c>
      <c r="FM1545" s="5" t="s">
        <v>238</v>
      </c>
      <c r="FN1545" s="5" t="s">
        <v>238</v>
      </c>
      <c r="FO1545" s="5" t="s">
        <v>238</v>
      </c>
      <c r="FP1545" s="5" t="s">
        <v>238</v>
      </c>
      <c r="FQ1545" s="5" t="s">
        <v>238</v>
      </c>
      <c r="FR1545" s="5" t="s">
        <v>238</v>
      </c>
      <c r="FS1545" s="5" t="s">
        <v>238</v>
      </c>
      <c r="FT1545" s="5" t="s">
        <v>238</v>
      </c>
      <c r="FU1545" s="5" t="s">
        <v>238</v>
      </c>
      <c r="FV1545" s="5" t="s">
        <v>238</v>
      </c>
      <c r="FW1545" s="5" t="s">
        <v>238</v>
      </c>
      <c r="FX1545" s="5" t="s">
        <v>238</v>
      </c>
      <c r="FY1545" s="5" t="s">
        <v>238</v>
      </c>
      <c r="FZ1545" s="5" t="s">
        <v>238</v>
      </c>
      <c r="GA1545" s="5" t="s">
        <v>238</v>
      </c>
      <c r="GB1545" s="5" t="s">
        <v>238</v>
      </c>
      <c r="GC1545" s="5" t="s">
        <v>238</v>
      </c>
      <c r="GD1545" s="5" t="s">
        <v>238</v>
      </c>
      <c r="GE1545" s="5" t="s">
        <v>238</v>
      </c>
      <c r="GF1545" s="5" t="s">
        <v>238</v>
      </c>
      <c r="GG1545" s="5" t="s">
        <v>238</v>
      </c>
      <c r="GH1545" s="5" t="s">
        <v>238</v>
      </c>
      <c r="GI1545" s="5" t="s">
        <v>238</v>
      </c>
      <c r="GJ1545" s="5" t="s">
        <v>238</v>
      </c>
      <c r="GK1545" s="5" t="s">
        <v>238</v>
      </c>
      <c r="GL1545" s="5" t="s">
        <v>238</v>
      </c>
      <c r="GM1545" s="5" t="s">
        <v>238</v>
      </c>
      <c r="GN1545" s="5" t="s">
        <v>238</v>
      </c>
      <c r="GO1545" s="5" t="s">
        <v>238</v>
      </c>
      <c r="GP1545" s="5" t="s">
        <v>238</v>
      </c>
      <c r="GQ1545" s="5" t="s">
        <v>238</v>
      </c>
      <c r="GR1545" s="5" t="s">
        <v>238</v>
      </c>
      <c r="GS1545" s="5" t="s">
        <v>238</v>
      </c>
      <c r="GT1545" s="5" t="s">
        <v>238</v>
      </c>
      <c r="GU1545" s="5" t="s">
        <v>238</v>
      </c>
      <c r="GV1545" s="5" t="s">
        <v>238</v>
      </c>
      <c r="GW1545" s="5" t="s">
        <v>238</v>
      </c>
      <c r="GX1545" s="5" t="s">
        <v>238</v>
      </c>
      <c r="GY1545" s="5" t="s">
        <v>238</v>
      </c>
      <c r="GZ1545" s="5" t="s">
        <v>238</v>
      </c>
      <c r="HA1545" s="5" t="s">
        <v>238</v>
      </c>
      <c r="HB1545" s="5" t="s">
        <v>238</v>
      </c>
      <c r="HC1545" s="5" t="s">
        <v>238</v>
      </c>
      <c r="HD1545" s="5" t="s">
        <v>238</v>
      </c>
      <c r="HE1545" s="5" t="s">
        <v>238</v>
      </c>
      <c r="HF1545" s="5" t="s">
        <v>238</v>
      </c>
      <c r="HG1545" s="5" t="s">
        <v>238</v>
      </c>
      <c r="HH1545" s="5" t="s">
        <v>238</v>
      </c>
      <c r="HI1545" s="5" t="s">
        <v>238</v>
      </c>
      <c r="HJ1545" s="5" t="s">
        <v>238</v>
      </c>
      <c r="HK1545" s="5" t="s">
        <v>238</v>
      </c>
      <c r="HL1545" s="5" t="s">
        <v>238</v>
      </c>
      <c r="HM1545" s="5" t="s">
        <v>238</v>
      </c>
      <c r="HN1545" s="5" t="s">
        <v>238</v>
      </c>
      <c r="HO1545" s="5" t="s">
        <v>238</v>
      </c>
      <c r="HP1545" s="5" t="s">
        <v>238</v>
      </c>
      <c r="HQ1545" s="5" t="s">
        <v>238</v>
      </c>
      <c r="HR1545" s="5" t="s">
        <v>238</v>
      </c>
      <c r="HS1545" s="5" t="s">
        <v>238</v>
      </c>
      <c r="HT1545" s="5" t="s">
        <v>238</v>
      </c>
      <c r="HU1545" s="5" t="s">
        <v>238</v>
      </c>
      <c r="HV1545" s="5" t="s">
        <v>238</v>
      </c>
      <c r="HW1545" s="5" t="s">
        <v>238</v>
      </c>
      <c r="HX1545" s="5" t="s">
        <v>238</v>
      </c>
      <c r="HY1545" s="5" t="s">
        <v>238</v>
      </c>
      <c r="HZ1545" s="5" t="s">
        <v>238</v>
      </c>
      <c r="IA1545" s="5" t="s">
        <v>238</v>
      </c>
      <c r="IB1545" s="5" t="s">
        <v>238</v>
      </c>
      <c r="IC1545" s="5" t="s">
        <v>238</v>
      </c>
      <c r="ID1545" s="5" t="s">
        <v>238</v>
      </c>
    </row>
    <row r="1546" spans="1:238" x14ac:dyDescent="0.4">
      <c r="A1546" s="5">
        <v>2064</v>
      </c>
      <c r="B1546" s="5">
        <v>1</v>
      </c>
      <c r="C1546" s="5">
        <v>1</v>
      </c>
      <c r="D1546" s="5" t="s">
        <v>238</v>
      </c>
      <c r="E1546" s="5" t="s">
        <v>277</v>
      </c>
      <c r="F1546" s="5" t="s">
        <v>282</v>
      </c>
      <c r="G1546" s="5" t="s">
        <v>238</v>
      </c>
      <c r="H1546" s="6" t="s">
        <v>280</v>
      </c>
      <c r="I1546" s="5" t="s">
        <v>904</v>
      </c>
      <c r="J1546" s="8">
        <f>0</f>
        <v>0</v>
      </c>
      <c r="K1546" s="5" t="s">
        <v>287</v>
      </c>
      <c r="L1546" s="8">
        <f>82515753</f>
        <v>82515753</v>
      </c>
      <c r="M1546" s="8">
        <f>86494500</f>
        <v>86494500</v>
      </c>
      <c r="N1546" s="6" t="s">
        <v>291</v>
      </c>
      <c r="O1546" s="5" t="s">
        <v>286</v>
      </c>
      <c r="P1546" s="5" t="s">
        <v>238</v>
      </c>
      <c r="Q1546" s="8" t="s">
        <v>238</v>
      </c>
      <c r="R1546" s="8">
        <f>3978747</f>
        <v>3978747</v>
      </c>
      <c r="S1546" s="5" t="s">
        <v>240</v>
      </c>
      <c r="T1546" s="5" t="s">
        <v>238</v>
      </c>
      <c r="U1546" s="5" t="s">
        <v>238</v>
      </c>
      <c r="V1546" s="5" t="s">
        <v>238</v>
      </c>
      <c r="W1546" s="5" t="s">
        <v>241</v>
      </c>
      <c r="X1546" s="5" t="s">
        <v>290</v>
      </c>
      <c r="Y1546" s="5" t="s">
        <v>238</v>
      </c>
      <c r="Z1546" s="5" t="s">
        <v>238</v>
      </c>
      <c r="AA1546" s="5" t="s">
        <v>238</v>
      </c>
      <c r="AB1546" s="5" t="s">
        <v>238</v>
      </c>
      <c r="AC1546" s="6" t="s">
        <v>291</v>
      </c>
      <c r="AD1546" s="6" t="s">
        <v>291</v>
      </c>
      <c r="AE1546" s="5" t="s">
        <v>238</v>
      </c>
      <c r="AF1546" s="6" t="s">
        <v>238</v>
      </c>
      <c r="AG1546" s="6" t="s">
        <v>238</v>
      </c>
      <c r="AH1546" s="5" t="s">
        <v>247</v>
      </c>
      <c r="AI1546" s="5" t="s">
        <v>279</v>
      </c>
      <c r="AJ1546" s="5" t="s">
        <v>238</v>
      </c>
      <c r="AK1546" s="5" t="s">
        <v>238</v>
      </c>
      <c r="AL1546" s="5" t="s">
        <v>238</v>
      </c>
      <c r="AM1546" s="5" t="s">
        <v>238</v>
      </c>
      <c r="AN1546" s="5" t="s">
        <v>238</v>
      </c>
      <c r="AO1546" s="5" t="s">
        <v>238</v>
      </c>
      <c r="AP1546" s="5" t="s">
        <v>238</v>
      </c>
      <c r="AQ1546" s="5" t="s">
        <v>238</v>
      </c>
      <c r="AR1546" s="6" t="s">
        <v>238</v>
      </c>
      <c r="AS1546" s="6" t="s">
        <v>238</v>
      </c>
      <c r="AT1546" s="6" t="s">
        <v>238</v>
      </c>
      <c r="AU1546" s="6" t="s">
        <v>238</v>
      </c>
      <c r="AV1546" s="5" t="s">
        <v>238</v>
      </c>
      <c r="AW1546" s="5" t="s">
        <v>238</v>
      </c>
      <c r="AX1546" s="5" t="s">
        <v>238</v>
      </c>
      <c r="AY1546" s="5" t="s">
        <v>250</v>
      </c>
      <c r="AZ1546" s="5" t="s">
        <v>281</v>
      </c>
      <c r="BA1546" s="5" t="s">
        <v>251</v>
      </c>
      <c r="BB1546" s="5" t="s">
        <v>238</v>
      </c>
      <c r="BC1546" s="5" t="s">
        <v>253</v>
      </c>
      <c r="BD1546" s="5" t="s">
        <v>238</v>
      </c>
      <c r="BE1546" s="6" t="s">
        <v>238</v>
      </c>
      <c r="BF1546" s="5" t="s">
        <v>238</v>
      </c>
      <c r="BG1546" s="5" t="s">
        <v>238</v>
      </c>
      <c r="BH1546" s="5" t="s">
        <v>283</v>
      </c>
      <c r="BI1546" s="6" t="s">
        <v>293</v>
      </c>
      <c r="BJ1546" s="5" t="s">
        <v>294</v>
      </c>
      <c r="BK1546" s="5" t="s">
        <v>238</v>
      </c>
      <c r="BL1546" s="5" t="s">
        <v>238</v>
      </c>
      <c r="BM1546" s="8">
        <f>0</f>
        <v>0</v>
      </c>
      <c r="BN1546" s="8">
        <f>-3978747</f>
        <v>-3978747</v>
      </c>
      <c r="BO1546" s="5" t="s">
        <v>257</v>
      </c>
      <c r="BP1546" s="5" t="s">
        <v>258</v>
      </c>
      <c r="BQ1546" s="5" t="s">
        <v>238</v>
      </c>
      <c r="BR1546" s="5" t="s">
        <v>238</v>
      </c>
      <c r="BS1546" s="5" t="s">
        <v>238</v>
      </c>
      <c r="BT1546" s="5" t="s">
        <v>238</v>
      </c>
      <c r="BU1546" s="5" t="s">
        <v>238</v>
      </c>
      <c r="BV1546" s="5" t="s">
        <v>238</v>
      </c>
      <c r="BW1546" s="5" t="s">
        <v>238</v>
      </c>
      <c r="BX1546" s="5" t="s">
        <v>238</v>
      </c>
      <c r="BY1546" s="6" t="s">
        <v>238</v>
      </c>
      <c r="BZ1546" s="5" t="s">
        <v>238</v>
      </c>
      <c r="CA1546" s="5" t="s">
        <v>238</v>
      </c>
      <c r="CB1546" s="5" t="s">
        <v>238</v>
      </c>
      <c r="CC1546" s="5" t="s">
        <v>258</v>
      </c>
      <c r="CD1546" s="5" t="s">
        <v>238</v>
      </c>
      <c r="CE1546" s="5" t="s">
        <v>238</v>
      </c>
      <c r="CF1546" s="5" t="s">
        <v>238</v>
      </c>
      <c r="CG1546" s="5" t="s">
        <v>238</v>
      </c>
      <c r="CH1546" s="5" t="s">
        <v>238</v>
      </c>
      <c r="CI1546" s="5" t="s">
        <v>238</v>
      </c>
      <c r="CJ1546" s="5" t="s">
        <v>238</v>
      </c>
      <c r="CK1546" s="5" t="s">
        <v>238</v>
      </c>
      <c r="CL1546" s="5" t="s">
        <v>238</v>
      </c>
      <c r="CM1546" s="5" t="s">
        <v>238</v>
      </c>
      <c r="CN1546" s="6" t="s">
        <v>262</v>
      </c>
      <c r="CO1546" s="5" t="s">
        <v>263</v>
      </c>
      <c r="CP1546" s="5" t="s">
        <v>264</v>
      </c>
      <c r="CQ1546" s="5" t="s">
        <v>285</v>
      </c>
      <c r="CR1546" s="5" t="s">
        <v>238</v>
      </c>
      <c r="CS1546" s="5">
        <v>0</v>
      </c>
      <c r="CT1546" s="5" t="s">
        <v>238</v>
      </c>
      <c r="CU1546" s="5" t="s">
        <v>238</v>
      </c>
      <c r="CV1546" s="5" t="s">
        <v>238</v>
      </c>
      <c r="CW1546" s="7">
        <f>0</f>
        <v>0</v>
      </c>
      <c r="CX1546" s="8">
        <f>0</f>
        <v>0</v>
      </c>
      <c r="CY1546" s="8" t="s">
        <v>238</v>
      </c>
      <c r="CZ1546" s="8" t="s">
        <v>238</v>
      </c>
      <c r="DA1546" s="5" t="s">
        <v>238</v>
      </c>
      <c r="DB1546" s="5" t="s">
        <v>238</v>
      </c>
      <c r="DC1546" s="5" t="s">
        <v>238</v>
      </c>
      <c r="DD1546" s="5" t="s">
        <v>238</v>
      </c>
      <c r="DE1546" s="8">
        <f>0</f>
        <v>0</v>
      </c>
      <c r="DF1546" s="6" t="s">
        <v>238</v>
      </c>
      <c r="DG1546" s="5" t="s">
        <v>238</v>
      </c>
      <c r="DH1546" s="5" t="s">
        <v>238</v>
      </c>
      <c r="DI1546" s="5" t="s">
        <v>238</v>
      </c>
      <c r="DJ1546" s="5" t="s">
        <v>238</v>
      </c>
      <c r="DK1546" s="5" t="s">
        <v>238</v>
      </c>
      <c r="DL1546" s="5" t="s">
        <v>238</v>
      </c>
      <c r="DM1546" s="8" t="s">
        <v>238</v>
      </c>
      <c r="DN1546" s="5" t="s">
        <v>238</v>
      </c>
      <c r="DO1546" s="5" t="s">
        <v>238</v>
      </c>
      <c r="DP1546" s="5" t="s">
        <v>238</v>
      </c>
      <c r="DQ1546" s="5" t="s">
        <v>238</v>
      </c>
      <c r="DR1546" s="5" t="s">
        <v>238</v>
      </c>
      <c r="DS1546" s="5" t="s">
        <v>238</v>
      </c>
      <c r="DT1546" s="5" t="s">
        <v>238</v>
      </c>
      <c r="DU1546" s="5" t="s">
        <v>238</v>
      </c>
      <c r="DV1546" s="5" t="s">
        <v>238</v>
      </c>
      <c r="DW1546" s="5" t="s">
        <v>238</v>
      </c>
      <c r="DX1546" s="5" t="s">
        <v>238</v>
      </c>
      <c r="DY1546" s="5" t="s">
        <v>238</v>
      </c>
      <c r="DZ1546" s="5" t="s">
        <v>238</v>
      </c>
      <c r="EA1546" s="5" t="s">
        <v>238</v>
      </c>
      <c r="EB1546" s="5" t="s">
        <v>238</v>
      </c>
      <c r="EC1546" s="5" t="s">
        <v>238</v>
      </c>
      <c r="ED1546" s="5" t="s">
        <v>238</v>
      </c>
      <c r="EE1546" s="5" t="s">
        <v>238</v>
      </c>
      <c r="EF1546" s="5" t="s">
        <v>238</v>
      </c>
      <c r="EG1546" s="5" t="s">
        <v>238</v>
      </c>
      <c r="EH1546" s="5" t="s">
        <v>238</v>
      </c>
      <c r="EI1546" s="5" t="s">
        <v>238</v>
      </c>
      <c r="EJ1546" s="5" t="s">
        <v>238</v>
      </c>
      <c r="EK1546" s="5" t="s">
        <v>238</v>
      </c>
      <c r="EL1546" s="5" t="s">
        <v>238</v>
      </c>
      <c r="EM1546" s="5" t="s">
        <v>238</v>
      </c>
      <c r="EN1546" s="5" t="s">
        <v>238</v>
      </c>
      <c r="EO1546" s="5" t="s">
        <v>238</v>
      </c>
      <c r="EP1546" s="5" t="s">
        <v>238</v>
      </c>
      <c r="EQ1546" s="5" t="s">
        <v>238</v>
      </c>
      <c r="ER1546" s="5" t="s">
        <v>238</v>
      </c>
      <c r="ES1546" s="5" t="s">
        <v>238</v>
      </c>
      <c r="ET1546" s="5" t="s">
        <v>238</v>
      </c>
      <c r="EU1546" s="5" t="s">
        <v>238</v>
      </c>
      <c r="EV1546" s="5" t="s">
        <v>238</v>
      </c>
      <c r="EW1546" s="5" t="s">
        <v>238</v>
      </c>
      <c r="EX1546" s="5" t="s">
        <v>238</v>
      </c>
      <c r="EY1546" s="5" t="s">
        <v>238</v>
      </c>
      <c r="EZ1546" s="5" t="s">
        <v>238</v>
      </c>
      <c r="FA1546" s="5" t="s">
        <v>238</v>
      </c>
      <c r="FB1546" s="5" t="s">
        <v>238</v>
      </c>
      <c r="FC1546" s="5" t="s">
        <v>238</v>
      </c>
      <c r="FD1546" s="5" t="s">
        <v>238</v>
      </c>
      <c r="FE1546" s="5" t="s">
        <v>238</v>
      </c>
      <c r="FF1546" s="5" t="s">
        <v>238</v>
      </c>
      <c r="FG1546" s="5" t="s">
        <v>238</v>
      </c>
      <c r="FH1546" s="5" t="s">
        <v>238</v>
      </c>
      <c r="FI1546" s="5" t="s">
        <v>238</v>
      </c>
      <c r="FJ1546" s="5" t="s">
        <v>238</v>
      </c>
      <c r="FK1546" s="5" t="s">
        <v>238</v>
      </c>
      <c r="FL1546" s="5" t="s">
        <v>238</v>
      </c>
      <c r="FM1546" s="5" t="s">
        <v>238</v>
      </c>
      <c r="FN1546" s="5" t="s">
        <v>238</v>
      </c>
      <c r="FO1546" s="5" t="s">
        <v>238</v>
      </c>
      <c r="FP1546" s="5" t="s">
        <v>238</v>
      </c>
      <c r="FQ1546" s="5" t="s">
        <v>238</v>
      </c>
      <c r="FR1546" s="5" t="s">
        <v>238</v>
      </c>
      <c r="FS1546" s="5" t="s">
        <v>238</v>
      </c>
      <c r="FT1546" s="5" t="s">
        <v>238</v>
      </c>
      <c r="FU1546" s="5" t="s">
        <v>238</v>
      </c>
      <c r="FV1546" s="5" t="s">
        <v>238</v>
      </c>
      <c r="FW1546" s="5" t="s">
        <v>238</v>
      </c>
      <c r="FX1546" s="5" t="s">
        <v>238</v>
      </c>
      <c r="FY1546" s="5" t="s">
        <v>238</v>
      </c>
      <c r="FZ1546" s="5" t="s">
        <v>238</v>
      </c>
      <c r="GA1546" s="5" t="s">
        <v>238</v>
      </c>
      <c r="GB1546" s="5" t="s">
        <v>238</v>
      </c>
      <c r="GC1546" s="5" t="s">
        <v>238</v>
      </c>
      <c r="GD1546" s="5" t="s">
        <v>238</v>
      </c>
      <c r="GE1546" s="5" t="s">
        <v>238</v>
      </c>
      <c r="GF1546" s="5" t="s">
        <v>238</v>
      </c>
      <c r="GG1546" s="5" t="s">
        <v>238</v>
      </c>
      <c r="GH1546" s="5" t="s">
        <v>238</v>
      </c>
      <c r="GI1546" s="5" t="s">
        <v>238</v>
      </c>
      <c r="GJ1546" s="5" t="s">
        <v>238</v>
      </c>
      <c r="GK1546" s="5" t="s">
        <v>238</v>
      </c>
      <c r="GL1546" s="5" t="s">
        <v>238</v>
      </c>
      <c r="GM1546" s="5" t="s">
        <v>238</v>
      </c>
      <c r="GN1546" s="5" t="s">
        <v>238</v>
      </c>
      <c r="GO1546" s="5" t="s">
        <v>238</v>
      </c>
      <c r="GP1546" s="5" t="s">
        <v>238</v>
      </c>
      <c r="GQ1546" s="5" t="s">
        <v>238</v>
      </c>
      <c r="GR1546" s="5" t="s">
        <v>238</v>
      </c>
      <c r="GS1546" s="5" t="s">
        <v>238</v>
      </c>
      <c r="GT1546" s="5" t="s">
        <v>238</v>
      </c>
      <c r="GU1546" s="5" t="s">
        <v>238</v>
      </c>
      <c r="GV1546" s="5" t="s">
        <v>238</v>
      </c>
      <c r="GW1546" s="5" t="s">
        <v>238</v>
      </c>
      <c r="GX1546" s="5" t="s">
        <v>238</v>
      </c>
      <c r="GY1546" s="5" t="s">
        <v>238</v>
      </c>
      <c r="GZ1546" s="5" t="s">
        <v>238</v>
      </c>
      <c r="HA1546" s="5" t="s">
        <v>238</v>
      </c>
      <c r="HB1546" s="5" t="s">
        <v>238</v>
      </c>
      <c r="HC1546" s="5" t="s">
        <v>238</v>
      </c>
      <c r="HD1546" s="5" t="s">
        <v>238</v>
      </c>
      <c r="HE1546" s="5" t="s">
        <v>238</v>
      </c>
      <c r="HF1546" s="5" t="s">
        <v>238</v>
      </c>
      <c r="HG1546" s="5" t="s">
        <v>238</v>
      </c>
      <c r="HH1546" s="5" t="s">
        <v>238</v>
      </c>
      <c r="HI1546" s="5" t="s">
        <v>238</v>
      </c>
      <c r="HJ1546" s="5" t="s">
        <v>238</v>
      </c>
      <c r="HK1546" s="5" t="s">
        <v>238</v>
      </c>
      <c r="HL1546" s="5" t="s">
        <v>238</v>
      </c>
      <c r="HM1546" s="5" t="s">
        <v>238</v>
      </c>
      <c r="HN1546" s="5" t="s">
        <v>238</v>
      </c>
      <c r="HO1546" s="5" t="s">
        <v>238</v>
      </c>
      <c r="HP1546" s="5" t="s">
        <v>238</v>
      </c>
      <c r="HQ1546" s="5" t="s">
        <v>238</v>
      </c>
      <c r="HR1546" s="5" t="s">
        <v>238</v>
      </c>
      <c r="HS1546" s="5" t="s">
        <v>238</v>
      </c>
      <c r="HT1546" s="5" t="s">
        <v>238</v>
      </c>
      <c r="HU1546" s="5" t="s">
        <v>238</v>
      </c>
      <c r="HV1546" s="5" t="s">
        <v>238</v>
      </c>
      <c r="HW1546" s="5" t="s">
        <v>238</v>
      </c>
      <c r="HX1546" s="5" t="s">
        <v>238</v>
      </c>
      <c r="HY1546" s="5" t="s">
        <v>238</v>
      </c>
      <c r="HZ1546" s="5" t="s">
        <v>238</v>
      </c>
      <c r="IA1546" s="5" t="s">
        <v>238</v>
      </c>
      <c r="IB1546" s="5" t="s">
        <v>238</v>
      </c>
      <c r="IC1546" s="5" t="s">
        <v>238</v>
      </c>
      <c r="ID1546" s="5" t="s">
        <v>238</v>
      </c>
    </row>
    <row r="1547" spans="1:238" x14ac:dyDescent="0.4">
      <c r="A1547" s="5">
        <v>2065</v>
      </c>
      <c r="B1547" s="5">
        <v>1</v>
      </c>
      <c r="C1547" s="5">
        <v>1</v>
      </c>
      <c r="D1547" s="5" t="s">
        <v>238</v>
      </c>
      <c r="E1547" s="5" t="s">
        <v>277</v>
      </c>
      <c r="F1547" s="5" t="s">
        <v>282</v>
      </c>
      <c r="G1547" s="5" t="s">
        <v>238</v>
      </c>
      <c r="H1547" s="6" t="s">
        <v>280</v>
      </c>
      <c r="I1547" s="5" t="s">
        <v>295</v>
      </c>
      <c r="J1547" s="8">
        <f>0</f>
        <v>0</v>
      </c>
      <c r="K1547" s="5" t="s">
        <v>287</v>
      </c>
      <c r="L1547" s="8">
        <f>87056793</f>
        <v>87056793</v>
      </c>
      <c r="M1547" s="8">
        <f>91254500</f>
        <v>91254500</v>
      </c>
      <c r="N1547" s="6" t="s">
        <v>291</v>
      </c>
      <c r="O1547" s="5" t="s">
        <v>286</v>
      </c>
      <c r="P1547" s="5" t="s">
        <v>238</v>
      </c>
      <c r="Q1547" s="8" t="s">
        <v>238</v>
      </c>
      <c r="R1547" s="8">
        <f>4197707</f>
        <v>4197707</v>
      </c>
      <c r="S1547" s="5" t="s">
        <v>240</v>
      </c>
      <c r="T1547" s="5" t="s">
        <v>238</v>
      </c>
      <c r="U1547" s="5" t="s">
        <v>238</v>
      </c>
      <c r="V1547" s="5" t="s">
        <v>238</v>
      </c>
      <c r="W1547" s="5" t="s">
        <v>241</v>
      </c>
      <c r="X1547" s="5" t="s">
        <v>290</v>
      </c>
      <c r="Y1547" s="5" t="s">
        <v>238</v>
      </c>
      <c r="Z1547" s="5" t="s">
        <v>238</v>
      </c>
      <c r="AA1547" s="5" t="s">
        <v>238</v>
      </c>
      <c r="AB1547" s="5" t="s">
        <v>238</v>
      </c>
      <c r="AC1547" s="6" t="s">
        <v>291</v>
      </c>
      <c r="AD1547" s="6" t="s">
        <v>291</v>
      </c>
      <c r="AE1547" s="5" t="s">
        <v>238</v>
      </c>
      <c r="AF1547" s="6" t="s">
        <v>238</v>
      </c>
      <c r="AG1547" s="6" t="s">
        <v>238</v>
      </c>
      <c r="AH1547" s="5" t="s">
        <v>247</v>
      </c>
      <c r="AI1547" s="5" t="s">
        <v>279</v>
      </c>
      <c r="AJ1547" s="5" t="s">
        <v>238</v>
      </c>
      <c r="AK1547" s="5" t="s">
        <v>238</v>
      </c>
      <c r="AL1547" s="5" t="s">
        <v>238</v>
      </c>
      <c r="AM1547" s="5" t="s">
        <v>238</v>
      </c>
      <c r="AN1547" s="5" t="s">
        <v>238</v>
      </c>
      <c r="AO1547" s="5" t="s">
        <v>238</v>
      </c>
      <c r="AP1547" s="5" t="s">
        <v>238</v>
      </c>
      <c r="AQ1547" s="5" t="s">
        <v>238</v>
      </c>
      <c r="AR1547" s="6" t="s">
        <v>238</v>
      </c>
      <c r="AS1547" s="6" t="s">
        <v>238</v>
      </c>
      <c r="AT1547" s="6" t="s">
        <v>238</v>
      </c>
      <c r="AU1547" s="6" t="s">
        <v>238</v>
      </c>
      <c r="AV1547" s="5" t="s">
        <v>238</v>
      </c>
      <c r="AW1547" s="5" t="s">
        <v>238</v>
      </c>
      <c r="AX1547" s="5" t="s">
        <v>238</v>
      </c>
      <c r="AY1547" s="5" t="s">
        <v>250</v>
      </c>
      <c r="AZ1547" s="5" t="s">
        <v>281</v>
      </c>
      <c r="BA1547" s="5" t="s">
        <v>251</v>
      </c>
      <c r="BB1547" s="5" t="s">
        <v>238</v>
      </c>
      <c r="BC1547" s="5" t="s">
        <v>253</v>
      </c>
      <c r="BD1547" s="5" t="s">
        <v>238</v>
      </c>
      <c r="BE1547" s="6" t="s">
        <v>238</v>
      </c>
      <c r="BF1547" s="5" t="s">
        <v>238</v>
      </c>
      <c r="BG1547" s="5" t="s">
        <v>238</v>
      </c>
      <c r="BH1547" s="5" t="s">
        <v>283</v>
      </c>
      <c r="BI1547" s="6" t="s">
        <v>293</v>
      </c>
      <c r="BJ1547" s="5" t="s">
        <v>294</v>
      </c>
      <c r="BK1547" s="5" t="s">
        <v>238</v>
      </c>
      <c r="BL1547" s="5" t="s">
        <v>238</v>
      </c>
      <c r="BM1547" s="8">
        <f>0</f>
        <v>0</v>
      </c>
      <c r="BN1547" s="8">
        <f>-4197707</f>
        <v>-4197707</v>
      </c>
      <c r="BO1547" s="5" t="s">
        <v>257</v>
      </c>
      <c r="BP1547" s="5" t="s">
        <v>258</v>
      </c>
      <c r="BQ1547" s="5" t="s">
        <v>238</v>
      </c>
      <c r="BR1547" s="5" t="s">
        <v>238</v>
      </c>
      <c r="BS1547" s="5" t="s">
        <v>238</v>
      </c>
      <c r="BT1547" s="5" t="s">
        <v>238</v>
      </c>
      <c r="BU1547" s="5" t="s">
        <v>238</v>
      </c>
      <c r="BV1547" s="5" t="s">
        <v>238</v>
      </c>
      <c r="BW1547" s="5" t="s">
        <v>238</v>
      </c>
      <c r="BX1547" s="5" t="s">
        <v>238</v>
      </c>
      <c r="BY1547" s="6" t="s">
        <v>238</v>
      </c>
      <c r="BZ1547" s="5" t="s">
        <v>238</v>
      </c>
      <c r="CA1547" s="5" t="s">
        <v>238</v>
      </c>
      <c r="CB1547" s="5" t="s">
        <v>238</v>
      </c>
      <c r="CC1547" s="5" t="s">
        <v>258</v>
      </c>
      <c r="CD1547" s="5" t="s">
        <v>238</v>
      </c>
      <c r="CE1547" s="5" t="s">
        <v>238</v>
      </c>
      <c r="CF1547" s="5" t="s">
        <v>238</v>
      </c>
      <c r="CG1547" s="5" t="s">
        <v>238</v>
      </c>
      <c r="CH1547" s="5" t="s">
        <v>238</v>
      </c>
      <c r="CI1547" s="5" t="s">
        <v>238</v>
      </c>
      <c r="CJ1547" s="5" t="s">
        <v>238</v>
      </c>
      <c r="CK1547" s="5" t="s">
        <v>238</v>
      </c>
      <c r="CL1547" s="5" t="s">
        <v>238</v>
      </c>
      <c r="CM1547" s="5" t="s">
        <v>238</v>
      </c>
      <c r="CN1547" s="6" t="s">
        <v>262</v>
      </c>
      <c r="CO1547" s="5" t="s">
        <v>263</v>
      </c>
      <c r="CP1547" s="5" t="s">
        <v>264</v>
      </c>
      <c r="CQ1547" s="5" t="s">
        <v>285</v>
      </c>
      <c r="CR1547" s="5" t="s">
        <v>238</v>
      </c>
      <c r="CS1547" s="5">
        <v>0</v>
      </c>
      <c r="CT1547" s="5" t="s">
        <v>238</v>
      </c>
      <c r="CU1547" s="5" t="s">
        <v>238</v>
      </c>
      <c r="CV1547" s="5" t="s">
        <v>238</v>
      </c>
      <c r="CW1547" s="7">
        <f>0</f>
        <v>0</v>
      </c>
      <c r="CX1547" s="8">
        <f>0</f>
        <v>0</v>
      </c>
      <c r="CY1547" s="8" t="s">
        <v>238</v>
      </c>
      <c r="CZ1547" s="8" t="s">
        <v>238</v>
      </c>
      <c r="DA1547" s="5" t="s">
        <v>238</v>
      </c>
      <c r="DB1547" s="5" t="s">
        <v>238</v>
      </c>
      <c r="DC1547" s="5" t="s">
        <v>238</v>
      </c>
      <c r="DD1547" s="5" t="s">
        <v>238</v>
      </c>
      <c r="DE1547" s="8">
        <f>0</f>
        <v>0</v>
      </c>
      <c r="DF1547" s="6" t="s">
        <v>238</v>
      </c>
      <c r="DG1547" s="5" t="s">
        <v>238</v>
      </c>
      <c r="DH1547" s="5" t="s">
        <v>238</v>
      </c>
      <c r="DI1547" s="5" t="s">
        <v>238</v>
      </c>
      <c r="DJ1547" s="5" t="s">
        <v>238</v>
      </c>
      <c r="DK1547" s="5" t="s">
        <v>238</v>
      </c>
      <c r="DL1547" s="5" t="s">
        <v>238</v>
      </c>
      <c r="DM1547" s="8" t="s">
        <v>238</v>
      </c>
      <c r="DN1547" s="5" t="s">
        <v>238</v>
      </c>
      <c r="DO1547" s="5" t="s">
        <v>238</v>
      </c>
      <c r="DP1547" s="5" t="s">
        <v>238</v>
      </c>
      <c r="DQ1547" s="5" t="s">
        <v>238</v>
      </c>
      <c r="DR1547" s="5" t="s">
        <v>238</v>
      </c>
      <c r="DS1547" s="5" t="s">
        <v>238</v>
      </c>
      <c r="DT1547" s="5" t="s">
        <v>238</v>
      </c>
      <c r="DU1547" s="5" t="s">
        <v>238</v>
      </c>
      <c r="DV1547" s="5" t="s">
        <v>238</v>
      </c>
      <c r="DW1547" s="5" t="s">
        <v>238</v>
      </c>
      <c r="DX1547" s="5" t="s">
        <v>238</v>
      </c>
      <c r="DY1547" s="5" t="s">
        <v>238</v>
      </c>
      <c r="DZ1547" s="5" t="s">
        <v>238</v>
      </c>
      <c r="EA1547" s="5" t="s">
        <v>238</v>
      </c>
      <c r="EB1547" s="5" t="s">
        <v>238</v>
      </c>
      <c r="EC1547" s="5" t="s">
        <v>238</v>
      </c>
      <c r="ED1547" s="5" t="s">
        <v>238</v>
      </c>
      <c r="EE1547" s="5" t="s">
        <v>238</v>
      </c>
      <c r="EF1547" s="5" t="s">
        <v>238</v>
      </c>
      <c r="EG1547" s="5" t="s">
        <v>238</v>
      </c>
      <c r="EH1547" s="5" t="s">
        <v>238</v>
      </c>
      <c r="EI1547" s="5" t="s">
        <v>238</v>
      </c>
      <c r="EJ1547" s="5" t="s">
        <v>238</v>
      </c>
      <c r="EK1547" s="5" t="s">
        <v>238</v>
      </c>
      <c r="EL1547" s="5" t="s">
        <v>238</v>
      </c>
      <c r="EM1547" s="5" t="s">
        <v>238</v>
      </c>
      <c r="EN1547" s="5" t="s">
        <v>238</v>
      </c>
      <c r="EO1547" s="5" t="s">
        <v>238</v>
      </c>
      <c r="EP1547" s="5" t="s">
        <v>238</v>
      </c>
      <c r="EQ1547" s="5" t="s">
        <v>238</v>
      </c>
      <c r="ER1547" s="5" t="s">
        <v>238</v>
      </c>
      <c r="ES1547" s="5" t="s">
        <v>238</v>
      </c>
      <c r="ET1547" s="5" t="s">
        <v>238</v>
      </c>
      <c r="EU1547" s="5" t="s">
        <v>238</v>
      </c>
      <c r="EV1547" s="5" t="s">
        <v>238</v>
      </c>
      <c r="EW1547" s="5" t="s">
        <v>238</v>
      </c>
      <c r="EX1547" s="5" t="s">
        <v>238</v>
      </c>
      <c r="EY1547" s="5" t="s">
        <v>238</v>
      </c>
      <c r="EZ1547" s="5" t="s">
        <v>238</v>
      </c>
      <c r="FA1547" s="5" t="s">
        <v>238</v>
      </c>
      <c r="FB1547" s="5" t="s">
        <v>238</v>
      </c>
      <c r="FC1547" s="5" t="s">
        <v>238</v>
      </c>
      <c r="FD1547" s="5" t="s">
        <v>238</v>
      </c>
      <c r="FE1547" s="5" t="s">
        <v>238</v>
      </c>
      <c r="FF1547" s="5" t="s">
        <v>238</v>
      </c>
      <c r="FG1547" s="5" t="s">
        <v>238</v>
      </c>
      <c r="FH1547" s="5" t="s">
        <v>238</v>
      </c>
      <c r="FI1547" s="5" t="s">
        <v>238</v>
      </c>
      <c r="FJ1547" s="5" t="s">
        <v>238</v>
      </c>
      <c r="FK1547" s="5" t="s">
        <v>238</v>
      </c>
      <c r="FL1547" s="5" t="s">
        <v>238</v>
      </c>
      <c r="FM1547" s="5" t="s">
        <v>238</v>
      </c>
      <c r="FN1547" s="5" t="s">
        <v>238</v>
      </c>
      <c r="FO1547" s="5" t="s">
        <v>238</v>
      </c>
      <c r="FP1547" s="5" t="s">
        <v>238</v>
      </c>
      <c r="FQ1547" s="5" t="s">
        <v>238</v>
      </c>
      <c r="FR1547" s="5" t="s">
        <v>238</v>
      </c>
      <c r="FS1547" s="5" t="s">
        <v>238</v>
      </c>
      <c r="FT1547" s="5" t="s">
        <v>238</v>
      </c>
      <c r="FU1547" s="5" t="s">
        <v>238</v>
      </c>
      <c r="FV1547" s="5" t="s">
        <v>238</v>
      </c>
      <c r="FW1547" s="5" t="s">
        <v>238</v>
      </c>
      <c r="FX1547" s="5" t="s">
        <v>238</v>
      </c>
      <c r="FY1547" s="5" t="s">
        <v>238</v>
      </c>
      <c r="FZ1547" s="5" t="s">
        <v>238</v>
      </c>
      <c r="GA1547" s="5" t="s">
        <v>238</v>
      </c>
      <c r="GB1547" s="5" t="s">
        <v>238</v>
      </c>
      <c r="GC1547" s="5" t="s">
        <v>238</v>
      </c>
      <c r="GD1547" s="5" t="s">
        <v>238</v>
      </c>
      <c r="GE1547" s="5" t="s">
        <v>238</v>
      </c>
      <c r="GF1547" s="5" t="s">
        <v>238</v>
      </c>
      <c r="GG1547" s="5" t="s">
        <v>238</v>
      </c>
      <c r="GH1547" s="5" t="s">
        <v>238</v>
      </c>
      <c r="GI1547" s="5" t="s">
        <v>238</v>
      </c>
      <c r="GJ1547" s="5" t="s">
        <v>238</v>
      </c>
      <c r="GK1547" s="5" t="s">
        <v>238</v>
      </c>
      <c r="GL1547" s="5" t="s">
        <v>238</v>
      </c>
      <c r="GM1547" s="5" t="s">
        <v>238</v>
      </c>
      <c r="GN1547" s="5" t="s">
        <v>238</v>
      </c>
      <c r="GO1547" s="5" t="s">
        <v>238</v>
      </c>
      <c r="GP1547" s="5" t="s">
        <v>238</v>
      </c>
      <c r="GQ1547" s="5" t="s">
        <v>238</v>
      </c>
      <c r="GR1547" s="5" t="s">
        <v>238</v>
      </c>
      <c r="GS1547" s="5" t="s">
        <v>238</v>
      </c>
      <c r="GT1547" s="5" t="s">
        <v>238</v>
      </c>
      <c r="GU1547" s="5" t="s">
        <v>238</v>
      </c>
      <c r="GV1547" s="5" t="s">
        <v>238</v>
      </c>
      <c r="GW1547" s="5" t="s">
        <v>238</v>
      </c>
      <c r="GX1547" s="5" t="s">
        <v>238</v>
      </c>
      <c r="GY1547" s="5" t="s">
        <v>238</v>
      </c>
      <c r="GZ1547" s="5" t="s">
        <v>238</v>
      </c>
      <c r="HA1547" s="5" t="s">
        <v>238</v>
      </c>
      <c r="HB1547" s="5" t="s">
        <v>238</v>
      </c>
      <c r="HC1547" s="5" t="s">
        <v>238</v>
      </c>
      <c r="HD1547" s="5" t="s">
        <v>238</v>
      </c>
      <c r="HE1547" s="5" t="s">
        <v>238</v>
      </c>
      <c r="HF1547" s="5" t="s">
        <v>238</v>
      </c>
      <c r="HG1547" s="5" t="s">
        <v>238</v>
      </c>
      <c r="HH1547" s="5" t="s">
        <v>238</v>
      </c>
      <c r="HI1547" s="5" t="s">
        <v>238</v>
      </c>
      <c r="HJ1547" s="5" t="s">
        <v>238</v>
      </c>
      <c r="HK1547" s="5" t="s">
        <v>238</v>
      </c>
      <c r="HL1547" s="5" t="s">
        <v>238</v>
      </c>
      <c r="HM1547" s="5" t="s">
        <v>238</v>
      </c>
      <c r="HN1547" s="5" t="s">
        <v>238</v>
      </c>
      <c r="HO1547" s="5" t="s">
        <v>238</v>
      </c>
      <c r="HP1547" s="5" t="s">
        <v>238</v>
      </c>
      <c r="HQ1547" s="5" t="s">
        <v>238</v>
      </c>
      <c r="HR1547" s="5" t="s">
        <v>238</v>
      </c>
      <c r="HS1547" s="5" t="s">
        <v>238</v>
      </c>
      <c r="HT1547" s="5" t="s">
        <v>238</v>
      </c>
      <c r="HU1547" s="5" t="s">
        <v>238</v>
      </c>
      <c r="HV1547" s="5" t="s">
        <v>238</v>
      </c>
      <c r="HW1547" s="5" t="s">
        <v>238</v>
      </c>
      <c r="HX1547" s="5" t="s">
        <v>238</v>
      </c>
      <c r="HY1547" s="5" t="s">
        <v>238</v>
      </c>
      <c r="HZ1547" s="5" t="s">
        <v>238</v>
      </c>
      <c r="IA1547" s="5" t="s">
        <v>238</v>
      </c>
      <c r="IB1547" s="5" t="s">
        <v>238</v>
      </c>
      <c r="IC1547" s="5" t="s">
        <v>238</v>
      </c>
      <c r="ID1547" s="5" t="s">
        <v>238</v>
      </c>
    </row>
    <row r="1548" spans="1:238" x14ac:dyDescent="0.4">
      <c r="A1548" s="5">
        <v>2066</v>
      </c>
      <c r="B1548" s="5">
        <v>1</v>
      </c>
      <c r="C1548" s="5">
        <v>15</v>
      </c>
      <c r="D1548" s="5" t="s">
        <v>238</v>
      </c>
      <c r="E1548" s="5" t="s">
        <v>277</v>
      </c>
      <c r="F1548" s="5" t="s">
        <v>282</v>
      </c>
      <c r="G1548" s="5" t="s">
        <v>238</v>
      </c>
      <c r="H1548" s="6" t="s">
        <v>280</v>
      </c>
      <c r="I1548" s="5" t="s">
        <v>288</v>
      </c>
      <c r="J1548" s="8">
        <f>0</f>
        <v>0</v>
      </c>
      <c r="K1548" s="5" t="s">
        <v>287</v>
      </c>
      <c r="L1548" s="8">
        <f>144782100</f>
        <v>144782100</v>
      </c>
      <c r="M1548" s="8">
        <f>144782100</f>
        <v>144782100</v>
      </c>
      <c r="N1548" s="6" t="s">
        <v>278</v>
      </c>
      <c r="O1548" s="5" t="s">
        <v>286</v>
      </c>
      <c r="P1548" s="5" t="s">
        <v>238</v>
      </c>
      <c r="Q1548" s="8" t="s">
        <v>238</v>
      </c>
      <c r="R1548" s="8">
        <f>0</f>
        <v>0</v>
      </c>
      <c r="S1548" s="5" t="s">
        <v>240</v>
      </c>
      <c r="T1548" s="5" t="s">
        <v>238</v>
      </c>
      <c r="U1548" s="5" t="s">
        <v>238</v>
      </c>
      <c r="V1548" s="5" t="s">
        <v>238</v>
      </c>
      <c r="W1548" s="5" t="s">
        <v>241</v>
      </c>
      <c r="X1548" s="5" t="s">
        <v>276</v>
      </c>
      <c r="Y1548" s="5" t="s">
        <v>238</v>
      </c>
      <c r="Z1548" s="5" t="s">
        <v>238</v>
      </c>
      <c r="AA1548" s="5" t="s">
        <v>238</v>
      </c>
      <c r="AB1548" s="5" t="s">
        <v>238</v>
      </c>
      <c r="AC1548" s="6" t="s">
        <v>278</v>
      </c>
      <c r="AD1548" s="6" t="s">
        <v>238</v>
      </c>
      <c r="AE1548" s="5" t="s">
        <v>238</v>
      </c>
      <c r="AF1548" s="6" t="s">
        <v>238</v>
      </c>
      <c r="AG1548" s="6" t="s">
        <v>238</v>
      </c>
      <c r="AH1548" s="5" t="s">
        <v>247</v>
      </c>
      <c r="AI1548" s="5" t="s">
        <v>279</v>
      </c>
      <c r="AJ1548" s="5" t="s">
        <v>238</v>
      </c>
      <c r="AK1548" s="5" t="s">
        <v>238</v>
      </c>
      <c r="AL1548" s="5" t="s">
        <v>238</v>
      </c>
      <c r="AM1548" s="5" t="s">
        <v>238</v>
      </c>
      <c r="AN1548" s="5" t="s">
        <v>238</v>
      </c>
      <c r="AO1548" s="5" t="s">
        <v>238</v>
      </c>
      <c r="AP1548" s="5" t="s">
        <v>238</v>
      </c>
      <c r="AQ1548" s="5" t="s">
        <v>238</v>
      </c>
      <c r="AR1548" s="6" t="s">
        <v>238</v>
      </c>
      <c r="AS1548" s="6" t="s">
        <v>238</v>
      </c>
      <c r="AT1548" s="6" t="s">
        <v>238</v>
      </c>
      <c r="AU1548" s="6" t="s">
        <v>238</v>
      </c>
      <c r="AV1548" s="5" t="s">
        <v>238</v>
      </c>
      <c r="AW1548" s="5" t="s">
        <v>238</v>
      </c>
      <c r="AX1548" s="5" t="s">
        <v>238</v>
      </c>
      <c r="AY1548" s="5" t="s">
        <v>250</v>
      </c>
      <c r="AZ1548" s="5" t="s">
        <v>281</v>
      </c>
      <c r="BA1548" s="5" t="s">
        <v>251</v>
      </c>
      <c r="BB1548" s="5" t="s">
        <v>238</v>
      </c>
      <c r="BC1548" s="5" t="s">
        <v>253</v>
      </c>
      <c r="BD1548" s="5" t="s">
        <v>238</v>
      </c>
      <c r="BE1548" s="6" t="s">
        <v>238</v>
      </c>
      <c r="BF1548" s="5" t="s">
        <v>238</v>
      </c>
      <c r="BG1548" s="5" t="s">
        <v>238</v>
      </c>
      <c r="BH1548" s="5" t="s">
        <v>283</v>
      </c>
      <c r="BI1548" s="6" t="s">
        <v>278</v>
      </c>
      <c r="BJ1548" s="5" t="s">
        <v>284</v>
      </c>
      <c r="BK1548" s="5" t="s">
        <v>238</v>
      </c>
      <c r="BL1548" s="5" t="s">
        <v>238</v>
      </c>
      <c r="BM1548" s="8">
        <f>0</f>
        <v>0</v>
      </c>
      <c r="BN1548" s="8">
        <f>5492000</f>
        <v>5492000</v>
      </c>
      <c r="BO1548" s="5" t="s">
        <v>257</v>
      </c>
      <c r="BP1548" s="5" t="s">
        <v>258</v>
      </c>
      <c r="BQ1548" s="5" t="s">
        <v>238</v>
      </c>
      <c r="BR1548" s="5" t="s">
        <v>238</v>
      </c>
      <c r="BS1548" s="5" t="s">
        <v>238</v>
      </c>
      <c r="BT1548" s="5" t="s">
        <v>238</v>
      </c>
      <c r="BU1548" s="5" t="s">
        <v>238</v>
      </c>
      <c r="BV1548" s="5" t="s">
        <v>238</v>
      </c>
      <c r="BW1548" s="5" t="s">
        <v>238</v>
      </c>
      <c r="BX1548" s="5" t="s">
        <v>238</v>
      </c>
      <c r="BY1548" s="6" t="s">
        <v>238</v>
      </c>
      <c r="BZ1548" s="5" t="s">
        <v>238</v>
      </c>
      <c r="CA1548" s="5" t="s">
        <v>272</v>
      </c>
      <c r="CB1548" s="5" t="s">
        <v>272</v>
      </c>
      <c r="CC1548" s="5" t="s">
        <v>258</v>
      </c>
      <c r="CD1548" s="5" t="s">
        <v>238</v>
      </c>
      <c r="CE1548" s="5" t="s">
        <v>238</v>
      </c>
      <c r="CF1548" s="5" t="s">
        <v>238</v>
      </c>
      <c r="CG1548" s="5" t="s">
        <v>238</v>
      </c>
      <c r="CH1548" s="5" t="s">
        <v>238</v>
      </c>
      <c r="CI1548" s="5" t="s">
        <v>238</v>
      </c>
      <c r="CJ1548" s="5" t="s">
        <v>238</v>
      </c>
      <c r="CK1548" s="5" t="s">
        <v>238</v>
      </c>
      <c r="CL1548" s="5" t="s">
        <v>238</v>
      </c>
      <c r="CM1548" s="5" t="s">
        <v>238</v>
      </c>
      <c r="CN1548" s="6" t="s">
        <v>262</v>
      </c>
      <c r="CO1548" s="5" t="s">
        <v>263</v>
      </c>
      <c r="CP1548" s="5" t="s">
        <v>264</v>
      </c>
      <c r="CQ1548" s="5" t="s">
        <v>285</v>
      </c>
      <c r="CR1548" s="5" t="s">
        <v>238</v>
      </c>
      <c r="CS1548" s="5">
        <v>0</v>
      </c>
      <c r="CT1548" s="5" t="s">
        <v>238</v>
      </c>
      <c r="CU1548" s="5" t="s">
        <v>238</v>
      </c>
      <c r="CV1548" s="5" t="s">
        <v>238</v>
      </c>
      <c r="CW1548" s="7">
        <f>0</f>
        <v>0</v>
      </c>
      <c r="CX1548" s="8">
        <f>0</f>
        <v>0</v>
      </c>
      <c r="CY1548" s="8" t="s">
        <v>238</v>
      </c>
      <c r="CZ1548" s="8" t="s">
        <v>238</v>
      </c>
      <c r="DA1548" s="5" t="s">
        <v>238</v>
      </c>
      <c r="DB1548" s="5" t="s">
        <v>238</v>
      </c>
      <c r="DC1548" s="5" t="s">
        <v>238</v>
      </c>
      <c r="DD1548" s="5" t="s">
        <v>238</v>
      </c>
      <c r="DE1548" s="8">
        <f>0</f>
        <v>0</v>
      </c>
      <c r="DF1548" s="6" t="s">
        <v>238</v>
      </c>
      <c r="DG1548" s="5" t="s">
        <v>238</v>
      </c>
      <c r="DH1548" s="5" t="s">
        <v>238</v>
      </c>
      <c r="DI1548" s="5" t="s">
        <v>238</v>
      </c>
      <c r="DJ1548" s="5" t="s">
        <v>238</v>
      </c>
      <c r="DK1548" s="5" t="s">
        <v>238</v>
      </c>
      <c r="DL1548" s="5" t="s">
        <v>238</v>
      </c>
      <c r="DM1548" s="8" t="s">
        <v>238</v>
      </c>
      <c r="DN1548" s="5" t="s">
        <v>238</v>
      </c>
      <c r="DO1548" s="5" t="s">
        <v>238</v>
      </c>
      <c r="DP1548" s="5" t="s">
        <v>238</v>
      </c>
      <c r="DQ1548" s="5" t="s">
        <v>238</v>
      </c>
      <c r="DR1548" s="5" t="s">
        <v>238</v>
      </c>
      <c r="DS1548" s="5" t="s">
        <v>238</v>
      </c>
      <c r="DT1548" s="5" t="s">
        <v>238</v>
      </c>
      <c r="DU1548" s="5" t="s">
        <v>238</v>
      </c>
      <c r="DV1548" s="5" t="s">
        <v>238</v>
      </c>
      <c r="DW1548" s="5" t="s">
        <v>238</v>
      </c>
      <c r="DX1548" s="5" t="s">
        <v>238</v>
      </c>
      <c r="DY1548" s="5" t="s">
        <v>238</v>
      </c>
      <c r="DZ1548" s="5" t="s">
        <v>238</v>
      </c>
      <c r="EA1548" s="5" t="s">
        <v>238</v>
      </c>
      <c r="EB1548" s="5" t="s">
        <v>238</v>
      </c>
      <c r="EC1548" s="5" t="s">
        <v>238</v>
      </c>
      <c r="ED1548" s="5" t="s">
        <v>238</v>
      </c>
      <c r="EE1548" s="5" t="s">
        <v>238</v>
      </c>
      <c r="EF1548" s="5" t="s">
        <v>238</v>
      </c>
      <c r="EG1548" s="5" t="s">
        <v>238</v>
      </c>
      <c r="EH1548" s="5" t="s">
        <v>238</v>
      </c>
      <c r="EI1548" s="5" t="s">
        <v>238</v>
      </c>
      <c r="EJ1548" s="5" t="s">
        <v>238</v>
      </c>
      <c r="EK1548" s="5" t="s">
        <v>238</v>
      </c>
      <c r="EL1548" s="5" t="s">
        <v>238</v>
      </c>
      <c r="EM1548" s="5" t="s">
        <v>238</v>
      </c>
      <c r="EN1548" s="5" t="s">
        <v>238</v>
      </c>
      <c r="EO1548" s="5" t="s">
        <v>238</v>
      </c>
      <c r="EP1548" s="5" t="s">
        <v>238</v>
      </c>
      <c r="EQ1548" s="5" t="s">
        <v>238</v>
      </c>
      <c r="ER1548" s="5" t="s">
        <v>238</v>
      </c>
      <c r="ES1548" s="5" t="s">
        <v>238</v>
      </c>
      <c r="ET1548" s="5" t="s">
        <v>238</v>
      </c>
      <c r="EU1548" s="5" t="s">
        <v>238</v>
      </c>
      <c r="EV1548" s="5" t="s">
        <v>238</v>
      </c>
      <c r="EW1548" s="5" t="s">
        <v>238</v>
      </c>
      <c r="EX1548" s="5" t="s">
        <v>238</v>
      </c>
      <c r="EY1548" s="5" t="s">
        <v>238</v>
      </c>
      <c r="EZ1548" s="5" t="s">
        <v>238</v>
      </c>
      <c r="FA1548" s="5" t="s">
        <v>238</v>
      </c>
      <c r="FB1548" s="5" t="s">
        <v>238</v>
      </c>
      <c r="FC1548" s="5" t="s">
        <v>238</v>
      </c>
      <c r="FD1548" s="5" t="s">
        <v>238</v>
      </c>
      <c r="FE1548" s="5" t="s">
        <v>238</v>
      </c>
      <c r="FF1548" s="5" t="s">
        <v>238</v>
      </c>
      <c r="FG1548" s="5" t="s">
        <v>238</v>
      </c>
      <c r="FH1548" s="5" t="s">
        <v>238</v>
      </c>
      <c r="FI1548" s="5" t="s">
        <v>238</v>
      </c>
      <c r="FJ1548" s="5" t="s">
        <v>238</v>
      </c>
      <c r="FK1548" s="5" t="s">
        <v>238</v>
      </c>
      <c r="FL1548" s="5" t="s">
        <v>238</v>
      </c>
      <c r="FM1548" s="5" t="s">
        <v>238</v>
      </c>
      <c r="FN1548" s="5" t="s">
        <v>238</v>
      </c>
      <c r="FO1548" s="5" t="s">
        <v>238</v>
      </c>
      <c r="FP1548" s="5" t="s">
        <v>238</v>
      </c>
      <c r="FQ1548" s="5" t="s">
        <v>238</v>
      </c>
      <c r="FR1548" s="5" t="s">
        <v>238</v>
      </c>
      <c r="FS1548" s="5" t="s">
        <v>238</v>
      </c>
      <c r="FT1548" s="5" t="s">
        <v>238</v>
      </c>
      <c r="FU1548" s="5" t="s">
        <v>238</v>
      </c>
      <c r="FV1548" s="5" t="s">
        <v>238</v>
      </c>
      <c r="FW1548" s="5" t="s">
        <v>238</v>
      </c>
      <c r="FX1548" s="5" t="s">
        <v>238</v>
      </c>
      <c r="FY1548" s="5" t="s">
        <v>238</v>
      </c>
      <c r="FZ1548" s="5" t="s">
        <v>238</v>
      </c>
      <c r="GA1548" s="5" t="s">
        <v>238</v>
      </c>
      <c r="GB1548" s="5" t="s">
        <v>238</v>
      </c>
      <c r="GC1548" s="5" t="s">
        <v>238</v>
      </c>
      <c r="GD1548" s="5" t="s">
        <v>238</v>
      </c>
      <c r="GE1548" s="5" t="s">
        <v>238</v>
      </c>
      <c r="GF1548" s="5" t="s">
        <v>238</v>
      </c>
      <c r="GG1548" s="5" t="s">
        <v>238</v>
      </c>
      <c r="GH1548" s="5" t="s">
        <v>238</v>
      </c>
      <c r="GI1548" s="5" t="s">
        <v>238</v>
      </c>
      <c r="GJ1548" s="5" t="s">
        <v>238</v>
      </c>
      <c r="GK1548" s="5" t="s">
        <v>238</v>
      </c>
      <c r="GL1548" s="5" t="s">
        <v>238</v>
      </c>
      <c r="GM1548" s="5" t="s">
        <v>238</v>
      </c>
      <c r="GN1548" s="5" t="s">
        <v>238</v>
      </c>
      <c r="GO1548" s="5" t="s">
        <v>238</v>
      </c>
      <c r="GP1548" s="5" t="s">
        <v>238</v>
      </c>
      <c r="GQ1548" s="5" t="s">
        <v>238</v>
      </c>
      <c r="GR1548" s="5" t="s">
        <v>238</v>
      </c>
      <c r="GS1548" s="5" t="s">
        <v>238</v>
      </c>
      <c r="GT1548" s="5" t="s">
        <v>238</v>
      </c>
      <c r="GU1548" s="5" t="s">
        <v>238</v>
      </c>
      <c r="GV1548" s="5" t="s">
        <v>238</v>
      </c>
      <c r="GW1548" s="5" t="s">
        <v>238</v>
      </c>
      <c r="GX1548" s="5" t="s">
        <v>238</v>
      </c>
      <c r="GY1548" s="5" t="s">
        <v>238</v>
      </c>
      <c r="GZ1548" s="5" t="s">
        <v>238</v>
      </c>
      <c r="HA1548" s="5" t="s">
        <v>238</v>
      </c>
      <c r="HB1548" s="5" t="s">
        <v>238</v>
      </c>
      <c r="HC1548" s="5" t="s">
        <v>238</v>
      </c>
      <c r="HD1548" s="5" t="s">
        <v>238</v>
      </c>
      <c r="HE1548" s="5" t="s">
        <v>238</v>
      </c>
      <c r="HF1548" s="5" t="s">
        <v>238</v>
      </c>
      <c r="HG1548" s="5" t="s">
        <v>238</v>
      </c>
      <c r="HH1548" s="5" t="s">
        <v>238</v>
      </c>
      <c r="HI1548" s="5" t="s">
        <v>238</v>
      </c>
      <c r="HJ1548" s="5" t="s">
        <v>238</v>
      </c>
      <c r="HK1548" s="5" t="s">
        <v>238</v>
      </c>
      <c r="HL1548" s="5" t="s">
        <v>238</v>
      </c>
      <c r="HM1548" s="5" t="s">
        <v>238</v>
      </c>
      <c r="HN1548" s="5" t="s">
        <v>238</v>
      </c>
      <c r="HO1548" s="5" t="s">
        <v>238</v>
      </c>
      <c r="HP1548" s="5" t="s">
        <v>238</v>
      </c>
      <c r="HQ1548" s="5" t="s">
        <v>238</v>
      </c>
      <c r="HR1548" s="5" t="s">
        <v>238</v>
      </c>
      <c r="HS1548" s="5" t="s">
        <v>238</v>
      </c>
      <c r="HT1548" s="5" t="s">
        <v>238</v>
      </c>
      <c r="HU1548" s="5" t="s">
        <v>238</v>
      </c>
      <c r="HV1548" s="5" t="s">
        <v>238</v>
      </c>
      <c r="HW1548" s="5" t="s">
        <v>238</v>
      </c>
      <c r="HX1548" s="5" t="s">
        <v>238</v>
      </c>
      <c r="HY1548" s="5" t="s">
        <v>238</v>
      </c>
      <c r="HZ1548" s="5" t="s">
        <v>238</v>
      </c>
      <c r="IA1548" s="5" t="s">
        <v>238</v>
      </c>
      <c r="IB1548" s="5" t="s">
        <v>238</v>
      </c>
      <c r="IC1548" s="5" t="s">
        <v>238</v>
      </c>
      <c r="ID1548" s="5" t="s">
        <v>238</v>
      </c>
    </row>
    <row r="1549" spans="1:238" x14ac:dyDescent="0.4">
      <c r="A1549" s="5">
        <v>2067</v>
      </c>
      <c r="B1549" s="5">
        <v>1</v>
      </c>
      <c r="C1549" s="5">
        <v>15</v>
      </c>
      <c r="D1549" s="5" t="s">
        <v>238</v>
      </c>
      <c r="E1549" s="5" t="s">
        <v>277</v>
      </c>
      <c r="F1549" s="5" t="s">
        <v>282</v>
      </c>
      <c r="G1549" s="5" t="s">
        <v>238</v>
      </c>
      <c r="H1549" s="6" t="s">
        <v>280</v>
      </c>
      <c r="I1549" s="5" t="s">
        <v>275</v>
      </c>
      <c r="J1549" s="8">
        <f>0</f>
        <v>0</v>
      </c>
      <c r="K1549" s="5" t="s">
        <v>287</v>
      </c>
      <c r="L1549" s="8">
        <f>143798174</f>
        <v>143798174</v>
      </c>
      <c r="M1549" s="8">
        <f>143798174</f>
        <v>143798174</v>
      </c>
      <c r="N1549" s="6" t="s">
        <v>278</v>
      </c>
      <c r="O1549" s="5" t="s">
        <v>286</v>
      </c>
      <c r="P1549" s="5" t="s">
        <v>238</v>
      </c>
      <c r="Q1549" s="8" t="s">
        <v>238</v>
      </c>
      <c r="R1549" s="8">
        <f>0</f>
        <v>0</v>
      </c>
      <c r="S1549" s="5" t="s">
        <v>240</v>
      </c>
      <c r="T1549" s="5" t="s">
        <v>238</v>
      </c>
      <c r="U1549" s="5" t="s">
        <v>238</v>
      </c>
      <c r="V1549" s="5" t="s">
        <v>238</v>
      </c>
      <c r="W1549" s="5" t="s">
        <v>241</v>
      </c>
      <c r="X1549" s="5" t="s">
        <v>276</v>
      </c>
      <c r="Y1549" s="5" t="s">
        <v>238</v>
      </c>
      <c r="Z1549" s="5" t="s">
        <v>238</v>
      </c>
      <c r="AA1549" s="5" t="s">
        <v>238</v>
      </c>
      <c r="AB1549" s="5" t="s">
        <v>238</v>
      </c>
      <c r="AC1549" s="6" t="s">
        <v>278</v>
      </c>
      <c r="AD1549" s="6" t="s">
        <v>238</v>
      </c>
      <c r="AE1549" s="5" t="s">
        <v>238</v>
      </c>
      <c r="AF1549" s="6" t="s">
        <v>238</v>
      </c>
      <c r="AG1549" s="6" t="s">
        <v>238</v>
      </c>
      <c r="AH1549" s="5" t="s">
        <v>247</v>
      </c>
      <c r="AI1549" s="5" t="s">
        <v>279</v>
      </c>
      <c r="AJ1549" s="5" t="s">
        <v>238</v>
      </c>
      <c r="AK1549" s="5" t="s">
        <v>238</v>
      </c>
      <c r="AL1549" s="5" t="s">
        <v>238</v>
      </c>
      <c r="AM1549" s="5" t="s">
        <v>238</v>
      </c>
      <c r="AN1549" s="5" t="s">
        <v>238</v>
      </c>
      <c r="AO1549" s="5" t="s">
        <v>238</v>
      </c>
      <c r="AP1549" s="5" t="s">
        <v>238</v>
      </c>
      <c r="AQ1549" s="5" t="s">
        <v>238</v>
      </c>
      <c r="AR1549" s="6" t="s">
        <v>238</v>
      </c>
      <c r="AS1549" s="6" t="s">
        <v>238</v>
      </c>
      <c r="AT1549" s="6" t="s">
        <v>238</v>
      </c>
      <c r="AU1549" s="6" t="s">
        <v>238</v>
      </c>
      <c r="AV1549" s="5" t="s">
        <v>238</v>
      </c>
      <c r="AW1549" s="5" t="s">
        <v>238</v>
      </c>
      <c r="AX1549" s="5" t="s">
        <v>238</v>
      </c>
      <c r="AY1549" s="5" t="s">
        <v>250</v>
      </c>
      <c r="AZ1549" s="5" t="s">
        <v>281</v>
      </c>
      <c r="BA1549" s="5" t="s">
        <v>251</v>
      </c>
      <c r="BB1549" s="5" t="s">
        <v>238</v>
      </c>
      <c r="BC1549" s="5" t="s">
        <v>253</v>
      </c>
      <c r="BD1549" s="5" t="s">
        <v>238</v>
      </c>
      <c r="BE1549" s="6" t="s">
        <v>238</v>
      </c>
      <c r="BF1549" s="5" t="s">
        <v>238</v>
      </c>
      <c r="BG1549" s="5" t="s">
        <v>238</v>
      </c>
      <c r="BH1549" s="5" t="s">
        <v>283</v>
      </c>
      <c r="BI1549" s="6" t="s">
        <v>278</v>
      </c>
      <c r="BJ1549" s="5" t="s">
        <v>284</v>
      </c>
      <c r="BK1549" s="5" t="s">
        <v>238</v>
      </c>
      <c r="BL1549" s="5" t="s">
        <v>238</v>
      </c>
      <c r="BM1549" s="8">
        <f>0</f>
        <v>0</v>
      </c>
      <c r="BN1549" s="8">
        <f>5492000</f>
        <v>5492000</v>
      </c>
      <c r="BO1549" s="5" t="s">
        <v>257</v>
      </c>
      <c r="BP1549" s="5" t="s">
        <v>258</v>
      </c>
      <c r="BQ1549" s="5" t="s">
        <v>238</v>
      </c>
      <c r="BR1549" s="5" t="s">
        <v>238</v>
      </c>
      <c r="BS1549" s="5" t="s">
        <v>238</v>
      </c>
      <c r="BT1549" s="5" t="s">
        <v>238</v>
      </c>
      <c r="BU1549" s="5" t="s">
        <v>238</v>
      </c>
      <c r="BV1549" s="5" t="s">
        <v>238</v>
      </c>
      <c r="BW1549" s="5" t="s">
        <v>238</v>
      </c>
      <c r="BX1549" s="5" t="s">
        <v>238</v>
      </c>
      <c r="BY1549" s="6" t="s">
        <v>238</v>
      </c>
      <c r="BZ1549" s="5" t="s">
        <v>238</v>
      </c>
      <c r="CA1549" s="5" t="s">
        <v>272</v>
      </c>
      <c r="CB1549" s="5" t="s">
        <v>272</v>
      </c>
      <c r="CC1549" s="5" t="s">
        <v>258</v>
      </c>
      <c r="CD1549" s="5" t="s">
        <v>238</v>
      </c>
      <c r="CE1549" s="5" t="s">
        <v>238</v>
      </c>
      <c r="CF1549" s="5" t="s">
        <v>238</v>
      </c>
      <c r="CG1549" s="5" t="s">
        <v>238</v>
      </c>
      <c r="CH1549" s="5" t="s">
        <v>238</v>
      </c>
      <c r="CI1549" s="5" t="s">
        <v>238</v>
      </c>
      <c r="CJ1549" s="5" t="s">
        <v>238</v>
      </c>
      <c r="CK1549" s="5" t="s">
        <v>238</v>
      </c>
      <c r="CL1549" s="5" t="s">
        <v>238</v>
      </c>
      <c r="CM1549" s="5" t="s">
        <v>238</v>
      </c>
      <c r="CN1549" s="6" t="s">
        <v>262</v>
      </c>
      <c r="CO1549" s="5" t="s">
        <v>263</v>
      </c>
      <c r="CP1549" s="5" t="s">
        <v>264</v>
      </c>
      <c r="CQ1549" s="5" t="s">
        <v>285</v>
      </c>
      <c r="CR1549" s="5" t="s">
        <v>238</v>
      </c>
      <c r="CS1549" s="5">
        <v>0</v>
      </c>
      <c r="CT1549" s="5" t="s">
        <v>238</v>
      </c>
      <c r="CU1549" s="5" t="s">
        <v>238</v>
      </c>
      <c r="CV1549" s="5" t="s">
        <v>238</v>
      </c>
      <c r="CW1549" s="7">
        <f>0</f>
        <v>0</v>
      </c>
      <c r="CX1549" s="8">
        <f>0</f>
        <v>0</v>
      </c>
      <c r="CY1549" s="8" t="s">
        <v>238</v>
      </c>
      <c r="CZ1549" s="8" t="s">
        <v>238</v>
      </c>
      <c r="DA1549" s="5" t="s">
        <v>238</v>
      </c>
      <c r="DB1549" s="5" t="s">
        <v>238</v>
      </c>
      <c r="DC1549" s="5" t="s">
        <v>238</v>
      </c>
      <c r="DD1549" s="5" t="s">
        <v>238</v>
      </c>
      <c r="DE1549" s="8">
        <f>0</f>
        <v>0</v>
      </c>
      <c r="DF1549" s="6" t="s">
        <v>238</v>
      </c>
      <c r="DG1549" s="5" t="s">
        <v>238</v>
      </c>
      <c r="DH1549" s="5" t="s">
        <v>238</v>
      </c>
      <c r="DI1549" s="5" t="s">
        <v>238</v>
      </c>
      <c r="DJ1549" s="5" t="s">
        <v>238</v>
      </c>
      <c r="DK1549" s="5" t="s">
        <v>238</v>
      </c>
      <c r="DL1549" s="5" t="s">
        <v>238</v>
      </c>
      <c r="DM1549" s="8" t="s">
        <v>238</v>
      </c>
      <c r="DN1549" s="5" t="s">
        <v>238</v>
      </c>
      <c r="DO1549" s="5" t="s">
        <v>238</v>
      </c>
      <c r="DP1549" s="5" t="s">
        <v>238</v>
      </c>
      <c r="DQ1549" s="5" t="s">
        <v>238</v>
      </c>
      <c r="DR1549" s="5" t="s">
        <v>238</v>
      </c>
      <c r="DS1549" s="5" t="s">
        <v>238</v>
      </c>
      <c r="DT1549" s="5" t="s">
        <v>238</v>
      </c>
      <c r="DU1549" s="5" t="s">
        <v>238</v>
      </c>
      <c r="DV1549" s="5" t="s">
        <v>238</v>
      </c>
      <c r="DW1549" s="5" t="s">
        <v>238</v>
      </c>
      <c r="DX1549" s="5" t="s">
        <v>238</v>
      </c>
      <c r="DY1549" s="5" t="s">
        <v>238</v>
      </c>
      <c r="DZ1549" s="5" t="s">
        <v>238</v>
      </c>
      <c r="EA1549" s="5" t="s">
        <v>238</v>
      </c>
      <c r="EB1549" s="5" t="s">
        <v>238</v>
      </c>
      <c r="EC1549" s="5" t="s">
        <v>238</v>
      </c>
      <c r="ED1549" s="5" t="s">
        <v>238</v>
      </c>
      <c r="EE1549" s="5" t="s">
        <v>238</v>
      </c>
      <c r="EF1549" s="5" t="s">
        <v>238</v>
      </c>
      <c r="EG1549" s="5" t="s">
        <v>238</v>
      </c>
      <c r="EH1549" s="5" t="s">
        <v>238</v>
      </c>
      <c r="EI1549" s="5" t="s">
        <v>238</v>
      </c>
      <c r="EJ1549" s="5" t="s">
        <v>238</v>
      </c>
      <c r="EK1549" s="5" t="s">
        <v>238</v>
      </c>
      <c r="EL1549" s="5" t="s">
        <v>238</v>
      </c>
      <c r="EM1549" s="5" t="s">
        <v>238</v>
      </c>
      <c r="EN1549" s="5" t="s">
        <v>238</v>
      </c>
      <c r="EO1549" s="5" t="s">
        <v>238</v>
      </c>
      <c r="EP1549" s="5" t="s">
        <v>238</v>
      </c>
      <c r="EQ1549" s="5" t="s">
        <v>238</v>
      </c>
      <c r="ER1549" s="5" t="s">
        <v>238</v>
      </c>
      <c r="ES1549" s="5" t="s">
        <v>238</v>
      </c>
      <c r="ET1549" s="5" t="s">
        <v>238</v>
      </c>
      <c r="EU1549" s="5" t="s">
        <v>238</v>
      </c>
      <c r="EV1549" s="5" t="s">
        <v>238</v>
      </c>
      <c r="EW1549" s="5" t="s">
        <v>238</v>
      </c>
      <c r="EX1549" s="5" t="s">
        <v>238</v>
      </c>
      <c r="EY1549" s="5" t="s">
        <v>238</v>
      </c>
      <c r="EZ1549" s="5" t="s">
        <v>238</v>
      </c>
      <c r="FA1549" s="5" t="s">
        <v>238</v>
      </c>
      <c r="FB1549" s="5" t="s">
        <v>238</v>
      </c>
      <c r="FC1549" s="5" t="s">
        <v>238</v>
      </c>
      <c r="FD1549" s="5" t="s">
        <v>238</v>
      </c>
      <c r="FE1549" s="5" t="s">
        <v>238</v>
      </c>
      <c r="FF1549" s="5" t="s">
        <v>238</v>
      </c>
      <c r="FG1549" s="5" t="s">
        <v>238</v>
      </c>
      <c r="FH1549" s="5" t="s">
        <v>238</v>
      </c>
      <c r="FI1549" s="5" t="s">
        <v>238</v>
      </c>
      <c r="FJ1549" s="5" t="s">
        <v>238</v>
      </c>
      <c r="FK1549" s="5" t="s">
        <v>238</v>
      </c>
      <c r="FL1549" s="5" t="s">
        <v>238</v>
      </c>
      <c r="FM1549" s="5" t="s">
        <v>238</v>
      </c>
      <c r="FN1549" s="5" t="s">
        <v>238</v>
      </c>
      <c r="FO1549" s="5" t="s">
        <v>238</v>
      </c>
      <c r="FP1549" s="5" t="s">
        <v>238</v>
      </c>
      <c r="FQ1549" s="5" t="s">
        <v>238</v>
      </c>
      <c r="FR1549" s="5" t="s">
        <v>238</v>
      </c>
      <c r="FS1549" s="5" t="s">
        <v>238</v>
      </c>
      <c r="FT1549" s="5" t="s">
        <v>238</v>
      </c>
      <c r="FU1549" s="5" t="s">
        <v>238</v>
      </c>
      <c r="FV1549" s="5" t="s">
        <v>238</v>
      </c>
      <c r="FW1549" s="5" t="s">
        <v>238</v>
      </c>
      <c r="FX1549" s="5" t="s">
        <v>238</v>
      </c>
      <c r="FY1549" s="5" t="s">
        <v>238</v>
      </c>
      <c r="FZ1549" s="5" t="s">
        <v>238</v>
      </c>
      <c r="GA1549" s="5" t="s">
        <v>238</v>
      </c>
      <c r="GB1549" s="5" t="s">
        <v>238</v>
      </c>
      <c r="GC1549" s="5" t="s">
        <v>238</v>
      </c>
      <c r="GD1549" s="5" t="s">
        <v>238</v>
      </c>
      <c r="GE1549" s="5" t="s">
        <v>238</v>
      </c>
      <c r="GF1549" s="5" t="s">
        <v>238</v>
      </c>
      <c r="GG1549" s="5" t="s">
        <v>238</v>
      </c>
      <c r="GH1549" s="5" t="s">
        <v>238</v>
      </c>
      <c r="GI1549" s="5" t="s">
        <v>238</v>
      </c>
      <c r="GJ1549" s="5" t="s">
        <v>238</v>
      </c>
      <c r="GK1549" s="5" t="s">
        <v>238</v>
      </c>
      <c r="GL1549" s="5" t="s">
        <v>238</v>
      </c>
      <c r="GM1549" s="5" t="s">
        <v>238</v>
      </c>
      <c r="GN1549" s="5" t="s">
        <v>238</v>
      </c>
      <c r="GO1549" s="5" t="s">
        <v>238</v>
      </c>
      <c r="GP1549" s="5" t="s">
        <v>238</v>
      </c>
      <c r="GQ1549" s="5" t="s">
        <v>238</v>
      </c>
      <c r="GR1549" s="5" t="s">
        <v>238</v>
      </c>
      <c r="GS1549" s="5" t="s">
        <v>238</v>
      </c>
      <c r="GT1549" s="5" t="s">
        <v>238</v>
      </c>
      <c r="GU1549" s="5" t="s">
        <v>238</v>
      </c>
      <c r="GV1549" s="5" t="s">
        <v>238</v>
      </c>
      <c r="GW1549" s="5" t="s">
        <v>238</v>
      </c>
      <c r="GX1549" s="5" t="s">
        <v>238</v>
      </c>
      <c r="GY1549" s="5" t="s">
        <v>238</v>
      </c>
      <c r="GZ1549" s="5" t="s">
        <v>238</v>
      </c>
      <c r="HA1549" s="5" t="s">
        <v>238</v>
      </c>
      <c r="HB1549" s="5" t="s">
        <v>238</v>
      </c>
      <c r="HC1549" s="5" t="s">
        <v>238</v>
      </c>
      <c r="HD1549" s="5" t="s">
        <v>238</v>
      </c>
      <c r="HE1549" s="5" t="s">
        <v>238</v>
      </c>
      <c r="HF1549" s="5" t="s">
        <v>238</v>
      </c>
      <c r="HG1549" s="5" t="s">
        <v>238</v>
      </c>
      <c r="HH1549" s="5" t="s">
        <v>238</v>
      </c>
      <c r="HI1549" s="5" t="s">
        <v>238</v>
      </c>
      <c r="HJ1549" s="5" t="s">
        <v>238</v>
      </c>
      <c r="HK1549" s="5" t="s">
        <v>238</v>
      </c>
      <c r="HL1549" s="5" t="s">
        <v>238</v>
      </c>
      <c r="HM1549" s="5" t="s">
        <v>238</v>
      </c>
      <c r="HN1549" s="5" t="s">
        <v>238</v>
      </c>
      <c r="HO1549" s="5" t="s">
        <v>238</v>
      </c>
      <c r="HP1549" s="5" t="s">
        <v>238</v>
      </c>
      <c r="HQ1549" s="5" t="s">
        <v>238</v>
      </c>
      <c r="HR1549" s="5" t="s">
        <v>238</v>
      </c>
      <c r="HS1549" s="5" t="s">
        <v>238</v>
      </c>
      <c r="HT1549" s="5" t="s">
        <v>238</v>
      </c>
      <c r="HU1549" s="5" t="s">
        <v>238</v>
      </c>
      <c r="HV1549" s="5" t="s">
        <v>238</v>
      </c>
      <c r="HW1549" s="5" t="s">
        <v>238</v>
      </c>
      <c r="HX1549" s="5" t="s">
        <v>238</v>
      </c>
      <c r="HY1549" s="5" t="s">
        <v>238</v>
      </c>
      <c r="HZ1549" s="5" t="s">
        <v>238</v>
      </c>
      <c r="IA1549" s="5" t="s">
        <v>238</v>
      </c>
      <c r="IB1549" s="5" t="s">
        <v>238</v>
      </c>
      <c r="IC1549" s="5" t="s">
        <v>238</v>
      </c>
      <c r="ID1549" s="5" t="s">
        <v>238</v>
      </c>
    </row>
    <row r="1550" spans="1:238" x14ac:dyDescent="0.4">
      <c r="A1550" s="5">
        <v>2068</v>
      </c>
      <c r="B1550" s="5">
        <v>1</v>
      </c>
      <c r="C1550" s="5">
        <v>13</v>
      </c>
      <c r="D1550" s="5" t="s">
        <v>238</v>
      </c>
      <c r="E1550" s="5" t="s">
        <v>277</v>
      </c>
      <c r="F1550" s="5" t="s">
        <v>282</v>
      </c>
      <c r="G1550" s="5" t="s">
        <v>238</v>
      </c>
      <c r="H1550" s="6" t="s">
        <v>280</v>
      </c>
      <c r="I1550" s="5" t="s">
        <v>297</v>
      </c>
      <c r="J1550" s="8">
        <f>0</f>
        <v>0</v>
      </c>
      <c r="K1550" s="5" t="s">
        <v>287</v>
      </c>
      <c r="L1550" s="8">
        <f>126189902</f>
        <v>126189902</v>
      </c>
      <c r="M1550" s="8">
        <f>126189902</f>
        <v>126189902</v>
      </c>
      <c r="N1550" s="6" t="s">
        <v>278</v>
      </c>
      <c r="O1550" s="5" t="s">
        <v>286</v>
      </c>
      <c r="P1550" s="5" t="s">
        <v>238</v>
      </c>
      <c r="Q1550" s="8" t="s">
        <v>238</v>
      </c>
      <c r="R1550" s="8">
        <f>0</f>
        <v>0</v>
      </c>
      <c r="S1550" s="5" t="s">
        <v>240</v>
      </c>
      <c r="T1550" s="5" t="s">
        <v>238</v>
      </c>
      <c r="U1550" s="5" t="s">
        <v>238</v>
      </c>
      <c r="V1550" s="5" t="s">
        <v>238</v>
      </c>
      <c r="W1550" s="5" t="s">
        <v>241</v>
      </c>
      <c r="X1550" s="5" t="s">
        <v>276</v>
      </c>
      <c r="Y1550" s="5" t="s">
        <v>238</v>
      </c>
      <c r="Z1550" s="5" t="s">
        <v>238</v>
      </c>
      <c r="AA1550" s="5" t="s">
        <v>238</v>
      </c>
      <c r="AB1550" s="5" t="s">
        <v>238</v>
      </c>
      <c r="AC1550" s="6" t="s">
        <v>278</v>
      </c>
      <c r="AD1550" s="6" t="s">
        <v>238</v>
      </c>
      <c r="AE1550" s="5" t="s">
        <v>238</v>
      </c>
      <c r="AF1550" s="6" t="s">
        <v>238</v>
      </c>
      <c r="AG1550" s="6" t="s">
        <v>238</v>
      </c>
      <c r="AH1550" s="5" t="s">
        <v>247</v>
      </c>
      <c r="AI1550" s="5" t="s">
        <v>279</v>
      </c>
      <c r="AJ1550" s="5" t="s">
        <v>238</v>
      </c>
      <c r="AK1550" s="5" t="s">
        <v>238</v>
      </c>
      <c r="AL1550" s="5" t="s">
        <v>238</v>
      </c>
      <c r="AM1550" s="5" t="s">
        <v>238</v>
      </c>
      <c r="AN1550" s="5" t="s">
        <v>238</v>
      </c>
      <c r="AO1550" s="5" t="s">
        <v>238</v>
      </c>
      <c r="AP1550" s="5" t="s">
        <v>238</v>
      </c>
      <c r="AQ1550" s="5" t="s">
        <v>238</v>
      </c>
      <c r="AR1550" s="6" t="s">
        <v>238</v>
      </c>
      <c r="AS1550" s="6" t="s">
        <v>238</v>
      </c>
      <c r="AT1550" s="6" t="s">
        <v>238</v>
      </c>
      <c r="AU1550" s="6" t="s">
        <v>238</v>
      </c>
      <c r="AV1550" s="5" t="s">
        <v>238</v>
      </c>
      <c r="AW1550" s="5" t="s">
        <v>238</v>
      </c>
      <c r="AX1550" s="5" t="s">
        <v>238</v>
      </c>
      <c r="AY1550" s="5" t="s">
        <v>250</v>
      </c>
      <c r="AZ1550" s="5" t="s">
        <v>281</v>
      </c>
      <c r="BA1550" s="5" t="s">
        <v>251</v>
      </c>
      <c r="BB1550" s="5" t="s">
        <v>238</v>
      </c>
      <c r="BC1550" s="5" t="s">
        <v>253</v>
      </c>
      <c r="BD1550" s="5" t="s">
        <v>238</v>
      </c>
      <c r="BE1550" s="6" t="s">
        <v>238</v>
      </c>
      <c r="BF1550" s="5" t="s">
        <v>238</v>
      </c>
      <c r="BG1550" s="5" t="s">
        <v>238</v>
      </c>
      <c r="BH1550" s="5" t="s">
        <v>283</v>
      </c>
      <c r="BI1550" s="6" t="s">
        <v>278</v>
      </c>
      <c r="BJ1550" s="5" t="s">
        <v>284</v>
      </c>
      <c r="BK1550" s="5" t="s">
        <v>238</v>
      </c>
      <c r="BL1550" s="5" t="s">
        <v>238</v>
      </c>
      <c r="BM1550" s="8">
        <f>0</f>
        <v>0</v>
      </c>
      <c r="BN1550" s="8">
        <f>5492000</f>
        <v>5492000</v>
      </c>
      <c r="BO1550" s="5" t="s">
        <v>257</v>
      </c>
      <c r="BP1550" s="5" t="s">
        <v>258</v>
      </c>
      <c r="BQ1550" s="5" t="s">
        <v>238</v>
      </c>
      <c r="BR1550" s="5" t="s">
        <v>238</v>
      </c>
      <c r="BS1550" s="5" t="s">
        <v>238</v>
      </c>
      <c r="BT1550" s="5" t="s">
        <v>238</v>
      </c>
      <c r="BU1550" s="5" t="s">
        <v>238</v>
      </c>
      <c r="BV1550" s="5" t="s">
        <v>238</v>
      </c>
      <c r="BW1550" s="5" t="s">
        <v>238</v>
      </c>
      <c r="BX1550" s="5" t="s">
        <v>238</v>
      </c>
      <c r="BY1550" s="6" t="s">
        <v>238</v>
      </c>
      <c r="BZ1550" s="5" t="s">
        <v>238</v>
      </c>
      <c r="CA1550" s="5" t="s">
        <v>272</v>
      </c>
      <c r="CB1550" s="5" t="s">
        <v>272</v>
      </c>
      <c r="CC1550" s="5" t="s">
        <v>258</v>
      </c>
      <c r="CD1550" s="5" t="s">
        <v>238</v>
      </c>
      <c r="CE1550" s="5" t="s">
        <v>238</v>
      </c>
      <c r="CF1550" s="5" t="s">
        <v>238</v>
      </c>
      <c r="CG1550" s="5" t="s">
        <v>238</v>
      </c>
      <c r="CH1550" s="5" t="s">
        <v>238</v>
      </c>
      <c r="CI1550" s="5" t="s">
        <v>238</v>
      </c>
      <c r="CJ1550" s="5" t="s">
        <v>238</v>
      </c>
      <c r="CK1550" s="5" t="s">
        <v>238</v>
      </c>
      <c r="CL1550" s="5" t="s">
        <v>238</v>
      </c>
      <c r="CM1550" s="5" t="s">
        <v>238</v>
      </c>
      <c r="CN1550" s="6" t="s">
        <v>262</v>
      </c>
      <c r="CO1550" s="5" t="s">
        <v>263</v>
      </c>
      <c r="CP1550" s="5" t="s">
        <v>264</v>
      </c>
      <c r="CQ1550" s="5" t="s">
        <v>285</v>
      </c>
      <c r="CR1550" s="5" t="s">
        <v>238</v>
      </c>
      <c r="CS1550" s="5">
        <v>0</v>
      </c>
      <c r="CT1550" s="5" t="s">
        <v>238</v>
      </c>
      <c r="CU1550" s="5" t="s">
        <v>238</v>
      </c>
      <c r="CV1550" s="5" t="s">
        <v>238</v>
      </c>
      <c r="CW1550" s="7">
        <f>0</f>
        <v>0</v>
      </c>
      <c r="CX1550" s="8">
        <f>0</f>
        <v>0</v>
      </c>
      <c r="CY1550" s="8" t="s">
        <v>238</v>
      </c>
      <c r="CZ1550" s="8" t="s">
        <v>238</v>
      </c>
      <c r="DA1550" s="5" t="s">
        <v>238</v>
      </c>
      <c r="DB1550" s="5" t="s">
        <v>238</v>
      </c>
      <c r="DC1550" s="5" t="s">
        <v>238</v>
      </c>
      <c r="DD1550" s="5" t="s">
        <v>238</v>
      </c>
      <c r="DE1550" s="8">
        <f>0</f>
        <v>0</v>
      </c>
      <c r="DF1550" s="6" t="s">
        <v>238</v>
      </c>
      <c r="DG1550" s="5" t="s">
        <v>238</v>
      </c>
      <c r="DH1550" s="5" t="s">
        <v>238</v>
      </c>
      <c r="DI1550" s="5" t="s">
        <v>238</v>
      </c>
      <c r="DJ1550" s="5" t="s">
        <v>238</v>
      </c>
      <c r="DK1550" s="5" t="s">
        <v>238</v>
      </c>
      <c r="DL1550" s="5" t="s">
        <v>238</v>
      </c>
      <c r="DM1550" s="8" t="s">
        <v>238</v>
      </c>
      <c r="DN1550" s="5" t="s">
        <v>238</v>
      </c>
      <c r="DO1550" s="5" t="s">
        <v>238</v>
      </c>
      <c r="DP1550" s="5" t="s">
        <v>238</v>
      </c>
      <c r="DQ1550" s="5" t="s">
        <v>238</v>
      </c>
      <c r="DR1550" s="5" t="s">
        <v>238</v>
      </c>
      <c r="DS1550" s="5" t="s">
        <v>238</v>
      </c>
      <c r="DT1550" s="5" t="s">
        <v>238</v>
      </c>
      <c r="DU1550" s="5" t="s">
        <v>238</v>
      </c>
      <c r="DV1550" s="5" t="s">
        <v>238</v>
      </c>
      <c r="DW1550" s="5" t="s">
        <v>238</v>
      </c>
      <c r="DX1550" s="5" t="s">
        <v>238</v>
      </c>
      <c r="DY1550" s="5" t="s">
        <v>238</v>
      </c>
      <c r="DZ1550" s="5" t="s">
        <v>238</v>
      </c>
      <c r="EA1550" s="5" t="s">
        <v>238</v>
      </c>
      <c r="EB1550" s="5" t="s">
        <v>238</v>
      </c>
      <c r="EC1550" s="5" t="s">
        <v>238</v>
      </c>
      <c r="ED1550" s="5" t="s">
        <v>238</v>
      </c>
      <c r="EE1550" s="5" t="s">
        <v>238</v>
      </c>
      <c r="EF1550" s="5" t="s">
        <v>238</v>
      </c>
      <c r="EG1550" s="5" t="s">
        <v>238</v>
      </c>
      <c r="EH1550" s="5" t="s">
        <v>238</v>
      </c>
      <c r="EI1550" s="5" t="s">
        <v>238</v>
      </c>
      <c r="EJ1550" s="5" t="s">
        <v>238</v>
      </c>
      <c r="EK1550" s="5" t="s">
        <v>238</v>
      </c>
      <c r="EL1550" s="5" t="s">
        <v>238</v>
      </c>
      <c r="EM1550" s="5" t="s">
        <v>238</v>
      </c>
      <c r="EN1550" s="5" t="s">
        <v>238</v>
      </c>
      <c r="EO1550" s="5" t="s">
        <v>238</v>
      </c>
      <c r="EP1550" s="5" t="s">
        <v>238</v>
      </c>
      <c r="EQ1550" s="5" t="s">
        <v>238</v>
      </c>
      <c r="ER1550" s="5" t="s">
        <v>238</v>
      </c>
      <c r="ES1550" s="5" t="s">
        <v>238</v>
      </c>
      <c r="ET1550" s="5" t="s">
        <v>238</v>
      </c>
      <c r="EU1550" s="5" t="s">
        <v>238</v>
      </c>
      <c r="EV1550" s="5" t="s">
        <v>238</v>
      </c>
      <c r="EW1550" s="5" t="s">
        <v>238</v>
      </c>
      <c r="EX1550" s="5" t="s">
        <v>238</v>
      </c>
      <c r="EY1550" s="5" t="s">
        <v>238</v>
      </c>
      <c r="EZ1550" s="5" t="s">
        <v>238</v>
      </c>
      <c r="FA1550" s="5" t="s">
        <v>238</v>
      </c>
      <c r="FB1550" s="5" t="s">
        <v>238</v>
      </c>
      <c r="FC1550" s="5" t="s">
        <v>238</v>
      </c>
      <c r="FD1550" s="5" t="s">
        <v>238</v>
      </c>
      <c r="FE1550" s="5" t="s">
        <v>238</v>
      </c>
      <c r="FF1550" s="5" t="s">
        <v>238</v>
      </c>
      <c r="FG1550" s="5" t="s">
        <v>238</v>
      </c>
      <c r="FH1550" s="5" t="s">
        <v>238</v>
      </c>
      <c r="FI1550" s="5" t="s">
        <v>238</v>
      </c>
      <c r="FJ1550" s="5" t="s">
        <v>238</v>
      </c>
      <c r="FK1550" s="5" t="s">
        <v>238</v>
      </c>
      <c r="FL1550" s="5" t="s">
        <v>238</v>
      </c>
      <c r="FM1550" s="5" t="s">
        <v>238</v>
      </c>
      <c r="FN1550" s="5" t="s">
        <v>238</v>
      </c>
      <c r="FO1550" s="5" t="s">
        <v>238</v>
      </c>
      <c r="FP1550" s="5" t="s">
        <v>238</v>
      </c>
      <c r="FQ1550" s="5" t="s">
        <v>238</v>
      </c>
      <c r="FR1550" s="5" t="s">
        <v>238</v>
      </c>
      <c r="FS1550" s="5" t="s">
        <v>238</v>
      </c>
      <c r="FT1550" s="5" t="s">
        <v>238</v>
      </c>
      <c r="FU1550" s="5" t="s">
        <v>238</v>
      </c>
      <c r="FV1550" s="5" t="s">
        <v>238</v>
      </c>
      <c r="FW1550" s="5" t="s">
        <v>238</v>
      </c>
      <c r="FX1550" s="5" t="s">
        <v>238</v>
      </c>
      <c r="FY1550" s="5" t="s">
        <v>238</v>
      </c>
      <c r="FZ1550" s="5" t="s">
        <v>238</v>
      </c>
      <c r="GA1550" s="5" t="s">
        <v>238</v>
      </c>
      <c r="GB1550" s="5" t="s">
        <v>238</v>
      </c>
      <c r="GC1550" s="5" t="s">
        <v>238</v>
      </c>
      <c r="GD1550" s="5" t="s">
        <v>238</v>
      </c>
      <c r="GE1550" s="5" t="s">
        <v>238</v>
      </c>
      <c r="GF1550" s="5" t="s">
        <v>238</v>
      </c>
      <c r="GG1550" s="5" t="s">
        <v>238</v>
      </c>
      <c r="GH1550" s="5" t="s">
        <v>238</v>
      </c>
      <c r="GI1550" s="5" t="s">
        <v>238</v>
      </c>
      <c r="GJ1550" s="5" t="s">
        <v>238</v>
      </c>
      <c r="GK1550" s="5" t="s">
        <v>238</v>
      </c>
      <c r="GL1550" s="5" t="s">
        <v>238</v>
      </c>
      <c r="GM1550" s="5" t="s">
        <v>238</v>
      </c>
      <c r="GN1550" s="5" t="s">
        <v>238</v>
      </c>
      <c r="GO1550" s="5" t="s">
        <v>238</v>
      </c>
      <c r="GP1550" s="5" t="s">
        <v>238</v>
      </c>
      <c r="GQ1550" s="5" t="s">
        <v>238</v>
      </c>
      <c r="GR1550" s="5" t="s">
        <v>238</v>
      </c>
      <c r="GS1550" s="5" t="s">
        <v>238</v>
      </c>
      <c r="GT1550" s="5" t="s">
        <v>238</v>
      </c>
      <c r="GU1550" s="5" t="s">
        <v>238</v>
      </c>
      <c r="GV1550" s="5" t="s">
        <v>238</v>
      </c>
      <c r="GW1550" s="5" t="s">
        <v>238</v>
      </c>
      <c r="GX1550" s="5" t="s">
        <v>238</v>
      </c>
      <c r="GY1550" s="5" t="s">
        <v>238</v>
      </c>
      <c r="GZ1550" s="5" t="s">
        <v>238</v>
      </c>
      <c r="HA1550" s="5" t="s">
        <v>238</v>
      </c>
      <c r="HB1550" s="5" t="s">
        <v>238</v>
      </c>
      <c r="HC1550" s="5" t="s">
        <v>238</v>
      </c>
      <c r="HD1550" s="5" t="s">
        <v>238</v>
      </c>
      <c r="HE1550" s="5" t="s">
        <v>238</v>
      </c>
      <c r="HF1550" s="5" t="s">
        <v>238</v>
      </c>
      <c r="HG1550" s="5" t="s">
        <v>238</v>
      </c>
      <c r="HH1550" s="5" t="s">
        <v>238</v>
      </c>
      <c r="HI1550" s="5" t="s">
        <v>238</v>
      </c>
      <c r="HJ1550" s="5" t="s">
        <v>238</v>
      </c>
      <c r="HK1550" s="5" t="s">
        <v>238</v>
      </c>
      <c r="HL1550" s="5" t="s">
        <v>238</v>
      </c>
      <c r="HM1550" s="5" t="s">
        <v>238</v>
      </c>
      <c r="HN1550" s="5" t="s">
        <v>238</v>
      </c>
      <c r="HO1550" s="5" t="s">
        <v>238</v>
      </c>
      <c r="HP1550" s="5" t="s">
        <v>238</v>
      </c>
      <c r="HQ1550" s="5" t="s">
        <v>238</v>
      </c>
      <c r="HR1550" s="5" t="s">
        <v>238</v>
      </c>
      <c r="HS1550" s="5" t="s">
        <v>238</v>
      </c>
      <c r="HT1550" s="5" t="s">
        <v>238</v>
      </c>
      <c r="HU1550" s="5" t="s">
        <v>238</v>
      </c>
      <c r="HV1550" s="5" t="s">
        <v>238</v>
      </c>
      <c r="HW1550" s="5" t="s">
        <v>238</v>
      </c>
      <c r="HX1550" s="5" t="s">
        <v>238</v>
      </c>
      <c r="HY1550" s="5" t="s">
        <v>238</v>
      </c>
      <c r="HZ1550" s="5" t="s">
        <v>238</v>
      </c>
      <c r="IA1550" s="5" t="s">
        <v>238</v>
      </c>
      <c r="IB1550" s="5" t="s">
        <v>238</v>
      </c>
      <c r="IC1550" s="5" t="s">
        <v>238</v>
      </c>
      <c r="ID1550" s="5" t="s">
        <v>238</v>
      </c>
    </row>
  </sheetData>
  <autoFilter ref="A1:ID1550">
    <sortState ref="A2:ID1551">
      <sortCondition ref="A1:A1551"/>
    </sortState>
  </autoFilter>
  <phoneticPr fontId="1"/>
  <printOptions gridLines="1"/>
  <pageMargins left="0.70866141732283472" right="0.70866141732283472" top="0.74803149606299213" bottom="0.74803149606299213" header="0.31496062992125984" footer="0.31496062992125984"/>
  <pageSetup paperSize="8" scale="2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事業用建物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藤木 隆雄</dc:creator>
  <cp:lastModifiedBy> </cp:lastModifiedBy>
  <cp:lastPrinted>2024-03-25T23:52:57Z</cp:lastPrinted>
  <dcterms:created xsi:type="dcterms:W3CDTF">2015-11-06T11:18:40Z</dcterms:created>
  <dcterms:modified xsi:type="dcterms:W3CDTF">2024-03-25T23:53:00Z</dcterms:modified>
</cp:coreProperties>
</file>